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Anleitung" state="visible" r:id="rId4"/>
    <sheet sheetId="2" name="Einstellungen" state="visible" r:id="rId5"/>
    <sheet sheetId="3" name="Mitarbeiter" state="visible" r:id="rId6"/>
    <sheet sheetId="4" name="Januar" state="visible" r:id="rId7"/>
    <sheet sheetId="5" name="Februar" state="visible" r:id="rId8"/>
    <sheet sheetId="6" name="März" state="visible" r:id="rId9"/>
    <sheet sheetId="7" name="April" state="visible" r:id="rId10"/>
    <sheet sheetId="8" name="Mai" state="visible" r:id="rId11"/>
    <sheet sheetId="9" name="Juni" state="visible" r:id="rId12"/>
    <sheet sheetId="10" name="Juli" state="visible" r:id="rId13"/>
    <sheet sheetId="11" name="August" state="visible" r:id="rId14"/>
    <sheet sheetId="12" name="September" state="visible" r:id="rId15"/>
    <sheet sheetId="13" name="Oktober" state="visible" r:id="rId16"/>
    <sheet sheetId="14" name="November" state="visible" r:id="rId17"/>
    <sheet sheetId="15" name="Dezember" state="visible" r:id="rId18"/>
    <sheet sheetId="16" name="Wochenplan" state="visible" r:id="rId19"/>
    <sheet sheetId="17" name="Schichtrhythmus" state="visible" r:id="rId20"/>
    <sheet sheetId="18" name="Jahresübersicht" state="visible" r:id="rId21"/>
    <sheet sheetId="19" name="Feiertage" state="visible" r:id="rId22"/>
    <sheet sheetId="20" name="Hilfswerte" state="hidden" r:id="rId23"/>
  </sheets>
  <definedNames>
    <definedName name="Team">Einstellungen!$C$3</definedName>
    <definedName name="Jahr">Einstellungen!$C$4</definedName>
    <definedName name="Bundesland">Einstellungen!$C$5</definedName>
    <definedName name="Legende">Einstellungen!$O$22</definedName>
    <definedName name="Codes">Einstellungen!$A$9:$A$20</definedName>
    <definedName name="Bezeichnungen">Einstellungen!$B$9:$B$20</definedName>
    <definedName name="Arten">Einstellungen!$C$9:$C$20</definedName>
    <definedName name="Beginne">Einstellungen!$D$9:$D$20</definedName>
    <definedName name="Enden">Einstellungen!$E$9:$E$20</definedName>
    <definedName name="NettoTage">Einstellungen!$G$9:$G$20</definedName>
    <definedName name="MinWerktag">Einstellungen!$H$9:$H$20</definedName>
    <definedName name="MinFrei">Einstellungen!$I$9:$I$20</definedName>
    <definedName name="EndeRel">Einstellungen!$L$9:$L$20</definedName>
    <definedName name="ArbeitNr">Einstellungen!$M$9:$M$20</definedName>
    <definedName name="Erste">Einstellungen!$N$9:$N$20</definedName>
    <definedName name="Ostern">Hilfswerte!$B$18</definedName>
    <definedName name="Land">Hilfswerte!$B$20</definedName>
    <definedName name="FeiertagDaten">Feiertage!$O$4:$O$28</definedName>
    <definedName name="FeiertagNamen">Feiertage!$A$4:$A$28</definedName>
    <definedName name="_xlnm.Print_Area" localSheetId="1">'Einstellungen'!$A1:$J20</definedName>
    <definedName name="_xlnm.Print_Area" localSheetId="3">'Januar'!$A1:$AL48</definedName>
    <definedName name="_xlnm.Print_Area" localSheetId="4">'Februar'!$A1:$AL48</definedName>
    <definedName name="_xlnm.Print_Area" localSheetId="5">'März'!$A1:$AL48</definedName>
    <definedName name="_xlnm.Print_Area" localSheetId="6">'April'!$A1:$AL48</definedName>
    <definedName name="_xlnm.Print_Area" localSheetId="7">'Mai'!$A1:$AL48</definedName>
    <definedName name="_xlnm.Print_Area" localSheetId="8">'Juni'!$A1:$AL48</definedName>
    <definedName name="_xlnm.Print_Area" localSheetId="9">'Juli'!$A1:$AL48</definedName>
    <definedName name="_xlnm.Print_Area" localSheetId="10">'August'!$A1:$AL48</definedName>
    <definedName name="_xlnm.Print_Area" localSheetId="11">'September'!$A1:$AL48</definedName>
    <definedName name="_xlnm.Print_Area" localSheetId="12">'Oktober'!$A1:$AL48</definedName>
    <definedName name="_xlnm.Print_Area" localSheetId="13">'November'!$A1:$AL48</definedName>
    <definedName name="_xlnm.Print_Area" localSheetId="14">'Dezember'!$A1:$AL48</definedName>
    <definedName name="_xlnm.Print_Area" localSheetId="15">'Wochenplan'!$A1:$I46</definedName>
    <definedName name="_xlnm.Print_Area" localSheetId="16">'Schichtrhythmus'!$A1:$AG35</definedName>
  </definedNames>
  <calcPr calcId="171027" fullCalcOnLoad="1"/>
</workbook>
</file>

<file path=xl/sharedStrings.xml><?xml version="1.0" encoding="utf-8"?>
<sst xmlns="http://schemas.openxmlformats.org/spreadsheetml/2006/main" count="357" uniqueCount="174">
  <si>
    <t>Dienstplan 2026: Excel-Vorlage</t>
  </si>
  <si>
    <t>Ein Dienstplan für ein Team und ein Jahr. Hellblaue Zellen füllen Sie aus, die anderen rechnen selbst.</t>
  </si>
  <si>
    <t>So geht's</t>
  </si>
  <si>
    <t>1. Blatt „Einstellungen“: Team, Jahr und Bundesland eintragen und die Schichten prüfen: Kürzel, Art, Beginn, Ende, Pause, Mindestbesetzung. Früh-, Spät- und Nachtschicht sind vorbelegt; eigene in den freien Zeilen ergänzen.</t>
  </si>
  <si>
    <t>2. Blatt „Mitarbeiter“: Namen, Wochenstunden laut Vertrag, Qualifikation und Urlaubsanspruch eintragen (bis zu 30 Personen).</t>
  </si>
  <si>
    <t>3. Im Monatsblatt je Person und Tag das Kürzel der Schicht wählen (F, S, N …), für Urlaub U, für Krank K, frei bleibt leer oder X.</t>
  </si>
  <si>
    <t>4. Rechts stehen je Person geplante Stunden, Soll laut Vertrag und die Differenz; unten die Besetzung je Schicht und Tag. „Unterbesetzt“ nennt die Schichten unter der Mindestbesetzung.</t>
  </si>
  <si>
    <t>5. Rot markiert: weniger als 11 Stunden Ruhezeit zwischen zwei Schichten (§ 5 ArbZG), z. B. Spätschicht und am nächsten Morgen Frühschicht, auch über den Monatswechsel.</t>
  </si>
  <si>
    <t>6. Zum Aushängen: Blatt „Wochenplan“, Montag der Woche eintragen, drucken. Oder das Monatsblatt drucken (A4 quer, eine Seite).</t>
  </si>
  <si>
    <t>Wechselschicht: Im Blatt „Mitarbeiter“ einen Rhythmus eintragen (Kürzel mit Leerzeichen, „-“ für frei, z. B. „F F S S N N - - - -“) und ab wann er gilt. Das Blatt „Schichtrhythmus“ zeigt den Monat genau in der Form des Monatsblatts: B6 bis AF35 markieren, kopieren und im Monatsblatt in B6 mit „Inhalte einfügen → Werte“ einfügen. Danach einzelne Tage ändern.</t>
  </si>
  <si>
    <t>Soll und Stunden</t>
  </si>
  <si>
    <t>Soll des Monats = Wochenstunden ÷ 5 × Arbeitstage (Montag bis Freitag ohne Feiertage). Geplant = die Arbeitszeit der Schichten (Beginn bis Ende, ohne Pause) plus Urlaub, Krank und bezahlte Abwesenheit mit Wochenstunden ÷ 5 je Arbeitstag. Urlaub und Krank an Wochenenden und Feiertagen zählen nicht.</t>
  </si>
  <si>
    <t>Was die Datei prüft</t>
  </si>
  <si>
    <t>Ruhezeit unter 11 Stunden zwischen zwei Schichten (§ 5 ArbZG); Schichten über 10 Stunden und zu kurze Pausen in der Schichtdefinition (§ 3, § 4 ArbZG); Besetzung unter dem Minimum; Kürzel, die es nicht gibt. Nicht geprüft: Ausnahmen aus Tarifverträgen, der Ausgleich auf 8 Stunden im Schnitt, Sonn- und Feiertagsruhe (§ 9 bis § 11 ArbZG), Jugendliche. Die Hinweise sind eine Hilfe, keine Rechtsprüfung.</t>
  </si>
  <si>
    <t>Die Blätter sind ohne Passwort geschützt, damit keine Formel versehentlich überschrieben wird (Überprüfen → Blattschutz aufheben). Die Datei enthält keine Makros.</t>
  </si>
  <si>
    <t>Einsatzplanung mit Fahrzeiten und Qualifikationen für Servicetechniker: dispatchping.com</t>
  </si>
  <si>
    <t>Einstellungen</t>
  </si>
  <si>
    <t>Team oder Betrieb</t>
  </si>
  <si>
    <t>Steht über jedem Plan.</t>
  </si>
  <si>
    <t>Jahr</t>
  </si>
  <si>
    <t>Ein anderes Jahr eintragen: Kalender und Feiertage stellen sich um.</t>
  </si>
  <si>
    <t>Bundesland</t>
  </si>
  <si>
    <t>Bestimmt die Feiertage (Arbeitsort).</t>
  </si>
  <si>
    <t>Schichten</t>
  </si>
  <si>
    <t>Kürzel</t>
  </si>
  <si>
    <t>Bezeichnung</t>
  </si>
  <si>
    <t>Art</t>
  </si>
  <si>
    <t>Beginn</t>
  </si>
  <si>
    <t>Ende</t>
  </si>
  <si>
    <t>Pause (Min.)</t>
  </si>
  <si>
    <t>Arbeitszeit</t>
  </si>
  <si>
    <t>Mindestbesetzung Mo–Fr</t>
  </si>
  <si>
    <t>Mindestbesetzung Sa, So, Feiertag</t>
  </si>
  <si>
    <t>Hinweis</t>
  </si>
  <si>
    <t>F</t>
  </si>
  <si>
    <t>Frühschicht</t>
  </si>
  <si>
    <t>Arbeit</t>
  </si>
  <si>
    <t>S</t>
  </si>
  <si>
    <t>Spätschicht</t>
  </si>
  <si>
    <t>N</t>
  </si>
  <si>
    <t>Nachtschicht</t>
  </si>
  <si>
    <t>T</t>
  </si>
  <si>
    <t>Tagdienst</t>
  </si>
  <si>
    <t>U</t>
  </si>
  <si>
    <t>Urlaub</t>
  </si>
  <si>
    <t>K</t>
  </si>
  <si>
    <t>Krank</t>
  </si>
  <si>
    <t>FZ</t>
  </si>
  <si>
    <t>Freizeitausgleich</t>
  </si>
  <si>
    <t>Frei</t>
  </si>
  <si>
    <t>X</t>
  </si>
  <si>
    <t>Die Farbe der Zeile ist die Farbe der Schicht im Plan. Kürzel ohne Art und leere Zeilen zählen nicht.</t>
  </si>
  <si>
    <t>Mitarbeiter</t>
  </si>
  <si>
    <t>Die Reihenfolge hier ist die Reihenfolge in allen Plänen. Wochenstunden als Zahl, z. B. 40 oder 32,5.</t>
  </si>
  <si>
    <t>Name</t>
  </si>
  <si>
    <t>Wochenstunden</t>
  </si>
  <si>
    <t>Qualifikation / Bereich</t>
  </si>
  <si>
    <t>Urlaubsanspruch (Tage)</t>
  </si>
  <si>
    <t>Schichtrhythmus (optional)</t>
  </si>
  <si>
    <t>Rhythmus ab</t>
  </si>
  <si>
    <t>Geplant</t>
  </si>
  <si>
    <t>Soll</t>
  </si>
  <si>
    <t>Differenz</t>
  </si>
  <si>
    <t>Besetzung</t>
  </si>
  <si>
    <t>Unterbesetzt</t>
  </si>
  <si>
    <t>Stand / Änderungen:</t>
  </si>
  <si>
    <t>Freigegeben (Datum, Unterschrift):</t>
  </si>
  <si>
    <t>Woche ab Montag:</t>
  </si>
  <si>
    <t>Stunden</t>
  </si>
  <si>
    <t>Monat (1–12):</t>
  </si>
  <si>
    <t>Den Rhythmus legen Sie im Blatt „Mitarbeiter“ fest. Zum Übernehmen B6 bis AF35 kopieren und im Monatsblatt in B6 mit „Inhalte einfügen → Werte“ einfügen.</t>
  </si>
  <si>
    <t>Differenz je Monat in Stunden (dezimal): geplant minus Soll.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</si>
  <si>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</si>
  <si>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</si>
  <si>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</si>
  <si>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</si>
  <si>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</si>
  <si>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</si>
  <si>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</si>
  <si>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</si>
  <si>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</si>
  <si>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</si>
  <si>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</si>
  <si>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</si>
  <si>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Urlaub geplant</t>
  </si>
  <si>
    <t>Urlaubsanspruch</t>
  </si>
  <si>
    <t>Resturlaub</t>
  </si>
  <si>
    <t>„Anpassen“: ja oder nein überschreibt die Vorgabe für das Bundesland (z. B. für einen örtlichen Feiertag). Leer: Vorgabe.</t>
  </si>
  <si>
    <t>Feiertag</t>
  </si>
  <si>
    <t>Datum</t>
  </si>
  <si>
    <t>Tag</t>
  </si>
  <si>
    <t>Gilt in</t>
  </si>
  <si>
    <t>Vorgabe</t>
  </si>
  <si>
    <t>Anpassen</t>
  </si>
  <si>
    <t>Gilt</t>
  </si>
  <si>
    <t>Neujahr</t>
  </si>
  <si>
    <t>alle</t>
  </si>
  <si>
    <t/>
  </si>
  <si>
    <t>Heilige Drei Könige</t>
  </si>
  <si>
    <t>BW,BY,ST</t>
  </si>
  <si>
    <t>Internationaler Frauentag</t>
  </si>
  <si>
    <t>BE,MV</t>
  </si>
  <si>
    <t>Karfreitag</t>
  </si>
  <si>
    <t>Ostersonntag</t>
  </si>
  <si>
    <t>BB</t>
  </si>
  <si>
    <t>Ostermontag</t>
  </si>
  <si>
    <t>Tag der Arbeit</t>
  </si>
  <si>
    <t>Christi Himmelfahrt</t>
  </si>
  <si>
    <t>Pfingstsonntag</t>
  </si>
  <si>
    <t>Pfingstmontag</t>
  </si>
  <si>
    <t>Fronleichnam</t>
  </si>
  <si>
    <t>BW,BY,HE,NW,RP,SL</t>
  </si>
  <si>
    <t>In Sachsen und Thüringen nur in einzelnen Gemeinden: dort auf „ja“ stellen.</t>
  </si>
  <si>
    <t>Augsburger Friedensfest</t>
  </si>
  <si>
    <t>nur örtlich</t>
  </si>
  <si>
    <t>Nur im Stadtgebiet Augsburg: dort auf „ja“ stellen.</t>
  </si>
  <si>
    <t>Mariä Himmelfahrt</t>
  </si>
  <si>
    <t>BY,SL</t>
  </si>
  <si>
    <t>In Bayern nur in Gemeinden mit überwiegend katholischer Bevölkerung (rund 1.700 von 2.050): sonst auf „nein“ stellen.</t>
  </si>
  <si>
    <t>Weltkindertag</t>
  </si>
  <si>
    <t>TH</t>
  </si>
  <si>
    <t>Tag der Deutschen Einheit</t>
  </si>
  <si>
    <t>Reformationstag</t>
  </si>
  <si>
    <t>BB,HB,HH,MV,NI,SN,ST,SH,TH</t>
  </si>
  <si>
    <t>Allerheiligen</t>
  </si>
  <si>
    <t>BW,BY,NW,RP,SL</t>
  </si>
  <si>
    <t>Buß- und Bettag</t>
  </si>
  <si>
    <t>SN</t>
  </si>
  <si>
    <t>1. Weihnachtstag</t>
  </si>
  <si>
    <t>2. Weihnachtstag</t>
  </si>
  <si>
    <t>eigener Feiertag</t>
  </si>
  <si>
    <t>Ostern (Gauß)</t>
  </si>
  <si>
    <t>a</t>
  </si>
  <si>
    <t>Baden-Württemberg</t>
  </si>
  <si>
    <t>BW</t>
  </si>
  <si>
    <t>b</t>
  </si>
  <si>
    <t>Bayern</t>
  </si>
  <si>
    <t>BY</t>
  </si>
  <si>
    <t>c</t>
  </si>
  <si>
    <t>Berlin</t>
  </si>
  <si>
    <t>BE</t>
  </si>
  <si>
    <t>d</t>
  </si>
  <si>
    <t>Brandenburg</t>
  </si>
  <si>
    <t>e</t>
  </si>
  <si>
    <t>Bremen</t>
  </si>
  <si>
    <t>HB</t>
  </si>
  <si>
    <t>f</t>
  </si>
  <si>
    <t>Hamburg</t>
  </si>
  <si>
    <t>HH</t>
  </si>
  <si>
    <t>g</t>
  </si>
  <si>
    <t>Hessen</t>
  </si>
  <si>
    <t>HE</t>
  </si>
  <si>
    <t>h</t>
  </si>
  <si>
    <t>Mecklenburg-Vorpommern</t>
  </si>
  <si>
    <t>MV</t>
  </si>
  <si>
    <t>i</t>
  </si>
  <si>
    <t>Niedersachsen</t>
  </si>
  <si>
    <t>NI</t>
  </si>
  <si>
    <t>k</t>
  </si>
  <si>
    <t>Nordrhein-Westfalen</t>
  </si>
  <si>
    <t>NW</t>
  </si>
  <si>
    <t>l</t>
  </si>
  <si>
    <t>Rheinland-Pfalz</t>
  </si>
  <si>
    <t>RP</t>
  </si>
  <si>
    <t>m</t>
  </si>
  <si>
    <t>Saarland</t>
  </si>
  <si>
    <t>SL</t>
  </si>
  <si>
    <t>Monat</t>
  </si>
  <si>
    <t>Sachsen</t>
  </si>
  <si>
    <t>Sachsen-Anhalt</t>
  </si>
  <si>
    <t>ST</t>
  </si>
  <si>
    <t>Schleswig-Holstein</t>
  </si>
  <si>
    <t>SH</t>
  </si>
  <si>
    <t>Thüringen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</si>
</sst>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hh:mm"/>
    <numFmt numFmtId="165" formatCode="[h]:mm;;"/>
    <numFmt numFmtId="166" formatCode="0.0#"/>
    <numFmt numFmtId="167" formatCode="0.0"/>
    <numFmt numFmtId="168" formatCode="dd.mm.yyyy"/>
    <numFmt numFmtId="169" formatCode="d"/>
    <numFmt numFmtId="170" formatCode="[h]:mm"/>
    <numFmt numFmtId="171" formatCode="0;;"/>
    <numFmt numFmtId="172" formatCode="&quot;ja&quot;;;&quot;nein&quot;"/>
  </numFmts>
  <fonts count="18" x14ac:knownFonts="1">
    <font>
      <color theme="1"/>
      <family val="2"/>
      <scheme val="minor"/>
      <sz val="11"/>
      <name val="Calibri"/>
    </font>
    <font>
      <sz val="10"/>
      <name val="Calibri"/>
    </font>
    <font>
      <b/>
      <color rgb="FF1F2933"/>
      <sz val="16"/>
      <name val="Calibri"/>
    </font>
    <font>
      <color rgb="FF1F2933"/>
      <sz val="10"/>
      <name val="Calibri"/>
    </font>
    <font>
      <b/>
      <color rgb="FF1F2933"/>
      <sz val="11"/>
      <name val="Calibri"/>
    </font>
    <font>
      <b/>
      <color rgb="FF1F2933"/>
      <sz val="14"/>
      <name val="Calibri"/>
    </font>
    <font>
      <color rgb="FF616E7C"/>
      <sz val="9"/>
      <name val="Calibri"/>
    </font>
    <font>
      <b/>
      <color rgb="FF1F2933"/>
      <sz val="9"/>
      <name val="Calibri"/>
    </font>
    <font>
      <b/>
      <color rgb="FFB42318"/>
      <sz val="9"/>
      <name val="Calibri"/>
    </font>
    <font>
      <color rgb="FF1F2933"/>
      <sz val="9"/>
      <name val="Calibri"/>
    </font>
    <font>
      <color rgb="FF616E7C"/>
      <sz val="8"/>
      <name val="Calibri"/>
    </font>
    <font>
      <b/>
      <color rgb="FFB42318"/>
      <sz val="8"/>
      <name val="Calibri"/>
    </font>
    <font>
      <color rgb="FF1F2933"/>
      <sz val="8"/>
      <name val="Calibri"/>
    </font>
    <font>
      <b/>
      <color rgb="FFB42318"/>
      <sz val="7"/>
      <name val="Calibri"/>
    </font>
    <font>
      <sz val="9"/>
      <name val="Calibri"/>
    </font>
    <font>
      <b/>
      <sz val="9"/>
      <name val="Calibri"/>
    </font>
    <font>
      <sz val="8"/>
      <name val="Calibri"/>
    </font>
    <font>
      <b/>
      <sz val="10"/>
      <name val="Calibri"/>
    </font>
  </fonts>
  <fills count="16">
    <fill>
      <patternFill patternType="none"/>
    </fill>
    <fill>
      <patternFill patternType="gray125"/>
    </fill>
    <fill>
      <patternFill patternType="solid">
        <fgColor rgb="FFF4F8FD"/>
      </patternFill>
    </fill>
    <fill>
      <patternFill patternType="solid">
        <fgColor rgb="FFEEF1F4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DDE3F5"/>
      </patternFill>
    </fill>
    <fill>
      <patternFill patternType="solid">
        <fgColor rgb="FFE2EFDA"/>
      </patternFill>
    </fill>
    <fill>
      <patternFill patternType="solid">
        <fgColor rgb="FFD9F2EF"/>
      </patternFill>
    </fill>
    <fill>
      <patternFill patternType="solid">
        <fgColor rgb="FFF8D7DA"/>
      </patternFill>
    </fill>
    <fill>
      <patternFill patternType="solid">
        <fgColor rgb="FFEDE4F5"/>
      </patternFill>
    </fill>
    <fill>
      <patternFill patternType="solid">
        <fgColor rgb="FFEFEFEF"/>
      </patternFill>
    </fill>
    <fill>
      <patternFill patternType="solid">
        <fgColor rgb="FFFFF9DB"/>
      </patternFill>
    </fill>
    <fill>
      <patternFill patternType="solid">
        <fgColor rgb="FFE7F5FF"/>
      </patternFill>
    </fill>
    <fill>
      <patternFill patternType="solid">
        <fgColor rgb="FFF3E8DC"/>
      </patternFill>
    </fill>
    <fill>
      <patternFill patternType="solid">
        <fgColor rgb="FFE9F7EF"/>
      </patternFill>
    </fill>
  </fills>
  <borders count="3">
    <border>
      <left/>
      <right/>
      <top/>
      <bottom/>
      <diagonal/>
    </border>
    <border>
      <left style="thin">
        <color rgb="FFD3D8DE"/>
      </left>
      <right style="thin">
        <color rgb="FFD3D8DE"/>
      </right>
      <top style="thin">
        <color rgb="FFD3D8DE"/>
      </top>
      <bottom style="thin">
        <color rgb="FFD3D8DE"/>
      </bottom>
      <diagonal/>
    </border>
    <border>
      <left/>
      <right/>
      <top/>
      <bottom style="thin">
        <color rgb="FF1F2933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1" fillId="2" borderId="1" xfId="0" applyFont="1" applyFill="1" applyBorder="1" applyProtection="1">
      <protection locked="0"/>
    </xf>
    <xf numFmtId="0" fontId="6" fillId="0" borderId="0" xfId="0" applyFont="1"/>
    <xf numFmtId="1" fontId="1" fillId="2" borderId="1" xfId="0" applyNumberFormat="1" applyFont="1" applyFill="1" applyBorder="1" applyProtection="1">
      <protection locked="0"/>
    </xf>
    <xf numFmtId="0" fontId="4" fillId="0" borderId="0" xfId="0" applyFont="1"/>
    <xf numFmtId="0" fontId="7" fillId="3" borderId="1" xfId="0" applyFont="1" applyFill="1" applyBorder="1" applyAlignment="1">
      <alignment vertical="center" wrapText="1"/>
    </xf>
    <xf numFmtId="0" fontId="1" fillId="4" borderId="1" xfId="0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5" fontId="1" fillId="0" borderId="1" xfId="0" applyNumberFormat="1" applyFont="1" applyBorder="1"/>
    <xf numFmtId="0" fontId="8" fillId="0" borderId="0" xfId="0" applyFont="1"/>
    <xf numFmtId="0" fontId="1" fillId="5" borderId="1" xfId="0" applyFont="1" applyFill="1" applyBorder="1" applyProtection="1">
      <protection locked="0"/>
    </xf>
    <xf numFmtId="0" fontId="1" fillId="6" borderId="1" xfId="0" applyFont="1" applyFill="1" applyBorder="1" applyProtection="1">
      <protection locked="0"/>
    </xf>
    <xf numFmtId="0" fontId="1" fillId="7" borderId="1" xfId="0" applyFont="1" applyFill="1" applyBorder="1" applyProtection="1">
      <protection locked="0"/>
    </xf>
    <xf numFmtId="0" fontId="1" fillId="8" borderId="1" xfId="0" applyFont="1" applyFill="1" applyBorder="1" applyProtection="1">
      <protection locked="0"/>
    </xf>
    <xf numFmtId="0" fontId="1" fillId="9" borderId="1" xfId="0" applyFont="1" applyFill="1" applyBorder="1" applyProtection="1">
      <protection locked="0"/>
    </xf>
    <xf numFmtId="0" fontId="1" fillId="10" borderId="1" xfId="0" applyFont="1" applyFill="1" applyBorder="1" applyProtection="1">
      <protection locked="0"/>
    </xf>
    <xf numFmtId="0" fontId="1" fillId="11" borderId="1" xfId="0" applyFont="1" applyFill="1" applyBorder="1" applyProtection="1">
      <protection locked="0"/>
    </xf>
    <xf numFmtId="0" fontId="1" fillId="12" borderId="1" xfId="0" applyFont="1" applyFill="1" applyBorder="1" applyProtection="1">
      <protection locked="0"/>
    </xf>
    <xf numFmtId="0" fontId="1" fillId="13" borderId="1" xfId="0" applyFont="1" applyFill="1" applyBorder="1" applyProtection="1">
      <protection locked="0"/>
    </xf>
    <xf numFmtId="0" fontId="1" fillId="14" borderId="1" xfId="0" applyFont="1" applyFill="1" applyBorder="1" applyProtection="1">
      <protection locked="0"/>
    </xf>
    <xf numFmtId="0" fontId="1" fillId="15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167" fontId="0" fillId="2" borderId="1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9" fillId="0" borderId="0" xfId="0" applyFont="1"/>
    <xf numFmtId="0" fontId="10" fillId="0" borderId="0" xfId="0" applyFont="1" applyAlignment="1">
      <alignment horizontal="center"/>
    </xf>
    <xf numFmtId="169" fontId="7" fillId="3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7" fillId="2" borderId="1" xfId="0" applyFont="1" applyFill="1" applyBorder="1" applyAlignment="1" applyProtection="1">
      <alignment horizontal="center"/>
      <protection locked="0"/>
    </xf>
    <xf numFmtId="170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0" fontId="7" fillId="0" borderId="0" xfId="0" applyFont="1"/>
    <xf numFmtId="0" fontId="10" fillId="0" borderId="0" xfId="0" applyFont="1"/>
    <xf numFmtId="171" fontId="12" fillId="0" borderId="0" xfId="0" applyNumberFormat="1" applyFont="1" applyAlignment="1">
      <alignment horizontal="center"/>
    </xf>
    <xf numFmtId="0" fontId="11" fillId="0" borderId="0" xfId="0" applyFont="1" applyAlignment="1">
      <alignment vertical="top"/>
    </xf>
    <xf numFmtId="0" fontId="13" fillId="0" borderId="0" xfId="0" applyFont="1" applyAlignment="1">
      <alignment horizontal="center" vertical="top" wrapText="1"/>
    </xf>
    <xf numFmtId="0" fontId="1" fillId="0" borderId="2" xfId="0" applyFont="1" applyBorder="1"/>
    <xf numFmtId="0" fontId="3" fillId="0" borderId="0" xfId="0" applyFont="1"/>
    <xf numFmtId="168" fontId="1" fillId="2" borderId="1" xfId="0" applyNumberFormat="1" applyFont="1" applyFill="1" applyBorder="1" applyProtection="1">
      <protection locked="0"/>
    </xf>
    <xf numFmtId="168" fontId="1" fillId="0" borderId="0" xfId="0" applyNumberFormat="1" applyFont="1"/>
    <xf numFmtId="0" fontId="7" fillId="3" borderId="1" xfId="0" applyFont="1" applyFill="1" applyBorder="1" applyAlignment="1">
      <alignment horizontal="center"/>
    </xf>
    <xf numFmtId="0" fontId="14" fillId="0" borderId="1" xfId="0" applyFont="1" applyBorder="1"/>
    <xf numFmtId="0" fontId="15" fillId="0" borderId="1" xfId="0" applyFont="1" applyBorder="1" applyAlignment="1">
      <alignment horizontal="center" vertical="center"/>
    </xf>
    <xf numFmtId="170" fontId="1" fillId="0" borderId="1" xfId="0" applyNumberFormat="1" applyFont="1" applyBorder="1" applyAlignment="1">
      <alignment horizontal="right"/>
    </xf>
    <xf numFmtId="0" fontId="15" fillId="0" borderId="0" xfId="0" applyFont="1"/>
    <xf numFmtId="171" fontId="16" fillId="0" borderId="0" xfId="0" applyNumberFormat="1" applyFont="1" applyAlignment="1">
      <alignment horizontal="center"/>
    </xf>
    <xf numFmtId="0" fontId="15" fillId="0" borderId="1" xfId="0" applyFont="1" applyBorder="1" applyAlignment="1">
      <alignment horizontal="center"/>
    </xf>
    <xf numFmtId="0" fontId="11" fillId="0" borderId="0" xfId="0" applyFont="1"/>
    <xf numFmtId="2" fontId="14" fillId="0" borderId="1" xfId="0" applyNumberFormat="1" applyFont="1" applyBorder="1" applyAlignment="1">
      <alignment horizontal="right"/>
    </xf>
    <xf numFmtId="170" fontId="14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1" fontId="14" fillId="0" borderId="1" xfId="0" applyNumberFormat="1" applyFont="1" applyBorder="1" applyAlignment="1">
      <alignment horizontal="right"/>
    </xf>
    <xf numFmtId="167" fontId="14" fillId="0" borderId="1" xfId="0" applyNumberFormat="1" applyFont="1" applyBorder="1" applyAlignment="1">
      <alignment horizontal="right"/>
    </xf>
    <xf numFmtId="0" fontId="1" fillId="0" borderId="1" xfId="0" applyFont="1" applyBorder="1"/>
    <xf numFmtId="168" fontId="1" fillId="0" borderId="1" xfId="0" applyNumberFormat="1" applyFont="1" applyBorder="1"/>
    <xf numFmtId="172" fontId="1" fillId="0" borderId="1" xfId="0" applyNumberFormat="1" applyFont="1" applyBorder="1"/>
    <xf numFmtId="172" fontId="17" fillId="0" borderId="1" xfId="0" applyNumberFormat="1" applyFont="1" applyBorder="1"/>
  </cellXfs>
  <cellStyles count="1">
    <cellStyle name="Normal" xfId="0" builtinId="0"/>
  </cellStyles>
  <dxfs count="264">
    <dxf>
      <font>
        <color rgb="FFE5E7EB"/>
      </font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DDE3F5"/>
        </patternFill>
      </fill>
    </dxf>
    <dxf>
      <fill>
        <patternFill patternType="solid">
          <bgColor rgb="FFE2EFDA"/>
        </patternFill>
      </fill>
    </dxf>
    <dxf>
      <fill>
        <patternFill patternType="solid">
          <bgColor rgb="FFD9F2EF"/>
        </patternFill>
      </fill>
    </dxf>
    <dxf>
      <fill>
        <patternFill patternType="solid">
          <bgColor rgb="FFF8D7DA"/>
        </patternFill>
      </fill>
    </dxf>
    <dxf>
      <fill>
        <patternFill patternType="solid">
          <bgColor rgb="FFEDE4F5"/>
        </patternFill>
      </fill>
    </dxf>
    <dxf>
      <fill>
        <patternFill patternType="solid">
          <bgColor rgb="FFEFEFEF"/>
        </patternFill>
      </fill>
    </dxf>
    <dxf>
      <fill>
        <patternFill patternType="solid">
          <bgColor rgb="FFFFF9DB"/>
        </patternFill>
      </fill>
    </dxf>
    <dxf>
      <fill>
        <patternFill patternType="solid">
          <bgColor rgb="FFE7F5FF"/>
        </patternFill>
      </fill>
    </dxf>
    <dxf>
      <fill>
        <patternFill patternType="solid">
          <bgColor rgb="FFF3E8DC"/>
        </patternFill>
      </fill>
    </dxf>
    <dxf>
      <fill>
        <patternFill patternType="solid">
          <bgColor rgb="FFE9F7EF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color rgb="FFFFFFFF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ont>
        <color rgb="FFE5E7EB"/>
      </font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DDE3F5"/>
        </patternFill>
      </fill>
    </dxf>
    <dxf>
      <fill>
        <patternFill patternType="solid">
          <bgColor rgb="FFE2EFDA"/>
        </patternFill>
      </fill>
    </dxf>
    <dxf>
      <fill>
        <patternFill patternType="solid">
          <bgColor rgb="FFD9F2EF"/>
        </patternFill>
      </fill>
    </dxf>
    <dxf>
      <fill>
        <patternFill patternType="solid">
          <bgColor rgb="FFF8D7DA"/>
        </patternFill>
      </fill>
    </dxf>
    <dxf>
      <fill>
        <patternFill patternType="solid">
          <bgColor rgb="FFEDE4F5"/>
        </patternFill>
      </fill>
    </dxf>
    <dxf>
      <fill>
        <patternFill patternType="solid">
          <bgColor rgb="FFEFEFEF"/>
        </patternFill>
      </fill>
    </dxf>
    <dxf>
      <fill>
        <patternFill patternType="solid">
          <bgColor rgb="FFFFF9DB"/>
        </patternFill>
      </fill>
    </dxf>
    <dxf>
      <fill>
        <patternFill patternType="solid">
          <bgColor rgb="FFE7F5FF"/>
        </patternFill>
      </fill>
    </dxf>
    <dxf>
      <fill>
        <patternFill patternType="solid">
          <bgColor rgb="FFF3E8DC"/>
        </patternFill>
      </fill>
    </dxf>
    <dxf>
      <fill>
        <patternFill patternType="solid">
          <bgColor rgb="FFE9F7EF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color rgb="FFFFFFFF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ont>
        <color rgb="FFE5E7EB"/>
      </font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DDE3F5"/>
        </patternFill>
      </fill>
    </dxf>
    <dxf>
      <fill>
        <patternFill patternType="solid">
          <bgColor rgb="FFE2EFDA"/>
        </patternFill>
      </fill>
    </dxf>
    <dxf>
      <fill>
        <patternFill patternType="solid">
          <bgColor rgb="FFD9F2EF"/>
        </patternFill>
      </fill>
    </dxf>
    <dxf>
      <fill>
        <patternFill patternType="solid">
          <bgColor rgb="FFF8D7DA"/>
        </patternFill>
      </fill>
    </dxf>
    <dxf>
      <fill>
        <patternFill patternType="solid">
          <bgColor rgb="FFEDE4F5"/>
        </patternFill>
      </fill>
    </dxf>
    <dxf>
      <fill>
        <patternFill patternType="solid">
          <bgColor rgb="FFEFEFEF"/>
        </patternFill>
      </fill>
    </dxf>
    <dxf>
      <fill>
        <patternFill patternType="solid">
          <bgColor rgb="FFFFF9DB"/>
        </patternFill>
      </fill>
    </dxf>
    <dxf>
      <fill>
        <patternFill patternType="solid">
          <bgColor rgb="FFE7F5FF"/>
        </patternFill>
      </fill>
    </dxf>
    <dxf>
      <fill>
        <patternFill patternType="solid">
          <bgColor rgb="FFF3E8DC"/>
        </patternFill>
      </fill>
    </dxf>
    <dxf>
      <fill>
        <patternFill patternType="solid">
          <bgColor rgb="FFE9F7EF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color rgb="FFFFFFFF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ont>
        <color rgb="FFE5E7EB"/>
      </font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DDE3F5"/>
        </patternFill>
      </fill>
    </dxf>
    <dxf>
      <fill>
        <patternFill patternType="solid">
          <bgColor rgb="FFE2EFDA"/>
        </patternFill>
      </fill>
    </dxf>
    <dxf>
      <fill>
        <patternFill patternType="solid">
          <bgColor rgb="FFD9F2EF"/>
        </patternFill>
      </fill>
    </dxf>
    <dxf>
      <fill>
        <patternFill patternType="solid">
          <bgColor rgb="FFF8D7DA"/>
        </patternFill>
      </fill>
    </dxf>
    <dxf>
      <fill>
        <patternFill patternType="solid">
          <bgColor rgb="FFEDE4F5"/>
        </patternFill>
      </fill>
    </dxf>
    <dxf>
      <fill>
        <patternFill patternType="solid">
          <bgColor rgb="FFEFEFEF"/>
        </patternFill>
      </fill>
    </dxf>
    <dxf>
      <fill>
        <patternFill patternType="solid">
          <bgColor rgb="FFFFF9DB"/>
        </patternFill>
      </fill>
    </dxf>
    <dxf>
      <fill>
        <patternFill patternType="solid">
          <bgColor rgb="FFE7F5FF"/>
        </patternFill>
      </fill>
    </dxf>
    <dxf>
      <fill>
        <patternFill patternType="solid">
          <bgColor rgb="FFF3E8DC"/>
        </patternFill>
      </fill>
    </dxf>
    <dxf>
      <fill>
        <patternFill patternType="solid">
          <bgColor rgb="FFE9F7EF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color rgb="FFFFFFFF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ont>
        <color rgb="FFE5E7EB"/>
      </font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DDE3F5"/>
        </patternFill>
      </fill>
    </dxf>
    <dxf>
      <fill>
        <patternFill patternType="solid">
          <bgColor rgb="FFE2EFDA"/>
        </patternFill>
      </fill>
    </dxf>
    <dxf>
      <fill>
        <patternFill patternType="solid">
          <bgColor rgb="FFD9F2EF"/>
        </patternFill>
      </fill>
    </dxf>
    <dxf>
      <fill>
        <patternFill patternType="solid">
          <bgColor rgb="FFF8D7DA"/>
        </patternFill>
      </fill>
    </dxf>
    <dxf>
      <fill>
        <patternFill patternType="solid">
          <bgColor rgb="FFEDE4F5"/>
        </patternFill>
      </fill>
    </dxf>
    <dxf>
      <fill>
        <patternFill patternType="solid">
          <bgColor rgb="FFEFEFEF"/>
        </patternFill>
      </fill>
    </dxf>
    <dxf>
      <fill>
        <patternFill patternType="solid">
          <bgColor rgb="FFFFF9DB"/>
        </patternFill>
      </fill>
    </dxf>
    <dxf>
      <fill>
        <patternFill patternType="solid">
          <bgColor rgb="FFE7F5FF"/>
        </patternFill>
      </fill>
    </dxf>
    <dxf>
      <fill>
        <patternFill patternType="solid">
          <bgColor rgb="FFF3E8DC"/>
        </patternFill>
      </fill>
    </dxf>
    <dxf>
      <fill>
        <patternFill patternType="solid">
          <bgColor rgb="FFE9F7EF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color rgb="FFFFFFFF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ont>
        <color rgb="FFE5E7EB"/>
      </font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DDE3F5"/>
        </patternFill>
      </fill>
    </dxf>
    <dxf>
      <fill>
        <patternFill patternType="solid">
          <bgColor rgb="FFE2EFDA"/>
        </patternFill>
      </fill>
    </dxf>
    <dxf>
      <fill>
        <patternFill patternType="solid">
          <bgColor rgb="FFD9F2EF"/>
        </patternFill>
      </fill>
    </dxf>
    <dxf>
      <fill>
        <patternFill patternType="solid">
          <bgColor rgb="FFF8D7DA"/>
        </patternFill>
      </fill>
    </dxf>
    <dxf>
      <fill>
        <patternFill patternType="solid">
          <bgColor rgb="FFEDE4F5"/>
        </patternFill>
      </fill>
    </dxf>
    <dxf>
      <fill>
        <patternFill patternType="solid">
          <bgColor rgb="FFEFEFEF"/>
        </patternFill>
      </fill>
    </dxf>
    <dxf>
      <fill>
        <patternFill patternType="solid">
          <bgColor rgb="FFFFF9DB"/>
        </patternFill>
      </fill>
    </dxf>
    <dxf>
      <fill>
        <patternFill patternType="solid">
          <bgColor rgb="FFE7F5FF"/>
        </patternFill>
      </fill>
    </dxf>
    <dxf>
      <fill>
        <patternFill patternType="solid">
          <bgColor rgb="FFF3E8DC"/>
        </patternFill>
      </fill>
    </dxf>
    <dxf>
      <fill>
        <patternFill patternType="solid">
          <bgColor rgb="FFE9F7EF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color rgb="FFFFFFFF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ont>
        <color rgb="FFE5E7EB"/>
      </font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DDE3F5"/>
        </patternFill>
      </fill>
    </dxf>
    <dxf>
      <fill>
        <patternFill patternType="solid">
          <bgColor rgb="FFE2EFDA"/>
        </patternFill>
      </fill>
    </dxf>
    <dxf>
      <fill>
        <patternFill patternType="solid">
          <bgColor rgb="FFD9F2EF"/>
        </patternFill>
      </fill>
    </dxf>
    <dxf>
      <fill>
        <patternFill patternType="solid">
          <bgColor rgb="FFF8D7DA"/>
        </patternFill>
      </fill>
    </dxf>
    <dxf>
      <fill>
        <patternFill patternType="solid">
          <bgColor rgb="FFEDE4F5"/>
        </patternFill>
      </fill>
    </dxf>
    <dxf>
      <fill>
        <patternFill patternType="solid">
          <bgColor rgb="FFEFEFEF"/>
        </patternFill>
      </fill>
    </dxf>
    <dxf>
      <fill>
        <patternFill patternType="solid">
          <bgColor rgb="FFFFF9DB"/>
        </patternFill>
      </fill>
    </dxf>
    <dxf>
      <fill>
        <patternFill patternType="solid">
          <bgColor rgb="FFE7F5FF"/>
        </patternFill>
      </fill>
    </dxf>
    <dxf>
      <fill>
        <patternFill patternType="solid">
          <bgColor rgb="FFF3E8DC"/>
        </patternFill>
      </fill>
    </dxf>
    <dxf>
      <fill>
        <patternFill patternType="solid">
          <bgColor rgb="FFE9F7EF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color rgb="FFFFFFFF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ont>
        <color rgb="FFE5E7EB"/>
      </font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DDE3F5"/>
        </patternFill>
      </fill>
    </dxf>
    <dxf>
      <fill>
        <patternFill patternType="solid">
          <bgColor rgb="FFE2EFDA"/>
        </patternFill>
      </fill>
    </dxf>
    <dxf>
      <fill>
        <patternFill patternType="solid">
          <bgColor rgb="FFD9F2EF"/>
        </patternFill>
      </fill>
    </dxf>
    <dxf>
      <fill>
        <patternFill patternType="solid">
          <bgColor rgb="FFF8D7DA"/>
        </patternFill>
      </fill>
    </dxf>
    <dxf>
      <fill>
        <patternFill patternType="solid">
          <bgColor rgb="FFEDE4F5"/>
        </patternFill>
      </fill>
    </dxf>
    <dxf>
      <fill>
        <patternFill patternType="solid">
          <bgColor rgb="FFEFEFEF"/>
        </patternFill>
      </fill>
    </dxf>
    <dxf>
      <fill>
        <patternFill patternType="solid">
          <bgColor rgb="FFFFF9DB"/>
        </patternFill>
      </fill>
    </dxf>
    <dxf>
      <fill>
        <patternFill patternType="solid">
          <bgColor rgb="FFE7F5FF"/>
        </patternFill>
      </fill>
    </dxf>
    <dxf>
      <fill>
        <patternFill patternType="solid">
          <bgColor rgb="FFF3E8DC"/>
        </patternFill>
      </fill>
    </dxf>
    <dxf>
      <fill>
        <patternFill patternType="solid">
          <bgColor rgb="FFE9F7EF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color rgb="FFFFFFFF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ont>
        <color rgb="FFE5E7EB"/>
      </font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DDE3F5"/>
        </patternFill>
      </fill>
    </dxf>
    <dxf>
      <fill>
        <patternFill patternType="solid">
          <bgColor rgb="FFE2EFDA"/>
        </patternFill>
      </fill>
    </dxf>
    <dxf>
      <fill>
        <patternFill patternType="solid">
          <bgColor rgb="FFD9F2EF"/>
        </patternFill>
      </fill>
    </dxf>
    <dxf>
      <fill>
        <patternFill patternType="solid">
          <bgColor rgb="FFF8D7DA"/>
        </patternFill>
      </fill>
    </dxf>
    <dxf>
      <fill>
        <patternFill patternType="solid">
          <bgColor rgb="FFEDE4F5"/>
        </patternFill>
      </fill>
    </dxf>
    <dxf>
      <fill>
        <patternFill patternType="solid">
          <bgColor rgb="FFEFEFEF"/>
        </patternFill>
      </fill>
    </dxf>
    <dxf>
      <fill>
        <patternFill patternType="solid">
          <bgColor rgb="FFFFF9DB"/>
        </patternFill>
      </fill>
    </dxf>
    <dxf>
      <fill>
        <patternFill patternType="solid">
          <bgColor rgb="FFE7F5FF"/>
        </patternFill>
      </fill>
    </dxf>
    <dxf>
      <fill>
        <patternFill patternType="solid">
          <bgColor rgb="FFF3E8DC"/>
        </patternFill>
      </fill>
    </dxf>
    <dxf>
      <fill>
        <patternFill patternType="solid">
          <bgColor rgb="FFE9F7EF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color rgb="FFFFFFFF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ont>
        <color rgb="FFE5E7EB"/>
      </font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DDE3F5"/>
        </patternFill>
      </fill>
    </dxf>
    <dxf>
      <fill>
        <patternFill patternType="solid">
          <bgColor rgb="FFE2EFDA"/>
        </patternFill>
      </fill>
    </dxf>
    <dxf>
      <fill>
        <patternFill patternType="solid">
          <bgColor rgb="FFD9F2EF"/>
        </patternFill>
      </fill>
    </dxf>
    <dxf>
      <fill>
        <patternFill patternType="solid">
          <bgColor rgb="FFF8D7DA"/>
        </patternFill>
      </fill>
    </dxf>
    <dxf>
      <fill>
        <patternFill patternType="solid">
          <bgColor rgb="FFEDE4F5"/>
        </patternFill>
      </fill>
    </dxf>
    <dxf>
      <fill>
        <patternFill patternType="solid">
          <bgColor rgb="FFEFEFEF"/>
        </patternFill>
      </fill>
    </dxf>
    <dxf>
      <fill>
        <patternFill patternType="solid">
          <bgColor rgb="FFFFF9DB"/>
        </patternFill>
      </fill>
    </dxf>
    <dxf>
      <fill>
        <patternFill patternType="solid">
          <bgColor rgb="FFE7F5FF"/>
        </patternFill>
      </fill>
    </dxf>
    <dxf>
      <fill>
        <patternFill patternType="solid">
          <bgColor rgb="FFF3E8DC"/>
        </patternFill>
      </fill>
    </dxf>
    <dxf>
      <fill>
        <patternFill patternType="solid">
          <bgColor rgb="FFE9F7EF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color rgb="FFFFFFFF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ont>
        <color rgb="FFE5E7EB"/>
      </font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DDE3F5"/>
        </patternFill>
      </fill>
    </dxf>
    <dxf>
      <fill>
        <patternFill patternType="solid">
          <bgColor rgb="FFE2EFDA"/>
        </patternFill>
      </fill>
    </dxf>
    <dxf>
      <fill>
        <patternFill patternType="solid">
          <bgColor rgb="FFD9F2EF"/>
        </patternFill>
      </fill>
    </dxf>
    <dxf>
      <fill>
        <patternFill patternType="solid">
          <bgColor rgb="FFF8D7DA"/>
        </patternFill>
      </fill>
    </dxf>
    <dxf>
      <fill>
        <patternFill patternType="solid">
          <bgColor rgb="FFEDE4F5"/>
        </patternFill>
      </fill>
    </dxf>
    <dxf>
      <fill>
        <patternFill patternType="solid">
          <bgColor rgb="FFEFEFEF"/>
        </patternFill>
      </fill>
    </dxf>
    <dxf>
      <fill>
        <patternFill patternType="solid">
          <bgColor rgb="FFFFF9DB"/>
        </patternFill>
      </fill>
    </dxf>
    <dxf>
      <fill>
        <patternFill patternType="solid">
          <bgColor rgb="FFE7F5FF"/>
        </patternFill>
      </fill>
    </dxf>
    <dxf>
      <fill>
        <patternFill patternType="solid">
          <bgColor rgb="FFF3E8DC"/>
        </patternFill>
      </fill>
    </dxf>
    <dxf>
      <fill>
        <patternFill patternType="solid">
          <bgColor rgb="FFE9F7EF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color rgb="FFFFFFFF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ont>
        <color rgb="FFE5E7EB"/>
      </font>
      <fill>
        <patternFill patternType="solid">
          <bgColor rgb="FFE5E7EB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DDE3F5"/>
        </patternFill>
      </fill>
    </dxf>
    <dxf>
      <fill>
        <patternFill patternType="solid">
          <bgColor rgb="FFE2EFDA"/>
        </patternFill>
      </fill>
    </dxf>
    <dxf>
      <fill>
        <patternFill patternType="solid">
          <bgColor rgb="FFD9F2EF"/>
        </patternFill>
      </fill>
    </dxf>
    <dxf>
      <fill>
        <patternFill patternType="solid">
          <bgColor rgb="FFF8D7DA"/>
        </patternFill>
      </fill>
    </dxf>
    <dxf>
      <fill>
        <patternFill patternType="solid">
          <bgColor rgb="FFEDE4F5"/>
        </patternFill>
      </fill>
    </dxf>
    <dxf>
      <fill>
        <patternFill patternType="solid">
          <bgColor rgb="FFEFEFEF"/>
        </patternFill>
      </fill>
    </dxf>
    <dxf>
      <fill>
        <patternFill patternType="solid">
          <bgColor rgb="FFFFF9DB"/>
        </patternFill>
      </fill>
    </dxf>
    <dxf>
      <fill>
        <patternFill patternType="solid">
          <bgColor rgb="FFE7F5FF"/>
        </patternFill>
      </fill>
    </dxf>
    <dxf>
      <fill>
        <patternFill patternType="solid">
          <bgColor rgb="FFF3E8DC"/>
        </patternFill>
      </fill>
    </dxf>
    <dxf>
      <fill>
        <patternFill patternType="solid">
          <bgColor rgb="FFE9F7EF"/>
        </patternFill>
      </fill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color rgb="FFFFFFFF"/>
      </font>
    </dxf>
    <dxf>
      <fill>
        <patternFill patternType="solid">
          <bgColor rgb="FFFDF3E1"/>
        </patternFill>
      </fill>
    </dxf>
    <dxf>
      <fill>
        <patternFill patternType="solid">
          <bgColor rgb="FFF3F4F6"/>
        </patternFill>
      </fill>
    </dxf>
    <dxf>
      <font>
        <b/>
        <color rgb="FFB42318"/>
      </font>
      <fill>
        <patternFill patternType="solid">
          <bgColor rgb="FFF8C9C4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DDE3F5"/>
        </patternFill>
      </fill>
    </dxf>
    <dxf>
      <fill>
        <patternFill patternType="solid">
          <bgColor rgb="FFE2EFDA"/>
        </patternFill>
      </fill>
    </dxf>
    <dxf>
      <fill>
        <patternFill patternType="solid">
          <bgColor rgb="FFD9F2EF"/>
        </patternFill>
      </fill>
    </dxf>
    <dxf>
      <fill>
        <patternFill patternType="solid">
          <bgColor rgb="FFF8D7DA"/>
        </patternFill>
      </fill>
    </dxf>
    <dxf>
      <fill>
        <patternFill patternType="solid">
          <bgColor rgb="FFEDE4F5"/>
        </patternFill>
      </fill>
    </dxf>
    <dxf>
      <fill>
        <patternFill patternType="solid">
          <bgColor rgb="FFEFEFEF"/>
        </patternFill>
      </fill>
    </dxf>
    <dxf>
      <fill>
        <patternFill patternType="solid">
          <bgColor rgb="FFFFF9DB"/>
        </patternFill>
      </fill>
    </dxf>
    <dxf>
      <fill>
        <patternFill patternType="solid">
          <bgColor rgb="FFE7F5FF"/>
        </patternFill>
      </fill>
    </dxf>
    <dxf>
      <fill>
        <patternFill patternType="solid">
          <bgColor rgb="FFF3E8DC"/>
        </patternFill>
      </fill>
    </dxf>
    <dxf>
      <fill>
        <patternFill patternType="solid">
          <bgColor rgb="FFE9F7EF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DDE3F5"/>
        </patternFill>
      </fill>
    </dxf>
    <dxf>
      <fill>
        <patternFill patternType="solid">
          <bgColor rgb="FFE2EFDA"/>
        </patternFill>
      </fill>
    </dxf>
    <dxf>
      <fill>
        <patternFill patternType="solid">
          <bgColor rgb="FFD9F2EF"/>
        </patternFill>
      </fill>
    </dxf>
    <dxf>
      <fill>
        <patternFill patternType="solid">
          <bgColor rgb="FFF8D7DA"/>
        </patternFill>
      </fill>
    </dxf>
    <dxf>
      <fill>
        <patternFill patternType="solid">
          <bgColor rgb="FFEDE4F5"/>
        </patternFill>
      </fill>
    </dxf>
    <dxf>
      <fill>
        <patternFill patternType="solid">
          <bgColor rgb="FFEFEFEF"/>
        </patternFill>
      </fill>
    </dxf>
    <dxf>
      <fill>
        <patternFill patternType="solid">
          <bgColor rgb="FFFFF9DB"/>
        </patternFill>
      </fill>
    </dxf>
    <dxf>
      <fill>
        <patternFill patternType="solid">
          <bgColor rgb="FFE7F5FF"/>
        </patternFill>
      </fill>
    </dxf>
    <dxf>
      <fill>
        <patternFill patternType="solid">
          <bgColor rgb="FFF3E8DC"/>
        </patternFill>
      </fill>
    </dxf>
    <dxf>
      <fill>
        <patternFill patternType="solid">
          <bgColor rgb="FFE9F7E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  <pageSetUpPr fitToPage="1"/>
  </sheetPr>
  <dimension ref="A2:B17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10" customWidth="1"/>
  </cols>
  <sheetData>
    <row r="2" spans="1:2" x14ac:dyDescent="0.25">
      <c r="A2" s="1"/>
      <c r="B2" s="2" t="s">
        <v>0</v>
      </c>
    </row>
    <row r="3" spans="1:2" x14ac:dyDescent="0.25">
      <c r="A3" s="1"/>
      <c r="B3" s="3" t="s">
        <v>1</v>
      </c>
    </row>
    <row r="4" ht="24" customHeight="1" spans="1:2" x14ac:dyDescent="0.25">
      <c r="A4" s="1"/>
      <c r="B4" s="4" t="s">
        <v>2</v>
      </c>
    </row>
    <row r="5" spans="1:2" x14ac:dyDescent="0.25">
      <c r="A5" s="1"/>
      <c r="B5" s="3" t="s">
        <v>3</v>
      </c>
    </row>
    <row r="6" spans="1:2" x14ac:dyDescent="0.25">
      <c r="A6" s="1"/>
      <c r="B6" s="3" t="s">
        <v>4</v>
      </c>
    </row>
    <row r="7" spans="1:2" x14ac:dyDescent="0.25">
      <c r="A7" s="1"/>
      <c r="B7" s="3" t="s">
        <v>5</v>
      </c>
    </row>
    <row r="8" spans="1:2" x14ac:dyDescent="0.25">
      <c r="A8" s="1"/>
      <c r="B8" s="3" t="s">
        <v>6</v>
      </c>
    </row>
    <row r="9" spans="1:2" x14ac:dyDescent="0.25">
      <c r="A9" s="1"/>
      <c r="B9" s="3" t="s">
        <v>7</v>
      </c>
    </row>
    <row r="10" spans="1:2" x14ac:dyDescent="0.25">
      <c r="A10" s="1"/>
      <c r="B10" s="3" t="s">
        <v>8</v>
      </c>
    </row>
    <row r="11" spans="1:2" x14ac:dyDescent="0.25">
      <c r="A11" s="1"/>
      <c r="B11" s="3" t="s">
        <v>9</v>
      </c>
    </row>
    <row r="12" ht="24" customHeight="1" spans="1:2" x14ac:dyDescent="0.25">
      <c r="A12" s="1"/>
      <c r="B12" s="4" t="s">
        <v>10</v>
      </c>
    </row>
    <row r="13" spans="1:2" x14ac:dyDescent="0.25">
      <c r="A13" s="1"/>
      <c r="B13" s="3" t="s">
        <v>11</v>
      </c>
    </row>
    <row r="14" ht="24" customHeight="1" spans="1:2" x14ac:dyDescent="0.25">
      <c r="A14" s="1"/>
      <c r="B14" s="4" t="s">
        <v>12</v>
      </c>
    </row>
    <row r="15" spans="1:2" x14ac:dyDescent="0.25">
      <c r="A15" s="1"/>
      <c r="B15" s="3" t="s">
        <v>13</v>
      </c>
    </row>
    <row r="16" spans="1:2" x14ac:dyDescent="0.25">
      <c r="A16" s="1"/>
      <c r="B16" s="3" t="s">
        <v>14</v>
      </c>
    </row>
    <row r="17" spans="1:2" x14ac:dyDescent="0.25">
      <c r="A17" s="1"/>
      <c r="B17" s="3" t="s">
        <v>15</v>
      </c>
    </row>
  </sheetData>
  <sheetProtection sheet="1" formatCells="0" formatColumns="0" formatRows="0"/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workbookViewId="0" showGridLines="0"/>
  </sheetViews>
  <sheetFormatPr defaultRowHeight="15" outlineLevelRow="0" outlineLevelCol="0" x14ac:dyDescent="55"/>
  <cols>
    <col min="1" max="1" width="10" customWidth="1"/>
    <col min="2" max="2" width="20" customWidth="1"/>
    <col min="3" max="3" width="18" customWidth="1"/>
    <col min="7" max="7" width="11" customWidth="1"/>
    <col min="8" max="8" width="13" customWidth="1"/>
    <col min="9" max="9" width="15" customWidth="1"/>
    <col min="10" max="10" width="40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</cols>
  <sheetData>
    <row r="1" spans="1:1" x14ac:dyDescent="0.25">
      <c r="A1" s="5" t="s">
        <v>16</v>
      </c>
    </row>
    <row r="3" spans="1:4" x14ac:dyDescent="0.25">
      <c r="A3" s="1" t="s">
        <v>17</v>
      </c>
      <c r="B3" s="1"/>
      <c r="C3" s="6"/>
      <c r="D3" s="7" t="s">
        <v>18</v>
      </c>
    </row>
    <row r="4" spans="1:4" x14ac:dyDescent="0.25">
      <c r="A4" s="1" t="s">
        <v>19</v>
      </c>
      <c r="B4" s="1"/>
      <c r="C4" s="8">
        <v>2026</v>
      </c>
      <c r="D4" s="7" t="s">
        <v>20</v>
      </c>
    </row>
    <row r="5" spans="1:4" x14ac:dyDescent="0.25">
      <c r="A5" s="1" t="s">
        <v>21</v>
      </c>
      <c r="B5" s="1"/>
      <c r="C5" s="6"/>
      <c r="D5" s="7" t="s">
        <v>22</v>
      </c>
    </row>
    <row r="7" spans="1:1" x14ac:dyDescent="0.25">
      <c r="A7" s="9" t="s">
        <v>23</v>
      </c>
    </row>
    <row r="8" ht="30" customHeight="1" spans="1:10" x14ac:dyDescent="0.25">
      <c r="A8" s="10" t="s">
        <v>24</v>
      </c>
      <c r="B8" s="10" t="s">
        <v>25</v>
      </c>
      <c r="C8" s="10" t="s">
        <v>26</v>
      </c>
      <c r="D8" s="10" t="s">
        <v>27</v>
      </c>
      <c r="E8" s="10" t="s">
        <v>28</v>
      </c>
      <c r="F8" s="10" t="s">
        <v>29</v>
      </c>
      <c r="G8" s="10" t="s">
        <v>30</v>
      </c>
      <c r="H8" s="10" t="s">
        <v>31</v>
      </c>
      <c r="I8" s="10" t="s">
        <v>32</v>
      </c>
      <c r="J8" s="10" t="s">
        <v>33</v>
      </c>
    </row>
    <row r="9" spans="1:15" x14ac:dyDescent="0.25">
      <c r="A9" s="11" t="s">
        <v>34</v>
      </c>
      <c r="B9" s="6" t="s">
        <v>35</v>
      </c>
      <c r="C9" s="6" t="s">
        <v>36</v>
      </c>
      <c r="D9" s="12">
        <v>0.25</v>
      </c>
      <c r="E9" s="12">
        <v>0.5833333333333334</v>
      </c>
      <c r="F9" s="8">
        <v>30</v>
      </c>
      <c r="G9" s="13">
        <f>IF(AND(C9="Arbeit",ISNUMBER(D9),ISNUMBER(E9)),ROUND((MOD(E9-D9,1)-N(F9)/1440)*1440,0)/1440,0)</f>
      </c>
      <c r="H9" s="6"/>
      <c r="I9" s="6"/>
      <c r="J9" s="14">
        <f>IF(A9="","",IF(COUNTIF($A$9:$A$20,A9)&gt;1,"Kürzel doppelt; ","")&amp;IF(AND(C9="Arbeit",OR(NOT(ISNUMBER(D9)),NOT(ISNUMBER(E9)))),"Beginn und Ende fehlen; ","")&amp;IF(AND(C9="Arbeit",ROUND(G9*1440,0)&gt;600),"über 10 Std. (§ 3 ArbZG); ","")&amp;IF(AND(C9="Arbeit",ROUND(G9*1440,0)&gt;360,ROUND(G9*1440,0)&lt;=540,N(F9)&lt;30),"Pause unter 30 Min. (§ 4 ArbZG); ","")&amp;IF(AND(C9="Arbeit",ROUND(G9*1440,0)&gt;540,N(F9)&lt;45),"Pause unter 45 Min. (§ 4 ArbZG); ","")&amp;IF(AND(A9&lt;&gt;"",C9=""),"Art fehlt; ",""))</f>
      </c>
      <c r="K9" s="1"/>
      <c r="L9" s="1">
        <f>IF(AND(ISNUMBER(D9),ISNUMBER(E9)),E9+IF(E9&lt;=D9,1,0),"")</f>
      </c>
      <c r="M9" s="1">
        <f>IF(AND(A9&lt;&gt;"",C9="Arbeit",N9=1),SUMPRODUCT(($C$9:C9="Arbeit")*($N$9:N9=1)),"")</f>
      </c>
      <c r="N9" s="1">
        <f>IF(A9="",0,IF(COUNTIF($A$9:A9,A9)=1,1,0))</f>
      </c>
      <c r="O9" s="1">
        <f>IF(AND(A9&lt;&gt;"",C9="Arbeit",N9=1,ISNUMBER(D9),ISNUMBER(E9)),A9&amp;" "&amp;TEXT(D9,"hh:mm")&amp;"–"&amp;TEXT(E9,"hh:mm")&amp;" · ","")</f>
      </c>
    </row>
    <row r="10" spans="1:15" x14ac:dyDescent="0.25">
      <c r="A10" s="15" t="s">
        <v>37</v>
      </c>
      <c r="B10" s="6" t="s">
        <v>38</v>
      </c>
      <c r="C10" s="6" t="s">
        <v>36</v>
      </c>
      <c r="D10" s="12">
        <v>0.5833333333333334</v>
      </c>
      <c r="E10" s="12">
        <v>0.9166666666666666</v>
      </c>
      <c r="F10" s="8">
        <v>30</v>
      </c>
      <c r="G10" s="13">
        <f>IF(AND(C10="Arbeit",ISNUMBER(D10),ISNUMBER(E10)),ROUND((MOD(E10-D10,1)-N(F10)/1440)*1440,0)/1440,0)</f>
      </c>
      <c r="H10" s="6"/>
      <c r="I10" s="6"/>
      <c r="J10" s="14">
        <f>IF(A10="","",IF(COUNTIF($A$9:$A$20,A10)&gt;1,"Kürzel doppelt; ","")&amp;IF(AND(C10="Arbeit",OR(NOT(ISNUMBER(D10)),NOT(ISNUMBER(E10)))),"Beginn und Ende fehlen; ","")&amp;IF(AND(C10="Arbeit",ROUND(G10*1440,0)&gt;600),"über 10 Std. (§ 3 ArbZG); ","")&amp;IF(AND(C10="Arbeit",ROUND(G10*1440,0)&gt;360,ROUND(G10*1440,0)&lt;=540,N(F10)&lt;30),"Pause unter 30 Min. (§ 4 ArbZG); ","")&amp;IF(AND(C10="Arbeit",ROUND(G10*1440,0)&gt;540,N(F10)&lt;45),"Pause unter 45 Min. (§ 4 ArbZG); ","")&amp;IF(AND(A10&lt;&gt;"",C10=""),"Art fehlt; ",""))</f>
      </c>
      <c r="K10" s="1"/>
      <c r="L10" s="1">
        <f>IF(AND(ISNUMBER(D10),ISNUMBER(E10)),E10+IF(E10&lt;=D10,1,0),"")</f>
      </c>
      <c r="M10" s="1">
        <f>IF(AND(A10&lt;&gt;"",C10="Arbeit",N10=1),SUMPRODUCT(($C$9:C10="Arbeit")*($N$9:N10=1)),"")</f>
      </c>
      <c r="N10" s="1">
        <f>IF(A10="",0,IF(COUNTIF($A$9:A10,A10)=1,1,0))</f>
      </c>
      <c r="O10" s="1">
        <f>IF(AND(A10&lt;&gt;"",C10="Arbeit",N10=1,ISNUMBER(D10),ISNUMBER(E10)),A10&amp;" "&amp;TEXT(D10,"hh:mm")&amp;"–"&amp;TEXT(E10,"hh:mm")&amp;" · ","")</f>
      </c>
    </row>
    <row r="11" spans="1:15" x14ac:dyDescent="0.25">
      <c r="A11" s="16" t="s">
        <v>39</v>
      </c>
      <c r="B11" s="6" t="s">
        <v>40</v>
      </c>
      <c r="C11" s="6" t="s">
        <v>36</v>
      </c>
      <c r="D11" s="12">
        <v>0.9166666666666666</v>
      </c>
      <c r="E11" s="12">
        <v>0.25</v>
      </c>
      <c r="F11" s="8">
        <v>30</v>
      </c>
      <c r="G11" s="13">
        <f>IF(AND(C11="Arbeit",ISNUMBER(D11),ISNUMBER(E11)),ROUND((MOD(E11-D11,1)-N(F11)/1440)*1440,0)/1440,0)</f>
      </c>
      <c r="H11" s="6"/>
      <c r="I11" s="6"/>
      <c r="J11" s="14">
        <f>IF(A11="","",IF(COUNTIF($A$9:$A$20,A11)&gt;1,"Kürzel doppelt; ","")&amp;IF(AND(C11="Arbeit",OR(NOT(ISNUMBER(D11)),NOT(ISNUMBER(E11)))),"Beginn und Ende fehlen; ","")&amp;IF(AND(C11="Arbeit",ROUND(G11*1440,0)&gt;600),"über 10 Std. (§ 3 ArbZG); ","")&amp;IF(AND(C11="Arbeit",ROUND(G11*1440,0)&gt;360,ROUND(G11*1440,0)&lt;=540,N(F11)&lt;30),"Pause unter 30 Min. (§ 4 ArbZG); ","")&amp;IF(AND(C11="Arbeit",ROUND(G11*1440,0)&gt;540,N(F11)&lt;45),"Pause unter 45 Min. (§ 4 ArbZG); ","")&amp;IF(AND(A11&lt;&gt;"",C11=""),"Art fehlt; ",""))</f>
      </c>
      <c r="K11" s="1"/>
      <c r="L11" s="1">
        <f>IF(AND(ISNUMBER(D11),ISNUMBER(E11)),E11+IF(E11&lt;=D11,1,0),"")</f>
      </c>
      <c r="M11" s="1">
        <f>IF(AND(A11&lt;&gt;"",C11="Arbeit",N11=1),SUMPRODUCT(($C$9:C11="Arbeit")*($N$9:N11=1)),"")</f>
      </c>
      <c r="N11" s="1">
        <f>IF(A11="",0,IF(COUNTIF($A$9:A11,A11)=1,1,0))</f>
      </c>
      <c r="O11" s="1">
        <f>IF(AND(A11&lt;&gt;"",C11="Arbeit",N11=1,ISNUMBER(D11),ISNUMBER(E11)),A11&amp;" "&amp;TEXT(D11,"hh:mm")&amp;"–"&amp;TEXT(E11,"hh:mm")&amp;" · ","")</f>
      </c>
    </row>
    <row r="12" spans="1:15" x14ac:dyDescent="0.25">
      <c r="A12" s="17" t="s">
        <v>41</v>
      </c>
      <c r="B12" s="6" t="s">
        <v>42</v>
      </c>
      <c r="C12" s="6" t="s">
        <v>36</v>
      </c>
      <c r="D12" s="12">
        <v>0.3333333333333333</v>
      </c>
      <c r="E12" s="12">
        <v>0.6875</v>
      </c>
      <c r="F12" s="8">
        <v>30</v>
      </c>
      <c r="G12" s="13">
        <f>IF(AND(C12="Arbeit",ISNUMBER(D12),ISNUMBER(E12)),ROUND((MOD(E12-D12,1)-N(F12)/1440)*1440,0)/1440,0)</f>
      </c>
      <c r="H12" s="6"/>
      <c r="I12" s="6"/>
      <c r="J12" s="14">
        <f>IF(A12="","",IF(COUNTIF($A$9:$A$20,A12)&gt;1,"Kürzel doppelt; ","")&amp;IF(AND(C12="Arbeit",OR(NOT(ISNUMBER(D12)),NOT(ISNUMBER(E12)))),"Beginn und Ende fehlen; ","")&amp;IF(AND(C12="Arbeit",ROUND(G12*1440,0)&gt;600),"über 10 Std. (§ 3 ArbZG); ","")&amp;IF(AND(C12="Arbeit",ROUND(G12*1440,0)&gt;360,ROUND(G12*1440,0)&lt;=540,N(F12)&lt;30),"Pause unter 30 Min. (§ 4 ArbZG); ","")&amp;IF(AND(C12="Arbeit",ROUND(G12*1440,0)&gt;540,N(F12)&lt;45),"Pause unter 45 Min. (§ 4 ArbZG); ","")&amp;IF(AND(A12&lt;&gt;"",C12=""),"Art fehlt; ",""))</f>
      </c>
      <c r="K12" s="1"/>
      <c r="L12" s="1">
        <f>IF(AND(ISNUMBER(D12),ISNUMBER(E12)),E12+IF(E12&lt;=D12,1,0),"")</f>
      </c>
      <c r="M12" s="1">
        <f>IF(AND(A12&lt;&gt;"",C12="Arbeit",N12=1),SUMPRODUCT(($C$9:C12="Arbeit")*($N$9:N12=1)),"")</f>
      </c>
      <c r="N12" s="1">
        <f>IF(A12="",0,IF(COUNTIF($A$9:A12,A12)=1,1,0))</f>
      </c>
      <c r="O12" s="1">
        <f>IF(AND(A12&lt;&gt;"",C12="Arbeit",N12=1,ISNUMBER(D12),ISNUMBER(E12)),A12&amp;" "&amp;TEXT(D12,"hh:mm")&amp;"–"&amp;TEXT(E12,"hh:mm")&amp;" · ","")</f>
      </c>
    </row>
    <row r="13" spans="1:15" x14ac:dyDescent="0.25">
      <c r="A13" s="18" t="s">
        <v>43</v>
      </c>
      <c r="B13" s="6" t="s">
        <v>44</v>
      </c>
      <c r="C13" s="6" t="s">
        <v>44</v>
      </c>
      <c r="D13" s="12"/>
      <c r="E13" s="12"/>
      <c r="F13" s="8"/>
      <c r="G13" s="13">
        <f>IF(AND(C13="Arbeit",ISNUMBER(D13),ISNUMBER(E13)),ROUND((MOD(E13-D13,1)-N(F13)/1440)*1440,0)/1440,0)</f>
      </c>
      <c r="H13" s="6"/>
      <c r="I13" s="6"/>
      <c r="J13" s="14">
        <f>IF(A13="","",IF(COUNTIF($A$9:$A$20,A13)&gt;1,"Kürzel doppelt; ","")&amp;IF(AND(C13="Arbeit",OR(NOT(ISNUMBER(D13)),NOT(ISNUMBER(E13)))),"Beginn und Ende fehlen; ","")&amp;IF(AND(C13="Arbeit",ROUND(G13*1440,0)&gt;600),"über 10 Std. (§ 3 ArbZG); ","")&amp;IF(AND(C13="Arbeit",ROUND(G13*1440,0)&gt;360,ROUND(G13*1440,0)&lt;=540,N(F13)&lt;30),"Pause unter 30 Min. (§ 4 ArbZG); ","")&amp;IF(AND(C13="Arbeit",ROUND(G13*1440,0)&gt;540,N(F13)&lt;45),"Pause unter 45 Min. (§ 4 ArbZG); ","")&amp;IF(AND(A13&lt;&gt;"",C13=""),"Art fehlt; ",""))</f>
      </c>
      <c r="K13" s="1"/>
      <c r="L13" s="1">
        <f>IF(AND(ISNUMBER(D13),ISNUMBER(E13)),E13+IF(E13&lt;=D13,1,0),"")</f>
      </c>
      <c r="M13" s="1">
        <f>IF(AND(A13&lt;&gt;"",C13="Arbeit",N13=1),SUMPRODUCT(($C$9:C13="Arbeit")*($N$9:N13=1)),"")</f>
      </c>
      <c r="N13" s="1">
        <f>IF(A13="",0,IF(COUNTIF($A$9:A13,A13)=1,1,0))</f>
      </c>
      <c r="O13" s="1">
        <f>IF(AND(A13&lt;&gt;"",C13="Arbeit",N13=1,ISNUMBER(D13),ISNUMBER(E13)),A13&amp;" "&amp;TEXT(D13,"hh:mm")&amp;"–"&amp;TEXT(E13,"hh:mm")&amp;" · ","")</f>
      </c>
    </row>
    <row r="14" spans="1:15" x14ac:dyDescent="0.25">
      <c r="A14" s="19" t="s">
        <v>45</v>
      </c>
      <c r="B14" s="6" t="s">
        <v>46</v>
      </c>
      <c r="C14" s="6" t="s">
        <v>46</v>
      </c>
      <c r="D14" s="12"/>
      <c r="E14" s="12"/>
      <c r="F14" s="8"/>
      <c r="G14" s="13">
        <f>IF(AND(C14="Arbeit",ISNUMBER(D14),ISNUMBER(E14)),ROUND((MOD(E14-D14,1)-N(F14)/1440)*1440,0)/1440,0)</f>
      </c>
      <c r="H14" s="6"/>
      <c r="I14" s="6"/>
      <c r="J14" s="14">
        <f>IF(A14="","",IF(COUNTIF($A$9:$A$20,A14)&gt;1,"Kürzel doppelt; ","")&amp;IF(AND(C14="Arbeit",OR(NOT(ISNUMBER(D14)),NOT(ISNUMBER(E14)))),"Beginn und Ende fehlen; ","")&amp;IF(AND(C14="Arbeit",ROUND(G14*1440,0)&gt;600),"über 10 Std. (§ 3 ArbZG); ","")&amp;IF(AND(C14="Arbeit",ROUND(G14*1440,0)&gt;360,ROUND(G14*1440,0)&lt;=540,N(F14)&lt;30),"Pause unter 30 Min. (§ 4 ArbZG); ","")&amp;IF(AND(C14="Arbeit",ROUND(G14*1440,0)&gt;540,N(F14)&lt;45),"Pause unter 45 Min. (§ 4 ArbZG); ","")&amp;IF(AND(A14&lt;&gt;"",C14=""),"Art fehlt; ",""))</f>
      </c>
      <c r="K14" s="1"/>
      <c r="L14" s="1">
        <f>IF(AND(ISNUMBER(D14),ISNUMBER(E14)),E14+IF(E14&lt;=D14,1,0),"")</f>
      </c>
      <c r="M14" s="1">
        <f>IF(AND(A14&lt;&gt;"",C14="Arbeit",N14=1),SUMPRODUCT(($C$9:C14="Arbeit")*($N$9:N14=1)),"")</f>
      </c>
      <c r="N14" s="1">
        <f>IF(A14="",0,IF(COUNTIF($A$9:A14,A14)=1,1,0))</f>
      </c>
      <c r="O14" s="1">
        <f>IF(AND(A14&lt;&gt;"",C14="Arbeit",N14=1,ISNUMBER(D14),ISNUMBER(E14)),A14&amp;" "&amp;TEXT(D14,"hh:mm")&amp;"–"&amp;TEXT(E14,"hh:mm")&amp;" · ","")</f>
      </c>
    </row>
    <row r="15" spans="1:15" x14ac:dyDescent="0.25">
      <c r="A15" s="20" t="s">
        <v>47</v>
      </c>
      <c r="B15" s="6" t="s">
        <v>48</v>
      </c>
      <c r="C15" s="6" t="s">
        <v>49</v>
      </c>
      <c r="D15" s="12"/>
      <c r="E15" s="12"/>
      <c r="F15" s="8"/>
      <c r="G15" s="13">
        <f>IF(AND(C15="Arbeit",ISNUMBER(D15),ISNUMBER(E15)),ROUND((MOD(E15-D15,1)-N(F15)/1440)*1440,0)/1440,0)</f>
      </c>
      <c r="H15" s="6"/>
      <c r="I15" s="6"/>
      <c r="J15" s="14">
        <f>IF(A15="","",IF(COUNTIF($A$9:$A$20,A15)&gt;1,"Kürzel doppelt; ","")&amp;IF(AND(C15="Arbeit",OR(NOT(ISNUMBER(D15)),NOT(ISNUMBER(E15)))),"Beginn und Ende fehlen; ","")&amp;IF(AND(C15="Arbeit",ROUND(G15*1440,0)&gt;600),"über 10 Std. (§ 3 ArbZG); ","")&amp;IF(AND(C15="Arbeit",ROUND(G15*1440,0)&gt;360,ROUND(G15*1440,0)&lt;=540,N(F15)&lt;30),"Pause unter 30 Min. (§ 4 ArbZG); ","")&amp;IF(AND(C15="Arbeit",ROUND(G15*1440,0)&gt;540,N(F15)&lt;45),"Pause unter 45 Min. (§ 4 ArbZG); ","")&amp;IF(AND(A15&lt;&gt;"",C15=""),"Art fehlt; ",""))</f>
      </c>
      <c r="K15" s="1"/>
      <c r="L15" s="1">
        <f>IF(AND(ISNUMBER(D15),ISNUMBER(E15)),E15+IF(E15&lt;=D15,1,0),"")</f>
      </c>
      <c r="M15" s="1">
        <f>IF(AND(A15&lt;&gt;"",C15="Arbeit",N15=1),SUMPRODUCT(($C$9:C15="Arbeit")*($N$9:N15=1)),"")</f>
      </c>
      <c r="N15" s="1">
        <f>IF(A15="",0,IF(COUNTIF($A$9:A15,A15)=1,1,0))</f>
      </c>
      <c r="O15" s="1">
        <f>IF(AND(A15&lt;&gt;"",C15="Arbeit",N15=1,ISNUMBER(D15),ISNUMBER(E15)),A15&amp;" "&amp;TEXT(D15,"hh:mm")&amp;"–"&amp;TEXT(E15,"hh:mm")&amp;" · ","")</f>
      </c>
    </row>
    <row r="16" spans="1:15" x14ac:dyDescent="0.25">
      <c r="A16" s="21" t="s">
        <v>50</v>
      </c>
      <c r="B16" s="6" t="s">
        <v>49</v>
      </c>
      <c r="C16" s="6" t="s">
        <v>49</v>
      </c>
      <c r="D16" s="12"/>
      <c r="E16" s="12"/>
      <c r="F16" s="8"/>
      <c r="G16" s="13">
        <f>IF(AND(C16="Arbeit",ISNUMBER(D16),ISNUMBER(E16)),ROUND((MOD(E16-D16,1)-N(F16)/1440)*1440,0)/1440,0)</f>
      </c>
      <c r="H16" s="6"/>
      <c r="I16" s="6"/>
      <c r="J16" s="14">
        <f>IF(A16="","",IF(COUNTIF($A$9:$A$20,A16)&gt;1,"Kürzel doppelt; ","")&amp;IF(AND(C16="Arbeit",OR(NOT(ISNUMBER(D16)),NOT(ISNUMBER(E16)))),"Beginn und Ende fehlen; ","")&amp;IF(AND(C16="Arbeit",ROUND(G16*1440,0)&gt;600),"über 10 Std. (§ 3 ArbZG); ","")&amp;IF(AND(C16="Arbeit",ROUND(G16*1440,0)&gt;360,ROUND(G16*1440,0)&lt;=540,N(F16)&lt;30),"Pause unter 30 Min. (§ 4 ArbZG); ","")&amp;IF(AND(C16="Arbeit",ROUND(G16*1440,0)&gt;540,N(F16)&lt;45),"Pause unter 45 Min. (§ 4 ArbZG); ","")&amp;IF(AND(A16&lt;&gt;"",C16=""),"Art fehlt; ",""))</f>
      </c>
      <c r="K16" s="1"/>
      <c r="L16" s="1">
        <f>IF(AND(ISNUMBER(D16),ISNUMBER(E16)),E16+IF(E16&lt;=D16,1,0),"")</f>
      </c>
      <c r="M16" s="1">
        <f>IF(AND(A16&lt;&gt;"",C16="Arbeit",N16=1),SUMPRODUCT(($C$9:C16="Arbeit")*($N$9:N16=1)),"")</f>
      </c>
      <c r="N16" s="1">
        <f>IF(A16="",0,IF(COUNTIF($A$9:A16,A16)=1,1,0))</f>
      </c>
      <c r="O16" s="1">
        <f>IF(AND(A16&lt;&gt;"",C16="Arbeit",N16=1,ISNUMBER(D16),ISNUMBER(E16)),A16&amp;" "&amp;TEXT(D16,"hh:mm")&amp;"–"&amp;TEXT(E16,"hh:mm")&amp;" · ","")</f>
      </c>
    </row>
    <row r="17" spans="1:15" x14ac:dyDescent="0.25">
      <c r="A17" s="22"/>
      <c r="B17" s="6"/>
      <c r="C17" s="6"/>
      <c r="D17" s="12"/>
      <c r="E17" s="12"/>
      <c r="F17" s="8"/>
      <c r="G17" s="13">
        <f>IF(AND(C17="Arbeit",ISNUMBER(D17),ISNUMBER(E17)),ROUND((MOD(E17-D17,1)-N(F17)/1440)*1440,0)/1440,0)</f>
      </c>
      <c r="H17" s="6"/>
      <c r="I17" s="6"/>
      <c r="J17" s="14">
        <f>IF(A17="","",IF(COUNTIF($A$9:$A$20,A17)&gt;1,"Kürzel doppelt; ","")&amp;IF(AND(C17="Arbeit",OR(NOT(ISNUMBER(D17)),NOT(ISNUMBER(E17)))),"Beginn und Ende fehlen; ","")&amp;IF(AND(C17="Arbeit",ROUND(G17*1440,0)&gt;600),"über 10 Std. (§ 3 ArbZG); ","")&amp;IF(AND(C17="Arbeit",ROUND(G17*1440,0)&gt;360,ROUND(G17*1440,0)&lt;=540,N(F17)&lt;30),"Pause unter 30 Min. (§ 4 ArbZG); ","")&amp;IF(AND(C17="Arbeit",ROUND(G17*1440,0)&gt;540,N(F17)&lt;45),"Pause unter 45 Min. (§ 4 ArbZG); ","")&amp;IF(AND(A17&lt;&gt;"",C17=""),"Art fehlt; ",""))</f>
      </c>
      <c r="K17" s="1"/>
      <c r="L17" s="1">
        <f>IF(AND(ISNUMBER(D17),ISNUMBER(E17)),E17+IF(E17&lt;=D17,1,0),"")</f>
      </c>
      <c r="M17" s="1">
        <f>IF(AND(A17&lt;&gt;"",C17="Arbeit",N17=1),SUMPRODUCT(($C$9:C17="Arbeit")*($N$9:N17=1)),"")</f>
      </c>
      <c r="N17" s="1">
        <f>IF(A17="",0,IF(COUNTIF($A$9:A17,A17)=1,1,0))</f>
      </c>
      <c r="O17" s="1">
        <f>IF(AND(A17&lt;&gt;"",C17="Arbeit",N17=1,ISNUMBER(D17),ISNUMBER(E17)),A17&amp;" "&amp;TEXT(D17,"hh:mm")&amp;"–"&amp;TEXT(E17,"hh:mm")&amp;" · ","")</f>
      </c>
    </row>
    <row r="18" spans="1:15" x14ac:dyDescent="0.25">
      <c r="A18" s="23"/>
      <c r="B18" s="6"/>
      <c r="C18" s="6"/>
      <c r="D18" s="12"/>
      <c r="E18" s="12"/>
      <c r="F18" s="8"/>
      <c r="G18" s="13">
        <f>IF(AND(C18="Arbeit",ISNUMBER(D18),ISNUMBER(E18)),ROUND((MOD(E18-D18,1)-N(F18)/1440)*1440,0)/1440,0)</f>
      </c>
      <c r="H18" s="6"/>
      <c r="I18" s="6"/>
      <c r="J18" s="14">
        <f>IF(A18="","",IF(COUNTIF($A$9:$A$20,A18)&gt;1,"Kürzel doppelt; ","")&amp;IF(AND(C18="Arbeit",OR(NOT(ISNUMBER(D18)),NOT(ISNUMBER(E18)))),"Beginn und Ende fehlen; ","")&amp;IF(AND(C18="Arbeit",ROUND(G18*1440,0)&gt;600),"über 10 Std. (§ 3 ArbZG); ","")&amp;IF(AND(C18="Arbeit",ROUND(G18*1440,0)&gt;360,ROUND(G18*1440,0)&lt;=540,N(F18)&lt;30),"Pause unter 30 Min. (§ 4 ArbZG); ","")&amp;IF(AND(C18="Arbeit",ROUND(G18*1440,0)&gt;540,N(F18)&lt;45),"Pause unter 45 Min. (§ 4 ArbZG); ","")&amp;IF(AND(A18&lt;&gt;"",C18=""),"Art fehlt; ",""))</f>
      </c>
      <c r="K18" s="1"/>
      <c r="L18" s="1">
        <f>IF(AND(ISNUMBER(D18),ISNUMBER(E18)),E18+IF(E18&lt;=D18,1,0),"")</f>
      </c>
      <c r="M18" s="1">
        <f>IF(AND(A18&lt;&gt;"",C18="Arbeit",N18=1),SUMPRODUCT(($C$9:C18="Arbeit")*($N$9:N18=1)),"")</f>
      </c>
      <c r="N18" s="1">
        <f>IF(A18="",0,IF(COUNTIF($A$9:A18,A18)=1,1,0))</f>
      </c>
      <c r="O18" s="1">
        <f>IF(AND(A18&lt;&gt;"",C18="Arbeit",N18=1,ISNUMBER(D18),ISNUMBER(E18)),A18&amp;" "&amp;TEXT(D18,"hh:mm")&amp;"–"&amp;TEXT(E18,"hh:mm")&amp;" · ","")</f>
      </c>
    </row>
    <row r="19" spans="1:15" x14ac:dyDescent="0.25">
      <c r="A19" s="24"/>
      <c r="B19" s="6"/>
      <c r="C19" s="6"/>
      <c r="D19" s="12"/>
      <c r="E19" s="12"/>
      <c r="F19" s="8"/>
      <c r="G19" s="13">
        <f>IF(AND(C19="Arbeit",ISNUMBER(D19),ISNUMBER(E19)),ROUND((MOD(E19-D19,1)-N(F19)/1440)*1440,0)/1440,0)</f>
      </c>
      <c r="H19" s="6"/>
      <c r="I19" s="6"/>
      <c r="J19" s="14">
        <f>IF(A19="","",IF(COUNTIF($A$9:$A$20,A19)&gt;1,"Kürzel doppelt; ","")&amp;IF(AND(C19="Arbeit",OR(NOT(ISNUMBER(D19)),NOT(ISNUMBER(E19)))),"Beginn und Ende fehlen; ","")&amp;IF(AND(C19="Arbeit",ROUND(G19*1440,0)&gt;600),"über 10 Std. (§ 3 ArbZG); ","")&amp;IF(AND(C19="Arbeit",ROUND(G19*1440,0)&gt;360,ROUND(G19*1440,0)&lt;=540,N(F19)&lt;30),"Pause unter 30 Min. (§ 4 ArbZG); ","")&amp;IF(AND(C19="Arbeit",ROUND(G19*1440,0)&gt;540,N(F19)&lt;45),"Pause unter 45 Min. (§ 4 ArbZG); ","")&amp;IF(AND(A19&lt;&gt;"",C19=""),"Art fehlt; ",""))</f>
      </c>
      <c r="K19" s="1"/>
      <c r="L19" s="1">
        <f>IF(AND(ISNUMBER(D19),ISNUMBER(E19)),E19+IF(E19&lt;=D19,1,0),"")</f>
      </c>
      <c r="M19" s="1">
        <f>IF(AND(A19&lt;&gt;"",C19="Arbeit",N19=1),SUMPRODUCT(($C$9:C19="Arbeit")*($N$9:N19=1)),"")</f>
      </c>
      <c r="N19" s="1">
        <f>IF(A19="",0,IF(COUNTIF($A$9:A19,A19)=1,1,0))</f>
      </c>
      <c r="O19" s="1">
        <f>IF(AND(A19&lt;&gt;"",C19="Arbeit",N19=1,ISNUMBER(D19),ISNUMBER(E19)),A19&amp;" "&amp;TEXT(D19,"hh:mm")&amp;"–"&amp;TEXT(E19,"hh:mm")&amp;" · ","")</f>
      </c>
    </row>
    <row r="20" spans="1:15" x14ac:dyDescent="0.25">
      <c r="A20" s="25"/>
      <c r="B20" s="6"/>
      <c r="C20" s="6"/>
      <c r="D20" s="12"/>
      <c r="E20" s="12"/>
      <c r="F20" s="8"/>
      <c r="G20" s="13">
        <f>IF(AND(C20="Arbeit",ISNUMBER(D20),ISNUMBER(E20)),ROUND((MOD(E20-D20,1)-N(F20)/1440)*1440,0)/1440,0)</f>
      </c>
      <c r="H20" s="6"/>
      <c r="I20" s="6"/>
      <c r="J20" s="14">
        <f>IF(A20="","",IF(COUNTIF($A$9:$A$20,A20)&gt;1,"Kürzel doppelt; ","")&amp;IF(AND(C20="Arbeit",OR(NOT(ISNUMBER(D20)),NOT(ISNUMBER(E20)))),"Beginn und Ende fehlen; ","")&amp;IF(AND(C20="Arbeit",ROUND(G20*1440,0)&gt;600),"über 10 Std. (§ 3 ArbZG); ","")&amp;IF(AND(C20="Arbeit",ROUND(G20*1440,0)&gt;360,ROUND(G20*1440,0)&lt;=540,N(F20)&lt;30),"Pause unter 30 Min. (§ 4 ArbZG); ","")&amp;IF(AND(C20="Arbeit",ROUND(G20*1440,0)&gt;540,N(F20)&lt;45),"Pause unter 45 Min. (§ 4 ArbZG); ","")&amp;IF(AND(A20&lt;&gt;"",C20=""),"Art fehlt; ",""))</f>
      </c>
      <c r="K20" s="1"/>
      <c r="L20" s="1">
        <f>IF(AND(ISNUMBER(D20),ISNUMBER(E20)),E20+IF(E20&lt;=D20,1,0),"")</f>
      </c>
      <c r="M20" s="1">
        <f>IF(AND(A20&lt;&gt;"",C20="Arbeit",N20=1),SUMPRODUCT(($C$9:C20="Arbeit")*($N$9:N20=1)),"")</f>
      </c>
      <c r="N20" s="1">
        <f>IF(A20="",0,IF(COUNTIF($A$9:A20,A20)=1,1,0))</f>
      </c>
      <c r="O20" s="1">
        <f>IF(AND(A20&lt;&gt;"",C20="Arbeit",N20=1,ISNUMBER(D20),ISNUMBER(E20)),A20&amp;" "&amp;TEXT(D20,"hh:mm")&amp;"–"&amp;TEXT(E20,"hh:mm")&amp;" · ","")</f>
      </c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>
        <f>O9&amp;O10&amp;O11&amp;O12&amp;O13&amp;O14&amp;O15&amp;O16&amp;O17&amp;O18&amp;O19&amp;O20</f>
      </c>
    </row>
    <row r="22" spans="1:15" x14ac:dyDescent="0.25">
      <c r="A22" s="7" t="s">
        <v>51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>
        <f>IF(O21="","",LEFT(O21,LEN(O21)-3))</f>
      </c>
    </row>
  </sheetData>
  <sheetProtection sheet="1" formatCells="0" formatColumns="0" formatRows="0"/>
  <dataValidations count="10">
    <dataValidation type="list" allowBlank="1" showErrorMessage="1" errorTitle="Art" error="Bitte Arbeit, Urlaub, Krank, Bezahlt abwesend oder Frei wählen." sqref="C10:C20">
      <formula1>"Arbeit,Urlaub,Krank,Bezahlt abwesend,Frei"</formula1>
    </dataValidation>
    <dataValidation type="whole" showErrorMessage="1" errorTitle="Jahr" error="Bitte ein Jahr zwischen 2000 und 2099 eintragen." sqref="C4">
      <formula1>2000</formula1>
      <formula2>2099</formula2>
    </dataValidation>
    <dataValidation type="list" allowBlank="1" showErrorMessage="1" errorTitle="Bundesland" error="Bitte ein Bundesland aus der Liste wählen." sqref="C5">
      <formula1>Hilfswerte!$D$4:$D$19</formula1>
    </dataValidation>
    <dataValidation type="list" allowBlank="1" showErrorMessage="1" errorTitle="Art" error="Bitte Arbeit, Urlaub, Krank, Bezahlt abwesend oder Frei wählen." sqref="C9:C20">
      <formula1>"Arbeit,Urlaub,Krank,Bezahlt abwesend,Frei"</formula1>
    </dataValidation>
    <dataValidation type="decimal" allowBlank="1" showErrorMessage="1" errorTitle="Uhrzeit" error="Bitte als Uhrzeit hh:mm eingeben, z. B. 7:30 oder 16:45." sqref="D10:E20">
      <formula1>0</formula1>
      <formula2>0.99999</formula2>
    </dataValidation>
    <dataValidation type="decimal" allowBlank="1" showErrorMessage="1" errorTitle="Uhrzeit" error="Bitte als Uhrzeit hh:mm eingeben, z. B. 7:30 oder 16:45." sqref="D9:E20">
      <formula1>0</formula1>
      <formula2>0.99999</formula2>
    </dataValidation>
    <dataValidation type="whole" allowBlank="1" showErrorMessage="1" errorTitle="Pause" error="Bitte die Pause in Minuten eintragen." sqref="F10:F20">
      <formula1>0</formula1>
      <formula2>600</formula2>
    </dataValidation>
    <dataValidation type="whole" allowBlank="1" showErrorMessage="1" errorTitle="Pause" error="Bitte die Pause in Minuten eintragen." sqref="F9:F20">
      <formula1>0</formula1>
      <formula2>600</formula2>
    </dataValidation>
    <dataValidation type="whole" allowBlank="1" showErrorMessage="1" errorTitle="Mindestbesetzung" error="Bitte eine Anzahl Personen eintragen, z. B. 2." sqref="H10:I20">
      <formula1>0</formula1>
      <formula2>99</formula2>
    </dataValidation>
    <dataValidation type="whole" allowBlank="1" showErrorMessage="1" errorTitle="Mindestbesetzung" error="Bitte eine Anzahl Personen eintragen, z. B. 2." sqref="H9:I20">
      <formula1>0</formula1>
      <formula2>99</formula2>
    </dataValidation>
  </dataValidation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3" customWidth="1"/>
    <col min="3" max="3" width="30" customWidth="1"/>
    <col min="4" max="4" width="13" customWidth="1"/>
    <col min="5" max="5" width="34" customWidth="1"/>
    <col min="6" max="6" width="13" customWidth="1"/>
  </cols>
  <sheetData>
    <row r="1" spans="1:1" x14ac:dyDescent="0.25">
      <c r="A1" s="5" t="s">
        <v>52</v>
      </c>
    </row>
    <row r="2" spans="1:1" x14ac:dyDescent="0.25">
      <c r="A2" s="7" t="s">
        <v>53</v>
      </c>
    </row>
    <row r="4" ht="30" customHeight="1" spans="1:6" x14ac:dyDescent="0.25">
      <c r="A4" s="10" t="s">
        <v>54</v>
      </c>
      <c r="B4" s="10" t="s">
        <v>55</v>
      </c>
      <c r="C4" s="10" t="s">
        <v>56</v>
      </c>
      <c r="D4" s="10" t="s">
        <v>57</v>
      </c>
      <c r="E4" s="10" t="s">
        <v>58</v>
      </c>
      <c r="F4" s="10" t="s">
        <v>59</v>
      </c>
    </row>
    <row r="5" spans="1:6" x14ac:dyDescent="0.25">
      <c r="A5" s="26"/>
      <c r="B5" s="27"/>
      <c r="C5" s="26"/>
      <c r="D5" s="28"/>
      <c r="E5" s="26"/>
      <c r="F5" s="29"/>
    </row>
    <row r="6" spans="1:6" x14ac:dyDescent="0.25">
      <c r="A6" s="26"/>
      <c r="B6" s="27"/>
      <c r="C6" s="26"/>
      <c r="D6" s="28"/>
      <c r="E6" s="26"/>
      <c r="F6" s="29"/>
    </row>
    <row r="7" spans="1:6" x14ac:dyDescent="0.25">
      <c r="A7" s="26"/>
      <c r="B7" s="27"/>
      <c r="C7" s="26"/>
      <c r="D7" s="28"/>
      <c r="E7" s="26"/>
      <c r="F7" s="29"/>
    </row>
    <row r="8" spans="1:6" x14ac:dyDescent="0.25">
      <c r="A8" s="26"/>
      <c r="B8" s="27"/>
      <c r="C8" s="26"/>
      <c r="D8" s="28"/>
      <c r="E8" s="26"/>
      <c r="F8" s="29"/>
    </row>
    <row r="9" spans="1:6" x14ac:dyDescent="0.25">
      <c r="A9" s="26"/>
      <c r="B9" s="27"/>
      <c r="C9" s="26"/>
      <c r="D9" s="28"/>
      <c r="E9" s="26"/>
      <c r="F9" s="29"/>
    </row>
    <row r="10" spans="1:6" x14ac:dyDescent="0.25">
      <c r="A10" s="26"/>
      <c r="B10" s="27"/>
      <c r="C10" s="26"/>
      <c r="D10" s="28"/>
      <c r="E10" s="26"/>
      <c r="F10" s="29"/>
    </row>
    <row r="11" spans="1:6" x14ac:dyDescent="0.25">
      <c r="A11" s="26"/>
      <c r="B11" s="27"/>
      <c r="C11" s="26"/>
      <c r="D11" s="28"/>
      <c r="E11" s="26"/>
      <c r="F11" s="29"/>
    </row>
    <row r="12" spans="1:6" x14ac:dyDescent="0.25">
      <c r="A12" s="26"/>
      <c r="B12" s="27"/>
      <c r="C12" s="26"/>
      <c r="D12" s="28"/>
      <c r="E12" s="26"/>
      <c r="F12" s="29"/>
    </row>
    <row r="13" spans="1:6" x14ac:dyDescent="0.25">
      <c r="A13" s="26"/>
      <c r="B13" s="27"/>
      <c r="C13" s="26"/>
      <c r="D13" s="28"/>
      <c r="E13" s="26"/>
      <c r="F13" s="29"/>
    </row>
    <row r="14" spans="1:6" x14ac:dyDescent="0.25">
      <c r="A14" s="26"/>
      <c r="B14" s="27"/>
      <c r="C14" s="26"/>
      <c r="D14" s="28"/>
      <c r="E14" s="26"/>
      <c r="F14" s="29"/>
    </row>
    <row r="15" spans="1:6" x14ac:dyDescent="0.25">
      <c r="A15" s="26"/>
      <c r="B15" s="27"/>
      <c r="C15" s="26"/>
      <c r="D15" s="28"/>
      <c r="E15" s="26"/>
      <c r="F15" s="29"/>
    </row>
    <row r="16" spans="1:6" x14ac:dyDescent="0.25">
      <c r="A16" s="26"/>
      <c r="B16" s="27"/>
      <c r="C16" s="26"/>
      <c r="D16" s="28"/>
      <c r="E16" s="26"/>
      <c r="F16" s="29"/>
    </row>
    <row r="17" spans="1:6" x14ac:dyDescent="0.25">
      <c r="A17" s="26"/>
      <c r="B17" s="27"/>
      <c r="C17" s="26"/>
      <c r="D17" s="28"/>
      <c r="E17" s="26"/>
      <c r="F17" s="29"/>
    </row>
    <row r="18" spans="1:6" x14ac:dyDescent="0.25">
      <c r="A18" s="26"/>
      <c r="B18" s="27"/>
      <c r="C18" s="26"/>
      <c r="D18" s="28"/>
      <c r="E18" s="26"/>
      <c r="F18" s="29"/>
    </row>
    <row r="19" spans="1:6" x14ac:dyDescent="0.25">
      <c r="A19" s="26"/>
      <c r="B19" s="27"/>
      <c r="C19" s="26"/>
      <c r="D19" s="28"/>
      <c r="E19" s="26"/>
      <c r="F19" s="29"/>
    </row>
    <row r="20" spans="1:6" x14ac:dyDescent="0.25">
      <c r="A20" s="26"/>
      <c r="B20" s="27"/>
      <c r="C20" s="26"/>
      <c r="D20" s="28"/>
      <c r="E20" s="26"/>
      <c r="F20" s="29"/>
    </row>
    <row r="21" spans="1:6" x14ac:dyDescent="0.25">
      <c r="A21" s="26"/>
      <c r="B21" s="27"/>
      <c r="C21" s="26"/>
      <c r="D21" s="28"/>
      <c r="E21" s="26"/>
      <c r="F21" s="29"/>
    </row>
    <row r="22" spans="1:6" x14ac:dyDescent="0.25">
      <c r="A22" s="26"/>
      <c r="B22" s="27"/>
      <c r="C22" s="26"/>
      <c r="D22" s="28"/>
      <c r="E22" s="26"/>
      <c r="F22" s="29"/>
    </row>
    <row r="23" spans="1:6" x14ac:dyDescent="0.25">
      <c r="A23" s="26"/>
      <c r="B23" s="27"/>
      <c r="C23" s="26"/>
      <c r="D23" s="28"/>
      <c r="E23" s="26"/>
      <c r="F23" s="29"/>
    </row>
    <row r="24" spans="1:6" x14ac:dyDescent="0.25">
      <c r="A24" s="26"/>
      <c r="B24" s="27"/>
      <c r="C24" s="26"/>
      <c r="D24" s="28"/>
      <c r="E24" s="26"/>
      <c r="F24" s="29"/>
    </row>
    <row r="25" spans="1:6" x14ac:dyDescent="0.25">
      <c r="A25" s="26"/>
      <c r="B25" s="27"/>
      <c r="C25" s="26"/>
      <c r="D25" s="28"/>
      <c r="E25" s="26"/>
      <c r="F25" s="29"/>
    </row>
    <row r="26" spans="1:6" x14ac:dyDescent="0.25">
      <c r="A26" s="26"/>
      <c r="B26" s="27"/>
      <c r="C26" s="26"/>
      <c r="D26" s="28"/>
      <c r="E26" s="26"/>
      <c r="F26" s="29"/>
    </row>
    <row r="27" spans="1:6" x14ac:dyDescent="0.25">
      <c r="A27" s="26"/>
      <c r="B27" s="27"/>
      <c r="C27" s="26"/>
      <c r="D27" s="28"/>
      <c r="E27" s="26"/>
      <c r="F27" s="29"/>
    </row>
    <row r="28" spans="1:6" x14ac:dyDescent="0.25">
      <c r="A28" s="26"/>
      <c r="B28" s="27"/>
      <c r="C28" s="26"/>
      <c r="D28" s="28"/>
      <c r="E28" s="26"/>
      <c r="F28" s="29"/>
    </row>
    <row r="29" spans="1:6" x14ac:dyDescent="0.25">
      <c r="A29" s="26"/>
      <c r="B29" s="27"/>
      <c r="C29" s="26"/>
      <c r="D29" s="28"/>
      <c r="E29" s="26"/>
      <c r="F29" s="29"/>
    </row>
    <row r="30" spans="1:6" x14ac:dyDescent="0.25">
      <c r="A30" s="26"/>
      <c r="B30" s="27"/>
      <c r="C30" s="26"/>
      <c r="D30" s="28"/>
      <c r="E30" s="26"/>
      <c r="F30" s="29"/>
    </row>
    <row r="31" spans="1:6" x14ac:dyDescent="0.25">
      <c r="A31" s="26"/>
      <c r="B31" s="27"/>
      <c r="C31" s="26"/>
      <c r="D31" s="28"/>
      <c r="E31" s="26"/>
      <c r="F31" s="29"/>
    </row>
    <row r="32" spans="1:6" x14ac:dyDescent="0.25">
      <c r="A32" s="26"/>
      <c r="B32" s="27"/>
      <c r="C32" s="26"/>
      <c r="D32" s="28"/>
      <c r="E32" s="26"/>
      <c r="F32" s="29"/>
    </row>
    <row r="33" spans="1:6" x14ac:dyDescent="0.25">
      <c r="A33" s="26"/>
      <c r="B33" s="27"/>
      <c r="C33" s="26"/>
      <c r="D33" s="28"/>
      <c r="E33" s="26"/>
      <c r="F33" s="29"/>
    </row>
    <row r="34" spans="1:6" x14ac:dyDescent="0.25">
      <c r="A34" s="26"/>
      <c r="B34" s="27"/>
      <c r="C34" s="26"/>
      <c r="D34" s="28"/>
      <c r="E34" s="26"/>
      <c r="F34" s="29"/>
    </row>
  </sheetData>
  <sheetProtection sheet="1" formatCells="0" formatColumns="0" formatRows="0"/>
  <dataValidations count="4">
    <dataValidation type="decimal" allowBlank="1" showErrorMessage="1" errorTitle="Wochenstunden" error="Bitte Wochenstunden als Zahl eintragen, z. B. 40 oder 32,5." sqref="B10:B34">
      <formula1>0</formula1>
      <formula2>80</formula2>
    </dataValidation>
    <dataValidation type="decimal" allowBlank="1" showErrorMessage="1" errorTitle="Wochenstunden" error="Bitte Wochenstunden als Zahl eintragen, z. B. 40 oder 32,5." sqref="B5:B34">
      <formula1>0</formula1>
      <formula2>80</formula2>
    </dataValidation>
    <dataValidation type="date" allowBlank="1" showErrorMessage="1" errorTitle="Datum" error="Bitte ein Datum eintragen, z. B. 05.01.2026." sqref="F10:F34">
      <formula1>36526</formula1>
      <formula2>73050</formula2>
    </dataValidation>
    <dataValidation type="date" allowBlank="1" showErrorMessage="1" errorTitle="Datum" error="Bitte ein Datum eintragen, z. B. 05.01.2026." sqref="F5:F34">
      <formula1>36526</formula1>
      <formula2>73050</formula2>
    </dataValidation>
  </dataValidation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93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32" width="4.2" customWidth="1"/>
    <col min="36" max="37" width="7" customWidth="1"/>
    <col min="38" max="38" width="30" customWidth="1"/>
    <col min="39" max="39" width="9" hidden="1" customWidth="1"/>
  </cols>
  <sheetData>
    <row r="1" spans="1:1" x14ac:dyDescent="0.25">
      <c r="A1" s="5">
        <f>"Dienstplan Januar "&amp;Jahr&amp;IF(Team="",""," · "&amp;Team)</f>
      </c>
    </row>
    <row r="2" spans="1:1" x14ac:dyDescent="0.25">
      <c r="A2" s="7">
        <f>IF(Bundesland="","Bitte in den Einstellungen das Bundesland wählen, damit die Feiertage stimmen.","Feiertage: "&amp;Bundesland)</f>
      </c>
    </row>
    <row r="3" spans="1:1" x14ac:dyDescent="0.25">
      <c r="A3" s="30">
        <f>Legende</f>
      </c>
    </row>
    <row r="4" spans="1:32" x14ac:dyDescent="0.25">
      <c r="A4" s="1"/>
      <c r="B4" s="31">
        <f>IF(B$5="","",CHOOSE(WEEKDAY(B$5,2),"Mo","Di","Mi","Do","Fr","Sa","So"))</f>
      </c>
      <c r="C4" s="31">
        <f>IF(C$5="","",CHOOSE(WEEKDAY(C$5,2),"Mo","Di","Mi","Do","Fr","Sa","So"))</f>
      </c>
      <c r="D4" s="31">
        <f>IF(D$5="","",CHOOSE(WEEKDAY(D$5,2),"Mo","Di","Mi","Do","Fr","Sa","So"))</f>
      </c>
      <c r="E4" s="31">
        <f>IF(E$5="","",CHOOSE(WEEKDAY(E$5,2),"Mo","Di","Mi","Do","Fr","Sa","So"))</f>
      </c>
      <c r="F4" s="31">
        <f>IF(F$5="","",CHOOSE(WEEKDAY(F$5,2),"Mo","Di","Mi","Do","Fr","Sa","So"))</f>
      </c>
      <c r="G4" s="31">
        <f>IF(G$5="","",CHOOSE(WEEKDAY(G$5,2),"Mo","Di","Mi","Do","Fr","Sa","So"))</f>
      </c>
      <c r="H4" s="31">
        <f>IF(H$5="","",CHOOSE(WEEKDAY(H$5,2),"Mo","Di","Mi","Do","Fr","Sa","So"))</f>
      </c>
      <c r="I4" s="31">
        <f>IF(I$5="","",CHOOSE(WEEKDAY(I$5,2),"Mo","Di","Mi","Do","Fr","Sa","So"))</f>
      </c>
      <c r="J4" s="31">
        <f>IF(J$5="","",CHOOSE(WEEKDAY(J$5,2),"Mo","Di","Mi","Do","Fr","Sa","So"))</f>
      </c>
      <c r="K4" s="31">
        <f>IF(K$5="","",CHOOSE(WEEKDAY(K$5,2),"Mo","Di","Mi","Do","Fr","Sa","So"))</f>
      </c>
      <c r="L4" s="31">
        <f>IF(L$5="","",CHOOSE(WEEKDAY(L$5,2),"Mo","Di","Mi","Do","Fr","Sa","So"))</f>
      </c>
      <c r="M4" s="31">
        <f>IF(M$5="","",CHOOSE(WEEKDAY(M$5,2),"Mo","Di","Mi","Do","Fr","Sa","So"))</f>
      </c>
      <c r="N4" s="31">
        <f>IF(N$5="","",CHOOSE(WEEKDAY(N$5,2),"Mo","Di","Mi","Do","Fr","Sa","So"))</f>
      </c>
      <c r="O4" s="31">
        <f>IF(O$5="","",CHOOSE(WEEKDAY(O$5,2),"Mo","Di","Mi","Do","Fr","Sa","So"))</f>
      </c>
      <c r="P4" s="31">
        <f>IF(P$5="","",CHOOSE(WEEKDAY(P$5,2),"Mo","Di","Mi","Do","Fr","Sa","So"))</f>
      </c>
      <c r="Q4" s="31">
        <f>IF(Q$5="","",CHOOSE(WEEKDAY(Q$5,2),"Mo","Di","Mi","Do","Fr","Sa","So"))</f>
      </c>
      <c r="R4" s="31">
        <f>IF(R$5="","",CHOOSE(WEEKDAY(R$5,2),"Mo","Di","Mi","Do","Fr","Sa","So"))</f>
      </c>
      <c r="S4" s="31">
        <f>IF(S$5="","",CHOOSE(WEEKDAY(S$5,2),"Mo","Di","Mi","Do","Fr","Sa","So"))</f>
      </c>
      <c r="T4" s="31">
        <f>IF(T$5="","",CHOOSE(WEEKDAY(T$5,2),"Mo","Di","Mi","Do","Fr","Sa","So"))</f>
      </c>
      <c r="U4" s="31">
        <f>IF(U$5="","",CHOOSE(WEEKDAY(U$5,2),"Mo","Di","Mi","Do","Fr","Sa","So"))</f>
      </c>
      <c r="V4" s="31">
        <f>IF(V$5="","",CHOOSE(WEEKDAY(V$5,2),"Mo","Di","Mi","Do","Fr","Sa","So"))</f>
      </c>
      <c r="W4" s="31">
        <f>IF(W$5="","",CHOOSE(WEEKDAY(W$5,2),"Mo","Di","Mi","Do","Fr","Sa","So"))</f>
      </c>
      <c r="X4" s="31">
        <f>IF(X$5="","",CHOOSE(WEEKDAY(X$5,2),"Mo","Di","Mi","Do","Fr","Sa","So"))</f>
      </c>
      <c r="Y4" s="31">
        <f>IF(Y$5="","",CHOOSE(WEEKDAY(Y$5,2),"Mo","Di","Mi","Do","Fr","Sa","So"))</f>
      </c>
      <c r="Z4" s="31">
        <f>IF(Z$5="","",CHOOSE(WEEKDAY(Z$5,2),"Mo","Di","Mi","Do","Fr","Sa","So"))</f>
      </c>
      <c r="AA4" s="31">
        <f>IF(AA$5="","",CHOOSE(WEEKDAY(AA$5,2),"Mo","Di","Mi","Do","Fr","Sa","So"))</f>
      </c>
      <c r="AB4" s="31">
        <f>IF(AB$5="","",CHOOSE(WEEKDAY(AB$5,2),"Mo","Di","Mi","Do","Fr","Sa","So"))</f>
      </c>
      <c r="AC4" s="31">
        <f>IF(AC$5="","",CHOOSE(WEEKDAY(AC$5,2),"Mo","Di","Mi","Do","Fr","Sa","So"))</f>
      </c>
      <c r="AD4" s="31">
        <f>IF(AD$5="","",CHOOSE(WEEKDAY(AD$5,2),"Mo","Di","Mi","Do","Fr","Sa","So"))</f>
      </c>
      <c r="AE4" s="31">
        <f>IF(AE$5="","",CHOOSE(WEEKDAY(AE$5,2),"Mo","Di","Mi","Do","Fr","Sa","So"))</f>
      </c>
      <c r="AF4" s="31">
        <f>IF(AF$5="","",CHOOSE(WEEKDAY(AF$5,2),"Mo","Di","Mi","Do","Fr","Sa","So"))</f>
      </c>
    </row>
    <row r="5" ht="18" customHeight="1" spans="1:38" x14ac:dyDescent="0.25">
      <c r="A5" s="10" t="s">
        <v>52</v>
      </c>
      <c r="B5" s="32">
        <f>IF(MONTH(DATE(Jahr,1,1))=1,DATE(Jahr,1,1),"")</f>
      </c>
      <c r="C5" s="32">
        <f>IF(MONTH(DATE(Jahr,1,2))=1,DATE(Jahr,1,2),"")</f>
      </c>
      <c r="D5" s="32">
        <f>IF(MONTH(DATE(Jahr,1,3))=1,DATE(Jahr,1,3),"")</f>
      </c>
      <c r="E5" s="32">
        <f>IF(MONTH(DATE(Jahr,1,4))=1,DATE(Jahr,1,4),"")</f>
      </c>
      <c r="F5" s="32">
        <f>IF(MONTH(DATE(Jahr,1,5))=1,DATE(Jahr,1,5),"")</f>
      </c>
      <c r="G5" s="32">
        <f>IF(MONTH(DATE(Jahr,1,6))=1,DATE(Jahr,1,6),"")</f>
      </c>
      <c r="H5" s="32">
        <f>IF(MONTH(DATE(Jahr,1,7))=1,DATE(Jahr,1,7),"")</f>
      </c>
      <c r="I5" s="32">
        <f>IF(MONTH(DATE(Jahr,1,8))=1,DATE(Jahr,1,8),"")</f>
      </c>
      <c r="J5" s="32">
        <f>IF(MONTH(DATE(Jahr,1,9))=1,DATE(Jahr,1,9),"")</f>
      </c>
      <c r="K5" s="32">
        <f>IF(MONTH(DATE(Jahr,1,10))=1,DATE(Jahr,1,10),"")</f>
      </c>
      <c r="L5" s="32">
        <f>IF(MONTH(DATE(Jahr,1,11))=1,DATE(Jahr,1,11),"")</f>
      </c>
      <c r="M5" s="32">
        <f>IF(MONTH(DATE(Jahr,1,12))=1,DATE(Jahr,1,12),"")</f>
      </c>
      <c r="N5" s="32">
        <f>IF(MONTH(DATE(Jahr,1,13))=1,DATE(Jahr,1,13),"")</f>
      </c>
      <c r="O5" s="32">
        <f>IF(MONTH(DATE(Jahr,1,14))=1,DATE(Jahr,1,14),"")</f>
      </c>
      <c r="P5" s="32">
        <f>IF(MONTH(DATE(Jahr,1,15))=1,DATE(Jahr,1,15),"")</f>
      </c>
      <c r="Q5" s="32">
        <f>IF(MONTH(DATE(Jahr,1,16))=1,DATE(Jahr,1,16),"")</f>
      </c>
      <c r="R5" s="32">
        <f>IF(MONTH(DATE(Jahr,1,17))=1,DATE(Jahr,1,17),"")</f>
      </c>
      <c r="S5" s="32">
        <f>IF(MONTH(DATE(Jahr,1,18))=1,DATE(Jahr,1,18),"")</f>
      </c>
      <c r="T5" s="32">
        <f>IF(MONTH(DATE(Jahr,1,19))=1,DATE(Jahr,1,19),"")</f>
      </c>
      <c r="U5" s="32">
        <f>IF(MONTH(DATE(Jahr,1,20))=1,DATE(Jahr,1,20),"")</f>
      </c>
      <c r="V5" s="32">
        <f>IF(MONTH(DATE(Jahr,1,21))=1,DATE(Jahr,1,21),"")</f>
      </c>
      <c r="W5" s="32">
        <f>IF(MONTH(DATE(Jahr,1,22))=1,DATE(Jahr,1,22),"")</f>
      </c>
      <c r="X5" s="32">
        <f>IF(MONTH(DATE(Jahr,1,23))=1,DATE(Jahr,1,23),"")</f>
      </c>
      <c r="Y5" s="32">
        <f>IF(MONTH(DATE(Jahr,1,24))=1,DATE(Jahr,1,24),"")</f>
      </c>
      <c r="Z5" s="32">
        <f>IF(MONTH(DATE(Jahr,1,25))=1,DATE(Jahr,1,25),"")</f>
      </c>
      <c r="AA5" s="32">
        <f>IF(MONTH(DATE(Jahr,1,26))=1,DATE(Jahr,1,26),"")</f>
      </c>
      <c r="AB5" s="32">
        <f>IF(MONTH(DATE(Jahr,1,27))=1,DATE(Jahr,1,27),"")</f>
      </c>
      <c r="AC5" s="32">
        <f>IF(MONTH(DATE(Jahr,1,28))=1,DATE(Jahr,1,28),"")</f>
      </c>
      <c r="AD5" s="32">
        <f>IF(MONTH(DATE(Jahr,1,29))=1,DATE(Jahr,1,29),"")</f>
      </c>
      <c r="AE5" s="32">
        <f>IF(MONTH(DATE(Jahr,1,30))=1,DATE(Jahr,1,30),"")</f>
      </c>
      <c r="AF5" s="32">
        <f>IF(MONTH(DATE(Jahr,1,31))=1,DATE(Jahr,1,31),"")</f>
      </c>
      <c r="AG5" s="10" t="s">
        <v>60</v>
      </c>
      <c r="AH5" s="10" t="s">
        <v>61</v>
      </c>
      <c r="AI5" s="10" t="s">
        <v>62</v>
      </c>
      <c r="AJ5" s="10" t="s">
        <v>44</v>
      </c>
      <c r="AK5" s="10" t="s">
        <v>46</v>
      </c>
      <c r="AL5" s="10" t="s">
        <v>33</v>
      </c>
    </row>
    <row r="6" spans="1:38" x14ac:dyDescent="0.25">
      <c r="A6" s="33">
        <f>Mitarbeiter!$A$5&amp;""</f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5">
        <f>IF($A6="","",SUMPRODUCT(COUNTIFS(B6:AF6,Codes,$B$52:$AF$52,1)*(Arten="Arbeit")*Erste*NettoTage)+SUMPRODUCT(COUNTIFS(B6:AF6,Codes,$B$53:$AF$53,1)*((Arten="Urlaub")+(Arten="Krank")+(Arten="Bezahlt abwesend"))*Erste)*N(Mitarbeiter!$B$5)/5/24)</f>
      </c>
      <c r="AH6" s="35">
        <f>IF($A6="","",N(Mitarbeiter!$B$5)/5/24*SUM($B$53:$AF$53))</f>
      </c>
      <c r="AI6" s="36">
        <f>IF($A6="","",IF((AG6-AH6)&lt;0,"-","+")&amp;TEXT(ABS((AG6-AH6)),"[h]:mm"))</f>
      </c>
      <c r="AJ6" s="37">
        <f>IF($A6="","",SUMPRODUCT(COUNTIFS(B6:AF6,Codes,$B$53:$AF$53,1)*(Arten="Urlaub")*Erste))</f>
      </c>
      <c r="AK6" s="37">
        <f>IF($A6="","",SUMPRODUCT(COUNTIFS(B6:AF6,Codes,$B$53:$AF$53,1)*(Arten="Krank")*Erste))</f>
      </c>
      <c r="AL6" s="38">
        <f>IF($A6="","",IF(COUNTIF(B55:AF55,1)&gt;0,COUNTIF(B55:AF55,1)&amp;"× Ruhezeit unter 11 Std. (§ 5)","")&amp;IF((COUNTIFS(B6:AF6,"?*",$B$52:$AF$52,1)-SUMPRODUCT(COUNTIFS(B6:AF6,Codes,$B$52:$AF$52,1)*(Codes&lt;&gt;"")*Erste))&gt;0,IF(COUNTIF(B55:AF55,1)&gt;0,"; ","")&amp;(COUNTIFS(B6:AF6,"?*",$B$52:$AF$52,1)-SUMPRODUCT(COUNTIFS(B6:AF6,Codes,$B$52:$AF$52,1)*(Codes&lt;&gt;"")*Erste))&amp;"× unbekanntes Kürzel",""))</f>
      </c>
    </row>
    <row r="7" spans="1:38" x14ac:dyDescent="0.25">
      <c r="A7" s="33">
        <f>Mitarbeiter!$A$6&amp;""</f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5">
        <f>IF($A7="","",SUMPRODUCT(COUNTIFS(B7:AF7,Codes,$B$52:$AF$52,1)*(Arten="Arbeit")*Erste*NettoTage)+SUMPRODUCT(COUNTIFS(B7:AF7,Codes,$B$53:$AF$53,1)*((Arten="Urlaub")+(Arten="Krank")+(Arten="Bezahlt abwesend"))*Erste)*N(Mitarbeiter!$B$6)/5/24)</f>
      </c>
      <c r="AH7" s="35">
        <f>IF($A7="","",N(Mitarbeiter!$B$6)/5/24*SUM($B$53:$AF$53))</f>
      </c>
      <c r="AI7" s="36">
        <f>IF($A7="","",IF((AG7-AH7)&lt;0,"-","+")&amp;TEXT(ABS((AG7-AH7)),"[h]:mm"))</f>
      </c>
      <c r="AJ7" s="37">
        <f>IF($A7="","",SUMPRODUCT(COUNTIFS(B7:AF7,Codes,$B$53:$AF$53,1)*(Arten="Urlaub")*Erste))</f>
      </c>
      <c r="AK7" s="37">
        <f>IF($A7="","",SUMPRODUCT(COUNTIFS(B7:AF7,Codes,$B$53:$AF$53,1)*(Arten="Krank")*Erste))</f>
      </c>
      <c r="AL7" s="38">
        <f>IF($A7="","",IF(COUNTIF(B56:AF56,1)&gt;0,COUNTIF(B56:AF56,1)&amp;"× Ruhezeit unter 11 Std. (§ 5)","")&amp;IF((COUNTIFS(B7:AF7,"?*",$B$52:$AF$52,1)-SUMPRODUCT(COUNTIFS(B7:AF7,Codes,$B$52:$AF$52,1)*(Codes&lt;&gt;"")*Erste))&gt;0,IF(COUNTIF(B56:AF56,1)&gt;0,"; ","")&amp;(COUNTIFS(B7:AF7,"?*",$B$52:$AF$52,1)-SUMPRODUCT(COUNTIFS(B7:AF7,Codes,$B$52:$AF$52,1)*(Codes&lt;&gt;"")*Erste))&amp;"× unbekanntes Kürzel",""))</f>
      </c>
    </row>
    <row r="8" spans="1:38" x14ac:dyDescent="0.25">
      <c r="A8" s="33">
        <f>Mitarbeiter!$A$7&amp;""</f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5">
        <f>IF($A8="","",SUMPRODUCT(COUNTIFS(B8:AF8,Codes,$B$52:$AF$52,1)*(Arten="Arbeit")*Erste*NettoTage)+SUMPRODUCT(COUNTIFS(B8:AF8,Codes,$B$53:$AF$53,1)*((Arten="Urlaub")+(Arten="Krank")+(Arten="Bezahlt abwesend"))*Erste)*N(Mitarbeiter!$B$7)/5/24)</f>
      </c>
      <c r="AH8" s="35">
        <f>IF($A8="","",N(Mitarbeiter!$B$7)/5/24*SUM($B$53:$AF$53))</f>
      </c>
      <c r="AI8" s="36">
        <f>IF($A8="","",IF((AG8-AH8)&lt;0,"-","+")&amp;TEXT(ABS((AG8-AH8)),"[h]:mm"))</f>
      </c>
      <c r="AJ8" s="37">
        <f>IF($A8="","",SUMPRODUCT(COUNTIFS(B8:AF8,Codes,$B$53:$AF$53,1)*(Arten="Urlaub")*Erste))</f>
      </c>
      <c r="AK8" s="37">
        <f>IF($A8="","",SUMPRODUCT(COUNTIFS(B8:AF8,Codes,$B$53:$AF$53,1)*(Arten="Krank")*Erste))</f>
      </c>
      <c r="AL8" s="38">
        <f>IF($A8="","",IF(COUNTIF(B57:AF57,1)&gt;0,COUNTIF(B57:AF57,1)&amp;"× Ruhezeit unter 11 Std. (§ 5)","")&amp;IF((COUNTIFS(B8:AF8,"?*",$B$52:$AF$52,1)-SUMPRODUCT(COUNTIFS(B8:AF8,Codes,$B$52:$AF$52,1)*(Codes&lt;&gt;"")*Erste))&gt;0,IF(COUNTIF(B57:AF57,1)&gt;0,"; ","")&amp;(COUNTIFS(B8:AF8,"?*",$B$52:$AF$52,1)-SUMPRODUCT(COUNTIFS(B8:AF8,Codes,$B$52:$AF$52,1)*(Codes&lt;&gt;"")*Erste))&amp;"× unbekanntes Kürzel",""))</f>
      </c>
    </row>
    <row r="9" spans="1:38" x14ac:dyDescent="0.25">
      <c r="A9" s="33">
        <f>Mitarbeiter!$A$8&amp;""</f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5">
        <f>IF($A9="","",SUMPRODUCT(COUNTIFS(B9:AF9,Codes,$B$52:$AF$52,1)*(Arten="Arbeit")*Erste*NettoTage)+SUMPRODUCT(COUNTIFS(B9:AF9,Codes,$B$53:$AF$53,1)*((Arten="Urlaub")+(Arten="Krank")+(Arten="Bezahlt abwesend"))*Erste)*N(Mitarbeiter!$B$8)/5/24)</f>
      </c>
      <c r="AH9" s="35">
        <f>IF($A9="","",N(Mitarbeiter!$B$8)/5/24*SUM($B$53:$AF$53))</f>
      </c>
      <c r="AI9" s="36">
        <f>IF($A9="","",IF((AG9-AH9)&lt;0,"-","+")&amp;TEXT(ABS((AG9-AH9)),"[h]:mm"))</f>
      </c>
      <c r="AJ9" s="37">
        <f>IF($A9="","",SUMPRODUCT(COUNTIFS(B9:AF9,Codes,$B$53:$AF$53,1)*(Arten="Urlaub")*Erste))</f>
      </c>
      <c r="AK9" s="37">
        <f>IF($A9="","",SUMPRODUCT(COUNTIFS(B9:AF9,Codes,$B$53:$AF$53,1)*(Arten="Krank")*Erste))</f>
      </c>
      <c r="AL9" s="38">
        <f>IF($A9="","",IF(COUNTIF(B58:AF58,1)&gt;0,COUNTIF(B58:AF58,1)&amp;"× Ruhezeit unter 11 Std. (§ 5)","")&amp;IF((COUNTIFS(B9:AF9,"?*",$B$52:$AF$52,1)-SUMPRODUCT(COUNTIFS(B9:AF9,Codes,$B$52:$AF$52,1)*(Codes&lt;&gt;"")*Erste))&gt;0,IF(COUNTIF(B58:AF58,1)&gt;0,"; ","")&amp;(COUNTIFS(B9:AF9,"?*",$B$52:$AF$52,1)-SUMPRODUCT(COUNTIFS(B9:AF9,Codes,$B$52:$AF$52,1)*(Codes&lt;&gt;"")*Erste))&amp;"× unbekanntes Kürzel",""))</f>
      </c>
    </row>
    <row r="10" spans="1:38" x14ac:dyDescent="0.25">
      <c r="A10" s="33">
        <f>Mitarbeiter!$A$9&amp;""</f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5">
        <f>IF($A10="","",SUMPRODUCT(COUNTIFS(B10:AF10,Codes,$B$52:$AF$52,1)*(Arten="Arbeit")*Erste*NettoTage)+SUMPRODUCT(COUNTIFS(B10:AF10,Codes,$B$53:$AF$53,1)*((Arten="Urlaub")+(Arten="Krank")+(Arten="Bezahlt abwesend"))*Erste)*N(Mitarbeiter!$B$9)/5/24)</f>
      </c>
      <c r="AH10" s="35">
        <f>IF($A10="","",N(Mitarbeiter!$B$9)/5/24*SUM($B$53:$AF$53))</f>
      </c>
      <c r="AI10" s="36">
        <f>IF($A10="","",IF((AG10-AH10)&lt;0,"-","+")&amp;TEXT(ABS((AG10-AH10)),"[h]:mm"))</f>
      </c>
      <c r="AJ10" s="37">
        <f>IF($A10="","",SUMPRODUCT(COUNTIFS(B10:AF10,Codes,$B$53:$AF$53,1)*(Arten="Urlaub")*Erste))</f>
      </c>
      <c r="AK10" s="37">
        <f>IF($A10="","",SUMPRODUCT(COUNTIFS(B10:AF10,Codes,$B$53:$AF$53,1)*(Arten="Krank")*Erste))</f>
      </c>
      <c r="AL10" s="38">
        <f>IF($A10="","",IF(COUNTIF(B59:AF59,1)&gt;0,COUNTIF(B59:AF59,1)&amp;"× Ruhezeit unter 11 Std. (§ 5)","")&amp;IF((COUNTIFS(B10:AF10,"?*",$B$52:$AF$52,1)-SUMPRODUCT(COUNTIFS(B10:AF10,Codes,$B$52:$AF$52,1)*(Codes&lt;&gt;"")*Erste))&gt;0,IF(COUNTIF(B59:AF59,1)&gt;0,"; ","")&amp;(COUNTIFS(B10:AF10,"?*",$B$52:$AF$52,1)-SUMPRODUCT(COUNTIFS(B10:AF10,Codes,$B$52:$AF$52,1)*(Codes&lt;&gt;"")*Erste))&amp;"× unbekanntes Kürzel",""))</f>
      </c>
    </row>
    <row r="11" spans="1:38" x14ac:dyDescent="0.25">
      <c r="A11" s="33">
        <f>Mitarbeiter!$A$10&amp;""</f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5">
        <f>IF($A11="","",SUMPRODUCT(COUNTIFS(B11:AF11,Codes,$B$52:$AF$52,1)*(Arten="Arbeit")*Erste*NettoTage)+SUMPRODUCT(COUNTIFS(B11:AF11,Codes,$B$53:$AF$53,1)*((Arten="Urlaub")+(Arten="Krank")+(Arten="Bezahlt abwesend"))*Erste)*N(Mitarbeiter!$B$10)/5/24)</f>
      </c>
      <c r="AH11" s="35">
        <f>IF($A11="","",N(Mitarbeiter!$B$10)/5/24*SUM($B$53:$AF$53))</f>
      </c>
      <c r="AI11" s="36">
        <f>IF($A11="","",IF((AG11-AH11)&lt;0,"-","+")&amp;TEXT(ABS((AG11-AH11)),"[h]:mm"))</f>
      </c>
      <c r="AJ11" s="37">
        <f>IF($A11="","",SUMPRODUCT(COUNTIFS(B11:AF11,Codes,$B$53:$AF$53,1)*(Arten="Urlaub")*Erste))</f>
      </c>
      <c r="AK11" s="37">
        <f>IF($A11="","",SUMPRODUCT(COUNTIFS(B11:AF11,Codes,$B$53:$AF$53,1)*(Arten="Krank")*Erste))</f>
      </c>
      <c r="AL11" s="38">
        <f>IF($A11="","",IF(COUNTIF(B60:AF60,1)&gt;0,COUNTIF(B60:AF60,1)&amp;"× Ruhezeit unter 11 Std. (§ 5)","")&amp;IF((COUNTIFS(B11:AF11,"?*",$B$52:$AF$52,1)-SUMPRODUCT(COUNTIFS(B11:AF11,Codes,$B$52:$AF$52,1)*(Codes&lt;&gt;"")*Erste))&gt;0,IF(COUNTIF(B60:AF60,1)&gt;0,"; ","")&amp;(COUNTIFS(B11:AF11,"?*",$B$52:$AF$52,1)-SUMPRODUCT(COUNTIFS(B11:AF11,Codes,$B$52:$AF$52,1)*(Codes&lt;&gt;"")*Erste))&amp;"× unbekanntes Kürzel",""))</f>
      </c>
    </row>
    <row r="12" spans="1:38" x14ac:dyDescent="0.25">
      <c r="A12" s="33">
        <f>Mitarbeiter!$A$11&amp;""</f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5">
        <f>IF($A12="","",SUMPRODUCT(COUNTIFS(B12:AF12,Codes,$B$52:$AF$52,1)*(Arten="Arbeit")*Erste*NettoTage)+SUMPRODUCT(COUNTIFS(B12:AF12,Codes,$B$53:$AF$53,1)*((Arten="Urlaub")+(Arten="Krank")+(Arten="Bezahlt abwesend"))*Erste)*N(Mitarbeiter!$B$11)/5/24)</f>
      </c>
      <c r="AH12" s="35">
        <f>IF($A12="","",N(Mitarbeiter!$B$11)/5/24*SUM($B$53:$AF$53))</f>
      </c>
      <c r="AI12" s="36">
        <f>IF($A12="","",IF((AG12-AH12)&lt;0,"-","+")&amp;TEXT(ABS((AG12-AH12)),"[h]:mm"))</f>
      </c>
      <c r="AJ12" s="37">
        <f>IF($A12="","",SUMPRODUCT(COUNTIFS(B12:AF12,Codes,$B$53:$AF$53,1)*(Arten="Urlaub")*Erste))</f>
      </c>
      <c r="AK12" s="37">
        <f>IF($A12="","",SUMPRODUCT(COUNTIFS(B12:AF12,Codes,$B$53:$AF$53,1)*(Arten="Krank")*Erste))</f>
      </c>
      <c r="AL12" s="38">
        <f>IF($A12="","",IF(COUNTIF(B61:AF61,1)&gt;0,COUNTIF(B61:AF61,1)&amp;"× Ruhezeit unter 11 Std. (§ 5)","")&amp;IF((COUNTIFS(B12:AF12,"?*",$B$52:$AF$52,1)-SUMPRODUCT(COUNTIFS(B12:AF12,Codes,$B$52:$AF$52,1)*(Codes&lt;&gt;"")*Erste))&gt;0,IF(COUNTIF(B61:AF61,1)&gt;0,"; ","")&amp;(COUNTIFS(B12:AF12,"?*",$B$52:$AF$52,1)-SUMPRODUCT(COUNTIFS(B12:AF12,Codes,$B$52:$AF$52,1)*(Codes&lt;&gt;"")*Erste))&amp;"× unbekanntes Kürzel",""))</f>
      </c>
    </row>
    <row r="13" spans="1:38" x14ac:dyDescent="0.25">
      <c r="A13" s="33">
        <f>Mitarbeiter!$A$12&amp;""</f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5">
        <f>IF($A13="","",SUMPRODUCT(COUNTIFS(B13:AF13,Codes,$B$52:$AF$52,1)*(Arten="Arbeit")*Erste*NettoTage)+SUMPRODUCT(COUNTIFS(B13:AF13,Codes,$B$53:$AF$53,1)*((Arten="Urlaub")+(Arten="Krank")+(Arten="Bezahlt abwesend"))*Erste)*N(Mitarbeiter!$B$12)/5/24)</f>
      </c>
      <c r="AH13" s="35">
        <f>IF($A13="","",N(Mitarbeiter!$B$12)/5/24*SUM($B$53:$AF$53))</f>
      </c>
      <c r="AI13" s="36">
        <f>IF($A13="","",IF((AG13-AH13)&lt;0,"-","+")&amp;TEXT(ABS((AG13-AH13)),"[h]:mm"))</f>
      </c>
      <c r="AJ13" s="37">
        <f>IF($A13="","",SUMPRODUCT(COUNTIFS(B13:AF13,Codes,$B$53:$AF$53,1)*(Arten="Urlaub")*Erste))</f>
      </c>
      <c r="AK13" s="37">
        <f>IF($A13="","",SUMPRODUCT(COUNTIFS(B13:AF13,Codes,$B$53:$AF$53,1)*(Arten="Krank")*Erste))</f>
      </c>
      <c r="AL13" s="38">
        <f>IF($A13="","",IF(COUNTIF(B62:AF62,1)&gt;0,COUNTIF(B62:AF62,1)&amp;"× Ruhezeit unter 11 Std. (§ 5)","")&amp;IF((COUNTIFS(B13:AF13,"?*",$B$52:$AF$52,1)-SUMPRODUCT(COUNTIFS(B13:AF13,Codes,$B$52:$AF$52,1)*(Codes&lt;&gt;"")*Erste))&gt;0,IF(COUNTIF(B62:AF62,1)&gt;0,"; ","")&amp;(COUNTIFS(B13:AF13,"?*",$B$52:$AF$52,1)-SUMPRODUCT(COUNTIFS(B13:AF13,Codes,$B$52:$AF$52,1)*(Codes&lt;&gt;"")*Erste))&amp;"× unbekanntes Kürzel",""))</f>
      </c>
    </row>
    <row r="14" spans="1:38" x14ac:dyDescent="0.25">
      <c r="A14" s="33">
        <f>Mitarbeiter!$A$13&amp;""</f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5">
        <f>IF($A14="","",SUMPRODUCT(COUNTIFS(B14:AF14,Codes,$B$52:$AF$52,1)*(Arten="Arbeit")*Erste*NettoTage)+SUMPRODUCT(COUNTIFS(B14:AF14,Codes,$B$53:$AF$53,1)*((Arten="Urlaub")+(Arten="Krank")+(Arten="Bezahlt abwesend"))*Erste)*N(Mitarbeiter!$B$13)/5/24)</f>
      </c>
      <c r="AH14" s="35">
        <f>IF($A14="","",N(Mitarbeiter!$B$13)/5/24*SUM($B$53:$AF$53))</f>
      </c>
      <c r="AI14" s="36">
        <f>IF($A14="","",IF((AG14-AH14)&lt;0,"-","+")&amp;TEXT(ABS((AG14-AH14)),"[h]:mm"))</f>
      </c>
      <c r="AJ14" s="37">
        <f>IF($A14="","",SUMPRODUCT(COUNTIFS(B14:AF14,Codes,$B$53:$AF$53,1)*(Arten="Urlaub")*Erste))</f>
      </c>
      <c r="AK14" s="37">
        <f>IF($A14="","",SUMPRODUCT(COUNTIFS(B14:AF14,Codes,$B$53:$AF$53,1)*(Arten="Krank")*Erste))</f>
      </c>
      <c r="AL14" s="38">
        <f>IF($A14="","",IF(COUNTIF(B63:AF63,1)&gt;0,COUNTIF(B63:AF63,1)&amp;"× Ruhezeit unter 11 Std. (§ 5)","")&amp;IF((COUNTIFS(B14:AF14,"?*",$B$52:$AF$52,1)-SUMPRODUCT(COUNTIFS(B14:AF14,Codes,$B$52:$AF$52,1)*(Codes&lt;&gt;"")*Erste))&gt;0,IF(COUNTIF(B63:AF63,1)&gt;0,"; ","")&amp;(COUNTIFS(B14:AF14,"?*",$B$52:$AF$52,1)-SUMPRODUCT(COUNTIFS(B14:AF14,Codes,$B$52:$AF$52,1)*(Codes&lt;&gt;"")*Erste))&amp;"× unbekanntes Kürzel",""))</f>
      </c>
    </row>
    <row r="15" spans="1:38" x14ac:dyDescent="0.25">
      <c r="A15" s="33">
        <f>Mitarbeiter!$A$14&amp;""</f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5">
        <f>IF($A15="","",SUMPRODUCT(COUNTIFS(B15:AF15,Codes,$B$52:$AF$52,1)*(Arten="Arbeit")*Erste*NettoTage)+SUMPRODUCT(COUNTIFS(B15:AF15,Codes,$B$53:$AF$53,1)*((Arten="Urlaub")+(Arten="Krank")+(Arten="Bezahlt abwesend"))*Erste)*N(Mitarbeiter!$B$14)/5/24)</f>
      </c>
      <c r="AH15" s="35">
        <f>IF($A15="","",N(Mitarbeiter!$B$14)/5/24*SUM($B$53:$AF$53))</f>
      </c>
      <c r="AI15" s="36">
        <f>IF($A15="","",IF((AG15-AH15)&lt;0,"-","+")&amp;TEXT(ABS((AG15-AH15)),"[h]:mm"))</f>
      </c>
      <c r="AJ15" s="37">
        <f>IF($A15="","",SUMPRODUCT(COUNTIFS(B15:AF15,Codes,$B$53:$AF$53,1)*(Arten="Urlaub")*Erste))</f>
      </c>
      <c r="AK15" s="37">
        <f>IF($A15="","",SUMPRODUCT(COUNTIFS(B15:AF15,Codes,$B$53:$AF$53,1)*(Arten="Krank")*Erste))</f>
      </c>
      <c r="AL15" s="38">
        <f>IF($A15="","",IF(COUNTIF(B64:AF64,1)&gt;0,COUNTIF(B64:AF64,1)&amp;"× Ruhezeit unter 11 Std. (§ 5)","")&amp;IF((COUNTIFS(B15:AF15,"?*",$B$52:$AF$52,1)-SUMPRODUCT(COUNTIFS(B15:AF15,Codes,$B$52:$AF$52,1)*(Codes&lt;&gt;"")*Erste))&gt;0,IF(COUNTIF(B64:AF64,1)&gt;0,"; ","")&amp;(COUNTIFS(B15:AF15,"?*",$B$52:$AF$52,1)-SUMPRODUCT(COUNTIFS(B15:AF15,Codes,$B$52:$AF$52,1)*(Codes&lt;&gt;"")*Erste))&amp;"× unbekanntes Kürzel",""))</f>
      </c>
    </row>
    <row r="16" spans="1:38" x14ac:dyDescent="0.25">
      <c r="A16" s="33">
        <f>Mitarbeiter!$A$15&amp;""</f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5">
        <f>IF($A16="","",SUMPRODUCT(COUNTIFS(B16:AF16,Codes,$B$52:$AF$52,1)*(Arten="Arbeit")*Erste*NettoTage)+SUMPRODUCT(COUNTIFS(B16:AF16,Codes,$B$53:$AF$53,1)*((Arten="Urlaub")+(Arten="Krank")+(Arten="Bezahlt abwesend"))*Erste)*N(Mitarbeiter!$B$15)/5/24)</f>
      </c>
      <c r="AH16" s="35">
        <f>IF($A16="","",N(Mitarbeiter!$B$15)/5/24*SUM($B$53:$AF$53))</f>
      </c>
      <c r="AI16" s="36">
        <f>IF($A16="","",IF((AG16-AH16)&lt;0,"-","+")&amp;TEXT(ABS((AG16-AH16)),"[h]:mm"))</f>
      </c>
      <c r="AJ16" s="37">
        <f>IF($A16="","",SUMPRODUCT(COUNTIFS(B16:AF16,Codes,$B$53:$AF$53,1)*(Arten="Urlaub")*Erste))</f>
      </c>
      <c r="AK16" s="37">
        <f>IF($A16="","",SUMPRODUCT(COUNTIFS(B16:AF16,Codes,$B$53:$AF$53,1)*(Arten="Krank")*Erste))</f>
      </c>
      <c r="AL16" s="38">
        <f>IF($A16="","",IF(COUNTIF(B65:AF65,1)&gt;0,COUNTIF(B65:AF65,1)&amp;"× Ruhezeit unter 11 Std. (§ 5)","")&amp;IF((COUNTIFS(B16:AF16,"?*",$B$52:$AF$52,1)-SUMPRODUCT(COUNTIFS(B16:AF16,Codes,$B$52:$AF$52,1)*(Codes&lt;&gt;"")*Erste))&gt;0,IF(COUNTIF(B65:AF65,1)&gt;0,"; ","")&amp;(COUNTIFS(B16:AF16,"?*",$B$52:$AF$52,1)-SUMPRODUCT(COUNTIFS(B16:AF16,Codes,$B$52:$AF$52,1)*(Codes&lt;&gt;"")*Erste))&amp;"× unbekanntes Kürzel",""))</f>
      </c>
    </row>
    <row r="17" spans="1:38" x14ac:dyDescent="0.25">
      <c r="A17" s="33">
        <f>Mitarbeiter!$A$16&amp;""</f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5">
        <f>IF($A17="","",SUMPRODUCT(COUNTIFS(B17:AF17,Codes,$B$52:$AF$52,1)*(Arten="Arbeit")*Erste*NettoTage)+SUMPRODUCT(COUNTIFS(B17:AF17,Codes,$B$53:$AF$53,1)*((Arten="Urlaub")+(Arten="Krank")+(Arten="Bezahlt abwesend"))*Erste)*N(Mitarbeiter!$B$16)/5/24)</f>
      </c>
      <c r="AH17" s="35">
        <f>IF($A17="","",N(Mitarbeiter!$B$16)/5/24*SUM($B$53:$AF$53))</f>
      </c>
      <c r="AI17" s="36">
        <f>IF($A17="","",IF((AG17-AH17)&lt;0,"-","+")&amp;TEXT(ABS((AG17-AH17)),"[h]:mm"))</f>
      </c>
      <c r="AJ17" s="37">
        <f>IF($A17="","",SUMPRODUCT(COUNTIFS(B17:AF17,Codes,$B$53:$AF$53,1)*(Arten="Urlaub")*Erste))</f>
      </c>
      <c r="AK17" s="37">
        <f>IF($A17="","",SUMPRODUCT(COUNTIFS(B17:AF17,Codes,$B$53:$AF$53,1)*(Arten="Krank")*Erste))</f>
      </c>
      <c r="AL17" s="38">
        <f>IF($A17="","",IF(COUNTIF(B66:AF66,1)&gt;0,COUNTIF(B66:AF66,1)&amp;"× Ruhezeit unter 11 Std. (§ 5)","")&amp;IF((COUNTIFS(B17:AF17,"?*",$B$52:$AF$52,1)-SUMPRODUCT(COUNTIFS(B17:AF17,Codes,$B$52:$AF$52,1)*(Codes&lt;&gt;"")*Erste))&gt;0,IF(COUNTIF(B66:AF66,1)&gt;0,"; ","")&amp;(COUNTIFS(B17:AF17,"?*",$B$52:$AF$52,1)-SUMPRODUCT(COUNTIFS(B17:AF17,Codes,$B$52:$AF$52,1)*(Codes&lt;&gt;"")*Erste))&amp;"× unbekanntes Kürzel",""))</f>
      </c>
    </row>
    <row r="18" spans="1:38" x14ac:dyDescent="0.25">
      <c r="A18" s="33">
        <f>Mitarbeiter!$A$17&amp;""</f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5">
        <f>IF($A18="","",SUMPRODUCT(COUNTIFS(B18:AF18,Codes,$B$52:$AF$52,1)*(Arten="Arbeit")*Erste*NettoTage)+SUMPRODUCT(COUNTIFS(B18:AF18,Codes,$B$53:$AF$53,1)*((Arten="Urlaub")+(Arten="Krank")+(Arten="Bezahlt abwesend"))*Erste)*N(Mitarbeiter!$B$17)/5/24)</f>
      </c>
      <c r="AH18" s="35">
        <f>IF($A18="","",N(Mitarbeiter!$B$17)/5/24*SUM($B$53:$AF$53))</f>
      </c>
      <c r="AI18" s="36">
        <f>IF($A18="","",IF((AG18-AH18)&lt;0,"-","+")&amp;TEXT(ABS((AG18-AH18)),"[h]:mm"))</f>
      </c>
      <c r="AJ18" s="37">
        <f>IF($A18="","",SUMPRODUCT(COUNTIFS(B18:AF18,Codes,$B$53:$AF$53,1)*(Arten="Urlaub")*Erste))</f>
      </c>
      <c r="AK18" s="37">
        <f>IF($A18="","",SUMPRODUCT(COUNTIFS(B18:AF18,Codes,$B$53:$AF$53,1)*(Arten="Krank")*Erste))</f>
      </c>
      <c r="AL18" s="38">
        <f>IF($A18="","",IF(COUNTIF(B67:AF67,1)&gt;0,COUNTIF(B67:AF67,1)&amp;"× Ruhezeit unter 11 Std. (§ 5)","")&amp;IF((COUNTIFS(B18:AF18,"?*",$B$52:$AF$52,1)-SUMPRODUCT(COUNTIFS(B18:AF18,Codes,$B$52:$AF$52,1)*(Codes&lt;&gt;"")*Erste))&gt;0,IF(COUNTIF(B67:AF67,1)&gt;0,"; ","")&amp;(COUNTIFS(B18:AF18,"?*",$B$52:$AF$52,1)-SUMPRODUCT(COUNTIFS(B18:AF18,Codes,$B$52:$AF$52,1)*(Codes&lt;&gt;"")*Erste))&amp;"× unbekanntes Kürzel",""))</f>
      </c>
    </row>
    <row r="19" spans="1:38" x14ac:dyDescent="0.25">
      <c r="A19" s="33">
        <f>Mitarbeiter!$A$18&amp;""</f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5">
        <f>IF($A19="","",SUMPRODUCT(COUNTIFS(B19:AF19,Codes,$B$52:$AF$52,1)*(Arten="Arbeit")*Erste*NettoTage)+SUMPRODUCT(COUNTIFS(B19:AF19,Codes,$B$53:$AF$53,1)*((Arten="Urlaub")+(Arten="Krank")+(Arten="Bezahlt abwesend"))*Erste)*N(Mitarbeiter!$B$18)/5/24)</f>
      </c>
      <c r="AH19" s="35">
        <f>IF($A19="","",N(Mitarbeiter!$B$18)/5/24*SUM($B$53:$AF$53))</f>
      </c>
      <c r="AI19" s="36">
        <f>IF($A19="","",IF((AG19-AH19)&lt;0,"-","+")&amp;TEXT(ABS((AG19-AH19)),"[h]:mm"))</f>
      </c>
      <c r="AJ19" s="37">
        <f>IF($A19="","",SUMPRODUCT(COUNTIFS(B19:AF19,Codes,$B$53:$AF$53,1)*(Arten="Urlaub")*Erste))</f>
      </c>
      <c r="AK19" s="37">
        <f>IF($A19="","",SUMPRODUCT(COUNTIFS(B19:AF19,Codes,$B$53:$AF$53,1)*(Arten="Krank")*Erste))</f>
      </c>
      <c r="AL19" s="38">
        <f>IF($A19="","",IF(COUNTIF(B68:AF68,1)&gt;0,COUNTIF(B68:AF68,1)&amp;"× Ruhezeit unter 11 Std. (§ 5)","")&amp;IF((COUNTIFS(B19:AF19,"?*",$B$52:$AF$52,1)-SUMPRODUCT(COUNTIFS(B19:AF19,Codes,$B$52:$AF$52,1)*(Codes&lt;&gt;"")*Erste))&gt;0,IF(COUNTIF(B68:AF68,1)&gt;0,"; ","")&amp;(COUNTIFS(B19:AF19,"?*",$B$52:$AF$52,1)-SUMPRODUCT(COUNTIFS(B19:AF19,Codes,$B$52:$AF$52,1)*(Codes&lt;&gt;"")*Erste))&amp;"× unbekanntes Kürzel",""))</f>
      </c>
    </row>
    <row r="20" spans="1:38" x14ac:dyDescent="0.25">
      <c r="A20" s="33">
        <f>Mitarbeiter!$A$19&amp;""</f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5">
        <f>IF($A20="","",SUMPRODUCT(COUNTIFS(B20:AF20,Codes,$B$52:$AF$52,1)*(Arten="Arbeit")*Erste*NettoTage)+SUMPRODUCT(COUNTIFS(B20:AF20,Codes,$B$53:$AF$53,1)*((Arten="Urlaub")+(Arten="Krank")+(Arten="Bezahlt abwesend"))*Erste)*N(Mitarbeiter!$B$19)/5/24)</f>
      </c>
      <c r="AH20" s="35">
        <f>IF($A20="","",N(Mitarbeiter!$B$19)/5/24*SUM($B$53:$AF$53))</f>
      </c>
      <c r="AI20" s="36">
        <f>IF($A20="","",IF((AG20-AH20)&lt;0,"-","+")&amp;TEXT(ABS((AG20-AH20)),"[h]:mm"))</f>
      </c>
      <c r="AJ20" s="37">
        <f>IF($A20="","",SUMPRODUCT(COUNTIFS(B20:AF20,Codes,$B$53:$AF$53,1)*(Arten="Urlaub")*Erste))</f>
      </c>
      <c r="AK20" s="37">
        <f>IF($A20="","",SUMPRODUCT(COUNTIFS(B20:AF20,Codes,$B$53:$AF$53,1)*(Arten="Krank")*Erste))</f>
      </c>
      <c r="AL20" s="38">
        <f>IF($A20="","",IF(COUNTIF(B69:AF69,1)&gt;0,COUNTIF(B69:AF69,1)&amp;"× Ruhezeit unter 11 Std. (§ 5)","")&amp;IF((COUNTIFS(B20:AF20,"?*",$B$52:$AF$52,1)-SUMPRODUCT(COUNTIFS(B20:AF20,Codes,$B$52:$AF$52,1)*(Codes&lt;&gt;"")*Erste))&gt;0,IF(COUNTIF(B69:AF69,1)&gt;0,"; ","")&amp;(COUNTIFS(B20:AF20,"?*",$B$52:$AF$52,1)-SUMPRODUCT(COUNTIFS(B20:AF20,Codes,$B$52:$AF$52,1)*(Codes&lt;&gt;"")*Erste))&amp;"× unbekanntes Kürzel",""))</f>
      </c>
    </row>
    <row r="21" spans="1:38" x14ac:dyDescent="0.25">
      <c r="A21" s="33">
        <f>Mitarbeiter!$A$20&amp;""</f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5">
        <f>IF($A21="","",SUMPRODUCT(COUNTIFS(B21:AF21,Codes,$B$52:$AF$52,1)*(Arten="Arbeit")*Erste*NettoTage)+SUMPRODUCT(COUNTIFS(B21:AF21,Codes,$B$53:$AF$53,1)*((Arten="Urlaub")+(Arten="Krank")+(Arten="Bezahlt abwesend"))*Erste)*N(Mitarbeiter!$B$20)/5/24)</f>
      </c>
      <c r="AH21" s="35">
        <f>IF($A21="","",N(Mitarbeiter!$B$20)/5/24*SUM($B$53:$AF$53))</f>
      </c>
      <c r="AI21" s="36">
        <f>IF($A21="","",IF((AG21-AH21)&lt;0,"-","+")&amp;TEXT(ABS((AG21-AH21)),"[h]:mm"))</f>
      </c>
      <c r="AJ21" s="37">
        <f>IF($A21="","",SUMPRODUCT(COUNTIFS(B21:AF21,Codes,$B$53:$AF$53,1)*(Arten="Urlaub")*Erste))</f>
      </c>
      <c r="AK21" s="37">
        <f>IF($A21="","",SUMPRODUCT(COUNTIFS(B21:AF21,Codes,$B$53:$AF$53,1)*(Arten="Krank")*Erste))</f>
      </c>
      <c r="AL21" s="38">
        <f>IF($A21="","",IF(COUNTIF(B70:AF70,1)&gt;0,COUNTIF(B70:AF70,1)&amp;"× Ruhezeit unter 11 Std. (§ 5)","")&amp;IF((COUNTIFS(B21:AF21,"?*",$B$52:$AF$52,1)-SUMPRODUCT(COUNTIFS(B21:AF21,Codes,$B$52:$AF$52,1)*(Codes&lt;&gt;"")*Erste))&gt;0,IF(COUNTIF(B70:AF70,1)&gt;0,"; ","")&amp;(COUNTIFS(B21:AF21,"?*",$B$52:$AF$52,1)-SUMPRODUCT(COUNTIFS(B21:AF21,Codes,$B$52:$AF$52,1)*(Codes&lt;&gt;"")*Erste))&amp;"× unbekanntes Kürzel",""))</f>
      </c>
    </row>
    <row r="22" spans="1:38" x14ac:dyDescent="0.25">
      <c r="A22" s="33">
        <f>Mitarbeiter!$A$21&amp;""</f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5">
        <f>IF($A22="","",SUMPRODUCT(COUNTIFS(B22:AF22,Codes,$B$52:$AF$52,1)*(Arten="Arbeit")*Erste*NettoTage)+SUMPRODUCT(COUNTIFS(B22:AF22,Codes,$B$53:$AF$53,1)*((Arten="Urlaub")+(Arten="Krank")+(Arten="Bezahlt abwesend"))*Erste)*N(Mitarbeiter!$B$21)/5/24)</f>
      </c>
      <c r="AH22" s="35">
        <f>IF($A22="","",N(Mitarbeiter!$B$21)/5/24*SUM($B$53:$AF$53))</f>
      </c>
      <c r="AI22" s="36">
        <f>IF($A22="","",IF((AG22-AH22)&lt;0,"-","+")&amp;TEXT(ABS((AG22-AH22)),"[h]:mm"))</f>
      </c>
      <c r="AJ22" s="37">
        <f>IF($A22="","",SUMPRODUCT(COUNTIFS(B22:AF22,Codes,$B$53:$AF$53,1)*(Arten="Urlaub")*Erste))</f>
      </c>
      <c r="AK22" s="37">
        <f>IF($A22="","",SUMPRODUCT(COUNTIFS(B22:AF22,Codes,$B$53:$AF$53,1)*(Arten="Krank")*Erste))</f>
      </c>
      <c r="AL22" s="38">
        <f>IF($A22="","",IF(COUNTIF(B71:AF71,1)&gt;0,COUNTIF(B71:AF71,1)&amp;"× Ruhezeit unter 11 Std. (§ 5)","")&amp;IF((COUNTIFS(B22:AF22,"?*",$B$52:$AF$52,1)-SUMPRODUCT(COUNTIFS(B22:AF22,Codes,$B$52:$AF$52,1)*(Codes&lt;&gt;"")*Erste))&gt;0,IF(COUNTIF(B71:AF71,1)&gt;0,"; ","")&amp;(COUNTIFS(B22:AF22,"?*",$B$52:$AF$52,1)-SUMPRODUCT(COUNTIFS(B22:AF22,Codes,$B$52:$AF$52,1)*(Codes&lt;&gt;"")*Erste))&amp;"× unbekanntes Kürzel",""))</f>
      </c>
    </row>
    <row r="23" spans="1:38" x14ac:dyDescent="0.25">
      <c r="A23" s="33">
        <f>Mitarbeiter!$A$22&amp;""</f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5">
        <f>IF($A23="","",SUMPRODUCT(COUNTIFS(B23:AF23,Codes,$B$52:$AF$52,1)*(Arten="Arbeit")*Erste*NettoTage)+SUMPRODUCT(COUNTIFS(B23:AF23,Codes,$B$53:$AF$53,1)*((Arten="Urlaub")+(Arten="Krank")+(Arten="Bezahlt abwesend"))*Erste)*N(Mitarbeiter!$B$22)/5/24)</f>
      </c>
      <c r="AH23" s="35">
        <f>IF($A23="","",N(Mitarbeiter!$B$22)/5/24*SUM($B$53:$AF$53))</f>
      </c>
      <c r="AI23" s="36">
        <f>IF($A23="","",IF((AG23-AH23)&lt;0,"-","+")&amp;TEXT(ABS((AG23-AH23)),"[h]:mm"))</f>
      </c>
      <c r="AJ23" s="37">
        <f>IF($A23="","",SUMPRODUCT(COUNTIFS(B23:AF23,Codes,$B$53:$AF$53,1)*(Arten="Urlaub")*Erste))</f>
      </c>
      <c r="AK23" s="37">
        <f>IF($A23="","",SUMPRODUCT(COUNTIFS(B23:AF23,Codes,$B$53:$AF$53,1)*(Arten="Krank")*Erste))</f>
      </c>
      <c r="AL23" s="38">
        <f>IF($A23="","",IF(COUNTIF(B72:AF72,1)&gt;0,COUNTIF(B72:AF72,1)&amp;"× Ruhezeit unter 11 Std. (§ 5)","")&amp;IF((COUNTIFS(B23:AF23,"?*",$B$52:$AF$52,1)-SUMPRODUCT(COUNTIFS(B23:AF23,Codes,$B$52:$AF$52,1)*(Codes&lt;&gt;"")*Erste))&gt;0,IF(COUNTIF(B72:AF72,1)&gt;0,"; ","")&amp;(COUNTIFS(B23:AF23,"?*",$B$52:$AF$52,1)-SUMPRODUCT(COUNTIFS(B23:AF23,Codes,$B$52:$AF$52,1)*(Codes&lt;&gt;"")*Erste))&amp;"× unbekanntes Kürzel",""))</f>
      </c>
    </row>
    <row r="24" spans="1:38" x14ac:dyDescent="0.25">
      <c r="A24" s="33">
        <f>Mitarbeiter!$A$23&amp;""</f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5">
        <f>IF($A24="","",SUMPRODUCT(COUNTIFS(B24:AF24,Codes,$B$52:$AF$52,1)*(Arten="Arbeit")*Erste*NettoTage)+SUMPRODUCT(COUNTIFS(B24:AF24,Codes,$B$53:$AF$53,1)*((Arten="Urlaub")+(Arten="Krank")+(Arten="Bezahlt abwesend"))*Erste)*N(Mitarbeiter!$B$23)/5/24)</f>
      </c>
      <c r="AH24" s="35">
        <f>IF($A24="","",N(Mitarbeiter!$B$23)/5/24*SUM($B$53:$AF$53))</f>
      </c>
      <c r="AI24" s="36">
        <f>IF($A24="","",IF((AG24-AH24)&lt;0,"-","+")&amp;TEXT(ABS((AG24-AH24)),"[h]:mm"))</f>
      </c>
      <c r="AJ24" s="37">
        <f>IF($A24="","",SUMPRODUCT(COUNTIFS(B24:AF24,Codes,$B$53:$AF$53,1)*(Arten="Urlaub")*Erste))</f>
      </c>
      <c r="AK24" s="37">
        <f>IF($A24="","",SUMPRODUCT(COUNTIFS(B24:AF24,Codes,$B$53:$AF$53,1)*(Arten="Krank")*Erste))</f>
      </c>
      <c r="AL24" s="38">
        <f>IF($A24="","",IF(COUNTIF(B73:AF73,1)&gt;0,COUNTIF(B73:AF73,1)&amp;"× Ruhezeit unter 11 Std. (§ 5)","")&amp;IF((COUNTIFS(B24:AF24,"?*",$B$52:$AF$52,1)-SUMPRODUCT(COUNTIFS(B24:AF24,Codes,$B$52:$AF$52,1)*(Codes&lt;&gt;"")*Erste))&gt;0,IF(COUNTIF(B73:AF73,1)&gt;0,"; ","")&amp;(COUNTIFS(B24:AF24,"?*",$B$52:$AF$52,1)-SUMPRODUCT(COUNTIFS(B24:AF24,Codes,$B$52:$AF$52,1)*(Codes&lt;&gt;"")*Erste))&amp;"× unbekanntes Kürzel",""))</f>
      </c>
    </row>
    <row r="25" spans="1:38" x14ac:dyDescent="0.25">
      <c r="A25" s="33">
        <f>Mitarbeiter!$A$24&amp;""</f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5">
        <f>IF($A25="","",SUMPRODUCT(COUNTIFS(B25:AF25,Codes,$B$52:$AF$52,1)*(Arten="Arbeit")*Erste*NettoTage)+SUMPRODUCT(COUNTIFS(B25:AF25,Codes,$B$53:$AF$53,1)*((Arten="Urlaub")+(Arten="Krank")+(Arten="Bezahlt abwesend"))*Erste)*N(Mitarbeiter!$B$24)/5/24)</f>
      </c>
      <c r="AH25" s="35">
        <f>IF($A25="","",N(Mitarbeiter!$B$24)/5/24*SUM($B$53:$AF$53))</f>
      </c>
      <c r="AI25" s="36">
        <f>IF($A25="","",IF((AG25-AH25)&lt;0,"-","+")&amp;TEXT(ABS((AG25-AH25)),"[h]:mm"))</f>
      </c>
      <c r="AJ25" s="37">
        <f>IF($A25="","",SUMPRODUCT(COUNTIFS(B25:AF25,Codes,$B$53:$AF$53,1)*(Arten="Urlaub")*Erste))</f>
      </c>
      <c r="AK25" s="37">
        <f>IF($A25="","",SUMPRODUCT(COUNTIFS(B25:AF25,Codes,$B$53:$AF$53,1)*(Arten="Krank")*Erste))</f>
      </c>
      <c r="AL25" s="38">
        <f>IF($A25="","",IF(COUNTIF(B74:AF74,1)&gt;0,COUNTIF(B74:AF74,1)&amp;"× Ruhezeit unter 11 Std. (§ 5)","")&amp;IF((COUNTIFS(B25:AF25,"?*",$B$52:$AF$52,1)-SUMPRODUCT(COUNTIFS(B25:AF25,Codes,$B$52:$AF$52,1)*(Codes&lt;&gt;"")*Erste))&gt;0,IF(COUNTIF(B74:AF74,1)&gt;0,"; ","")&amp;(COUNTIFS(B25:AF25,"?*",$B$52:$AF$52,1)-SUMPRODUCT(COUNTIFS(B25:AF25,Codes,$B$52:$AF$52,1)*(Codes&lt;&gt;"")*Erste))&amp;"× unbekanntes Kürzel",""))</f>
      </c>
    </row>
    <row r="26" spans="1:38" x14ac:dyDescent="0.25">
      <c r="A26" s="33">
        <f>Mitarbeiter!$A$25&amp;""</f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5">
        <f>IF($A26="","",SUMPRODUCT(COUNTIFS(B26:AF26,Codes,$B$52:$AF$52,1)*(Arten="Arbeit")*Erste*NettoTage)+SUMPRODUCT(COUNTIFS(B26:AF26,Codes,$B$53:$AF$53,1)*((Arten="Urlaub")+(Arten="Krank")+(Arten="Bezahlt abwesend"))*Erste)*N(Mitarbeiter!$B$25)/5/24)</f>
      </c>
      <c r="AH26" s="35">
        <f>IF($A26="","",N(Mitarbeiter!$B$25)/5/24*SUM($B$53:$AF$53))</f>
      </c>
      <c r="AI26" s="36">
        <f>IF($A26="","",IF((AG26-AH26)&lt;0,"-","+")&amp;TEXT(ABS((AG26-AH26)),"[h]:mm"))</f>
      </c>
      <c r="AJ26" s="37">
        <f>IF($A26="","",SUMPRODUCT(COUNTIFS(B26:AF26,Codes,$B$53:$AF$53,1)*(Arten="Urlaub")*Erste))</f>
      </c>
      <c r="AK26" s="37">
        <f>IF($A26="","",SUMPRODUCT(COUNTIFS(B26:AF26,Codes,$B$53:$AF$53,1)*(Arten="Krank")*Erste))</f>
      </c>
      <c r="AL26" s="38">
        <f>IF($A26="","",IF(COUNTIF(B75:AF75,1)&gt;0,COUNTIF(B75:AF75,1)&amp;"× Ruhezeit unter 11 Std. (§ 5)","")&amp;IF((COUNTIFS(B26:AF26,"?*",$B$52:$AF$52,1)-SUMPRODUCT(COUNTIFS(B26:AF26,Codes,$B$52:$AF$52,1)*(Codes&lt;&gt;"")*Erste))&gt;0,IF(COUNTIF(B75:AF75,1)&gt;0,"; ","")&amp;(COUNTIFS(B26:AF26,"?*",$B$52:$AF$52,1)-SUMPRODUCT(COUNTIFS(B26:AF26,Codes,$B$52:$AF$52,1)*(Codes&lt;&gt;"")*Erste))&amp;"× unbekanntes Kürzel",""))</f>
      </c>
    </row>
    <row r="27" spans="1:38" x14ac:dyDescent="0.25">
      <c r="A27" s="33">
        <f>Mitarbeiter!$A$26&amp;""</f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5">
        <f>IF($A27="","",SUMPRODUCT(COUNTIFS(B27:AF27,Codes,$B$52:$AF$52,1)*(Arten="Arbeit")*Erste*NettoTage)+SUMPRODUCT(COUNTIFS(B27:AF27,Codes,$B$53:$AF$53,1)*((Arten="Urlaub")+(Arten="Krank")+(Arten="Bezahlt abwesend"))*Erste)*N(Mitarbeiter!$B$26)/5/24)</f>
      </c>
      <c r="AH27" s="35">
        <f>IF($A27="","",N(Mitarbeiter!$B$26)/5/24*SUM($B$53:$AF$53))</f>
      </c>
      <c r="AI27" s="36">
        <f>IF($A27="","",IF((AG27-AH27)&lt;0,"-","+")&amp;TEXT(ABS((AG27-AH27)),"[h]:mm"))</f>
      </c>
      <c r="AJ27" s="37">
        <f>IF($A27="","",SUMPRODUCT(COUNTIFS(B27:AF27,Codes,$B$53:$AF$53,1)*(Arten="Urlaub")*Erste))</f>
      </c>
      <c r="AK27" s="37">
        <f>IF($A27="","",SUMPRODUCT(COUNTIFS(B27:AF27,Codes,$B$53:$AF$53,1)*(Arten="Krank")*Erste))</f>
      </c>
      <c r="AL27" s="38">
        <f>IF($A27="","",IF(COUNTIF(B76:AF76,1)&gt;0,COUNTIF(B76:AF76,1)&amp;"× Ruhezeit unter 11 Std. (§ 5)","")&amp;IF((COUNTIFS(B27:AF27,"?*",$B$52:$AF$52,1)-SUMPRODUCT(COUNTIFS(B27:AF27,Codes,$B$52:$AF$52,1)*(Codes&lt;&gt;"")*Erste))&gt;0,IF(COUNTIF(B76:AF76,1)&gt;0,"; ","")&amp;(COUNTIFS(B27:AF27,"?*",$B$52:$AF$52,1)-SUMPRODUCT(COUNTIFS(B27:AF27,Codes,$B$52:$AF$52,1)*(Codes&lt;&gt;"")*Erste))&amp;"× unbekanntes Kürzel",""))</f>
      </c>
    </row>
    <row r="28" spans="1:38" x14ac:dyDescent="0.25">
      <c r="A28" s="33">
        <f>Mitarbeiter!$A$27&amp;""</f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5">
        <f>IF($A28="","",SUMPRODUCT(COUNTIFS(B28:AF28,Codes,$B$52:$AF$52,1)*(Arten="Arbeit")*Erste*NettoTage)+SUMPRODUCT(COUNTIFS(B28:AF28,Codes,$B$53:$AF$53,1)*((Arten="Urlaub")+(Arten="Krank")+(Arten="Bezahlt abwesend"))*Erste)*N(Mitarbeiter!$B$27)/5/24)</f>
      </c>
      <c r="AH28" s="35">
        <f>IF($A28="","",N(Mitarbeiter!$B$27)/5/24*SUM($B$53:$AF$53))</f>
      </c>
      <c r="AI28" s="36">
        <f>IF($A28="","",IF((AG28-AH28)&lt;0,"-","+")&amp;TEXT(ABS((AG28-AH28)),"[h]:mm"))</f>
      </c>
      <c r="AJ28" s="37">
        <f>IF($A28="","",SUMPRODUCT(COUNTIFS(B28:AF28,Codes,$B$53:$AF$53,1)*(Arten="Urlaub")*Erste))</f>
      </c>
      <c r="AK28" s="37">
        <f>IF($A28="","",SUMPRODUCT(COUNTIFS(B28:AF28,Codes,$B$53:$AF$53,1)*(Arten="Krank")*Erste))</f>
      </c>
      <c r="AL28" s="38">
        <f>IF($A28="","",IF(COUNTIF(B77:AF77,1)&gt;0,COUNTIF(B77:AF77,1)&amp;"× Ruhezeit unter 11 Std. (§ 5)","")&amp;IF((COUNTIFS(B28:AF28,"?*",$B$52:$AF$52,1)-SUMPRODUCT(COUNTIFS(B28:AF28,Codes,$B$52:$AF$52,1)*(Codes&lt;&gt;"")*Erste))&gt;0,IF(COUNTIF(B77:AF77,1)&gt;0,"; ","")&amp;(COUNTIFS(B28:AF28,"?*",$B$52:$AF$52,1)-SUMPRODUCT(COUNTIFS(B28:AF28,Codes,$B$52:$AF$52,1)*(Codes&lt;&gt;"")*Erste))&amp;"× unbekanntes Kürzel",""))</f>
      </c>
    </row>
    <row r="29" spans="1:38" x14ac:dyDescent="0.25">
      <c r="A29" s="33">
        <f>Mitarbeiter!$A$28&amp;""</f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5">
        <f>IF($A29="","",SUMPRODUCT(COUNTIFS(B29:AF29,Codes,$B$52:$AF$52,1)*(Arten="Arbeit")*Erste*NettoTage)+SUMPRODUCT(COUNTIFS(B29:AF29,Codes,$B$53:$AF$53,1)*((Arten="Urlaub")+(Arten="Krank")+(Arten="Bezahlt abwesend"))*Erste)*N(Mitarbeiter!$B$28)/5/24)</f>
      </c>
      <c r="AH29" s="35">
        <f>IF($A29="","",N(Mitarbeiter!$B$28)/5/24*SUM($B$53:$AF$53))</f>
      </c>
      <c r="AI29" s="36">
        <f>IF($A29="","",IF((AG29-AH29)&lt;0,"-","+")&amp;TEXT(ABS((AG29-AH29)),"[h]:mm"))</f>
      </c>
      <c r="AJ29" s="37">
        <f>IF($A29="","",SUMPRODUCT(COUNTIFS(B29:AF29,Codes,$B$53:$AF$53,1)*(Arten="Urlaub")*Erste))</f>
      </c>
      <c r="AK29" s="37">
        <f>IF($A29="","",SUMPRODUCT(COUNTIFS(B29:AF29,Codes,$B$53:$AF$53,1)*(Arten="Krank")*Erste))</f>
      </c>
      <c r="AL29" s="38">
        <f>IF($A29="","",IF(COUNTIF(B78:AF78,1)&gt;0,COUNTIF(B78:AF78,1)&amp;"× Ruhezeit unter 11 Std. (§ 5)","")&amp;IF((COUNTIFS(B29:AF29,"?*",$B$52:$AF$52,1)-SUMPRODUCT(COUNTIFS(B29:AF29,Codes,$B$52:$AF$52,1)*(Codes&lt;&gt;"")*Erste))&gt;0,IF(COUNTIF(B78:AF78,1)&gt;0,"; ","")&amp;(COUNTIFS(B29:AF29,"?*",$B$52:$AF$52,1)-SUMPRODUCT(COUNTIFS(B29:AF29,Codes,$B$52:$AF$52,1)*(Codes&lt;&gt;"")*Erste))&amp;"× unbekanntes Kürzel",""))</f>
      </c>
    </row>
    <row r="30" spans="1:38" x14ac:dyDescent="0.25">
      <c r="A30" s="33">
        <f>Mitarbeiter!$A$29&amp;""</f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5">
        <f>IF($A30="","",SUMPRODUCT(COUNTIFS(B30:AF30,Codes,$B$52:$AF$52,1)*(Arten="Arbeit")*Erste*NettoTage)+SUMPRODUCT(COUNTIFS(B30:AF30,Codes,$B$53:$AF$53,1)*((Arten="Urlaub")+(Arten="Krank")+(Arten="Bezahlt abwesend"))*Erste)*N(Mitarbeiter!$B$29)/5/24)</f>
      </c>
      <c r="AH30" s="35">
        <f>IF($A30="","",N(Mitarbeiter!$B$29)/5/24*SUM($B$53:$AF$53))</f>
      </c>
      <c r="AI30" s="36">
        <f>IF($A30="","",IF((AG30-AH30)&lt;0,"-","+")&amp;TEXT(ABS((AG30-AH30)),"[h]:mm"))</f>
      </c>
      <c r="AJ30" s="37">
        <f>IF($A30="","",SUMPRODUCT(COUNTIFS(B30:AF30,Codes,$B$53:$AF$53,1)*(Arten="Urlaub")*Erste))</f>
      </c>
      <c r="AK30" s="37">
        <f>IF($A30="","",SUMPRODUCT(COUNTIFS(B30:AF30,Codes,$B$53:$AF$53,1)*(Arten="Krank")*Erste))</f>
      </c>
      <c r="AL30" s="38">
        <f>IF($A30="","",IF(COUNTIF(B79:AF79,1)&gt;0,COUNTIF(B79:AF79,1)&amp;"× Ruhezeit unter 11 Std. (§ 5)","")&amp;IF((COUNTIFS(B30:AF30,"?*",$B$52:$AF$52,1)-SUMPRODUCT(COUNTIFS(B30:AF30,Codes,$B$52:$AF$52,1)*(Codes&lt;&gt;"")*Erste))&gt;0,IF(COUNTIF(B79:AF79,1)&gt;0,"; ","")&amp;(COUNTIFS(B30:AF30,"?*",$B$52:$AF$52,1)-SUMPRODUCT(COUNTIFS(B30:AF30,Codes,$B$52:$AF$52,1)*(Codes&lt;&gt;"")*Erste))&amp;"× unbekanntes Kürzel",""))</f>
      </c>
    </row>
    <row r="31" spans="1:38" x14ac:dyDescent="0.25">
      <c r="A31" s="33">
        <f>Mitarbeiter!$A$30&amp;""</f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5">
        <f>IF($A31="","",SUMPRODUCT(COUNTIFS(B31:AF31,Codes,$B$52:$AF$52,1)*(Arten="Arbeit")*Erste*NettoTage)+SUMPRODUCT(COUNTIFS(B31:AF31,Codes,$B$53:$AF$53,1)*((Arten="Urlaub")+(Arten="Krank")+(Arten="Bezahlt abwesend"))*Erste)*N(Mitarbeiter!$B$30)/5/24)</f>
      </c>
      <c r="AH31" s="35">
        <f>IF($A31="","",N(Mitarbeiter!$B$30)/5/24*SUM($B$53:$AF$53))</f>
      </c>
      <c r="AI31" s="36">
        <f>IF($A31="","",IF((AG31-AH31)&lt;0,"-","+")&amp;TEXT(ABS((AG31-AH31)),"[h]:mm"))</f>
      </c>
      <c r="AJ31" s="37">
        <f>IF($A31="","",SUMPRODUCT(COUNTIFS(B31:AF31,Codes,$B$53:$AF$53,1)*(Arten="Urlaub")*Erste))</f>
      </c>
      <c r="AK31" s="37">
        <f>IF($A31="","",SUMPRODUCT(COUNTIFS(B31:AF31,Codes,$B$53:$AF$53,1)*(Arten="Krank")*Erste))</f>
      </c>
      <c r="AL31" s="38">
        <f>IF($A31="","",IF(COUNTIF(B80:AF80,1)&gt;0,COUNTIF(B80:AF80,1)&amp;"× Ruhezeit unter 11 Std. (§ 5)","")&amp;IF((COUNTIFS(B31:AF31,"?*",$B$52:$AF$52,1)-SUMPRODUCT(COUNTIFS(B31:AF31,Codes,$B$52:$AF$52,1)*(Codes&lt;&gt;"")*Erste))&gt;0,IF(COUNTIF(B80:AF80,1)&gt;0,"; ","")&amp;(COUNTIFS(B31:AF31,"?*",$B$52:$AF$52,1)-SUMPRODUCT(COUNTIFS(B31:AF31,Codes,$B$52:$AF$52,1)*(Codes&lt;&gt;"")*Erste))&amp;"× unbekanntes Kürzel",""))</f>
      </c>
    </row>
    <row r="32" spans="1:38" x14ac:dyDescent="0.25">
      <c r="A32" s="33">
        <f>Mitarbeiter!$A$31&amp;""</f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5">
        <f>IF($A32="","",SUMPRODUCT(COUNTIFS(B32:AF32,Codes,$B$52:$AF$52,1)*(Arten="Arbeit")*Erste*NettoTage)+SUMPRODUCT(COUNTIFS(B32:AF32,Codes,$B$53:$AF$53,1)*((Arten="Urlaub")+(Arten="Krank")+(Arten="Bezahlt abwesend"))*Erste)*N(Mitarbeiter!$B$31)/5/24)</f>
      </c>
      <c r="AH32" s="35">
        <f>IF($A32="","",N(Mitarbeiter!$B$31)/5/24*SUM($B$53:$AF$53))</f>
      </c>
      <c r="AI32" s="36">
        <f>IF($A32="","",IF((AG32-AH32)&lt;0,"-","+")&amp;TEXT(ABS((AG32-AH32)),"[h]:mm"))</f>
      </c>
      <c r="AJ32" s="37">
        <f>IF($A32="","",SUMPRODUCT(COUNTIFS(B32:AF32,Codes,$B$53:$AF$53,1)*(Arten="Urlaub")*Erste))</f>
      </c>
      <c r="AK32" s="37">
        <f>IF($A32="","",SUMPRODUCT(COUNTIFS(B32:AF32,Codes,$B$53:$AF$53,1)*(Arten="Krank")*Erste))</f>
      </c>
      <c r="AL32" s="38">
        <f>IF($A32="","",IF(COUNTIF(B81:AF81,1)&gt;0,COUNTIF(B81:AF81,1)&amp;"× Ruhezeit unter 11 Std. (§ 5)","")&amp;IF((COUNTIFS(B32:AF32,"?*",$B$52:$AF$52,1)-SUMPRODUCT(COUNTIFS(B32:AF32,Codes,$B$52:$AF$52,1)*(Codes&lt;&gt;"")*Erste))&gt;0,IF(COUNTIF(B81:AF81,1)&gt;0,"; ","")&amp;(COUNTIFS(B32:AF32,"?*",$B$52:$AF$52,1)-SUMPRODUCT(COUNTIFS(B32:AF32,Codes,$B$52:$AF$52,1)*(Codes&lt;&gt;"")*Erste))&amp;"× unbekanntes Kürzel",""))</f>
      </c>
    </row>
    <row r="33" spans="1:38" x14ac:dyDescent="0.25">
      <c r="A33" s="33">
        <f>Mitarbeiter!$A$32&amp;""</f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5">
        <f>IF($A33="","",SUMPRODUCT(COUNTIFS(B33:AF33,Codes,$B$52:$AF$52,1)*(Arten="Arbeit")*Erste*NettoTage)+SUMPRODUCT(COUNTIFS(B33:AF33,Codes,$B$53:$AF$53,1)*((Arten="Urlaub")+(Arten="Krank")+(Arten="Bezahlt abwesend"))*Erste)*N(Mitarbeiter!$B$32)/5/24)</f>
      </c>
      <c r="AH33" s="35">
        <f>IF($A33="","",N(Mitarbeiter!$B$32)/5/24*SUM($B$53:$AF$53))</f>
      </c>
      <c r="AI33" s="36">
        <f>IF($A33="","",IF((AG33-AH33)&lt;0,"-","+")&amp;TEXT(ABS((AG33-AH33)),"[h]:mm"))</f>
      </c>
      <c r="AJ33" s="37">
        <f>IF($A33="","",SUMPRODUCT(COUNTIFS(B33:AF33,Codes,$B$53:$AF$53,1)*(Arten="Urlaub")*Erste))</f>
      </c>
      <c r="AK33" s="37">
        <f>IF($A33="","",SUMPRODUCT(COUNTIFS(B33:AF33,Codes,$B$53:$AF$53,1)*(Arten="Krank")*Erste))</f>
      </c>
      <c r="AL33" s="38">
        <f>IF($A33="","",IF(COUNTIF(B82:AF82,1)&gt;0,COUNTIF(B82:AF82,1)&amp;"× Ruhezeit unter 11 Std. (§ 5)","")&amp;IF((COUNTIFS(B33:AF33,"?*",$B$52:$AF$52,1)-SUMPRODUCT(COUNTIFS(B33:AF33,Codes,$B$52:$AF$52,1)*(Codes&lt;&gt;"")*Erste))&gt;0,IF(COUNTIF(B82:AF82,1)&gt;0,"; ","")&amp;(COUNTIFS(B33:AF33,"?*",$B$52:$AF$52,1)-SUMPRODUCT(COUNTIFS(B33:AF33,Codes,$B$52:$AF$52,1)*(Codes&lt;&gt;"")*Erste))&amp;"× unbekanntes Kürzel",""))</f>
      </c>
    </row>
    <row r="34" spans="1:38" x14ac:dyDescent="0.25">
      <c r="A34" s="33">
        <f>Mitarbeiter!$A$33&amp;""</f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5">
        <f>IF($A34="","",SUMPRODUCT(COUNTIFS(B34:AF34,Codes,$B$52:$AF$52,1)*(Arten="Arbeit")*Erste*NettoTage)+SUMPRODUCT(COUNTIFS(B34:AF34,Codes,$B$53:$AF$53,1)*((Arten="Urlaub")+(Arten="Krank")+(Arten="Bezahlt abwesend"))*Erste)*N(Mitarbeiter!$B$33)/5/24)</f>
      </c>
      <c r="AH34" s="35">
        <f>IF($A34="","",N(Mitarbeiter!$B$33)/5/24*SUM($B$53:$AF$53))</f>
      </c>
      <c r="AI34" s="36">
        <f>IF($A34="","",IF((AG34-AH34)&lt;0,"-","+")&amp;TEXT(ABS((AG34-AH34)),"[h]:mm"))</f>
      </c>
      <c r="AJ34" s="37">
        <f>IF($A34="","",SUMPRODUCT(COUNTIFS(B34:AF34,Codes,$B$53:$AF$53,1)*(Arten="Urlaub")*Erste))</f>
      </c>
      <c r="AK34" s="37">
        <f>IF($A34="","",SUMPRODUCT(COUNTIFS(B34:AF34,Codes,$B$53:$AF$53,1)*(Arten="Krank")*Erste))</f>
      </c>
      <c r="AL34" s="38">
        <f>IF($A34="","",IF(COUNTIF(B83:AF83,1)&gt;0,COUNTIF(B83:AF83,1)&amp;"× Ruhezeit unter 11 Std. (§ 5)","")&amp;IF((COUNTIFS(B34:AF34,"?*",$B$52:$AF$52,1)-SUMPRODUCT(COUNTIFS(B34:AF34,Codes,$B$52:$AF$52,1)*(Codes&lt;&gt;"")*Erste))&gt;0,IF(COUNTIF(B83:AF83,1)&gt;0,"; ","")&amp;(COUNTIFS(B34:AF34,"?*",$B$52:$AF$52,1)-SUMPRODUCT(COUNTIFS(B34:AF34,Codes,$B$52:$AF$52,1)*(Codes&lt;&gt;"")*Erste))&amp;"× unbekanntes Kürzel",""))</f>
      </c>
    </row>
    <row r="35" spans="1:38" x14ac:dyDescent="0.25">
      <c r="A35" s="33">
        <f>Mitarbeiter!$A$34&amp;""</f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5">
        <f>IF($A35="","",SUMPRODUCT(COUNTIFS(B35:AF35,Codes,$B$52:$AF$52,1)*(Arten="Arbeit")*Erste*NettoTage)+SUMPRODUCT(COUNTIFS(B35:AF35,Codes,$B$53:$AF$53,1)*((Arten="Urlaub")+(Arten="Krank")+(Arten="Bezahlt abwesend"))*Erste)*N(Mitarbeiter!$B$34)/5/24)</f>
      </c>
      <c r="AH35" s="35">
        <f>IF($A35="","",N(Mitarbeiter!$B$34)/5/24*SUM($B$53:$AF$53))</f>
      </c>
      <c r="AI35" s="36">
        <f>IF($A35="","",IF((AG35-AH35)&lt;0,"-","+")&amp;TEXT(ABS((AG35-AH35)),"[h]:mm"))</f>
      </c>
      <c r="AJ35" s="37">
        <f>IF($A35="","",SUMPRODUCT(COUNTIFS(B35:AF35,Codes,$B$53:$AF$53,1)*(Arten="Urlaub")*Erste))</f>
      </c>
      <c r="AK35" s="37">
        <f>IF($A35="","",SUMPRODUCT(COUNTIFS(B35:AF35,Codes,$B$53:$AF$53,1)*(Arten="Krank")*Erste))</f>
      </c>
      <c r="AL35" s="38">
        <f>IF($A35="","",IF(COUNTIF(B84:AF84,1)&gt;0,COUNTIF(B84:AF84,1)&amp;"× Ruhezeit unter 11 Std. (§ 5)","")&amp;IF((COUNTIFS(B35:AF35,"?*",$B$52:$AF$52,1)-SUMPRODUCT(COUNTIFS(B35:AF35,Codes,$B$52:$AF$52,1)*(Codes&lt;&gt;"")*Erste))&gt;0,IF(COUNTIF(B84:AF84,1)&gt;0,"; ","")&amp;(COUNTIFS(B35:AF35,"?*",$B$52:$AF$52,1)-SUMPRODUCT(COUNTIFS(B35:AF35,Codes,$B$52:$AF$52,1)*(Codes&lt;&gt;"")*Erste))&amp;"× unbekanntes Kürzel",""))</f>
      </c>
    </row>
    <row r="37" spans="1:1" x14ac:dyDescent="0.25">
      <c r="A37" s="39" t="s">
        <v>63</v>
      </c>
    </row>
    <row r="38" spans="1:39" x14ac:dyDescent="0.25">
      <c r="A38" s="40">
        <f>IFERROR(INDEX(Codes,MATCH(1,ArbeitNr,0))&amp;" "&amp;INDEX(Bezeichnungen,MATCH(1,ArbeitNr,0)),"")</f>
      </c>
      <c r="B38" s="41">
        <f>IF(OR($AM38="",B$52=0),"",COUNTIF(B$6:B$35,$AM38))</f>
      </c>
      <c r="C38" s="41">
        <f>IF(OR($AM38="",C$52=0),"",COUNTIF(C$6:C$35,$AM38))</f>
      </c>
      <c r="D38" s="41">
        <f>IF(OR($AM38="",D$52=0),"",COUNTIF(D$6:D$35,$AM38))</f>
      </c>
      <c r="E38" s="41">
        <f>IF(OR($AM38="",E$52=0),"",COUNTIF(E$6:E$35,$AM38))</f>
      </c>
      <c r="F38" s="41">
        <f>IF(OR($AM38="",F$52=0),"",COUNTIF(F$6:F$35,$AM38))</f>
      </c>
      <c r="G38" s="41">
        <f>IF(OR($AM38="",G$52=0),"",COUNTIF(G$6:G$35,$AM38))</f>
      </c>
      <c r="H38" s="41">
        <f>IF(OR($AM38="",H$52=0),"",COUNTIF(H$6:H$35,$AM38))</f>
      </c>
      <c r="I38" s="41">
        <f>IF(OR($AM38="",I$52=0),"",COUNTIF(I$6:I$35,$AM38))</f>
      </c>
      <c r="J38" s="41">
        <f>IF(OR($AM38="",J$52=0),"",COUNTIF(J$6:J$35,$AM38))</f>
      </c>
      <c r="K38" s="41">
        <f>IF(OR($AM38="",K$52=0),"",COUNTIF(K$6:K$35,$AM38))</f>
      </c>
      <c r="L38" s="41">
        <f>IF(OR($AM38="",L$52=0),"",COUNTIF(L$6:L$35,$AM38))</f>
      </c>
      <c r="M38" s="41">
        <f>IF(OR($AM38="",M$52=0),"",COUNTIF(M$6:M$35,$AM38))</f>
      </c>
      <c r="N38" s="41">
        <f>IF(OR($AM38="",N$52=0),"",COUNTIF(N$6:N$35,$AM38))</f>
      </c>
      <c r="O38" s="41">
        <f>IF(OR($AM38="",O$52=0),"",COUNTIF(O$6:O$35,$AM38))</f>
      </c>
      <c r="P38" s="41">
        <f>IF(OR($AM38="",P$52=0),"",COUNTIF(P$6:P$35,$AM38))</f>
      </c>
      <c r="Q38" s="41">
        <f>IF(OR($AM38="",Q$52=0),"",COUNTIF(Q$6:Q$35,$AM38))</f>
      </c>
      <c r="R38" s="41">
        <f>IF(OR($AM38="",R$52=0),"",COUNTIF(R$6:R$35,$AM38))</f>
      </c>
      <c r="S38" s="41">
        <f>IF(OR($AM38="",S$52=0),"",COUNTIF(S$6:S$35,$AM38))</f>
      </c>
      <c r="T38" s="41">
        <f>IF(OR($AM38="",T$52=0),"",COUNTIF(T$6:T$35,$AM38))</f>
      </c>
      <c r="U38" s="41">
        <f>IF(OR($AM38="",U$52=0),"",COUNTIF(U$6:U$35,$AM38))</f>
      </c>
      <c r="V38" s="41">
        <f>IF(OR($AM38="",V$52=0),"",COUNTIF(V$6:V$35,$AM38))</f>
      </c>
      <c r="W38" s="41">
        <f>IF(OR($AM38="",W$52=0),"",COUNTIF(W$6:W$35,$AM38))</f>
      </c>
      <c r="X38" s="41">
        <f>IF(OR($AM38="",X$52=0),"",COUNTIF(X$6:X$35,$AM38))</f>
      </c>
      <c r="Y38" s="41">
        <f>IF(OR($AM38="",Y$52=0),"",COUNTIF(Y$6:Y$35,$AM38))</f>
      </c>
      <c r="Z38" s="41">
        <f>IF(OR($AM38="",Z$52=0),"",COUNTIF(Z$6:Z$35,$AM38))</f>
      </c>
      <c r="AA38" s="41">
        <f>IF(OR($AM38="",AA$52=0),"",COUNTIF(AA$6:AA$35,$AM38))</f>
      </c>
      <c r="AB38" s="41">
        <f>IF(OR($AM38="",AB$52=0),"",COUNTIF(AB$6:AB$35,$AM38))</f>
      </c>
      <c r="AC38" s="41">
        <f>IF(OR($AM38="",AC$52=0),"",COUNTIF(AC$6:AC$35,$AM38))</f>
      </c>
      <c r="AD38" s="41">
        <f>IF(OR($AM38="",AD$52=0),"",COUNTIF(AD$6:AD$35,$AM38))</f>
      </c>
      <c r="AE38" s="41">
        <f>IF(OR($AM38="",AE$52=0),"",COUNTIF(AE$6:AE$35,$AM38))</f>
      </c>
      <c r="AF38" s="41">
        <f>IF(OR($AM38="",AF$52=0),"",COUNTIF(AF$6:AF$35,$AM38))</f>
      </c>
      <c r="AG38" s="1"/>
      <c r="AH38" s="1"/>
      <c r="AI38" s="1"/>
      <c r="AJ38" s="1"/>
      <c r="AK38" s="1"/>
      <c r="AL38" s="1"/>
      <c r="AM38" s="1">
        <f>IFERROR(INDEX(Codes,MATCH(1,ArbeitNr,0)),"")</f>
      </c>
    </row>
    <row r="39" spans="1:39" x14ac:dyDescent="0.25">
      <c r="A39" s="40">
        <f>IFERROR(INDEX(Codes,MATCH(2,ArbeitNr,0))&amp;" "&amp;INDEX(Bezeichnungen,MATCH(2,ArbeitNr,0)),"")</f>
      </c>
      <c r="B39" s="41">
        <f>IF(OR($AM39="",B$52=0),"",COUNTIF(B$6:B$35,$AM39))</f>
      </c>
      <c r="C39" s="41">
        <f>IF(OR($AM39="",C$52=0),"",COUNTIF(C$6:C$35,$AM39))</f>
      </c>
      <c r="D39" s="41">
        <f>IF(OR($AM39="",D$52=0),"",COUNTIF(D$6:D$35,$AM39))</f>
      </c>
      <c r="E39" s="41">
        <f>IF(OR($AM39="",E$52=0),"",COUNTIF(E$6:E$35,$AM39))</f>
      </c>
      <c r="F39" s="41">
        <f>IF(OR($AM39="",F$52=0),"",COUNTIF(F$6:F$35,$AM39))</f>
      </c>
      <c r="G39" s="41">
        <f>IF(OR($AM39="",G$52=0),"",COUNTIF(G$6:G$35,$AM39))</f>
      </c>
      <c r="H39" s="41">
        <f>IF(OR($AM39="",H$52=0),"",COUNTIF(H$6:H$35,$AM39))</f>
      </c>
      <c r="I39" s="41">
        <f>IF(OR($AM39="",I$52=0),"",COUNTIF(I$6:I$35,$AM39))</f>
      </c>
      <c r="J39" s="41">
        <f>IF(OR($AM39="",J$52=0),"",COUNTIF(J$6:J$35,$AM39))</f>
      </c>
      <c r="K39" s="41">
        <f>IF(OR($AM39="",K$52=0),"",COUNTIF(K$6:K$35,$AM39))</f>
      </c>
      <c r="L39" s="41">
        <f>IF(OR($AM39="",L$52=0),"",COUNTIF(L$6:L$35,$AM39))</f>
      </c>
      <c r="M39" s="41">
        <f>IF(OR($AM39="",M$52=0),"",COUNTIF(M$6:M$35,$AM39))</f>
      </c>
      <c r="N39" s="41">
        <f>IF(OR($AM39="",N$52=0),"",COUNTIF(N$6:N$35,$AM39))</f>
      </c>
      <c r="O39" s="41">
        <f>IF(OR($AM39="",O$52=0),"",COUNTIF(O$6:O$35,$AM39))</f>
      </c>
      <c r="P39" s="41">
        <f>IF(OR($AM39="",P$52=0),"",COUNTIF(P$6:P$35,$AM39))</f>
      </c>
      <c r="Q39" s="41">
        <f>IF(OR($AM39="",Q$52=0),"",COUNTIF(Q$6:Q$35,$AM39))</f>
      </c>
      <c r="R39" s="41">
        <f>IF(OR($AM39="",R$52=0),"",COUNTIF(R$6:R$35,$AM39))</f>
      </c>
      <c r="S39" s="41">
        <f>IF(OR($AM39="",S$52=0),"",COUNTIF(S$6:S$35,$AM39))</f>
      </c>
      <c r="T39" s="41">
        <f>IF(OR($AM39="",T$52=0),"",COUNTIF(T$6:T$35,$AM39))</f>
      </c>
      <c r="U39" s="41">
        <f>IF(OR($AM39="",U$52=0),"",COUNTIF(U$6:U$35,$AM39))</f>
      </c>
      <c r="V39" s="41">
        <f>IF(OR($AM39="",V$52=0),"",COUNTIF(V$6:V$35,$AM39))</f>
      </c>
      <c r="W39" s="41">
        <f>IF(OR($AM39="",W$52=0),"",COUNTIF(W$6:W$35,$AM39))</f>
      </c>
      <c r="X39" s="41">
        <f>IF(OR($AM39="",X$52=0),"",COUNTIF(X$6:X$35,$AM39))</f>
      </c>
      <c r="Y39" s="41">
        <f>IF(OR($AM39="",Y$52=0),"",COUNTIF(Y$6:Y$35,$AM39))</f>
      </c>
      <c r="Z39" s="41">
        <f>IF(OR($AM39="",Z$52=0),"",COUNTIF(Z$6:Z$35,$AM39))</f>
      </c>
      <c r="AA39" s="41">
        <f>IF(OR($AM39="",AA$52=0),"",COUNTIF(AA$6:AA$35,$AM39))</f>
      </c>
      <c r="AB39" s="41">
        <f>IF(OR($AM39="",AB$52=0),"",COUNTIF(AB$6:AB$35,$AM39))</f>
      </c>
      <c r="AC39" s="41">
        <f>IF(OR($AM39="",AC$52=0),"",COUNTIF(AC$6:AC$35,$AM39))</f>
      </c>
      <c r="AD39" s="41">
        <f>IF(OR($AM39="",AD$52=0),"",COUNTIF(AD$6:AD$35,$AM39))</f>
      </c>
      <c r="AE39" s="41">
        <f>IF(OR($AM39="",AE$52=0),"",COUNTIF(AE$6:AE$35,$AM39))</f>
      </c>
      <c r="AF39" s="41">
        <f>IF(OR($AM39="",AF$52=0),"",COUNTIF(AF$6:AF$35,$AM39))</f>
      </c>
      <c r="AG39" s="1"/>
      <c r="AH39" s="1"/>
      <c r="AI39" s="1"/>
      <c r="AJ39" s="1"/>
      <c r="AK39" s="1"/>
      <c r="AL39" s="1"/>
      <c r="AM39" s="1">
        <f>IFERROR(INDEX(Codes,MATCH(2,ArbeitNr,0)),"")</f>
      </c>
    </row>
    <row r="40" spans="1:39" x14ac:dyDescent="0.25">
      <c r="A40" s="40">
        <f>IFERROR(INDEX(Codes,MATCH(3,ArbeitNr,0))&amp;" "&amp;INDEX(Bezeichnungen,MATCH(3,ArbeitNr,0)),"")</f>
      </c>
      <c r="B40" s="41">
        <f>IF(OR($AM40="",B$52=0),"",COUNTIF(B$6:B$35,$AM40))</f>
      </c>
      <c r="C40" s="41">
        <f>IF(OR($AM40="",C$52=0),"",COUNTIF(C$6:C$35,$AM40))</f>
      </c>
      <c r="D40" s="41">
        <f>IF(OR($AM40="",D$52=0),"",COUNTIF(D$6:D$35,$AM40))</f>
      </c>
      <c r="E40" s="41">
        <f>IF(OR($AM40="",E$52=0),"",COUNTIF(E$6:E$35,$AM40))</f>
      </c>
      <c r="F40" s="41">
        <f>IF(OR($AM40="",F$52=0),"",COUNTIF(F$6:F$35,$AM40))</f>
      </c>
      <c r="G40" s="41">
        <f>IF(OR($AM40="",G$52=0),"",COUNTIF(G$6:G$35,$AM40))</f>
      </c>
      <c r="H40" s="41">
        <f>IF(OR($AM40="",H$52=0),"",COUNTIF(H$6:H$35,$AM40))</f>
      </c>
      <c r="I40" s="41">
        <f>IF(OR($AM40="",I$52=0),"",COUNTIF(I$6:I$35,$AM40))</f>
      </c>
      <c r="J40" s="41">
        <f>IF(OR($AM40="",J$52=0),"",COUNTIF(J$6:J$35,$AM40))</f>
      </c>
      <c r="K40" s="41">
        <f>IF(OR($AM40="",K$52=0),"",COUNTIF(K$6:K$35,$AM40))</f>
      </c>
      <c r="L40" s="41">
        <f>IF(OR($AM40="",L$52=0),"",COUNTIF(L$6:L$35,$AM40))</f>
      </c>
      <c r="M40" s="41">
        <f>IF(OR($AM40="",M$52=0),"",COUNTIF(M$6:M$35,$AM40))</f>
      </c>
      <c r="N40" s="41">
        <f>IF(OR($AM40="",N$52=0),"",COUNTIF(N$6:N$35,$AM40))</f>
      </c>
      <c r="O40" s="41">
        <f>IF(OR($AM40="",O$52=0),"",COUNTIF(O$6:O$35,$AM40))</f>
      </c>
      <c r="P40" s="41">
        <f>IF(OR($AM40="",P$52=0),"",COUNTIF(P$6:P$35,$AM40))</f>
      </c>
      <c r="Q40" s="41">
        <f>IF(OR($AM40="",Q$52=0),"",COUNTIF(Q$6:Q$35,$AM40))</f>
      </c>
      <c r="R40" s="41">
        <f>IF(OR($AM40="",R$52=0),"",COUNTIF(R$6:R$35,$AM40))</f>
      </c>
      <c r="S40" s="41">
        <f>IF(OR($AM40="",S$52=0),"",COUNTIF(S$6:S$35,$AM40))</f>
      </c>
      <c r="T40" s="41">
        <f>IF(OR($AM40="",T$52=0),"",COUNTIF(T$6:T$35,$AM40))</f>
      </c>
      <c r="U40" s="41">
        <f>IF(OR($AM40="",U$52=0),"",COUNTIF(U$6:U$35,$AM40))</f>
      </c>
      <c r="V40" s="41">
        <f>IF(OR($AM40="",V$52=0),"",COUNTIF(V$6:V$35,$AM40))</f>
      </c>
      <c r="W40" s="41">
        <f>IF(OR($AM40="",W$52=0),"",COUNTIF(W$6:W$35,$AM40))</f>
      </c>
      <c r="X40" s="41">
        <f>IF(OR($AM40="",X$52=0),"",COUNTIF(X$6:X$35,$AM40))</f>
      </c>
      <c r="Y40" s="41">
        <f>IF(OR($AM40="",Y$52=0),"",COUNTIF(Y$6:Y$35,$AM40))</f>
      </c>
      <c r="Z40" s="41">
        <f>IF(OR($AM40="",Z$52=0),"",COUNTIF(Z$6:Z$35,$AM40))</f>
      </c>
      <c r="AA40" s="41">
        <f>IF(OR($AM40="",AA$52=0),"",COUNTIF(AA$6:AA$35,$AM40))</f>
      </c>
      <c r="AB40" s="41">
        <f>IF(OR($AM40="",AB$52=0),"",COUNTIF(AB$6:AB$35,$AM40))</f>
      </c>
      <c r="AC40" s="41">
        <f>IF(OR($AM40="",AC$52=0),"",COUNTIF(AC$6:AC$35,$AM40))</f>
      </c>
      <c r="AD40" s="41">
        <f>IF(OR($AM40="",AD$52=0),"",COUNTIF(AD$6:AD$35,$AM40))</f>
      </c>
      <c r="AE40" s="41">
        <f>IF(OR($AM40="",AE$52=0),"",COUNTIF(AE$6:AE$35,$AM40))</f>
      </c>
      <c r="AF40" s="41">
        <f>IF(OR($AM40="",AF$52=0),"",COUNTIF(AF$6:AF$35,$AM40))</f>
      </c>
      <c r="AG40" s="1"/>
      <c r="AH40" s="1"/>
      <c r="AI40" s="1"/>
      <c r="AJ40" s="1"/>
      <c r="AK40" s="1"/>
      <c r="AL40" s="1"/>
      <c r="AM40" s="1">
        <f>IFERROR(INDEX(Codes,MATCH(3,ArbeitNr,0)),"")</f>
      </c>
    </row>
    <row r="41" spans="1:39" x14ac:dyDescent="0.25">
      <c r="A41" s="40">
        <f>IFERROR(INDEX(Codes,MATCH(4,ArbeitNr,0))&amp;" "&amp;INDEX(Bezeichnungen,MATCH(4,ArbeitNr,0)),"")</f>
      </c>
      <c r="B41" s="41">
        <f>IF(OR($AM41="",B$52=0),"",COUNTIF(B$6:B$35,$AM41))</f>
      </c>
      <c r="C41" s="41">
        <f>IF(OR($AM41="",C$52=0),"",COUNTIF(C$6:C$35,$AM41))</f>
      </c>
      <c r="D41" s="41">
        <f>IF(OR($AM41="",D$52=0),"",COUNTIF(D$6:D$35,$AM41))</f>
      </c>
      <c r="E41" s="41">
        <f>IF(OR($AM41="",E$52=0),"",COUNTIF(E$6:E$35,$AM41))</f>
      </c>
      <c r="F41" s="41">
        <f>IF(OR($AM41="",F$52=0),"",COUNTIF(F$6:F$35,$AM41))</f>
      </c>
      <c r="G41" s="41">
        <f>IF(OR($AM41="",G$52=0),"",COUNTIF(G$6:G$35,$AM41))</f>
      </c>
      <c r="H41" s="41">
        <f>IF(OR($AM41="",H$52=0),"",COUNTIF(H$6:H$35,$AM41))</f>
      </c>
      <c r="I41" s="41">
        <f>IF(OR($AM41="",I$52=0),"",COUNTIF(I$6:I$35,$AM41))</f>
      </c>
      <c r="J41" s="41">
        <f>IF(OR($AM41="",J$52=0),"",COUNTIF(J$6:J$35,$AM41))</f>
      </c>
      <c r="K41" s="41">
        <f>IF(OR($AM41="",K$52=0),"",COUNTIF(K$6:K$35,$AM41))</f>
      </c>
      <c r="L41" s="41">
        <f>IF(OR($AM41="",L$52=0),"",COUNTIF(L$6:L$35,$AM41))</f>
      </c>
      <c r="M41" s="41">
        <f>IF(OR($AM41="",M$52=0),"",COUNTIF(M$6:M$35,$AM41))</f>
      </c>
      <c r="N41" s="41">
        <f>IF(OR($AM41="",N$52=0),"",COUNTIF(N$6:N$35,$AM41))</f>
      </c>
      <c r="O41" s="41">
        <f>IF(OR($AM41="",O$52=0),"",COUNTIF(O$6:O$35,$AM41))</f>
      </c>
      <c r="P41" s="41">
        <f>IF(OR($AM41="",P$52=0),"",COUNTIF(P$6:P$35,$AM41))</f>
      </c>
      <c r="Q41" s="41">
        <f>IF(OR($AM41="",Q$52=0),"",COUNTIF(Q$6:Q$35,$AM41))</f>
      </c>
      <c r="R41" s="41">
        <f>IF(OR($AM41="",R$52=0),"",COUNTIF(R$6:R$35,$AM41))</f>
      </c>
      <c r="S41" s="41">
        <f>IF(OR($AM41="",S$52=0),"",COUNTIF(S$6:S$35,$AM41))</f>
      </c>
      <c r="T41" s="41">
        <f>IF(OR($AM41="",T$52=0),"",COUNTIF(T$6:T$35,$AM41))</f>
      </c>
      <c r="U41" s="41">
        <f>IF(OR($AM41="",U$52=0),"",COUNTIF(U$6:U$35,$AM41))</f>
      </c>
      <c r="V41" s="41">
        <f>IF(OR($AM41="",V$52=0),"",COUNTIF(V$6:V$35,$AM41))</f>
      </c>
      <c r="W41" s="41">
        <f>IF(OR($AM41="",W$52=0),"",COUNTIF(W$6:W$35,$AM41))</f>
      </c>
      <c r="X41" s="41">
        <f>IF(OR($AM41="",X$52=0),"",COUNTIF(X$6:X$35,$AM41))</f>
      </c>
      <c r="Y41" s="41">
        <f>IF(OR($AM41="",Y$52=0),"",COUNTIF(Y$6:Y$35,$AM41))</f>
      </c>
      <c r="Z41" s="41">
        <f>IF(OR($AM41="",Z$52=0),"",COUNTIF(Z$6:Z$35,$AM41))</f>
      </c>
      <c r="AA41" s="41">
        <f>IF(OR($AM41="",AA$52=0),"",COUNTIF(AA$6:AA$35,$AM41))</f>
      </c>
      <c r="AB41" s="41">
        <f>IF(OR($AM41="",AB$52=0),"",COUNTIF(AB$6:AB$35,$AM41))</f>
      </c>
      <c r="AC41" s="41">
        <f>IF(OR($AM41="",AC$52=0),"",COUNTIF(AC$6:AC$35,$AM41))</f>
      </c>
      <c r="AD41" s="41">
        <f>IF(OR($AM41="",AD$52=0),"",COUNTIF(AD$6:AD$35,$AM41))</f>
      </c>
      <c r="AE41" s="41">
        <f>IF(OR($AM41="",AE$52=0),"",COUNTIF(AE$6:AE$35,$AM41))</f>
      </c>
      <c r="AF41" s="41">
        <f>IF(OR($AM41="",AF$52=0),"",COUNTIF(AF$6:AF$35,$AM41))</f>
      </c>
      <c r="AG41" s="1"/>
      <c r="AH41" s="1"/>
      <c r="AI41" s="1"/>
      <c r="AJ41" s="1"/>
      <c r="AK41" s="1"/>
      <c r="AL41" s="1"/>
      <c r="AM41" s="1">
        <f>IFERROR(INDEX(Codes,MATCH(4,ArbeitNr,0)),"")</f>
      </c>
    </row>
    <row r="42" spans="1:39" x14ac:dyDescent="0.25">
      <c r="A42" s="40">
        <f>IFERROR(INDEX(Codes,MATCH(5,ArbeitNr,0))&amp;" "&amp;INDEX(Bezeichnungen,MATCH(5,ArbeitNr,0)),"")</f>
      </c>
      <c r="B42" s="41">
        <f>IF(OR($AM42="",B$52=0),"",COUNTIF(B$6:B$35,$AM42))</f>
      </c>
      <c r="C42" s="41">
        <f>IF(OR($AM42="",C$52=0),"",COUNTIF(C$6:C$35,$AM42))</f>
      </c>
      <c r="D42" s="41">
        <f>IF(OR($AM42="",D$52=0),"",COUNTIF(D$6:D$35,$AM42))</f>
      </c>
      <c r="E42" s="41">
        <f>IF(OR($AM42="",E$52=0),"",COUNTIF(E$6:E$35,$AM42))</f>
      </c>
      <c r="F42" s="41">
        <f>IF(OR($AM42="",F$52=0),"",COUNTIF(F$6:F$35,$AM42))</f>
      </c>
      <c r="G42" s="41">
        <f>IF(OR($AM42="",G$52=0),"",COUNTIF(G$6:G$35,$AM42))</f>
      </c>
      <c r="H42" s="41">
        <f>IF(OR($AM42="",H$52=0),"",COUNTIF(H$6:H$35,$AM42))</f>
      </c>
      <c r="I42" s="41">
        <f>IF(OR($AM42="",I$52=0),"",COUNTIF(I$6:I$35,$AM42))</f>
      </c>
      <c r="J42" s="41">
        <f>IF(OR($AM42="",J$52=0),"",COUNTIF(J$6:J$35,$AM42))</f>
      </c>
      <c r="K42" s="41">
        <f>IF(OR($AM42="",K$52=0),"",COUNTIF(K$6:K$35,$AM42))</f>
      </c>
      <c r="L42" s="41">
        <f>IF(OR($AM42="",L$52=0),"",COUNTIF(L$6:L$35,$AM42))</f>
      </c>
      <c r="M42" s="41">
        <f>IF(OR($AM42="",M$52=0),"",COUNTIF(M$6:M$35,$AM42))</f>
      </c>
      <c r="N42" s="41">
        <f>IF(OR($AM42="",N$52=0),"",COUNTIF(N$6:N$35,$AM42))</f>
      </c>
      <c r="O42" s="41">
        <f>IF(OR($AM42="",O$52=0),"",COUNTIF(O$6:O$35,$AM42))</f>
      </c>
      <c r="P42" s="41">
        <f>IF(OR($AM42="",P$52=0),"",COUNTIF(P$6:P$35,$AM42))</f>
      </c>
      <c r="Q42" s="41">
        <f>IF(OR($AM42="",Q$52=0),"",COUNTIF(Q$6:Q$35,$AM42))</f>
      </c>
      <c r="R42" s="41">
        <f>IF(OR($AM42="",R$52=0),"",COUNTIF(R$6:R$35,$AM42))</f>
      </c>
      <c r="S42" s="41">
        <f>IF(OR($AM42="",S$52=0),"",COUNTIF(S$6:S$35,$AM42))</f>
      </c>
      <c r="T42" s="41">
        <f>IF(OR($AM42="",T$52=0),"",COUNTIF(T$6:T$35,$AM42))</f>
      </c>
      <c r="U42" s="41">
        <f>IF(OR($AM42="",U$52=0),"",COUNTIF(U$6:U$35,$AM42))</f>
      </c>
      <c r="V42" s="41">
        <f>IF(OR($AM42="",V$52=0),"",COUNTIF(V$6:V$35,$AM42))</f>
      </c>
      <c r="W42" s="41">
        <f>IF(OR($AM42="",W$52=0),"",COUNTIF(W$6:W$35,$AM42))</f>
      </c>
      <c r="X42" s="41">
        <f>IF(OR($AM42="",X$52=0),"",COUNTIF(X$6:X$35,$AM42))</f>
      </c>
      <c r="Y42" s="41">
        <f>IF(OR($AM42="",Y$52=0),"",COUNTIF(Y$6:Y$35,$AM42))</f>
      </c>
      <c r="Z42" s="41">
        <f>IF(OR($AM42="",Z$52=0),"",COUNTIF(Z$6:Z$35,$AM42))</f>
      </c>
      <c r="AA42" s="41">
        <f>IF(OR($AM42="",AA$52=0),"",COUNTIF(AA$6:AA$35,$AM42))</f>
      </c>
      <c r="AB42" s="41">
        <f>IF(OR($AM42="",AB$52=0),"",COUNTIF(AB$6:AB$35,$AM42))</f>
      </c>
      <c r="AC42" s="41">
        <f>IF(OR($AM42="",AC$52=0),"",COUNTIF(AC$6:AC$35,$AM42))</f>
      </c>
      <c r="AD42" s="41">
        <f>IF(OR($AM42="",AD$52=0),"",COUNTIF(AD$6:AD$35,$AM42))</f>
      </c>
      <c r="AE42" s="41">
        <f>IF(OR($AM42="",AE$52=0),"",COUNTIF(AE$6:AE$35,$AM42))</f>
      </c>
      <c r="AF42" s="41">
        <f>IF(OR($AM42="",AF$52=0),"",COUNTIF(AF$6:AF$35,$AM42))</f>
      </c>
      <c r="AG42" s="1"/>
      <c r="AH42" s="1"/>
      <c r="AI42" s="1"/>
      <c r="AJ42" s="1"/>
      <c r="AK42" s="1"/>
      <c r="AL42" s="1"/>
      <c r="AM42" s="1">
        <f>IFERROR(INDEX(Codes,MATCH(5,ArbeitNr,0)),"")</f>
      </c>
    </row>
    <row r="43" spans="1:39" x14ac:dyDescent="0.25">
      <c r="A43" s="40">
        <f>IFERROR(INDEX(Codes,MATCH(6,ArbeitNr,0))&amp;" "&amp;INDEX(Bezeichnungen,MATCH(6,ArbeitNr,0)),"")</f>
      </c>
      <c r="B43" s="41">
        <f>IF(OR($AM43="",B$52=0),"",COUNTIF(B$6:B$35,$AM43))</f>
      </c>
      <c r="C43" s="41">
        <f>IF(OR($AM43="",C$52=0),"",COUNTIF(C$6:C$35,$AM43))</f>
      </c>
      <c r="D43" s="41">
        <f>IF(OR($AM43="",D$52=0),"",COUNTIF(D$6:D$35,$AM43))</f>
      </c>
      <c r="E43" s="41">
        <f>IF(OR($AM43="",E$52=0),"",COUNTIF(E$6:E$35,$AM43))</f>
      </c>
      <c r="F43" s="41">
        <f>IF(OR($AM43="",F$52=0),"",COUNTIF(F$6:F$35,$AM43))</f>
      </c>
      <c r="G43" s="41">
        <f>IF(OR($AM43="",G$52=0),"",COUNTIF(G$6:G$35,$AM43))</f>
      </c>
      <c r="H43" s="41">
        <f>IF(OR($AM43="",H$52=0),"",COUNTIF(H$6:H$35,$AM43))</f>
      </c>
      <c r="I43" s="41">
        <f>IF(OR($AM43="",I$52=0),"",COUNTIF(I$6:I$35,$AM43))</f>
      </c>
      <c r="J43" s="41">
        <f>IF(OR($AM43="",J$52=0),"",COUNTIF(J$6:J$35,$AM43))</f>
      </c>
      <c r="K43" s="41">
        <f>IF(OR($AM43="",K$52=0),"",COUNTIF(K$6:K$35,$AM43))</f>
      </c>
      <c r="L43" s="41">
        <f>IF(OR($AM43="",L$52=0),"",COUNTIF(L$6:L$35,$AM43))</f>
      </c>
      <c r="M43" s="41">
        <f>IF(OR($AM43="",M$52=0),"",COUNTIF(M$6:M$35,$AM43))</f>
      </c>
      <c r="N43" s="41">
        <f>IF(OR($AM43="",N$52=0),"",COUNTIF(N$6:N$35,$AM43))</f>
      </c>
      <c r="O43" s="41">
        <f>IF(OR($AM43="",O$52=0),"",COUNTIF(O$6:O$35,$AM43))</f>
      </c>
      <c r="P43" s="41">
        <f>IF(OR($AM43="",P$52=0),"",COUNTIF(P$6:P$35,$AM43))</f>
      </c>
      <c r="Q43" s="41">
        <f>IF(OR($AM43="",Q$52=0),"",COUNTIF(Q$6:Q$35,$AM43))</f>
      </c>
      <c r="R43" s="41">
        <f>IF(OR($AM43="",R$52=0),"",COUNTIF(R$6:R$35,$AM43))</f>
      </c>
      <c r="S43" s="41">
        <f>IF(OR($AM43="",S$52=0),"",COUNTIF(S$6:S$35,$AM43))</f>
      </c>
      <c r="T43" s="41">
        <f>IF(OR($AM43="",T$52=0),"",COUNTIF(T$6:T$35,$AM43))</f>
      </c>
      <c r="U43" s="41">
        <f>IF(OR($AM43="",U$52=0),"",COUNTIF(U$6:U$35,$AM43))</f>
      </c>
      <c r="V43" s="41">
        <f>IF(OR($AM43="",V$52=0),"",COUNTIF(V$6:V$35,$AM43))</f>
      </c>
      <c r="W43" s="41">
        <f>IF(OR($AM43="",W$52=0),"",COUNTIF(W$6:W$35,$AM43))</f>
      </c>
      <c r="X43" s="41">
        <f>IF(OR($AM43="",X$52=0),"",COUNTIF(X$6:X$35,$AM43))</f>
      </c>
      <c r="Y43" s="41">
        <f>IF(OR($AM43="",Y$52=0),"",COUNTIF(Y$6:Y$35,$AM43))</f>
      </c>
      <c r="Z43" s="41">
        <f>IF(OR($AM43="",Z$52=0),"",COUNTIF(Z$6:Z$35,$AM43))</f>
      </c>
      <c r="AA43" s="41">
        <f>IF(OR($AM43="",AA$52=0),"",COUNTIF(AA$6:AA$35,$AM43))</f>
      </c>
      <c r="AB43" s="41">
        <f>IF(OR($AM43="",AB$52=0),"",COUNTIF(AB$6:AB$35,$AM43))</f>
      </c>
      <c r="AC43" s="41">
        <f>IF(OR($AM43="",AC$52=0),"",COUNTIF(AC$6:AC$35,$AM43))</f>
      </c>
      <c r="AD43" s="41">
        <f>IF(OR($AM43="",AD$52=0),"",COUNTIF(AD$6:AD$35,$AM43))</f>
      </c>
      <c r="AE43" s="41">
        <f>IF(OR($AM43="",AE$52=0),"",COUNTIF(AE$6:AE$35,$AM43))</f>
      </c>
      <c r="AF43" s="41">
        <f>IF(OR($AM43="",AF$52=0),"",COUNTIF(AF$6:AF$35,$AM43))</f>
      </c>
      <c r="AG43" s="1"/>
      <c r="AH43" s="1"/>
      <c r="AI43" s="1"/>
      <c r="AJ43" s="1"/>
      <c r="AK43" s="1"/>
      <c r="AL43" s="1"/>
      <c r="AM43" s="1">
        <f>IFERROR(INDEX(Codes,MATCH(6,ArbeitNr,0)),"")</f>
      </c>
    </row>
    <row r="44" spans="1:39" x14ac:dyDescent="0.25">
      <c r="A44" s="40">
        <f>IFERROR(INDEX(Codes,MATCH(7,ArbeitNr,0))&amp;" "&amp;INDEX(Bezeichnungen,MATCH(7,ArbeitNr,0)),"")</f>
      </c>
      <c r="B44" s="41">
        <f>IF(OR($AM44="",B$52=0),"",COUNTIF(B$6:B$35,$AM44))</f>
      </c>
      <c r="C44" s="41">
        <f>IF(OR($AM44="",C$52=0),"",COUNTIF(C$6:C$35,$AM44))</f>
      </c>
      <c r="D44" s="41">
        <f>IF(OR($AM44="",D$52=0),"",COUNTIF(D$6:D$35,$AM44))</f>
      </c>
      <c r="E44" s="41">
        <f>IF(OR($AM44="",E$52=0),"",COUNTIF(E$6:E$35,$AM44))</f>
      </c>
      <c r="F44" s="41">
        <f>IF(OR($AM44="",F$52=0),"",COUNTIF(F$6:F$35,$AM44))</f>
      </c>
      <c r="G44" s="41">
        <f>IF(OR($AM44="",G$52=0),"",COUNTIF(G$6:G$35,$AM44))</f>
      </c>
      <c r="H44" s="41">
        <f>IF(OR($AM44="",H$52=0),"",COUNTIF(H$6:H$35,$AM44))</f>
      </c>
      <c r="I44" s="41">
        <f>IF(OR($AM44="",I$52=0),"",COUNTIF(I$6:I$35,$AM44))</f>
      </c>
      <c r="J44" s="41">
        <f>IF(OR($AM44="",J$52=0),"",COUNTIF(J$6:J$35,$AM44))</f>
      </c>
      <c r="K44" s="41">
        <f>IF(OR($AM44="",K$52=0),"",COUNTIF(K$6:K$35,$AM44))</f>
      </c>
      <c r="L44" s="41">
        <f>IF(OR($AM44="",L$52=0),"",COUNTIF(L$6:L$35,$AM44))</f>
      </c>
      <c r="M44" s="41">
        <f>IF(OR($AM44="",M$52=0),"",COUNTIF(M$6:M$35,$AM44))</f>
      </c>
      <c r="N44" s="41">
        <f>IF(OR($AM44="",N$52=0),"",COUNTIF(N$6:N$35,$AM44))</f>
      </c>
      <c r="O44" s="41">
        <f>IF(OR($AM44="",O$52=0),"",COUNTIF(O$6:O$35,$AM44))</f>
      </c>
      <c r="P44" s="41">
        <f>IF(OR($AM44="",P$52=0),"",COUNTIF(P$6:P$35,$AM44))</f>
      </c>
      <c r="Q44" s="41">
        <f>IF(OR($AM44="",Q$52=0),"",COUNTIF(Q$6:Q$35,$AM44))</f>
      </c>
      <c r="R44" s="41">
        <f>IF(OR($AM44="",R$52=0),"",COUNTIF(R$6:R$35,$AM44))</f>
      </c>
      <c r="S44" s="41">
        <f>IF(OR($AM44="",S$52=0),"",COUNTIF(S$6:S$35,$AM44))</f>
      </c>
      <c r="T44" s="41">
        <f>IF(OR($AM44="",T$52=0),"",COUNTIF(T$6:T$35,$AM44))</f>
      </c>
      <c r="U44" s="41">
        <f>IF(OR($AM44="",U$52=0),"",COUNTIF(U$6:U$35,$AM44))</f>
      </c>
      <c r="V44" s="41">
        <f>IF(OR($AM44="",V$52=0),"",COUNTIF(V$6:V$35,$AM44))</f>
      </c>
      <c r="W44" s="41">
        <f>IF(OR($AM44="",W$52=0),"",COUNTIF(W$6:W$35,$AM44))</f>
      </c>
      <c r="X44" s="41">
        <f>IF(OR($AM44="",X$52=0),"",COUNTIF(X$6:X$35,$AM44))</f>
      </c>
      <c r="Y44" s="41">
        <f>IF(OR($AM44="",Y$52=0),"",COUNTIF(Y$6:Y$35,$AM44))</f>
      </c>
      <c r="Z44" s="41">
        <f>IF(OR($AM44="",Z$52=0),"",COUNTIF(Z$6:Z$35,$AM44))</f>
      </c>
      <c r="AA44" s="41">
        <f>IF(OR($AM44="",AA$52=0),"",COUNTIF(AA$6:AA$35,$AM44))</f>
      </c>
      <c r="AB44" s="41">
        <f>IF(OR($AM44="",AB$52=0),"",COUNTIF(AB$6:AB$35,$AM44))</f>
      </c>
      <c r="AC44" s="41">
        <f>IF(OR($AM44="",AC$52=0),"",COUNTIF(AC$6:AC$35,$AM44))</f>
      </c>
      <c r="AD44" s="41">
        <f>IF(OR($AM44="",AD$52=0),"",COUNTIF(AD$6:AD$35,$AM44))</f>
      </c>
      <c r="AE44" s="41">
        <f>IF(OR($AM44="",AE$52=0),"",COUNTIF(AE$6:AE$35,$AM44))</f>
      </c>
      <c r="AF44" s="41">
        <f>IF(OR($AM44="",AF$52=0),"",COUNTIF(AF$6:AF$35,$AM44))</f>
      </c>
      <c r="AG44" s="1"/>
      <c r="AH44" s="1"/>
      <c r="AI44" s="1"/>
      <c r="AJ44" s="1"/>
      <c r="AK44" s="1"/>
      <c r="AL44" s="1"/>
      <c r="AM44" s="1">
        <f>IFERROR(INDEX(Codes,MATCH(7,ArbeitNr,0)),"")</f>
      </c>
    </row>
    <row r="45" spans="1:39" x14ac:dyDescent="0.25">
      <c r="A45" s="40">
        <f>IFERROR(INDEX(Codes,MATCH(8,ArbeitNr,0))&amp;" "&amp;INDEX(Bezeichnungen,MATCH(8,ArbeitNr,0)),"")</f>
      </c>
      <c r="B45" s="41">
        <f>IF(OR($AM45="",B$52=0),"",COUNTIF(B$6:B$35,$AM45))</f>
      </c>
      <c r="C45" s="41">
        <f>IF(OR($AM45="",C$52=0),"",COUNTIF(C$6:C$35,$AM45))</f>
      </c>
      <c r="D45" s="41">
        <f>IF(OR($AM45="",D$52=0),"",COUNTIF(D$6:D$35,$AM45))</f>
      </c>
      <c r="E45" s="41">
        <f>IF(OR($AM45="",E$52=0),"",COUNTIF(E$6:E$35,$AM45))</f>
      </c>
      <c r="F45" s="41">
        <f>IF(OR($AM45="",F$52=0),"",COUNTIF(F$6:F$35,$AM45))</f>
      </c>
      <c r="G45" s="41">
        <f>IF(OR($AM45="",G$52=0),"",COUNTIF(G$6:G$35,$AM45))</f>
      </c>
      <c r="H45" s="41">
        <f>IF(OR($AM45="",H$52=0),"",COUNTIF(H$6:H$35,$AM45))</f>
      </c>
      <c r="I45" s="41">
        <f>IF(OR($AM45="",I$52=0),"",COUNTIF(I$6:I$35,$AM45))</f>
      </c>
      <c r="J45" s="41">
        <f>IF(OR($AM45="",J$52=0),"",COUNTIF(J$6:J$35,$AM45))</f>
      </c>
      <c r="K45" s="41">
        <f>IF(OR($AM45="",K$52=0),"",COUNTIF(K$6:K$35,$AM45))</f>
      </c>
      <c r="L45" s="41">
        <f>IF(OR($AM45="",L$52=0),"",COUNTIF(L$6:L$35,$AM45))</f>
      </c>
      <c r="M45" s="41">
        <f>IF(OR($AM45="",M$52=0),"",COUNTIF(M$6:M$35,$AM45))</f>
      </c>
      <c r="N45" s="41">
        <f>IF(OR($AM45="",N$52=0),"",COUNTIF(N$6:N$35,$AM45))</f>
      </c>
      <c r="O45" s="41">
        <f>IF(OR($AM45="",O$52=0),"",COUNTIF(O$6:O$35,$AM45))</f>
      </c>
      <c r="P45" s="41">
        <f>IF(OR($AM45="",P$52=0),"",COUNTIF(P$6:P$35,$AM45))</f>
      </c>
      <c r="Q45" s="41">
        <f>IF(OR($AM45="",Q$52=0),"",COUNTIF(Q$6:Q$35,$AM45))</f>
      </c>
      <c r="R45" s="41">
        <f>IF(OR($AM45="",R$52=0),"",COUNTIF(R$6:R$35,$AM45))</f>
      </c>
      <c r="S45" s="41">
        <f>IF(OR($AM45="",S$52=0),"",COUNTIF(S$6:S$35,$AM45))</f>
      </c>
      <c r="T45" s="41">
        <f>IF(OR($AM45="",T$52=0),"",COUNTIF(T$6:T$35,$AM45))</f>
      </c>
      <c r="U45" s="41">
        <f>IF(OR($AM45="",U$52=0),"",COUNTIF(U$6:U$35,$AM45))</f>
      </c>
      <c r="V45" s="41">
        <f>IF(OR($AM45="",V$52=0),"",COUNTIF(V$6:V$35,$AM45))</f>
      </c>
      <c r="W45" s="41">
        <f>IF(OR($AM45="",W$52=0),"",COUNTIF(W$6:W$35,$AM45))</f>
      </c>
      <c r="X45" s="41">
        <f>IF(OR($AM45="",X$52=0),"",COUNTIF(X$6:X$35,$AM45))</f>
      </c>
      <c r="Y45" s="41">
        <f>IF(OR($AM45="",Y$52=0),"",COUNTIF(Y$6:Y$35,$AM45))</f>
      </c>
      <c r="Z45" s="41">
        <f>IF(OR($AM45="",Z$52=0),"",COUNTIF(Z$6:Z$35,$AM45))</f>
      </c>
      <c r="AA45" s="41">
        <f>IF(OR($AM45="",AA$52=0),"",COUNTIF(AA$6:AA$35,$AM45))</f>
      </c>
      <c r="AB45" s="41">
        <f>IF(OR($AM45="",AB$52=0),"",COUNTIF(AB$6:AB$35,$AM45))</f>
      </c>
      <c r="AC45" s="41">
        <f>IF(OR($AM45="",AC$52=0),"",COUNTIF(AC$6:AC$35,$AM45))</f>
      </c>
      <c r="AD45" s="41">
        <f>IF(OR($AM45="",AD$52=0),"",COUNTIF(AD$6:AD$35,$AM45))</f>
      </c>
      <c r="AE45" s="41">
        <f>IF(OR($AM45="",AE$52=0),"",COUNTIF(AE$6:AE$35,$AM45))</f>
      </c>
      <c r="AF45" s="41">
        <f>IF(OR($AM45="",AF$52=0),"",COUNTIF(AF$6:AF$35,$AM45))</f>
      </c>
      <c r="AG45" s="1"/>
      <c r="AH45" s="1"/>
      <c r="AI45" s="1"/>
      <c r="AJ45" s="1"/>
      <c r="AK45" s="1"/>
      <c r="AL45" s="1"/>
      <c r="AM45" s="1">
        <f>IFERROR(INDEX(Codes,MATCH(8,ArbeitNr,0)),"")</f>
      </c>
    </row>
    <row r="46" ht="22" customHeight="1" spans="1:32" x14ac:dyDescent="0.25">
      <c r="A46" s="42" t="s">
        <v>64</v>
      </c>
      <c r="B46" s="43">
        <f>TRIM(IF(AND(B38&lt;&gt;"",N(B38)&lt;N(B86)),$AM38&amp;" ","")&amp;IF(AND(B39&lt;&gt;"",N(B39)&lt;N(B87)),$AM39&amp;" ","")&amp;IF(AND(B40&lt;&gt;"",N(B40)&lt;N(B88)),$AM40&amp;" ","")&amp;IF(AND(B41&lt;&gt;"",N(B41)&lt;N(B89)),$AM41&amp;" ","")&amp;IF(AND(B42&lt;&gt;"",N(B42)&lt;N(B90)),$AM42&amp;" ","")&amp;IF(AND(B43&lt;&gt;"",N(B43)&lt;N(B91)),$AM43&amp;" ","")&amp;IF(AND(B44&lt;&gt;"",N(B44)&lt;N(B92)),$AM44&amp;" ","")&amp;IF(AND(B45&lt;&gt;"",N(B45)&lt;N(B93)),$AM45&amp;" ",""))</f>
      </c>
      <c r="C46" s="43">
        <f>TRIM(IF(AND(C38&lt;&gt;"",N(C38)&lt;N(C86)),$AM38&amp;" ","")&amp;IF(AND(C39&lt;&gt;"",N(C39)&lt;N(C87)),$AM39&amp;" ","")&amp;IF(AND(C40&lt;&gt;"",N(C40)&lt;N(C88)),$AM40&amp;" ","")&amp;IF(AND(C41&lt;&gt;"",N(C41)&lt;N(C89)),$AM41&amp;" ","")&amp;IF(AND(C42&lt;&gt;"",N(C42)&lt;N(C90)),$AM42&amp;" ","")&amp;IF(AND(C43&lt;&gt;"",N(C43)&lt;N(C91)),$AM43&amp;" ","")&amp;IF(AND(C44&lt;&gt;"",N(C44)&lt;N(C92)),$AM44&amp;" ","")&amp;IF(AND(C45&lt;&gt;"",N(C45)&lt;N(C93)),$AM45&amp;" ",""))</f>
      </c>
      <c r="D46" s="43">
        <f>TRIM(IF(AND(D38&lt;&gt;"",N(D38)&lt;N(D86)),$AM38&amp;" ","")&amp;IF(AND(D39&lt;&gt;"",N(D39)&lt;N(D87)),$AM39&amp;" ","")&amp;IF(AND(D40&lt;&gt;"",N(D40)&lt;N(D88)),$AM40&amp;" ","")&amp;IF(AND(D41&lt;&gt;"",N(D41)&lt;N(D89)),$AM41&amp;" ","")&amp;IF(AND(D42&lt;&gt;"",N(D42)&lt;N(D90)),$AM42&amp;" ","")&amp;IF(AND(D43&lt;&gt;"",N(D43)&lt;N(D91)),$AM43&amp;" ","")&amp;IF(AND(D44&lt;&gt;"",N(D44)&lt;N(D92)),$AM44&amp;" ","")&amp;IF(AND(D45&lt;&gt;"",N(D45)&lt;N(D93)),$AM45&amp;" ",""))</f>
      </c>
      <c r="E46" s="43">
        <f>TRIM(IF(AND(E38&lt;&gt;"",N(E38)&lt;N(E86)),$AM38&amp;" ","")&amp;IF(AND(E39&lt;&gt;"",N(E39)&lt;N(E87)),$AM39&amp;" ","")&amp;IF(AND(E40&lt;&gt;"",N(E40)&lt;N(E88)),$AM40&amp;" ","")&amp;IF(AND(E41&lt;&gt;"",N(E41)&lt;N(E89)),$AM41&amp;" ","")&amp;IF(AND(E42&lt;&gt;"",N(E42)&lt;N(E90)),$AM42&amp;" ","")&amp;IF(AND(E43&lt;&gt;"",N(E43)&lt;N(E91)),$AM43&amp;" ","")&amp;IF(AND(E44&lt;&gt;"",N(E44)&lt;N(E92)),$AM44&amp;" ","")&amp;IF(AND(E45&lt;&gt;"",N(E45)&lt;N(E93)),$AM45&amp;" ",""))</f>
      </c>
      <c r="F46" s="43">
        <f>TRIM(IF(AND(F38&lt;&gt;"",N(F38)&lt;N(F86)),$AM38&amp;" ","")&amp;IF(AND(F39&lt;&gt;"",N(F39)&lt;N(F87)),$AM39&amp;" ","")&amp;IF(AND(F40&lt;&gt;"",N(F40)&lt;N(F88)),$AM40&amp;" ","")&amp;IF(AND(F41&lt;&gt;"",N(F41)&lt;N(F89)),$AM41&amp;" ","")&amp;IF(AND(F42&lt;&gt;"",N(F42)&lt;N(F90)),$AM42&amp;" ","")&amp;IF(AND(F43&lt;&gt;"",N(F43)&lt;N(F91)),$AM43&amp;" ","")&amp;IF(AND(F44&lt;&gt;"",N(F44)&lt;N(F92)),$AM44&amp;" ","")&amp;IF(AND(F45&lt;&gt;"",N(F45)&lt;N(F93)),$AM45&amp;" ",""))</f>
      </c>
      <c r="G46" s="43">
        <f>TRIM(IF(AND(G38&lt;&gt;"",N(G38)&lt;N(G86)),$AM38&amp;" ","")&amp;IF(AND(G39&lt;&gt;"",N(G39)&lt;N(G87)),$AM39&amp;" ","")&amp;IF(AND(G40&lt;&gt;"",N(G40)&lt;N(G88)),$AM40&amp;" ","")&amp;IF(AND(G41&lt;&gt;"",N(G41)&lt;N(G89)),$AM41&amp;" ","")&amp;IF(AND(G42&lt;&gt;"",N(G42)&lt;N(G90)),$AM42&amp;" ","")&amp;IF(AND(G43&lt;&gt;"",N(G43)&lt;N(G91)),$AM43&amp;" ","")&amp;IF(AND(G44&lt;&gt;"",N(G44)&lt;N(G92)),$AM44&amp;" ","")&amp;IF(AND(G45&lt;&gt;"",N(G45)&lt;N(G93)),$AM45&amp;" ",""))</f>
      </c>
      <c r="H46" s="43">
        <f>TRIM(IF(AND(H38&lt;&gt;"",N(H38)&lt;N(H86)),$AM38&amp;" ","")&amp;IF(AND(H39&lt;&gt;"",N(H39)&lt;N(H87)),$AM39&amp;" ","")&amp;IF(AND(H40&lt;&gt;"",N(H40)&lt;N(H88)),$AM40&amp;" ","")&amp;IF(AND(H41&lt;&gt;"",N(H41)&lt;N(H89)),$AM41&amp;" ","")&amp;IF(AND(H42&lt;&gt;"",N(H42)&lt;N(H90)),$AM42&amp;" ","")&amp;IF(AND(H43&lt;&gt;"",N(H43)&lt;N(H91)),$AM43&amp;" ","")&amp;IF(AND(H44&lt;&gt;"",N(H44)&lt;N(H92)),$AM44&amp;" ","")&amp;IF(AND(H45&lt;&gt;"",N(H45)&lt;N(H93)),$AM45&amp;" ",""))</f>
      </c>
      <c r="I46" s="43">
        <f>TRIM(IF(AND(I38&lt;&gt;"",N(I38)&lt;N(I86)),$AM38&amp;" ","")&amp;IF(AND(I39&lt;&gt;"",N(I39)&lt;N(I87)),$AM39&amp;" ","")&amp;IF(AND(I40&lt;&gt;"",N(I40)&lt;N(I88)),$AM40&amp;" ","")&amp;IF(AND(I41&lt;&gt;"",N(I41)&lt;N(I89)),$AM41&amp;" ","")&amp;IF(AND(I42&lt;&gt;"",N(I42)&lt;N(I90)),$AM42&amp;" ","")&amp;IF(AND(I43&lt;&gt;"",N(I43)&lt;N(I91)),$AM43&amp;" ","")&amp;IF(AND(I44&lt;&gt;"",N(I44)&lt;N(I92)),$AM44&amp;" ","")&amp;IF(AND(I45&lt;&gt;"",N(I45)&lt;N(I93)),$AM45&amp;" ",""))</f>
      </c>
      <c r="J46" s="43">
        <f>TRIM(IF(AND(J38&lt;&gt;"",N(J38)&lt;N(J86)),$AM38&amp;" ","")&amp;IF(AND(J39&lt;&gt;"",N(J39)&lt;N(J87)),$AM39&amp;" ","")&amp;IF(AND(J40&lt;&gt;"",N(J40)&lt;N(J88)),$AM40&amp;" ","")&amp;IF(AND(J41&lt;&gt;"",N(J41)&lt;N(J89)),$AM41&amp;" ","")&amp;IF(AND(J42&lt;&gt;"",N(J42)&lt;N(J90)),$AM42&amp;" ","")&amp;IF(AND(J43&lt;&gt;"",N(J43)&lt;N(J91)),$AM43&amp;" ","")&amp;IF(AND(J44&lt;&gt;"",N(J44)&lt;N(J92)),$AM44&amp;" ","")&amp;IF(AND(J45&lt;&gt;"",N(J45)&lt;N(J93)),$AM45&amp;" ",""))</f>
      </c>
      <c r="K46" s="43">
        <f>TRIM(IF(AND(K38&lt;&gt;"",N(K38)&lt;N(K86)),$AM38&amp;" ","")&amp;IF(AND(K39&lt;&gt;"",N(K39)&lt;N(K87)),$AM39&amp;" ","")&amp;IF(AND(K40&lt;&gt;"",N(K40)&lt;N(K88)),$AM40&amp;" ","")&amp;IF(AND(K41&lt;&gt;"",N(K41)&lt;N(K89)),$AM41&amp;" ","")&amp;IF(AND(K42&lt;&gt;"",N(K42)&lt;N(K90)),$AM42&amp;" ","")&amp;IF(AND(K43&lt;&gt;"",N(K43)&lt;N(K91)),$AM43&amp;" ","")&amp;IF(AND(K44&lt;&gt;"",N(K44)&lt;N(K92)),$AM44&amp;" ","")&amp;IF(AND(K45&lt;&gt;"",N(K45)&lt;N(K93)),$AM45&amp;" ",""))</f>
      </c>
      <c r="L46" s="43">
        <f>TRIM(IF(AND(L38&lt;&gt;"",N(L38)&lt;N(L86)),$AM38&amp;" ","")&amp;IF(AND(L39&lt;&gt;"",N(L39)&lt;N(L87)),$AM39&amp;" ","")&amp;IF(AND(L40&lt;&gt;"",N(L40)&lt;N(L88)),$AM40&amp;" ","")&amp;IF(AND(L41&lt;&gt;"",N(L41)&lt;N(L89)),$AM41&amp;" ","")&amp;IF(AND(L42&lt;&gt;"",N(L42)&lt;N(L90)),$AM42&amp;" ","")&amp;IF(AND(L43&lt;&gt;"",N(L43)&lt;N(L91)),$AM43&amp;" ","")&amp;IF(AND(L44&lt;&gt;"",N(L44)&lt;N(L92)),$AM44&amp;" ","")&amp;IF(AND(L45&lt;&gt;"",N(L45)&lt;N(L93)),$AM45&amp;" ",""))</f>
      </c>
      <c r="M46" s="43">
        <f>TRIM(IF(AND(M38&lt;&gt;"",N(M38)&lt;N(M86)),$AM38&amp;" ","")&amp;IF(AND(M39&lt;&gt;"",N(M39)&lt;N(M87)),$AM39&amp;" ","")&amp;IF(AND(M40&lt;&gt;"",N(M40)&lt;N(M88)),$AM40&amp;" ","")&amp;IF(AND(M41&lt;&gt;"",N(M41)&lt;N(M89)),$AM41&amp;" ","")&amp;IF(AND(M42&lt;&gt;"",N(M42)&lt;N(M90)),$AM42&amp;" ","")&amp;IF(AND(M43&lt;&gt;"",N(M43)&lt;N(M91)),$AM43&amp;" ","")&amp;IF(AND(M44&lt;&gt;"",N(M44)&lt;N(M92)),$AM44&amp;" ","")&amp;IF(AND(M45&lt;&gt;"",N(M45)&lt;N(M93)),$AM45&amp;" ",""))</f>
      </c>
      <c r="N46" s="43">
        <f>TRIM(IF(AND(N38&lt;&gt;"",N(N38)&lt;N(N86)),$AM38&amp;" ","")&amp;IF(AND(N39&lt;&gt;"",N(N39)&lt;N(N87)),$AM39&amp;" ","")&amp;IF(AND(N40&lt;&gt;"",N(N40)&lt;N(N88)),$AM40&amp;" ","")&amp;IF(AND(N41&lt;&gt;"",N(N41)&lt;N(N89)),$AM41&amp;" ","")&amp;IF(AND(N42&lt;&gt;"",N(N42)&lt;N(N90)),$AM42&amp;" ","")&amp;IF(AND(N43&lt;&gt;"",N(N43)&lt;N(N91)),$AM43&amp;" ","")&amp;IF(AND(N44&lt;&gt;"",N(N44)&lt;N(N92)),$AM44&amp;" ","")&amp;IF(AND(N45&lt;&gt;"",N(N45)&lt;N(N93)),$AM45&amp;" ",""))</f>
      </c>
      <c r="O46" s="43">
        <f>TRIM(IF(AND(O38&lt;&gt;"",N(O38)&lt;N(O86)),$AM38&amp;" ","")&amp;IF(AND(O39&lt;&gt;"",N(O39)&lt;N(O87)),$AM39&amp;" ","")&amp;IF(AND(O40&lt;&gt;"",N(O40)&lt;N(O88)),$AM40&amp;" ","")&amp;IF(AND(O41&lt;&gt;"",N(O41)&lt;N(O89)),$AM41&amp;" ","")&amp;IF(AND(O42&lt;&gt;"",N(O42)&lt;N(O90)),$AM42&amp;" ","")&amp;IF(AND(O43&lt;&gt;"",N(O43)&lt;N(O91)),$AM43&amp;" ","")&amp;IF(AND(O44&lt;&gt;"",N(O44)&lt;N(O92)),$AM44&amp;" ","")&amp;IF(AND(O45&lt;&gt;"",N(O45)&lt;N(O93)),$AM45&amp;" ",""))</f>
      </c>
      <c r="P46" s="43">
        <f>TRIM(IF(AND(P38&lt;&gt;"",N(P38)&lt;N(P86)),$AM38&amp;" ","")&amp;IF(AND(P39&lt;&gt;"",N(P39)&lt;N(P87)),$AM39&amp;" ","")&amp;IF(AND(P40&lt;&gt;"",N(P40)&lt;N(P88)),$AM40&amp;" ","")&amp;IF(AND(P41&lt;&gt;"",N(P41)&lt;N(P89)),$AM41&amp;" ","")&amp;IF(AND(P42&lt;&gt;"",N(P42)&lt;N(P90)),$AM42&amp;" ","")&amp;IF(AND(P43&lt;&gt;"",N(P43)&lt;N(P91)),$AM43&amp;" ","")&amp;IF(AND(P44&lt;&gt;"",N(P44)&lt;N(P92)),$AM44&amp;" ","")&amp;IF(AND(P45&lt;&gt;"",N(P45)&lt;N(P93)),$AM45&amp;" ",""))</f>
      </c>
      <c r="Q46" s="43">
        <f>TRIM(IF(AND(Q38&lt;&gt;"",N(Q38)&lt;N(Q86)),$AM38&amp;" ","")&amp;IF(AND(Q39&lt;&gt;"",N(Q39)&lt;N(Q87)),$AM39&amp;" ","")&amp;IF(AND(Q40&lt;&gt;"",N(Q40)&lt;N(Q88)),$AM40&amp;" ","")&amp;IF(AND(Q41&lt;&gt;"",N(Q41)&lt;N(Q89)),$AM41&amp;" ","")&amp;IF(AND(Q42&lt;&gt;"",N(Q42)&lt;N(Q90)),$AM42&amp;" ","")&amp;IF(AND(Q43&lt;&gt;"",N(Q43)&lt;N(Q91)),$AM43&amp;" ","")&amp;IF(AND(Q44&lt;&gt;"",N(Q44)&lt;N(Q92)),$AM44&amp;" ","")&amp;IF(AND(Q45&lt;&gt;"",N(Q45)&lt;N(Q93)),$AM45&amp;" ",""))</f>
      </c>
      <c r="R46" s="43">
        <f>TRIM(IF(AND(R38&lt;&gt;"",N(R38)&lt;N(R86)),$AM38&amp;" ","")&amp;IF(AND(R39&lt;&gt;"",N(R39)&lt;N(R87)),$AM39&amp;" ","")&amp;IF(AND(R40&lt;&gt;"",N(R40)&lt;N(R88)),$AM40&amp;" ","")&amp;IF(AND(R41&lt;&gt;"",N(R41)&lt;N(R89)),$AM41&amp;" ","")&amp;IF(AND(R42&lt;&gt;"",N(R42)&lt;N(R90)),$AM42&amp;" ","")&amp;IF(AND(R43&lt;&gt;"",N(R43)&lt;N(R91)),$AM43&amp;" ","")&amp;IF(AND(R44&lt;&gt;"",N(R44)&lt;N(R92)),$AM44&amp;" ","")&amp;IF(AND(R45&lt;&gt;"",N(R45)&lt;N(R93)),$AM45&amp;" ",""))</f>
      </c>
      <c r="S46" s="43">
        <f>TRIM(IF(AND(S38&lt;&gt;"",N(S38)&lt;N(S86)),$AM38&amp;" ","")&amp;IF(AND(S39&lt;&gt;"",N(S39)&lt;N(S87)),$AM39&amp;" ","")&amp;IF(AND(S40&lt;&gt;"",N(S40)&lt;N(S88)),$AM40&amp;" ","")&amp;IF(AND(S41&lt;&gt;"",N(S41)&lt;N(S89)),$AM41&amp;" ","")&amp;IF(AND(S42&lt;&gt;"",N(S42)&lt;N(S90)),$AM42&amp;" ","")&amp;IF(AND(S43&lt;&gt;"",N(S43)&lt;N(S91)),$AM43&amp;" ","")&amp;IF(AND(S44&lt;&gt;"",N(S44)&lt;N(S92)),$AM44&amp;" ","")&amp;IF(AND(S45&lt;&gt;"",N(S45)&lt;N(S93)),$AM45&amp;" ",""))</f>
      </c>
      <c r="T46" s="43">
        <f>TRIM(IF(AND(T38&lt;&gt;"",N(T38)&lt;N(T86)),$AM38&amp;" ","")&amp;IF(AND(T39&lt;&gt;"",N(T39)&lt;N(T87)),$AM39&amp;" ","")&amp;IF(AND(T40&lt;&gt;"",N(T40)&lt;N(T88)),$AM40&amp;" ","")&amp;IF(AND(T41&lt;&gt;"",N(T41)&lt;N(T89)),$AM41&amp;" ","")&amp;IF(AND(T42&lt;&gt;"",N(T42)&lt;N(T90)),$AM42&amp;" ","")&amp;IF(AND(T43&lt;&gt;"",N(T43)&lt;N(T91)),$AM43&amp;" ","")&amp;IF(AND(T44&lt;&gt;"",N(T44)&lt;N(T92)),$AM44&amp;" ","")&amp;IF(AND(T45&lt;&gt;"",N(T45)&lt;N(T93)),$AM45&amp;" ",""))</f>
      </c>
      <c r="U46" s="43">
        <f>TRIM(IF(AND(U38&lt;&gt;"",N(U38)&lt;N(U86)),$AM38&amp;" ","")&amp;IF(AND(U39&lt;&gt;"",N(U39)&lt;N(U87)),$AM39&amp;" ","")&amp;IF(AND(U40&lt;&gt;"",N(U40)&lt;N(U88)),$AM40&amp;" ","")&amp;IF(AND(U41&lt;&gt;"",N(U41)&lt;N(U89)),$AM41&amp;" ","")&amp;IF(AND(U42&lt;&gt;"",N(U42)&lt;N(U90)),$AM42&amp;" ","")&amp;IF(AND(U43&lt;&gt;"",N(U43)&lt;N(U91)),$AM43&amp;" ","")&amp;IF(AND(U44&lt;&gt;"",N(U44)&lt;N(U92)),$AM44&amp;" ","")&amp;IF(AND(U45&lt;&gt;"",N(U45)&lt;N(U93)),$AM45&amp;" ",""))</f>
      </c>
      <c r="V46" s="43">
        <f>TRIM(IF(AND(V38&lt;&gt;"",N(V38)&lt;N(V86)),$AM38&amp;" ","")&amp;IF(AND(V39&lt;&gt;"",N(V39)&lt;N(V87)),$AM39&amp;" ","")&amp;IF(AND(V40&lt;&gt;"",N(V40)&lt;N(V88)),$AM40&amp;" ","")&amp;IF(AND(V41&lt;&gt;"",N(V41)&lt;N(V89)),$AM41&amp;" ","")&amp;IF(AND(V42&lt;&gt;"",N(V42)&lt;N(V90)),$AM42&amp;" ","")&amp;IF(AND(V43&lt;&gt;"",N(V43)&lt;N(V91)),$AM43&amp;" ","")&amp;IF(AND(V44&lt;&gt;"",N(V44)&lt;N(V92)),$AM44&amp;" ","")&amp;IF(AND(V45&lt;&gt;"",N(V45)&lt;N(V93)),$AM45&amp;" ",""))</f>
      </c>
      <c r="W46" s="43">
        <f>TRIM(IF(AND(W38&lt;&gt;"",N(W38)&lt;N(W86)),$AM38&amp;" ","")&amp;IF(AND(W39&lt;&gt;"",N(W39)&lt;N(W87)),$AM39&amp;" ","")&amp;IF(AND(W40&lt;&gt;"",N(W40)&lt;N(W88)),$AM40&amp;" ","")&amp;IF(AND(W41&lt;&gt;"",N(W41)&lt;N(W89)),$AM41&amp;" ","")&amp;IF(AND(W42&lt;&gt;"",N(W42)&lt;N(W90)),$AM42&amp;" ","")&amp;IF(AND(W43&lt;&gt;"",N(W43)&lt;N(W91)),$AM43&amp;" ","")&amp;IF(AND(W44&lt;&gt;"",N(W44)&lt;N(W92)),$AM44&amp;" ","")&amp;IF(AND(W45&lt;&gt;"",N(W45)&lt;N(W93)),$AM45&amp;" ",""))</f>
      </c>
      <c r="X46" s="43">
        <f>TRIM(IF(AND(X38&lt;&gt;"",N(X38)&lt;N(X86)),$AM38&amp;" ","")&amp;IF(AND(X39&lt;&gt;"",N(X39)&lt;N(X87)),$AM39&amp;" ","")&amp;IF(AND(X40&lt;&gt;"",N(X40)&lt;N(X88)),$AM40&amp;" ","")&amp;IF(AND(X41&lt;&gt;"",N(X41)&lt;N(X89)),$AM41&amp;" ","")&amp;IF(AND(X42&lt;&gt;"",N(X42)&lt;N(X90)),$AM42&amp;" ","")&amp;IF(AND(X43&lt;&gt;"",N(X43)&lt;N(X91)),$AM43&amp;" ","")&amp;IF(AND(X44&lt;&gt;"",N(X44)&lt;N(X92)),$AM44&amp;" ","")&amp;IF(AND(X45&lt;&gt;"",N(X45)&lt;N(X93)),$AM45&amp;" ",""))</f>
      </c>
      <c r="Y46" s="43">
        <f>TRIM(IF(AND(Y38&lt;&gt;"",N(Y38)&lt;N(Y86)),$AM38&amp;" ","")&amp;IF(AND(Y39&lt;&gt;"",N(Y39)&lt;N(Y87)),$AM39&amp;" ","")&amp;IF(AND(Y40&lt;&gt;"",N(Y40)&lt;N(Y88)),$AM40&amp;" ","")&amp;IF(AND(Y41&lt;&gt;"",N(Y41)&lt;N(Y89)),$AM41&amp;" ","")&amp;IF(AND(Y42&lt;&gt;"",N(Y42)&lt;N(Y90)),$AM42&amp;" ","")&amp;IF(AND(Y43&lt;&gt;"",N(Y43)&lt;N(Y91)),$AM43&amp;" ","")&amp;IF(AND(Y44&lt;&gt;"",N(Y44)&lt;N(Y92)),$AM44&amp;" ","")&amp;IF(AND(Y45&lt;&gt;"",N(Y45)&lt;N(Y93)),$AM45&amp;" ",""))</f>
      </c>
      <c r="Z46" s="43">
        <f>TRIM(IF(AND(Z38&lt;&gt;"",N(Z38)&lt;N(Z86)),$AM38&amp;" ","")&amp;IF(AND(Z39&lt;&gt;"",N(Z39)&lt;N(Z87)),$AM39&amp;" ","")&amp;IF(AND(Z40&lt;&gt;"",N(Z40)&lt;N(Z88)),$AM40&amp;" ","")&amp;IF(AND(Z41&lt;&gt;"",N(Z41)&lt;N(Z89)),$AM41&amp;" ","")&amp;IF(AND(Z42&lt;&gt;"",N(Z42)&lt;N(Z90)),$AM42&amp;" ","")&amp;IF(AND(Z43&lt;&gt;"",N(Z43)&lt;N(Z91)),$AM43&amp;" ","")&amp;IF(AND(Z44&lt;&gt;"",N(Z44)&lt;N(Z92)),$AM44&amp;" ","")&amp;IF(AND(Z45&lt;&gt;"",N(Z45)&lt;N(Z93)),$AM45&amp;" ",""))</f>
      </c>
      <c r="AA46" s="43">
        <f>TRIM(IF(AND(AA38&lt;&gt;"",N(AA38)&lt;N(AA86)),$AM38&amp;" ","")&amp;IF(AND(AA39&lt;&gt;"",N(AA39)&lt;N(AA87)),$AM39&amp;" ","")&amp;IF(AND(AA40&lt;&gt;"",N(AA40)&lt;N(AA88)),$AM40&amp;" ","")&amp;IF(AND(AA41&lt;&gt;"",N(AA41)&lt;N(AA89)),$AM41&amp;" ","")&amp;IF(AND(AA42&lt;&gt;"",N(AA42)&lt;N(AA90)),$AM42&amp;" ","")&amp;IF(AND(AA43&lt;&gt;"",N(AA43)&lt;N(AA91)),$AM43&amp;" ","")&amp;IF(AND(AA44&lt;&gt;"",N(AA44)&lt;N(AA92)),$AM44&amp;" ","")&amp;IF(AND(AA45&lt;&gt;"",N(AA45)&lt;N(AA93)),$AM45&amp;" ",""))</f>
      </c>
      <c r="AB46" s="43">
        <f>TRIM(IF(AND(AB38&lt;&gt;"",N(AB38)&lt;N(AB86)),$AM38&amp;" ","")&amp;IF(AND(AB39&lt;&gt;"",N(AB39)&lt;N(AB87)),$AM39&amp;" ","")&amp;IF(AND(AB40&lt;&gt;"",N(AB40)&lt;N(AB88)),$AM40&amp;" ","")&amp;IF(AND(AB41&lt;&gt;"",N(AB41)&lt;N(AB89)),$AM41&amp;" ","")&amp;IF(AND(AB42&lt;&gt;"",N(AB42)&lt;N(AB90)),$AM42&amp;" ","")&amp;IF(AND(AB43&lt;&gt;"",N(AB43)&lt;N(AB91)),$AM43&amp;" ","")&amp;IF(AND(AB44&lt;&gt;"",N(AB44)&lt;N(AB92)),$AM44&amp;" ","")&amp;IF(AND(AB45&lt;&gt;"",N(AB45)&lt;N(AB93)),$AM45&amp;" ",""))</f>
      </c>
      <c r="AC46" s="43">
        <f>TRIM(IF(AND(AC38&lt;&gt;"",N(AC38)&lt;N(AC86)),$AM38&amp;" ","")&amp;IF(AND(AC39&lt;&gt;"",N(AC39)&lt;N(AC87)),$AM39&amp;" ","")&amp;IF(AND(AC40&lt;&gt;"",N(AC40)&lt;N(AC88)),$AM40&amp;" ","")&amp;IF(AND(AC41&lt;&gt;"",N(AC41)&lt;N(AC89)),$AM41&amp;" ","")&amp;IF(AND(AC42&lt;&gt;"",N(AC42)&lt;N(AC90)),$AM42&amp;" ","")&amp;IF(AND(AC43&lt;&gt;"",N(AC43)&lt;N(AC91)),$AM43&amp;" ","")&amp;IF(AND(AC44&lt;&gt;"",N(AC44)&lt;N(AC92)),$AM44&amp;" ","")&amp;IF(AND(AC45&lt;&gt;"",N(AC45)&lt;N(AC93)),$AM45&amp;" ",""))</f>
      </c>
      <c r="AD46" s="43">
        <f>TRIM(IF(AND(AD38&lt;&gt;"",N(AD38)&lt;N(AD86)),$AM38&amp;" ","")&amp;IF(AND(AD39&lt;&gt;"",N(AD39)&lt;N(AD87)),$AM39&amp;" ","")&amp;IF(AND(AD40&lt;&gt;"",N(AD40)&lt;N(AD88)),$AM40&amp;" ","")&amp;IF(AND(AD41&lt;&gt;"",N(AD41)&lt;N(AD89)),$AM41&amp;" ","")&amp;IF(AND(AD42&lt;&gt;"",N(AD42)&lt;N(AD90)),$AM42&amp;" ","")&amp;IF(AND(AD43&lt;&gt;"",N(AD43)&lt;N(AD91)),$AM43&amp;" ","")&amp;IF(AND(AD44&lt;&gt;"",N(AD44)&lt;N(AD92)),$AM44&amp;" ","")&amp;IF(AND(AD45&lt;&gt;"",N(AD45)&lt;N(AD93)),$AM45&amp;" ",""))</f>
      </c>
      <c r="AE46" s="43">
        <f>TRIM(IF(AND(AE38&lt;&gt;"",N(AE38)&lt;N(AE86)),$AM38&amp;" ","")&amp;IF(AND(AE39&lt;&gt;"",N(AE39)&lt;N(AE87)),$AM39&amp;" ","")&amp;IF(AND(AE40&lt;&gt;"",N(AE40)&lt;N(AE88)),$AM40&amp;" ","")&amp;IF(AND(AE41&lt;&gt;"",N(AE41)&lt;N(AE89)),$AM41&amp;" ","")&amp;IF(AND(AE42&lt;&gt;"",N(AE42)&lt;N(AE90)),$AM42&amp;" ","")&amp;IF(AND(AE43&lt;&gt;"",N(AE43)&lt;N(AE91)),$AM43&amp;" ","")&amp;IF(AND(AE44&lt;&gt;"",N(AE44)&lt;N(AE92)),$AM44&amp;" ","")&amp;IF(AND(AE45&lt;&gt;"",N(AE45)&lt;N(AE93)),$AM45&amp;" ",""))</f>
      </c>
      <c r="AF46" s="43">
        <f>TRIM(IF(AND(AF38&lt;&gt;"",N(AF38)&lt;N(AF86)),$AM38&amp;" ","")&amp;IF(AND(AF39&lt;&gt;"",N(AF39)&lt;N(AF87)),$AM39&amp;" ","")&amp;IF(AND(AF40&lt;&gt;"",N(AF40)&lt;N(AF88)),$AM40&amp;" ","")&amp;IF(AND(AF41&lt;&gt;"",N(AF41)&lt;N(AF89)),$AM41&amp;" ","")&amp;IF(AND(AF42&lt;&gt;"",N(AF42)&lt;N(AF90)),$AM42&amp;" ","")&amp;IF(AND(AF43&lt;&gt;"",N(AF43)&lt;N(AF91)),$AM43&amp;" ","")&amp;IF(AND(AF44&lt;&gt;"",N(AF44)&lt;N(AF92)),$AM44&amp;" ","")&amp;IF(AND(AF45&lt;&gt;"",N(AF45)&lt;N(AF93)),$AM45&amp;" ",""))</f>
      </c>
    </row>
    <row r="48" spans="1:38" x14ac:dyDescent="0.25">
      <c r="A48" s="7" t="s">
        <v>65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1"/>
      <c r="W48" s="1"/>
      <c r="X48" s="7" t="s">
        <v>66</v>
      </c>
      <c r="Y48" s="1"/>
      <c r="Z48" s="1"/>
      <c r="AA48" s="1"/>
      <c r="AB48" s="1"/>
      <c r="AC48" s="1"/>
      <c r="AD48" s="1"/>
      <c r="AE48" s="1"/>
      <c r="AF48" s="1"/>
      <c r="AG48" s="44"/>
      <c r="AH48" s="44"/>
      <c r="AI48" s="44"/>
      <c r="AJ48" s="44"/>
      <c r="AK48" s="44"/>
      <c r="AL48" s="44"/>
    </row>
    <row r="50" hidden="1" spans="1:32" x14ac:dyDescent="0.25">
      <c r="A50" s="1"/>
      <c r="B50" s="1">
        <f>IF(B$5="",0,IF(ISNUMBER(MATCH(B$5,FeiertagDaten,0)),1,0))</f>
      </c>
      <c r="C50" s="1">
        <f>IF(C$5="",0,IF(ISNUMBER(MATCH(C$5,FeiertagDaten,0)),1,0))</f>
      </c>
      <c r="D50" s="1">
        <f>IF(D$5="",0,IF(ISNUMBER(MATCH(D$5,FeiertagDaten,0)),1,0))</f>
      </c>
      <c r="E50" s="1">
        <f>IF(E$5="",0,IF(ISNUMBER(MATCH(E$5,FeiertagDaten,0)),1,0))</f>
      </c>
      <c r="F50" s="1">
        <f>IF(F$5="",0,IF(ISNUMBER(MATCH(F$5,FeiertagDaten,0)),1,0))</f>
      </c>
      <c r="G50" s="1">
        <f>IF(G$5="",0,IF(ISNUMBER(MATCH(G$5,FeiertagDaten,0)),1,0))</f>
      </c>
      <c r="H50" s="1">
        <f>IF(H$5="",0,IF(ISNUMBER(MATCH(H$5,FeiertagDaten,0)),1,0))</f>
      </c>
      <c r="I50" s="1">
        <f>IF(I$5="",0,IF(ISNUMBER(MATCH(I$5,FeiertagDaten,0)),1,0))</f>
      </c>
      <c r="J50" s="1">
        <f>IF(J$5="",0,IF(ISNUMBER(MATCH(J$5,FeiertagDaten,0)),1,0))</f>
      </c>
      <c r="K50" s="1">
        <f>IF(K$5="",0,IF(ISNUMBER(MATCH(K$5,FeiertagDaten,0)),1,0))</f>
      </c>
      <c r="L50" s="1">
        <f>IF(L$5="",0,IF(ISNUMBER(MATCH(L$5,FeiertagDaten,0)),1,0))</f>
      </c>
      <c r="M50" s="1">
        <f>IF(M$5="",0,IF(ISNUMBER(MATCH(M$5,FeiertagDaten,0)),1,0))</f>
      </c>
      <c r="N50" s="1">
        <f>IF(N$5="",0,IF(ISNUMBER(MATCH(N$5,FeiertagDaten,0)),1,0))</f>
      </c>
      <c r="O50" s="1">
        <f>IF(O$5="",0,IF(ISNUMBER(MATCH(O$5,FeiertagDaten,0)),1,0))</f>
      </c>
      <c r="P50" s="1">
        <f>IF(P$5="",0,IF(ISNUMBER(MATCH(P$5,FeiertagDaten,0)),1,0))</f>
      </c>
      <c r="Q50" s="1">
        <f>IF(Q$5="",0,IF(ISNUMBER(MATCH(Q$5,FeiertagDaten,0)),1,0))</f>
      </c>
      <c r="R50" s="1">
        <f>IF(R$5="",0,IF(ISNUMBER(MATCH(R$5,FeiertagDaten,0)),1,0))</f>
      </c>
      <c r="S50" s="1">
        <f>IF(S$5="",0,IF(ISNUMBER(MATCH(S$5,FeiertagDaten,0)),1,0))</f>
      </c>
      <c r="T50" s="1">
        <f>IF(T$5="",0,IF(ISNUMBER(MATCH(T$5,FeiertagDaten,0)),1,0))</f>
      </c>
      <c r="U50" s="1">
        <f>IF(U$5="",0,IF(ISNUMBER(MATCH(U$5,FeiertagDaten,0)),1,0))</f>
      </c>
      <c r="V50" s="1">
        <f>IF(V$5="",0,IF(ISNUMBER(MATCH(V$5,FeiertagDaten,0)),1,0))</f>
      </c>
      <c r="W50" s="1">
        <f>IF(W$5="",0,IF(ISNUMBER(MATCH(W$5,FeiertagDaten,0)),1,0))</f>
      </c>
      <c r="X50" s="1">
        <f>IF(X$5="",0,IF(ISNUMBER(MATCH(X$5,FeiertagDaten,0)),1,0))</f>
      </c>
      <c r="Y50" s="1">
        <f>IF(Y$5="",0,IF(ISNUMBER(MATCH(Y$5,FeiertagDaten,0)),1,0))</f>
      </c>
      <c r="Z50" s="1">
        <f>IF(Z$5="",0,IF(ISNUMBER(MATCH(Z$5,FeiertagDaten,0)),1,0))</f>
      </c>
      <c r="AA50" s="1">
        <f>IF(AA$5="",0,IF(ISNUMBER(MATCH(AA$5,FeiertagDaten,0)),1,0))</f>
      </c>
      <c r="AB50" s="1">
        <f>IF(AB$5="",0,IF(ISNUMBER(MATCH(AB$5,FeiertagDaten,0)),1,0))</f>
      </c>
      <c r="AC50" s="1">
        <f>IF(AC$5="",0,IF(ISNUMBER(MATCH(AC$5,FeiertagDaten,0)),1,0))</f>
      </c>
      <c r="AD50" s="1">
        <f>IF(AD$5="",0,IF(ISNUMBER(MATCH(AD$5,FeiertagDaten,0)),1,0))</f>
      </c>
      <c r="AE50" s="1">
        <f>IF(AE$5="",0,IF(ISNUMBER(MATCH(AE$5,FeiertagDaten,0)),1,0))</f>
      </c>
      <c r="AF50" s="1">
        <f>IF(AF$5="",0,IF(ISNUMBER(MATCH(AF$5,FeiertagDaten,0)),1,0))</f>
      </c>
    </row>
    <row r="51" hidden="1" spans="1:32" x14ac:dyDescent="0.25">
      <c r="A51" s="1"/>
      <c r="B51" s="1">
        <f>IF(B$5="",0,WEEKDAY(B$5,2))</f>
      </c>
      <c r="C51" s="1">
        <f>IF(C$5="",0,WEEKDAY(C$5,2))</f>
      </c>
      <c r="D51" s="1">
        <f>IF(D$5="",0,WEEKDAY(D$5,2))</f>
      </c>
      <c r="E51" s="1">
        <f>IF(E$5="",0,WEEKDAY(E$5,2))</f>
      </c>
      <c r="F51" s="1">
        <f>IF(F$5="",0,WEEKDAY(F$5,2))</f>
      </c>
      <c r="G51" s="1">
        <f>IF(G$5="",0,WEEKDAY(G$5,2))</f>
      </c>
      <c r="H51" s="1">
        <f>IF(H$5="",0,WEEKDAY(H$5,2))</f>
      </c>
      <c r="I51" s="1">
        <f>IF(I$5="",0,WEEKDAY(I$5,2))</f>
      </c>
      <c r="J51" s="1">
        <f>IF(J$5="",0,WEEKDAY(J$5,2))</f>
      </c>
      <c r="K51" s="1">
        <f>IF(K$5="",0,WEEKDAY(K$5,2))</f>
      </c>
      <c r="L51" s="1">
        <f>IF(L$5="",0,WEEKDAY(L$5,2))</f>
      </c>
      <c r="M51" s="1">
        <f>IF(M$5="",0,WEEKDAY(M$5,2))</f>
      </c>
      <c r="N51" s="1">
        <f>IF(N$5="",0,WEEKDAY(N$5,2))</f>
      </c>
      <c r="O51" s="1">
        <f>IF(O$5="",0,WEEKDAY(O$5,2))</f>
      </c>
      <c r="P51" s="1">
        <f>IF(P$5="",0,WEEKDAY(P$5,2))</f>
      </c>
      <c r="Q51" s="1">
        <f>IF(Q$5="",0,WEEKDAY(Q$5,2))</f>
      </c>
      <c r="R51" s="1">
        <f>IF(R$5="",0,WEEKDAY(R$5,2))</f>
      </c>
      <c r="S51" s="1">
        <f>IF(S$5="",0,WEEKDAY(S$5,2))</f>
      </c>
      <c r="T51" s="1">
        <f>IF(T$5="",0,WEEKDAY(T$5,2))</f>
      </c>
      <c r="U51" s="1">
        <f>IF(U$5="",0,WEEKDAY(U$5,2))</f>
      </c>
      <c r="V51" s="1">
        <f>IF(V$5="",0,WEEKDAY(V$5,2))</f>
      </c>
      <c r="W51" s="1">
        <f>IF(W$5="",0,WEEKDAY(W$5,2))</f>
      </c>
      <c r="X51" s="1">
        <f>IF(X$5="",0,WEEKDAY(X$5,2))</f>
      </c>
      <c r="Y51" s="1">
        <f>IF(Y$5="",0,WEEKDAY(Y$5,2))</f>
      </c>
      <c r="Z51" s="1">
        <f>IF(Z$5="",0,WEEKDAY(Z$5,2))</f>
      </c>
      <c r="AA51" s="1">
        <f>IF(AA$5="",0,WEEKDAY(AA$5,2))</f>
      </c>
      <c r="AB51" s="1">
        <f>IF(AB$5="",0,WEEKDAY(AB$5,2))</f>
      </c>
      <c r="AC51" s="1">
        <f>IF(AC$5="",0,WEEKDAY(AC$5,2))</f>
      </c>
      <c r="AD51" s="1">
        <f>IF(AD$5="",0,WEEKDAY(AD$5,2))</f>
      </c>
      <c r="AE51" s="1">
        <f>IF(AE$5="",0,WEEKDAY(AE$5,2))</f>
      </c>
      <c r="AF51" s="1">
        <f>IF(AF$5="",0,WEEKDAY(AF$5,2))</f>
      </c>
    </row>
    <row r="52" hidden="1" spans="1:32" x14ac:dyDescent="0.25">
      <c r="A52" s="1"/>
      <c r="B52" s="1">
        <f>IF(B$5="",0,1)</f>
      </c>
      <c r="C52" s="1">
        <f>IF(C$5="",0,1)</f>
      </c>
      <c r="D52" s="1">
        <f>IF(D$5="",0,1)</f>
      </c>
      <c r="E52" s="1">
        <f>IF(E$5="",0,1)</f>
      </c>
      <c r="F52" s="1">
        <f>IF(F$5="",0,1)</f>
      </c>
      <c r="G52" s="1">
        <f>IF(G$5="",0,1)</f>
      </c>
      <c r="H52" s="1">
        <f>IF(H$5="",0,1)</f>
      </c>
      <c r="I52" s="1">
        <f>IF(I$5="",0,1)</f>
      </c>
      <c r="J52" s="1">
        <f>IF(J$5="",0,1)</f>
      </c>
      <c r="K52" s="1">
        <f>IF(K$5="",0,1)</f>
      </c>
      <c r="L52" s="1">
        <f>IF(L$5="",0,1)</f>
      </c>
      <c r="M52" s="1">
        <f>IF(M$5="",0,1)</f>
      </c>
      <c r="N52" s="1">
        <f>IF(N$5="",0,1)</f>
      </c>
      <c r="O52" s="1">
        <f>IF(O$5="",0,1)</f>
      </c>
      <c r="P52" s="1">
        <f>IF(P$5="",0,1)</f>
      </c>
      <c r="Q52" s="1">
        <f>IF(Q$5="",0,1)</f>
      </c>
      <c r="R52" s="1">
        <f>IF(R$5="",0,1)</f>
      </c>
      <c r="S52" s="1">
        <f>IF(S$5="",0,1)</f>
      </c>
      <c r="T52" s="1">
        <f>IF(T$5="",0,1)</f>
      </c>
      <c r="U52" s="1">
        <f>IF(U$5="",0,1)</f>
      </c>
      <c r="V52" s="1">
        <f>IF(V$5="",0,1)</f>
      </c>
      <c r="W52" s="1">
        <f>IF(W$5="",0,1)</f>
      </c>
      <c r="X52" s="1">
        <f>IF(X$5="",0,1)</f>
      </c>
      <c r="Y52" s="1">
        <f>IF(Y$5="",0,1)</f>
      </c>
      <c r="Z52" s="1">
        <f>IF(Z$5="",0,1)</f>
      </c>
      <c r="AA52" s="1">
        <f>IF(AA$5="",0,1)</f>
      </c>
      <c r="AB52" s="1">
        <f>IF(AB$5="",0,1)</f>
      </c>
      <c r="AC52" s="1">
        <f>IF(AC$5="",0,1)</f>
      </c>
      <c r="AD52" s="1">
        <f>IF(AD$5="",0,1)</f>
      </c>
      <c r="AE52" s="1">
        <f>IF(AE$5="",0,1)</f>
      </c>
      <c r="AF52" s="1">
        <f>IF(AF$5="",0,1)</f>
      </c>
    </row>
    <row r="53" hidden="1" spans="1:32" x14ac:dyDescent="0.25">
      <c r="A53" s="1"/>
      <c r="B53" s="1">
        <f>IF(AND(B51&gt;=1,B51&lt;=5,B50=0),1,0)</f>
      </c>
      <c r="C53" s="1">
        <f>IF(AND(C51&gt;=1,C51&lt;=5,C50=0),1,0)</f>
      </c>
      <c r="D53" s="1">
        <f>IF(AND(D51&gt;=1,D51&lt;=5,D50=0),1,0)</f>
      </c>
      <c r="E53" s="1">
        <f>IF(AND(E51&gt;=1,E51&lt;=5,E50=0),1,0)</f>
      </c>
      <c r="F53" s="1">
        <f>IF(AND(F51&gt;=1,F51&lt;=5,F50=0),1,0)</f>
      </c>
      <c r="G53" s="1">
        <f>IF(AND(G51&gt;=1,G51&lt;=5,G50=0),1,0)</f>
      </c>
      <c r="H53" s="1">
        <f>IF(AND(H51&gt;=1,H51&lt;=5,H50=0),1,0)</f>
      </c>
      <c r="I53" s="1">
        <f>IF(AND(I51&gt;=1,I51&lt;=5,I50=0),1,0)</f>
      </c>
      <c r="J53" s="1">
        <f>IF(AND(J51&gt;=1,J51&lt;=5,J50=0),1,0)</f>
      </c>
      <c r="K53" s="1">
        <f>IF(AND(K51&gt;=1,K51&lt;=5,K50=0),1,0)</f>
      </c>
      <c r="L53" s="1">
        <f>IF(AND(L51&gt;=1,L51&lt;=5,L50=0),1,0)</f>
      </c>
      <c r="M53" s="1">
        <f>IF(AND(M51&gt;=1,M51&lt;=5,M50=0),1,0)</f>
      </c>
      <c r="N53" s="1">
        <f>IF(AND(N51&gt;=1,N51&lt;=5,N50=0),1,0)</f>
      </c>
      <c r="O53" s="1">
        <f>IF(AND(O51&gt;=1,O51&lt;=5,O50=0),1,0)</f>
      </c>
      <c r="P53" s="1">
        <f>IF(AND(P51&gt;=1,P51&lt;=5,P50=0),1,0)</f>
      </c>
      <c r="Q53" s="1">
        <f>IF(AND(Q51&gt;=1,Q51&lt;=5,Q50=0),1,0)</f>
      </c>
      <c r="R53" s="1">
        <f>IF(AND(R51&gt;=1,R51&lt;=5,R50=0),1,0)</f>
      </c>
      <c r="S53" s="1">
        <f>IF(AND(S51&gt;=1,S51&lt;=5,S50=0),1,0)</f>
      </c>
      <c r="T53" s="1">
        <f>IF(AND(T51&gt;=1,T51&lt;=5,T50=0),1,0)</f>
      </c>
      <c r="U53" s="1">
        <f>IF(AND(U51&gt;=1,U51&lt;=5,U50=0),1,0)</f>
      </c>
      <c r="V53" s="1">
        <f>IF(AND(V51&gt;=1,V51&lt;=5,V50=0),1,0)</f>
      </c>
      <c r="W53" s="1">
        <f>IF(AND(W51&gt;=1,W51&lt;=5,W50=0),1,0)</f>
      </c>
      <c r="X53" s="1">
        <f>IF(AND(X51&gt;=1,X51&lt;=5,X50=0),1,0)</f>
      </c>
      <c r="Y53" s="1">
        <f>IF(AND(Y51&gt;=1,Y51&lt;=5,Y50=0),1,0)</f>
      </c>
      <c r="Z53" s="1">
        <f>IF(AND(Z51&gt;=1,Z51&lt;=5,Z50=0),1,0)</f>
      </c>
      <c r="AA53" s="1">
        <f>IF(AND(AA51&gt;=1,AA51&lt;=5,AA50=0),1,0)</f>
      </c>
      <c r="AB53" s="1">
        <f>IF(AND(AB51&gt;=1,AB51&lt;=5,AB50=0),1,0)</f>
      </c>
      <c r="AC53" s="1">
        <f>IF(AND(AC51&gt;=1,AC51&lt;=5,AC50=0),1,0)</f>
      </c>
      <c r="AD53" s="1">
        <f>IF(AND(AD51&gt;=1,AD51&lt;=5,AD50=0),1,0)</f>
      </c>
      <c r="AE53" s="1">
        <f>IF(AND(AE51&gt;=1,AE51&lt;=5,AE50=0),1,0)</f>
      </c>
      <c r="AF53" s="1">
        <f>IF(AND(AF51&gt;=1,AF51&lt;=5,AF50=0),1,0)</f>
      </c>
    </row>
    <row r="55" hidden="1" spans="1:32" x14ac:dyDescent="0.25">
      <c r="A55" s="1"/>
      <c r="B55" s="1">
        <f>IF(OR(B$52=0,""="",B6=""),0,IFERROR(IF(AND(INDEX(Arten,MATCH("",Codes,0))="Arbeit",INDEX(Arten,MATCH(B6,Codes,0))="Arbeit"),IF(ROUND((1+INDEX(Beginne,MATCH(B6,Codes,0))-INDEX(EndeRel,MATCH("",Codes,0)))*1440,0)&lt;660,1,0),0),0))</f>
      </c>
      <c r="C55" s="1">
        <f>IF(OR(C$52=0,B6="",C6=""),0,IFERROR(IF(AND(INDEX(Arten,MATCH(B6,Codes,0))="Arbeit",INDEX(Arten,MATCH(C6,Codes,0))="Arbeit"),IF(ROUND((1+INDEX(Beginne,MATCH(C6,Codes,0))-INDEX(EndeRel,MATCH(B6,Codes,0)))*1440,0)&lt;660,1,0),0),0))</f>
      </c>
      <c r="D55" s="1">
        <f>IF(OR(D$52=0,C6="",D6=""),0,IFERROR(IF(AND(INDEX(Arten,MATCH(C6,Codes,0))="Arbeit",INDEX(Arten,MATCH(D6,Codes,0))="Arbeit"),IF(ROUND((1+INDEX(Beginne,MATCH(D6,Codes,0))-INDEX(EndeRel,MATCH(C6,Codes,0)))*1440,0)&lt;660,1,0),0),0))</f>
      </c>
      <c r="E55" s="1">
        <f>IF(OR(E$52=0,D6="",E6=""),0,IFERROR(IF(AND(INDEX(Arten,MATCH(D6,Codes,0))="Arbeit",INDEX(Arten,MATCH(E6,Codes,0))="Arbeit"),IF(ROUND((1+INDEX(Beginne,MATCH(E6,Codes,0))-INDEX(EndeRel,MATCH(D6,Codes,0)))*1440,0)&lt;660,1,0),0),0))</f>
      </c>
      <c r="F55" s="1">
        <f>IF(OR(F$52=0,E6="",F6=""),0,IFERROR(IF(AND(INDEX(Arten,MATCH(E6,Codes,0))="Arbeit",INDEX(Arten,MATCH(F6,Codes,0))="Arbeit"),IF(ROUND((1+INDEX(Beginne,MATCH(F6,Codes,0))-INDEX(EndeRel,MATCH(E6,Codes,0)))*1440,0)&lt;660,1,0),0),0))</f>
      </c>
      <c r="G55" s="1">
        <f>IF(OR(G$52=0,F6="",G6=""),0,IFERROR(IF(AND(INDEX(Arten,MATCH(F6,Codes,0))="Arbeit",INDEX(Arten,MATCH(G6,Codes,0))="Arbeit"),IF(ROUND((1+INDEX(Beginne,MATCH(G6,Codes,0))-INDEX(EndeRel,MATCH(F6,Codes,0)))*1440,0)&lt;660,1,0),0),0))</f>
      </c>
      <c r="H55" s="1">
        <f>IF(OR(H$52=0,G6="",H6=""),0,IFERROR(IF(AND(INDEX(Arten,MATCH(G6,Codes,0))="Arbeit",INDEX(Arten,MATCH(H6,Codes,0))="Arbeit"),IF(ROUND((1+INDEX(Beginne,MATCH(H6,Codes,0))-INDEX(EndeRel,MATCH(G6,Codes,0)))*1440,0)&lt;660,1,0),0),0))</f>
      </c>
      <c r="I55" s="1">
        <f>IF(OR(I$52=0,H6="",I6=""),0,IFERROR(IF(AND(INDEX(Arten,MATCH(H6,Codes,0))="Arbeit",INDEX(Arten,MATCH(I6,Codes,0))="Arbeit"),IF(ROUND((1+INDEX(Beginne,MATCH(I6,Codes,0))-INDEX(EndeRel,MATCH(H6,Codes,0)))*1440,0)&lt;660,1,0),0),0))</f>
      </c>
      <c r="J55" s="1">
        <f>IF(OR(J$52=0,I6="",J6=""),0,IFERROR(IF(AND(INDEX(Arten,MATCH(I6,Codes,0))="Arbeit",INDEX(Arten,MATCH(J6,Codes,0))="Arbeit"),IF(ROUND((1+INDEX(Beginne,MATCH(J6,Codes,0))-INDEX(EndeRel,MATCH(I6,Codes,0)))*1440,0)&lt;660,1,0),0),0))</f>
      </c>
      <c r="K55" s="1">
        <f>IF(OR(K$52=0,J6="",K6=""),0,IFERROR(IF(AND(INDEX(Arten,MATCH(J6,Codes,0))="Arbeit",INDEX(Arten,MATCH(K6,Codes,0))="Arbeit"),IF(ROUND((1+INDEX(Beginne,MATCH(K6,Codes,0))-INDEX(EndeRel,MATCH(J6,Codes,0)))*1440,0)&lt;660,1,0),0),0))</f>
      </c>
      <c r="L55" s="1">
        <f>IF(OR(L$52=0,K6="",L6=""),0,IFERROR(IF(AND(INDEX(Arten,MATCH(K6,Codes,0))="Arbeit",INDEX(Arten,MATCH(L6,Codes,0))="Arbeit"),IF(ROUND((1+INDEX(Beginne,MATCH(L6,Codes,0))-INDEX(EndeRel,MATCH(K6,Codes,0)))*1440,0)&lt;660,1,0),0),0))</f>
      </c>
      <c r="M55" s="1">
        <f>IF(OR(M$52=0,L6="",M6=""),0,IFERROR(IF(AND(INDEX(Arten,MATCH(L6,Codes,0))="Arbeit",INDEX(Arten,MATCH(M6,Codes,0))="Arbeit"),IF(ROUND((1+INDEX(Beginne,MATCH(M6,Codes,0))-INDEX(EndeRel,MATCH(L6,Codes,0)))*1440,0)&lt;660,1,0),0),0))</f>
      </c>
      <c r="N55" s="1">
        <f>IF(OR(N$52=0,M6="",N6=""),0,IFERROR(IF(AND(INDEX(Arten,MATCH(M6,Codes,0))="Arbeit",INDEX(Arten,MATCH(N6,Codes,0))="Arbeit"),IF(ROUND((1+INDEX(Beginne,MATCH(N6,Codes,0))-INDEX(EndeRel,MATCH(M6,Codes,0)))*1440,0)&lt;660,1,0),0),0))</f>
      </c>
      <c r="O55" s="1">
        <f>IF(OR(O$52=0,N6="",O6=""),0,IFERROR(IF(AND(INDEX(Arten,MATCH(N6,Codes,0))="Arbeit",INDEX(Arten,MATCH(O6,Codes,0))="Arbeit"),IF(ROUND((1+INDEX(Beginne,MATCH(O6,Codes,0))-INDEX(EndeRel,MATCH(N6,Codes,0)))*1440,0)&lt;660,1,0),0),0))</f>
      </c>
      <c r="P55" s="1">
        <f>IF(OR(P$52=0,O6="",P6=""),0,IFERROR(IF(AND(INDEX(Arten,MATCH(O6,Codes,0))="Arbeit",INDEX(Arten,MATCH(P6,Codes,0))="Arbeit"),IF(ROUND((1+INDEX(Beginne,MATCH(P6,Codes,0))-INDEX(EndeRel,MATCH(O6,Codes,0)))*1440,0)&lt;660,1,0),0),0))</f>
      </c>
      <c r="Q55" s="1">
        <f>IF(OR(Q$52=0,P6="",Q6=""),0,IFERROR(IF(AND(INDEX(Arten,MATCH(P6,Codes,0))="Arbeit",INDEX(Arten,MATCH(Q6,Codes,0))="Arbeit"),IF(ROUND((1+INDEX(Beginne,MATCH(Q6,Codes,0))-INDEX(EndeRel,MATCH(P6,Codes,0)))*1440,0)&lt;660,1,0),0),0))</f>
      </c>
      <c r="R55" s="1">
        <f>IF(OR(R$52=0,Q6="",R6=""),0,IFERROR(IF(AND(INDEX(Arten,MATCH(Q6,Codes,0))="Arbeit",INDEX(Arten,MATCH(R6,Codes,0))="Arbeit"),IF(ROUND((1+INDEX(Beginne,MATCH(R6,Codes,0))-INDEX(EndeRel,MATCH(Q6,Codes,0)))*1440,0)&lt;660,1,0),0),0))</f>
      </c>
      <c r="S55" s="1">
        <f>IF(OR(S$52=0,R6="",S6=""),0,IFERROR(IF(AND(INDEX(Arten,MATCH(R6,Codes,0))="Arbeit",INDEX(Arten,MATCH(S6,Codes,0))="Arbeit"),IF(ROUND((1+INDEX(Beginne,MATCH(S6,Codes,0))-INDEX(EndeRel,MATCH(R6,Codes,0)))*1440,0)&lt;660,1,0),0),0))</f>
      </c>
      <c r="T55" s="1">
        <f>IF(OR(T$52=0,S6="",T6=""),0,IFERROR(IF(AND(INDEX(Arten,MATCH(S6,Codes,0))="Arbeit",INDEX(Arten,MATCH(T6,Codes,0))="Arbeit"),IF(ROUND((1+INDEX(Beginne,MATCH(T6,Codes,0))-INDEX(EndeRel,MATCH(S6,Codes,0)))*1440,0)&lt;660,1,0),0),0))</f>
      </c>
      <c r="U55" s="1">
        <f>IF(OR(U$52=0,T6="",U6=""),0,IFERROR(IF(AND(INDEX(Arten,MATCH(T6,Codes,0))="Arbeit",INDEX(Arten,MATCH(U6,Codes,0))="Arbeit"),IF(ROUND((1+INDEX(Beginne,MATCH(U6,Codes,0))-INDEX(EndeRel,MATCH(T6,Codes,0)))*1440,0)&lt;660,1,0),0),0))</f>
      </c>
      <c r="V55" s="1">
        <f>IF(OR(V$52=0,U6="",V6=""),0,IFERROR(IF(AND(INDEX(Arten,MATCH(U6,Codes,0))="Arbeit",INDEX(Arten,MATCH(V6,Codes,0))="Arbeit"),IF(ROUND((1+INDEX(Beginne,MATCH(V6,Codes,0))-INDEX(EndeRel,MATCH(U6,Codes,0)))*1440,0)&lt;660,1,0),0),0))</f>
      </c>
      <c r="W55" s="1">
        <f>IF(OR(W$52=0,V6="",W6=""),0,IFERROR(IF(AND(INDEX(Arten,MATCH(V6,Codes,0))="Arbeit",INDEX(Arten,MATCH(W6,Codes,0))="Arbeit"),IF(ROUND((1+INDEX(Beginne,MATCH(W6,Codes,0))-INDEX(EndeRel,MATCH(V6,Codes,0)))*1440,0)&lt;660,1,0),0),0))</f>
      </c>
      <c r="X55" s="1">
        <f>IF(OR(X$52=0,W6="",X6=""),0,IFERROR(IF(AND(INDEX(Arten,MATCH(W6,Codes,0))="Arbeit",INDEX(Arten,MATCH(X6,Codes,0))="Arbeit"),IF(ROUND((1+INDEX(Beginne,MATCH(X6,Codes,0))-INDEX(EndeRel,MATCH(W6,Codes,0)))*1440,0)&lt;660,1,0),0),0))</f>
      </c>
      <c r="Y55" s="1">
        <f>IF(OR(Y$52=0,X6="",Y6=""),0,IFERROR(IF(AND(INDEX(Arten,MATCH(X6,Codes,0))="Arbeit",INDEX(Arten,MATCH(Y6,Codes,0))="Arbeit"),IF(ROUND((1+INDEX(Beginne,MATCH(Y6,Codes,0))-INDEX(EndeRel,MATCH(X6,Codes,0)))*1440,0)&lt;660,1,0),0),0))</f>
      </c>
      <c r="Z55" s="1">
        <f>IF(OR(Z$52=0,Y6="",Z6=""),0,IFERROR(IF(AND(INDEX(Arten,MATCH(Y6,Codes,0))="Arbeit",INDEX(Arten,MATCH(Z6,Codes,0))="Arbeit"),IF(ROUND((1+INDEX(Beginne,MATCH(Z6,Codes,0))-INDEX(EndeRel,MATCH(Y6,Codes,0)))*1440,0)&lt;660,1,0),0),0))</f>
      </c>
      <c r="AA55" s="1">
        <f>IF(OR(AA$52=0,Z6="",AA6=""),0,IFERROR(IF(AND(INDEX(Arten,MATCH(Z6,Codes,0))="Arbeit",INDEX(Arten,MATCH(AA6,Codes,0))="Arbeit"),IF(ROUND((1+INDEX(Beginne,MATCH(AA6,Codes,0))-INDEX(EndeRel,MATCH(Z6,Codes,0)))*1440,0)&lt;660,1,0),0),0))</f>
      </c>
      <c r="AB55" s="1">
        <f>IF(OR(AB$52=0,AA6="",AB6=""),0,IFERROR(IF(AND(INDEX(Arten,MATCH(AA6,Codes,0))="Arbeit",INDEX(Arten,MATCH(AB6,Codes,0))="Arbeit"),IF(ROUND((1+INDEX(Beginne,MATCH(AB6,Codes,0))-INDEX(EndeRel,MATCH(AA6,Codes,0)))*1440,0)&lt;660,1,0),0),0))</f>
      </c>
      <c r="AC55" s="1">
        <f>IF(OR(AC$52=0,AB6="",AC6=""),0,IFERROR(IF(AND(INDEX(Arten,MATCH(AB6,Codes,0))="Arbeit",INDEX(Arten,MATCH(AC6,Codes,0))="Arbeit"),IF(ROUND((1+INDEX(Beginne,MATCH(AC6,Codes,0))-INDEX(EndeRel,MATCH(AB6,Codes,0)))*1440,0)&lt;660,1,0),0),0))</f>
      </c>
      <c r="AD55" s="1">
        <f>IF(OR(AD$52=0,AC6="",AD6=""),0,IFERROR(IF(AND(INDEX(Arten,MATCH(AC6,Codes,0))="Arbeit",INDEX(Arten,MATCH(AD6,Codes,0))="Arbeit"),IF(ROUND((1+INDEX(Beginne,MATCH(AD6,Codes,0))-INDEX(EndeRel,MATCH(AC6,Codes,0)))*1440,0)&lt;660,1,0),0),0))</f>
      </c>
      <c r="AE55" s="1">
        <f>IF(OR(AE$52=0,AD6="",AE6=""),0,IFERROR(IF(AND(INDEX(Arten,MATCH(AD6,Codes,0))="Arbeit",INDEX(Arten,MATCH(AE6,Codes,0))="Arbeit"),IF(ROUND((1+INDEX(Beginne,MATCH(AE6,Codes,0))-INDEX(EndeRel,MATCH(AD6,Codes,0)))*1440,0)&lt;660,1,0),0),0))</f>
      </c>
      <c r="AF55" s="1">
        <f>IF(OR(AF$52=0,AE6="",AF6=""),0,IFERROR(IF(AND(INDEX(Arten,MATCH(AE6,Codes,0))="Arbeit",INDEX(Arten,MATCH(AF6,Codes,0))="Arbeit"),IF(ROUND((1+INDEX(Beginne,MATCH(AF6,Codes,0))-INDEX(EndeRel,MATCH(AE6,Codes,0)))*1440,0)&lt;660,1,0),0),0))</f>
      </c>
    </row>
    <row r="56" hidden="1" spans="1:32" x14ac:dyDescent="0.25">
      <c r="A56" s="1"/>
      <c r="B56" s="1">
        <f>IF(OR(B$52=0,""="",B7=""),0,IFERROR(IF(AND(INDEX(Arten,MATCH("",Codes,0))="Arbeit",INDEX(Arten,MATCH(B7,Codes,0))="Arbeit"),IF(ROUND((1+INDEX(Beginne,MATCH(B7,Codes,0))-INDEX(EndeRel,MATCH("",Codes,0)))*1440,0)&lt;660,1,0),0),0))</f>
      </c>
      <c r="C56" s="1">
        <f>IF(OR(C$52=0,B7="",C7=""),0,IFERROR(IF(AND(INDEX(Arten,MATCH(B7,Codes,0))="Arbeit",INDEX(Arten,MATCH(C7,Codes,0))="Arbeit"),IF(ROUND((1+INDEX(Beginne,MATCH(C7,Codes,0))-INDEX(EndeRel,MATCH(B7,Codes,0)))*1440,0)&lt;660,1,0),0),0))</f>
      </c>
      <c r="D56" s="1">
        <f>IF(OR(D$52=0,C7="",D7=""),0,IFERROR(IF(AND(INDEX(Arten,MATCH(C7,Codes,0))="Arbeit",INDEX(Arten,MATCH(D7,Codes,0))="Arbeit"),IF(ROUND((1+INDEX(Beginne,MATCH(D7,Codes,0))-INDEX(EndeRel,MATCH(C7,Codes,0)))*1440,0)&lt;660,1,0),0),0))</f>
      </c>
      <c r="E56" s="1">
        <f>IF(OR(E$52=0,D7="",E7=""),0,IFERROR(IF(AND(INDEX(Arten,MATCH(D7,Codes,0))="Arbeit",INDEX(Arten,MATCH(E7,Codes,0))="Arbeit"),IF(ROUND((1+INDEX(Beginne,MATCH(E7,Codes,0))-INDEX(EndeRel,MATCH(D7,Codes,0)))*1440,0)&lt;660,1,0),0),0))</f>
      </c>
      <c r="F56" s="1">
        <f>IF(OR(F$52=0,E7="",F7=""),0,IFERROR(IF(AND(INDEX(Arten,MATCH(E7,Codes,0))="Arbeit",INDEX(Arten,MATCH(F7,Codes,0))="Arbeit"),IF(ROUND((1+INDEX(Beginne,MATCH(F7,Codes,0))-INDEX(EndeRel,MATCH(E7,Codes,0)))*1440,0)&lt;660,1,0),0),0))</f>
      </c>
      <c r="G56" s="1">
        <f>IF(OR(G$52=0,F7="",G7=""),0,IFERROR(IF(AND(INDEX(Arten,MATCH(F7,Codes,0))="Arbeit",INDEX(Arten,MATCH(G7,Codes,0))="Arbeit"),IF(ROUND((1+INDEX(Beginne,MATCH(G7,Codes,0))-INDEX(EndeRel,MATCH(F7,Codes,0)))*1440,0)&lt;660,1,0),0),0))</f>
      </c>
      <c r="H56" s="1">
        <f>IF(OR(H$52=0,G7="",H7=""),0,IFERROR(IF(AND(INDEX(Arten,MATCH(G7,Codes,0))="Arbeit",INDEX(Arten,MATCH(H7,Codes,0))="Arbeit"),IF(ROUND((1+INDEX(Beginne,MATCH(H7,Codes,0))-INDEX(EndeRel,MATCH(G7,Codes,0)))*1440,0)&lt;660,1,0),0),0))</f>
      </c>
      <c r="I56" s="1">
        <f>IF(OR(I$52=0,H7="",I7=""),0,IFERROR(IF(AND(INDEX(Arten,MATCH(H7,Codes,0))="Arbeit",INDEX(Arten,MATCH(I7,Codes,0))="Arbeit"),IF(ROUND((1+INDEX(Beginne,MATCH(I7,Codes,0))-INDEX(EndeRel,MATCH(H7,Codes,0)))*1440,0)&lt;660,1,0),0),0))</f>
      </c>
      <c r="J56" s="1">
        <f>IF(OR(J$52=0,I7="",J7=""),0,IFERROR(IF(AND(INDEX(Arten,MATCH(I7,Codes,0))="Arbeit",INDEX(Arten,MATCH(J7,Codes,0))="Arbeit"),IF(ROUND((1+INDEX(Beginne,MATCH(J7,Codes,0))-INDEX(EndeRel,MATCH(I7,Codes,0)))*1440,0)&lt;660,1,0),0),0))</f>
      </c>
      <c r="K56" s="1">
        <f>IF(OR(K$52=0,J7="",K7=""),0,IFERROR(IF(AND(INDEX(Arten,MATCH(J7,Codes,0))="Arbeit",INDEX(Arten,MATCH(K7,Codes,0))="Arbeit"),IF(ROUND((1+INDEX(Beginne,MATCH(K7,Codes,0))-INDEX(EndeRel,MATCH(J7,Codes,0)))*1440,0)&lt;660,1,0),0),0))</f>
      </c>
      <c r="L56" s="1">
        <f>IF(OR(L$52=0,K7="",L7=""),0,IFERROR(IF(AND(INDEX(Arten,MATCH(K7,Codes,0))="Arbeit",INDEX(Arten,MATCH(L7,Codes,0))="Arbeit"),IF(ROUND((1+INDEX(Beginne,MATCH(L7,Codes,0))-INDEX(EndeRel,MATCH(K7,Codes,0)))*1440,0)&lt;660,1,0),0),0))</f>
      </c>
      <c r="M56" s="1">
        <f>IF(OR(M$52=0,L7="",M7=""),0,IFERROR(IF(AND(INDEX(Arten,MATCH(L7,Codes,0))="Arbeit",INDEX(Arten,MATCH(M7,Codes,0))="Arbeit"),IF(ROUND((1+INDEX(Beginne,MATCH(M7,Codes,0))-INDEX(EndeRel,MATCH(L7,Codes,0)))*1440,0)&lt;660,1,0),0),0))</f>
      </c>
      <c r="N56" s="1">
        <f>IF(OR(N$52=0,M7="",N7=""),0,IFERROR(IF(AND(INDEX(Arten,MATCH(M7,Codes,0))="Arbeit",INDEX(Arten,MATCH(N7,Codes,0))="Arbeit"),IF(ROUND((1+INDEX(Beginne,MATCH(N7,Codes,0))-INDEX(EndeRel,MATCH(M7,Codes,0)))*1440,0)&lt;660,1,0),0),0))</f>
      </c>
      <c r="O56" s="1">
        <f>IF(OR(O$52=0,N7="",O7=""),0,IFERROR(IF(AND(INDEX(Arten,MATCH(N7,Codes,0))="Arbeit",INDEX(Arten,MATCH(O7,Codes,0))="Arbeit"),IF(ROUND((1+INDEX(Beginne,MATCH(O7,Codes,0))-INDEX(EndeRel,MATCH(N7,Codes,0)))*1440,0)&lt;660,1,0),0),0))</f>
      </c>
      <c r="P56" s="1">
        <f>IF(OR(P$52=0,O7="",P7=""),0,IFERROR(IF(AND(INDEX(Arten,MATCH(O7,Codes,0))="Arbeit",INDEX(Arten,MATCH(P7,Codes,0))="Arbeit"),IF(ROUND((1+INDEX(Beginne,MATCH(P7,Codes,0))-INDEX(EndeRel,MATCH(O7,Codes,0)))*1440,0)&lt;660,1,0),0),0))</f>
      </c>
      <c r="Q56" s="1">
        <f>IF(OR(Q$52=0,P7="",Q7=""),0,IFERROR(IF(AND(INDEX(Arten,MATCH(P7,Codes,0))="Arbeit",INDEX(Arten,MATCH(Q7,Codes,0))="Arbeit"),IF(ROUND((1+INDEX(Beginne,MATCH(Q7,Codes,0))-INDEX(EndeRel,MATCH(P7,Codes,0)))*1440,0)&lt;660,1,0),0),0))</f>
      </c>
      <c r="R56" s="1">
        <f>IF(OR(R$52=0,Q7="",R7=""),0,IFERROR(IF(AND(INDEX(Arten,MATCH(Q7,Codes,0))="Arbeit",INDEX(Arten,MATCH(R7,Codes,0))="Arbeit"),IF(ROUND((1+INDEX(Beginne,MATCH(R7,Codes,0))-INDEX(EndeRel,MATCH(Q7,Codes,0)))*1440,0)&lt;660,1,0),0),0))</f>
      </c>
      <c r="S56" s="1">
        <f>IF(OR(S$52=0,R7="",S7=""),0,IFERROR(IF(AND(INDEX(Arten,MATCH(R7,Codes,0))="Arbeit",INDEX(Arten,MATCH(S7,Codes,0))="Arbeit"),IF(ROUND((1+INDEX(Beginne,MATCH(S7,Codes,0))-INDEX(EndeRel,MATCH(R7,Codes,0)))*1440,0)&lt;660,1,0),0),0))</f>
      </c>
      <c r="T56" s="1">
        <f>IF(OR(T$52=0,S7="",T7=""),0,IFERROR(IF(AND(INDEX(Arten,MATCH(S7,Codes,0))="Arbeit",INDEX(Arten,MATCH(T7,Codes,0))="Arbeit"),IF(ROUND((1+INDEX(Beginne,MATCH(T7,Codes,0))-INDEX(EndeRel,MATCH(S7,Codes,0)))*1440,0)&lt;660,1,0),0),0))</f>
      </c>
      <c r="U56" s="1">
        <f>IF(OR(U$52=0,T7="",U7=""),0,IFERROR(IF(AND(INDEX(Arten,MATCH(T7,Codes,0))="Arbeit",INDEX(Arten,MATCH(U7,Codes,0))="Arbeit"),IF(ROUND((1+INDEX(Beginne,MATCH(U7,Codes,0))-INDEX(EndeRel,MATCH(T7,Codes,0)))*1440,0)&lt;660,1,0),0),0))</f>
      </c>
      <c r="V56" s="1">
        <f>IF(OR(V$52=0,U7="",V7=""),0,IFERROR(IF(AND(INDEX(Arten,MATCH(U7,Codes,0))="Arbeit",INDEX(Arten,MATCH(V7,Codes,0))="Arbeit"),IF(ROUND((1+INDEX(Beginne,MATCH(V7,Codes,0))-INDEX(EndeRel,MATCH(U7,Codes,0)))*1440,0)&lt;660,1,0),0),0))</f>
      </c>
      <c r="W56" s="1">
        <f>IF(OR(W$52=0,V7="",W7=""),0,IFERROR(IF(AND(INDEX(Arten,MATCH(V7,Codes,0))="Arbeit",INDEX(Arten,MATCH(W7,Codes,0))="Arbeit"),IF(ROUND((1+INDEX(Beginne,MATCH(W7,Codes,0))-INDEX(EndeRel,MATCH(V7,Codes,0)))*1440,0)&lt;660,1,0),0),0))</f>
      </c>
      <c r="X56" s="1">
        <f>IF(OR(X$52=0,W7="",X7=""),0,IFERROR(IF(AND(INDEX(Arten,MATCH(W7,Codes,0))="Arbeit",INDEX(Arten,MATCH(X7,Codes,0))="Arbeit"),IF(ROUND((1+INDEX(Beginne,MATCH(X7,Codes,0))-INDEX(EndeRel,MATCH(W7,Codes,0)))*1440,0)&lt;660,1,0),0),0))</f>
      </c>
      <c r="Y56" s="1">
        <f>IF(OR(Y$52=0,X7="",Y7=""),0,IFERROR(IF(AND(INDEX(Arten,MATCH(X7,Codes,0))="Arbeit",INDEX(Arten,MATCH(Y7,Codes,0))="Arbeit"),IF(ROUND((1+INDEX(Beginne,MATCH(Y7,Codes,0))-INDEX(EndeRel,MATCH(X7,Codes,0)))*1440,0)&lt;660,1,0),0),0))</f>
      </c>
      <c r="Z56" s="1">
        <f>IF(OR(Z$52=0,Y7="",Z7=""),0,IFERROR(IF(AND(INDEX(Arten,MATCH(Y7,Codes,0))="Arbeit",INDEX(Arten,MATCH(Z7,Codes,0))="Arbeit"),IF(ROUND((1+INDEX(Beginne,MATCH(Z7,Codes,0))-INDEX(EndeRel,MATCH(Y7,Codes,0)))*1440,0)&lt;660,1,0),0),0))</f>
      </c>
      <c r="AA56" s="1">
        <f>IF(OR(AA$52=0,Z7="",AA7=""),0,IFERROR(IF(AND(INDEX(Arten,MATCH(Z7,Codes,0))="Arbeit",INDEX(Arten,MATCH(AA7,Codes,0))="Arbeit"),IF(ROUND((1+INDEX(Beginne,MATCH(AA7,Codes,0))-INDEX(EndeRel,MATCH(Z7,Codes,0)))*1440,0)&lt;660,1,0),0),0))</f>
      </c>
      <c r="AB56" s="1">
        <f>IF(OR(AB$52=0,AA7="",AB7=""),0,IFERROR(IF(AND(INDEX(Arten,MATCH(AA7,Codes,0))="Arbeit",INDEX(Arten,MATCH(AB7,Codes,0))="Arbeit"),IF(ROUND((1+INDEX(Beginne,MATCH(AB7,Codes,0))-INDEX(EndeRel,MATCH(AA7,Codes,0)))*1440,0)&lt;660,1,0),0),0))</f>
      </c>
      <c r="AC56" s="1">
        <f>IF(OR(AC$52=0,AB7="",AC7=""),0,IFERROR(IF(AND(INDEX(Arten,MATCH(AB7,Codes,0))="Arbeit",INDEX(Arten,MATCH(AC7,Codes,0))="Arbeit"),IF(ROUND((1+INDEX(Beginne,MATCH(AC7,Codes,0))-INDEX(EndeRel,MATCH(AB7,Codes,0)))*1440,0)&lt;660,1,0),0),0))</f>
      </c>
      <c r="AD56" s="1">
        <f>IF(OR(AD$52=0,AC7="",AD7=""),0,IFERROR(IF(AND(INDEX(Arten,MATCH(AC7,Codes,0))="Arbeit",INDEX(Arten,MATCH(AD7,Codes,0))="Arbeit"),IF(ROUND((1+INDEX(Beginne,MATCH(AD7,Codes,0))-INDEX(EndeRel,MATCH(AC7,Codes,0)))*1440,0)&lt;660,1,0),0),0))</f>
      </c>
      <c r="AE56" s="1">
        <f>IF(OR(AE$52=0,AD7="",AE7=""),0,IFERROR(IF(AND(INDEX(Arten,MATCH(AD7,Codes,0))="Arbeit",INDEX(Arten,MATCH(AE7,Codes,0))="Arbeit"),IF(ROUND((1+INDEX(Beginne,MATCH(AE7,Codes,0))-INDEX(EndeRel,MATCH(AD7,Codes,0)))*1440,0)&lt;660,1,0),0),0))</f>
      </c>
      <c r="AF56" s="1">
        <f>IF(OR(AF$52=0,AE7="",AF7=""),0,IFERROR(IF(AND(INDEX(Arten,MATCH(AE7,Codes,0))="Arbeit",INDEX(Arten,MATCH(AF7,Codes,0))="Arbeit"),IF(ROUND((1+INDEX(Beginne,MATCH(AF7,Codes,0))-INDEX(EndeRel,MATCH(AE7,Codes,0)))*1440,0)&lt;660,1,0),0),0))</f>
      </c>
    </row>
    <row r="57" hidden="1" spans="1:32" x14ac:dyDescent="0.25">
      <c r="A57" s="1"/>
      <c r="B57" s="1">
        <f>IF(OR(B$52=0,""="",B8=""),0,IFERROR(IF(AND(INDEX(Arten,MATCH("",Codes,0))="Arbeit",INDEX(Arten,MATCH(B8,Codes,0))="Arbeit"),IF(ROUND((1+INDEX(Beginne,MATCH(B8,Codes,0))-INDEX(EndeRel,MATCH("",Codes,0)))*1440,0)&lt;660,1,0),0),0))</f>
      </c>
      <c r="C57" s="1">
        <f>IF(OR(C$52=0,B8="",C8=""),0,IFERROR(IF(AND(INDEX(Arten,MATCH(B8,Codes,0))="Arbeit",INDEX(Arten,MATCH(C8,Codes,0))="Arbeit"),IF(ROUND((1+INDEX(Beginne,MATCH(C8,Codes,0))-INDEX(EndeRel,MATCH(B8,Codes,0)))*1440,0)&lt;660,1,0),0),0))</f>
      </c>
      <c r="D57" s="1">
        <f>IF(OR(D$52=0,C8="",D8=""),0,IFERROR(IF(AND(INDEX(Arten,MATCH(C8,Codes,0))="Arbeit",INDEX(Arten,MATCH(D8,Codes,0))="Arbeit"),IF(ROUND((1+INDEX(Beginne,MATCH(D8,Codes,0))-INDEX(EndeRel,MATCH(C8,Codes,0)))*1440,0)&lt;660,1,0),0),0))</f>
      </c>
      <c r="E57" s="1">
        <f>IF(OR(E$52=0,D8="",E8=""),0,IFERROR(IF(AND(INDEX(Arten,MATCH(D8,Codes,0))="Arbeit",INDEX(Arten,MATCH(E8,Codes,0))="Arbeit"),IF(ROUND((1+INDEX(Beginne,MATCH(E8,Codes,0))-INDEX(EndeRel,MATCH(D8,Codes,0)))*1440,0)&lt;660,1,0),0),0))</f>
      </c>
      <c r="F57" s="1">
        <f>IF(OR(F$52=0,E8="",F8=""),0,IFERROR(IF(AND(INDEX(Arten,MATCH(E8,Codes,0))="Arbeit",INDEX(Arten,MATCH(F8,Codes,0))="Arbeit"),IF(ROUND((1+INDEX(Beginne,MATCH(F8,Codes,0))-INDEX(EndeRel,MATCH(E8,Codes,0)))*1440,0)&lt;660,1,0),0),0))</f>
      </c>
      <c r="G57" s="1">
        <f>IF(OR(G$52=0,F8="",G8=""),0,IFERROR(IF(AND(INDEX(Arten,MATCH(F8,Codes,0))="Arbeit",INDEX(Arten,MATCH(G8,Codes,0))="Arbeit"),IF(ROUND((1+INDEX(Beginne,MATCH(G8,Codes,0))-INDEX(EndeRel,MATCH(F8,Codes,0)))*1440,0)&lt;660,1,0),0),0))</f>
      </c>
      <c r="H57" s="1">
        <f>IF(OR(H$52=0,G8="",H8=""),0,IFERROR(IF(AND(INDEX(Arten,MATCH(G8,Codes,0))="Arbeit",INDEX(Arten,MATCH(H8,Codes,0))="Arbeit"),IF(ROUND((1+INDEX(Beginne,MATCH(H8,Codes,0))-INDEX(EndeRel,MATCH(G8,Codes,0)))*1440,0)&lt;660,1,0),0),0))</f>
      </c>
      <c r="I57" s="1">
        <f>IF(OR(I$52=0,H8="",I8=""),0,IFERROR(IF(AND(INDEX(Arten,MATCH(H8,Codes,0))="Arbeit",INDEX(Arten,MATCH(I8,Codes,0))="Arbeit"),IF(ROUND((1+INDEX(Beginne,MATCH(I8,Codes,0))-INDEX(EndeRel,MATCH(H8,Codes,0)))*1440,0)&lt;660,1,0),0),0))</f>
      </c>
      <c r="J57" s="1">
        <f>IF(OR(J$52=0,I8="",J8=""),0,IFERROR(IF(AND(INDEX(Arten,MATCH(I8,Codes,0))="Arbeit",INDEX(Arten,MATCH(J8,Codes,0))="Arbeit"),IF(ROUND((1+INDEX(Beginne,MATCH(J8,Codes,0))-INDEX(EndeRel,MATCH(I8,Codes,0)))*1440,0)&lt;660,1,0),0),0))</f>
      </c>
      <c r="K57" s="1">
        <f>IF(OR(K$52=0,J8="",K8=""),0,IFERROR(IF(AND(INDEX(Arten,MATCH(J8,Codes,0))="Arbeit",INDEX(Arten,MATCH(K8,Codes,0))="Arbeit"),IF(ROUND((1+INDEX(Beginne,MATCH(K8,Codes,0))-INDEX(EndeRel,MATCH(J8,Codes,0)))*1440,0)&lt;660,1,0),0),0))</f>
      </c>
      <c r="L57" s="1">
        <f>IF(OR(L$52=0,K8="",L8=""),0,IFERROR(IF(AND(INDEX(Arten,MATCH(K8,Codes,0))="Arbeit",INDEX(Arten,MATCH(L8,Codes,0))="Arbeit"),IF(ROUND((1+INDEX(Beginne,MATCH(L8,Codes,0))-INDEX(EndeRel,MATCH(K8,Codes,0)))*1440,0)&lt;660,1,0),0),0))</f>
      </c>
      <c r="M57" s="1">
        <f>IF(OR(M$52=0,L8="",M8=""),0,IFERROR(IF(AND(INDEX(Arten,MATCH(L8,Codes,0))="Arbeit",INDEX(Arten,MATCH(M8,Codes,0))="Arbeit"),IF(ROUND((1+INDEX(Beginne,MATCH(M8,Codes,0))-INDEX(EndeRel,MATCH(L8,Codes,0)))*1440,0)&lt;660,1,0),0),0))</f>
      </c>
      <c r="N57" s="1">
        <f>IF(OR(N$52=0,M8="",N8=""),0,IFERROR(IF(AND(INDEX(Arten,MATCH(M8,Codes,0))="Arbeit",INDEX(Arten,MATCH(N8,Codes,0))="Arbeit"),IF(ROUND((1+INDEX(Beginne,MATCH(N8,Codes,0))-INDEX(EndeRel,MATCH(M8,Codes,0)))*1440,0)&lt;660,1,0),0),0))</f>
      </c>
      <c r="O57" s="1">
        <f>IF(OR(O$52=0,N8="",O8=""),0,IFERROR(IF(AND(INDEX(Arten,MATCH(N8,Codes,0))="Arbeit",INDEX(Arten,MATCH(O8,Codes,0))="Arbeit"),IF(ROUND((1+INDEX(Beginne,MATCH(O8,Codes,0))-INDEX(EndeRel,MATCH(N8,Codes,0)))*1440,0)&lt;660,1,0),0),0))</f>
      </c>
      <c r="P57" s="1">
        <f>IF(OR(P$52=0,O8="",P8=""),0,IFERROR(IF(AND(INDEX(Arten,MATCH(O8,Codes,0))="Arbeit",INDEX(Arten,MATCH(P8,Codes,0))="Arbeit"),IF(ROUND((1+INDEX(Beginne,MATCH(P8,Codes,0))-INDEX(EndeRel,MATCH(O8,Codes,0)))*1440,0)&lt;660,1,0),0),0))</f>
      </c>
      <c r="Q57" s="1">
        <f>IF(OR(Q$52=0,P8="",Q8=""),0,IFERROR(IF(AND(INDEX(Arten,MATCH(P8,Codes,0))="Arbeit",INDEX(Arten,MATCH(Q8,Codes,0))="Arbeit"),IF(ROUND((1+INDEX(Beginne,MATCH(Q8,Codes,0))-INDEX(EndeRel,MATCH(P8,Codes,0)))*1440,0)&lt;660,1,0),0),0))</f>
      </c>
      <c r="R57" s="1">
        <f>IF(OR(R$52=0,Q8="",R8=""),0,IFERROR(IF(AND(INDEX(Arten,MATCH(Q8,Codes,0))="Arbeit",INDEX(Arten,MATCH(R8,Codes,0))="Arbeit"),IF(ROUND((1+INDEX(Beginne,MATCH(R8,Codes,0))-INDEX(EndeRel,MATCH(Q8,Codes,0)))*1440,0)&lt;660,1,0),0),0))</f>
      </c>
      <c r="S57" s="1">
        <f>IF(OR(S$52=0,R8="",S8=""),0,IFERROR(IF(AND(INDEX(Arten,MATCH(R8,Codes,0))="Arbeit",INDEX(Arten,MATCH(S8,Codes,0))="Arbeit"),IF(ROUND((1+INDEX(Beginne,MATCH(S8,Codes,0))-INDEX(EndeRel,MATCH(R8,Codes,0)))*1440,0)&lt;660,1,0),0),0))</f>
      </c>
      <c r="T57" s="1">
        <f>IF(OR(T$52=0,S8="",T8=""),0,IFERROR(IF(AND(INDEX(Arten,MATCH(S8,Codes,0))="Arbeit",INDEX(Arten,MATCH(T8,Codes,0))="Arbeit"),IF(ROUND((1+INDEX(Beginne,MATCH(T8,Codes,0))-INDEX(EndeRel,MATCH(S8,Codes,0)))*1440,0)&lt;660,1,0),0),0))</f>
      </c>
      <c r="U57" s="1">
        <f>IF(OR(U$52=0,T8="",U8=""),0,IFERROR(IF(AND(INDEX(Arten,MATCH(T8,Codes,0))="Arbeit",INDEX(Arten,MATCH(U8,Codes,0))="Arbeit"),IF(ROUND((1+INDEX(Beginne,MATCH(U8,Codes,0))-INDEX(EndeRel,MATCH(T8,Codes,0)))*1440,0)&lt;660,1,0),0),0))</f>
      </c>
      <c r="V57" s="1">
        <f>IF(OR(V$52=0,U8="",V8=""),0,IFERROR(IF(AND(INDEX(Arten,MATCH(U8,Codes,0))="Arbeit",INDEX(Arten,MATCH(V8,Codes,0))="Arbeit"),IF(ROUND((1+INDEX(Beginne,MATCH(V8,Codes,0))-INDEX(EndeRel,MATCH(U8,Codes,0)))*1440,0)&lt;660,1,0),0),0))</f>
      </c>
      <c r="W57" s="1">
        <f>IF(OR(W$52=0,V8="",W8=""),0,IFERROR(IF(AND(INDEX(Arten,MATCH(V8,Codes,0))="Arbeit",INDEX(Arten,MATCH(W8,Codes,0))="Arbeit"),IF(ROUND((1+INDEX(Beginne,MATCH(W8,Codes,0))-INDEX(EndeRel,MATCH(V8,Codes,0)))*1440,0)&lt;660,1,0),0),0))</f>
      </c>
      <c r="X57" s="1">
        <f>IF(OR(X$52=0,W8="",X8=""),0,IFERROR(IF(AND(INDEX(Arten,MATCH(W8,Codes,0))="Arbeit",INDEX(Arten,MATCH(X8,Codes,0))="Arbeit"),IF(ROUND((1+INDEX(Beginne,MATCH(X8,Codes,0))-INDEX(EndeRel,MATCH(W8,Codes,0)))*1440,0)&lt;660,1,0),0),0))</f>
      </c>
      <c r="Y57" s="1">
        <f>IF(OR(Y$52=0,X8="",Y8=""),0,IFERROR(IF(AND(INDEX(Arten,MATCH(X8,Codes,0))="Arbeit",INDEX(Arten,MATCH(Y8,Codes,0))="Arbeit"),IF(ROUND((1+INDEX(Beginne,MATCH(Y8,Codes,0))-INDEX(EndeRel,MATCH(X8,Codes,0)))*1440,0)&lt;660,1,0),0),0))</f>
      </c>
      <c r="Z57" s="1">
        <f>IF(OR(Z$52=0,Y8="",Z8=""),0,IFERROR(IF(AND(INDEX(Arten,MATCH(Y8,Codes,0))="Arbeit",INDEX(Arten,MATCH(Z8,Codes,0))="Arbeit"),IF(ROUND((1+INDEX(Beginne,MATCH(Z8,Codes,0))-INDEX(EndeRel,MATCH(Y8,Codes,0)))*1440,0)&lt;660,1,0),0),0))</f>
      </c>
      <c r="AA57" s="1">
        <f>IF(OR(AA$52=0,Z8="",AA8=""),0,IFERROR(IF(AND(INDEX(Arten,MATCH(Z8,Codes,0))="Arbeit",INDEX(Arten,MATCH(AA8,Codes,0))="Arbeit"),IF(ROUND((1+INDEX(Beginne,MATCH(AA8,Codes,0))-INDEX(EndeRel,MATCH(Z8,Codes,0)))*1440,0)&lt;660,1,0),0),0))</f>
      </c>
      <c r="AB57" s="1">
        <f>IF(OR(AB$52=0,AA8="",AB8=""),0,IFERROR(IF(AND(INDEX(Arten,MATCH(AA8,Codes,0))="Arbeit",INDEX(Arten,MATCH(AB8,Codes,0))="Arbeit"),IF(ROUND((1+INDEX(Beginne,MATCH(AB8,Codes,0))-INDEX(EndeRel,MATCH(AA8,Codes,0)))*1440,0)&lt;660,1,0),0),0))</f>
      </c>
      <c r="AC57" s="1">
        <f>IF(OR(AC$52=0,AB8="",AC8=""),0,IFERROR(IF(AND(INDEX(Arten,MATCH(AB8,Codes,0))="Arbeit",INDEX(Arten,MATCH(AC8,Codes,0))="Arbeit"),IF(ROUND((1+INDEX(Beginne,MATCH(AC8,Codes,0))-INDEX(EndeRel,MATCH(AB8,Codes,0)))*1440,0)&lt;660,1,0),0),0))</f>
      </c>
      <c r="AD57" s="1">
        <f>IF(OR(AD$52=0,AC8="",AD8=""),0,IFERROR(IF(AND(INDEX(Arten,MATCH(AC8,Codes,0))="Arbeit",INDEX(Arten,MATCH(AD8,Codes,0))="Arbeit"),IF(ROUND((1+INDEX(Beginne,MATCH(AD8,Codes,0))-INDEX(EndeRel,MATCH(AC8,Codes,0)))*1440,0)&lt;660,1,0),0),0))</f>
      </c>
      <c r="AE57" s="1">
        <f>IF(OR(AE$52=0,AD8="",AE8=""),0,IFERROR(IF(AND(INDEX(Arten,MATCH(AD8,Codes,0))="Arbeit",INDEX(Arten,MATCH(AE8,Codes,0))="Arbeit"),IF(ROUND((1+INDEX(Beginne,MATCH(AE8,Codes,0))-INDEX(EndeRel,MATCH(AD8,Codes,0)))*1440,0)&lt;660,1,0),0),0))</f>
      </c>
      <c r="AF57" s="1">
        <f>IF(OR(AF$52=0,AE8="",AF8=""),0,IFERROR(IF(AND(INDEX(Arten,MATCH(AE8,Codes,0))="Arbeit",INDEX(Arten,MATCH(AF8,Codes,0))="Arbeit"),IF(ROUND((1+INDEX(Beginne,MATCH(AF8,Codes,0))-INDEX(EndeRel,MATCH(AE8,Codes,0)))*1440,0)&lt;660,1,0),0),0))</f>
      </c>
    </row>
    <row r="58" hidden="1" spans="1:32" x14ac:dyDescent="0.25">
      <c r="A58" s="1"/>
      <c r="B58" s="1">
        <f>IF(OR(B$52=0,""="",B9=""),0,IFERROR(IF(AND(INDEX(Arten,MATCH("",Codes,0))="Arbeit",INDEX(Arten,MATCH(B9,Codes,0))="Arbeit"),IF(ROUND((1+INDEX(Beginne,MATCH(B9,Codes,0))-INDEX(EndeRel,MATCH("",Codes,0)))*1440,0)&lt;660,1,0),0),0))</f>
      </c>
      <c r="C58" s="1">
        <f>IF(OR(C$52=0,B9="",C9=""),0,IFERROR(IF(AND(INDEX(Arten,MATCH(B9,Codes,0))="Arbeit",INDEX(Arten,MATCH(C9,Codes,0))="Arbeit"),IF(ROUND((1+INDEX(Beginne,MATCH(C9,Codes,0))-INDEX(EndeRel,MATCH(B9,Codes,0)))*1440,0)&lt;660,1,0),0),0))</f>
      </c>
      <c r="D58" s="1">
        <f>IF(OR(D$52=0,C9="",D9=""),0,IFERROR(IF(AND(INDEX(Arten,MATCH(C9,Codes,0))="Arbeit",INDEX(Arten,MATCH(D9,Codes,0))="Arbeit"),IF(ROUND((1+INDEX(Beginne,MATCH(D9,Codes,0))-INDEX(EndeRel,MATCH(C9,Codes,0)))*1440,0)&lt;660,1,0),0),0))</f>
      </c>
      <c r="E58" s="1">
        <f>IF(OR(E$52=0,D9="",E9=""),0,IFERROR(IF(AND(INDEX(Arten,MATCH(D9,Codes,0))="Arbeit",INDEX(Arten,MATCH(E9,Codes,0))="Arbeit"),IF(ROUND((1+INDEX(Beginne,MATCH(E9,Codes,0))-INDEX(EndeRel,MATCH(D9,Codes,0)))*1440,0)&lt;660,1,0),0),0))</f>
      </c>
      <c r="F58" s="1">
        <f>IF(OR(F$52=0,E9="",F9=""),0,IFERROR(IF(AND(INDEX(Arten,MATCH(E9,Codes,0))="Arbeit",INDEX(Arten,MATCH(F9,Codes,0))="Arbeit"),IF(ROUND((1+INDEX(Beginne,MATCH(F9,Codes,0))-INDEX(EndeRel,MATCH(E9,Codes,0)))*1440,0)&lt;660,1,0),0),0))</f>
      </c>
      <c r="G58" s="1">
        <f>IF(OR(G$52=0,F9="",G9=""),0,IFERROR(IF(AND(INDEX(Arten,MATCH(F9,Codes,0))="Arbeit",INDEX(Arten,MATCH(G9,Codes,0))="Arbeit"),IF(ROUND((1+INDEX(Beginne,MATCH(G9,Codes,0))-INDEX(EndeRel,MATCH(F9,Codes,0)))*1440,0)&lt;660,1,0),0),0))</f>
      </c>
      <c r="H58" s="1">
        <f>IF(OR(H$52=0,G9="",H9=""),0,IFERROR(IF(AND(INDEX(Arten,MATCH(G9,Codes,0))="Arbeit",INDEX(Arten,MATCH(H9,Codes,0))="Arbeit"),IF(ROUND((1+INDEX(Beginne,MATCH(H9,Codes,0))-INDEX(EndeRel,MATCH(G9,Codes,0)))*1440,0)&lt;660,1,0),0),0))</f>
      </c>
      <c r="I58" s="1">
        <f>IF(OR(I$52=0,H9="",I9=""),0,IFERROR(IF(AND(INDEX(Arten,MATCH(H9,Codes,0))="Arbeit",INDEX(Arten,MATCH(I9,Codes,0))="Arbeit"),IF(ROUND((1+INDEX(Beginne,MATCH(I9,Codes,0))-INDEX(EndeRel,MATCH(H9,Codes,0)))*1440,0)&lt;660,1,0),0),0))</f>
      </c>
      <c r="J58" s="1">
        <f>IF(OR(J$52=0,I9="",J9=""),0,IFERROR(IF(AND(INDEX(Arten,MATCH(I9,Codes,0))="Arbeit",INDEX(Arten,MATCH(J9,Codes,0))="Arbeit"),IF(ROUND((1+INDEX(Beginne,MATCH(J9,Codes,0))-INDEX(EndeRel,MATCH(I9,Codes,0)))*1440,0)&lt;660,1,0),0),0))</f>
      </c>
      <c r="K58" s="1">
        <f>IF(OR(K$52=0,J9="",K9=""),0,IFERROR(IF(AND(INDEX(Arten,MATCH(J9,Codes,0))="Arbeit",INDEX(Arten,MATCH(K9,Codes,0))="Arbeit"),IF(ROUND((1+INDEX(Beginne,MATCH(K9,Codes,0))-INDEX(EndeRel,MATCH(J9,Codes,0)))*1440,0)&lt;660,1,0),0),0))</f>
      </c>
      <c r="L58" s="1">
        <f>IF(OR(L$52=0,K9="",L9=""),0,IFERROR(IF(AND(INDEX(Arten,MATCH(K9,Codes,0))="Arbeit",INDEX(Arten,MATCH(L9,Codes,0))="Arbeit"),IF(ROUND((1+INDEX(Beginne,MATCH(L9,Codes,0))-INDEX(EndeRel,MATCH(K9,Codes,0)))*1440,0)&lt;660,1,0),0),0))</f>
      </c>
      <c r="M58" s="1">
        <f>IF(OR(M$52=0,L9="",M9=""),0,IFERROR(IF(AND(INDEX(Arten,MATCH(L9,Codes,0))="Arbeit",INDEX(Arten,MATCH(M9,Codes,0))="Arbeit"),IF(ROUND((1+INDEX(Beginne,MATCH(M9,Codes,0))-INDEX(EndeRel,MATCH(L9,Codes,0)))*1440,0)&lt;660,1,0),0),0))</f>
      </c>
      <c r="N58" s="1">
        <f>IF(OR(N$52=0,M9="",N9=""),0,IFERROR(IF(AND(INDEX(Arten,MATCH(M9,Codes,0))="Arbeit",INDEX(Arten,MATCH(N9,Codes,0))="Arbeit"),IF(ROUND((1+INDEX(Beginne,MATCH(N9,Codes,0))-INDEX(EndeRel,MATCH(M9,Codes,0)))*1440,0)&lt;660,1,0),0),0))</f>
      </c>
      <c r="O58" s="1">
        <f>IF(OR(O$52=0,N9="",O9=""),0,IFERROR(IF(AND(INDEX(Arten,MATCH(N9,Codes,0))="Arbeit",INDEX(Arten,MATCH(O9,Codes,0))="Arbeit"),IF(ROUND((1+INDEX(Beginne,MATCH(O9,Codes,0))-INDEX(EndeRel,MATCH(N9,Codes,0)))*1440,0)&lt;660,1,0),0),0))</f>
      </c>
      <c r="P58" s="1">
        <f>IF(OR(P$52=0,O9="",P9=""),0,IFERROR(IF(AND(INDEX(Arten,MATCH(O9,Codes,0))="Arbeit",INDEX(Arten,MATCH(P9,Codes,0))="Arbeit"),IF(ROUND((1+INDEX(Beginne,MATCH(P9,Codes,0))-INDEX(EndeRel,MATCH(O9,Codes,0)))*1440,0)&lt;660,1,0),0),0))</f>
      </c>
      <c r="Q58" s="1">
        <f>IF(OR(Q$52=0,P9="",Q9=""),0,IFERROR(IF(AND(INDEX(Arten,MATCH(P9,Codes,0))="Arbeit",INDEX(Arten,MATCH(Q9,Codes,0))="Arbeit"),IF(ROUND((1+INDEX(Beginne,MATCH(Q9,Codes,0))-INDEX(EndeRel,MATCH(P9,Codes,0)))*1440,0)&lt;660,1,0),0),0))</f>
      </c>
      <c r="R58" s="1">
        <f>IF(OR(R$52=0,Q9="",R9=""),0,IFERROR(IF(AND(INDEX(Arten,MATCH(Q9,Codes,0))="Arbeit",INDEX(Arten,MATCH(R9,Codes,0))="Arbeit"),IF(ROUND((1+INDEX(Beginne,MATCH(R9,Codes,0))-INDEX(EndeRel,MATCH(Q9,Codes,0)))*1440,0)&lt;660,1,0),0),0))</f>
      </c>
      <c r="S58" s="1">
        <f>IF(OR(S$52=0,R9="",S9=""),0,IFERROR(IF(AND(INDEX(Arten,MATCH(R9,Codes,0))="Arbeit",INDEX(Arten,MATCH(S9,Codes,0))="Arbeit"),IF(ROUND((1+INDEX(Beginne,MATCH(S9,Codes,0))-INDEX(EndeRel,MATCH(R9,Codes,0)))*1440,0)&lt;660,1,0),0),0))</f>
      </c>
      <c r="T58" s="1">
        <f>IF(OR(T$52=0,S9="",T9=""),0,IFERROR(IF(AND(INDEX(Arten,MATCH(S9,Codes,0))="Arbeit",INDEX(Arten,MATCH(T9,Codes,0))="Arbeit"),IF(ROUND((1+INDEX(Beginne,MATCH(T9,Codes,0))-INDEX(EndeRel,MATCH(S9,Codes,0)))*1440,0)&lt;660,1,0),0),0))</f>
      </c>
      <c r="U58" s="1">
        <f>IF(OR(U$52=0,T9="",U9=""),0,IFERROR(IF(AND(INDEX(Arten,MATCH(T9,Codes,0))="Arbeit",INDEX(Arten,MATCH(U9,Codes,0))="Arbeit"),IF(ROUND((1+INDEX(Beginne,MATCH(U9,Codes,0))-INDEX(EndeRel,MATCH(T9,Codes,0)))*1440,0)&lt;660,1,0),0),0))</f>
      </c>
      <c r="V58" s="1">
        <f>IF(OR(V$52=0,U9="",V9=""),0,IFERROR(IF(AND(INDEX(Arten,MATCH(U9,Codes,0))="Arbeit",INDEX(Arten,MATCH(V9,Codes,0))="Arbeit"),IF(ROUND((1+INDEX(Beginne,MATCH(V9,Codes,0))-INDEX(EndeRel,MATCH(U9,Codes,0)))*1440,0)&lt;660,1,0),0),0))</f>
      </c>
      <c r="W58" s="1">
        <f>IF(OR(W$52=0,V9="",W9=""),0,IFERROR(IF(AND(INDEX(Arten,MATCH(V9,Codes,0))="Arbeit",INDEX(Arten,MATCH(W9,Codes,0))="Arbeit"),IF(ROUND((1+INDEX(Beginne,MATCH(W9,Codes,0))-INDEX(EndeRel,MATCH(V9,Codes,0)))*1440,0)&lt;660,1,0),0),0))</f>
      </c>
      <c r="X58" s="1">
        <f>IF(OR(X$52=0,W9="",X9=""),0,IFERROR(IF(AND(INDEX(Arten,MATCH(W9,Codes,0))="Arbeit",INDEX(Arten,MATCH(X9,Codes,0))="Arbeit"),IF(ROUND((1+INDEX(Beginne,MATCH(X9,Codes,0))-INDEX(EndeRel,MATCH(W9,Codes,0)))*1440,0)&lt;660,1,0),0),0))</f>
      </c>
      <c r="Y58" s="1">
        <f>IF(OR(Y$52=0,X9="",Y9=""),0,IFERROR(IF(AND(INDEX(Arten,MATCH(X9,Codes,0))="Arbeit",INDEX(Arten,MATCH(Y9,Codes,0))="Arbeit"),IF(ROUND((1+INDEX(Beginne,MATCH(Y9,Codes,0))-INDEX(EndeRel,MATCH(X9,Codes,0)))*1440,0)&lt;660,1,0),0),0))</f>
      </c>
      <c r="Z58" s="1">
        <f>IF(OR(Z$52=0,Y9="",Z9=""),0,IFERROR(IF(AND(INDEX(Arten,MATCH(Y9,Codes,0))="Arbeit",INDEX(Arten,MATCH(Z9,Codes,0))="Arbeit"),IF(ROUND((1+INDEX(Beginne,MATCH(Z9,Codes,0))-INDEX(EndeRel,MATCH(Y9,Codes,0)))*1440,0)&lt;660,1,0),0),0))</f>
      </c>
      <c r="AA58" s="1">
        <f>IF(OR(AA$52=0,Z9="",AA9=""),0,IFERROR(IF(AND(INDEX(Arten,MATCH(Z9,Codes,0))="Arbeit",INDEX(Arten,MATCH(AA9,Codes,0))="Arbeit"),IF(ROUND((1+INDEX(Beginne,MATCH(AA9,Codes,0))-INDEX(EndeRel,MATCH(Z9,Codes,0)))*1440,0)&lt;660,1,0),0),0))</f>
      </c>
      <c r="AB58" s="1">
        <f>IF(OR(AB$52=0,AA9="",AB9=""),0,IFERROR(IF(AND(INDEX(Arten,MATCH(AA9,Codes,0))="Arbeit",INDEX(Arten,MATCH(AB9,Codes,0))="Arbeit"),IF(ROUND((1+INDEX(Beginne,MATCH(AB9,Codes,0))-INDEX(EndeRel,MATCH(AA9,Codes,0)))*1440,0)&lt;660,1,0),0),0))</f>
      </c>
      <c r="AC58" s="1">
        <f>IF(OR(AC$52=0,AB9="",AC9=""),0,IFERROR(IF(AND(INDEX(Arten,MATCH(AB9,Codes,0))="Arbeit",INDEX(Arten,MATCH(AC9,Codes,0))="Arbeit"),IF(ROUND((1+INDEX(Beginne,MATCH(AC9,Codes,0))-INDEX(EndeRel,MATCH(AB9,Codes,0)))*1440,0)&lt;660,1,0),0),0))</f>
      </c>
      <c r="AD58" s="1">
        <f>IF(OR(AD$52=0,AC9="",AD9=""),0,IFERROR(IF(AND(INDEX(Arten,MATCH(AC9,Codes,0))="Arbeit",INDEX(Arten,MATCH(AD9,Codes,0))="Arbeit"),IF(ROUND((1+INDEX(Beginne,MATCH(AD9,Codes,0))-INDEX(EndeRel,MATCH(AC9,Codes,0)))*1440,0)&lt;660,1,0),0),0))</f>
      </c>
      <c r="AE58" s="1">
        <f>IF(OR(AE$52=0,AD9="",AE9=""),0,IFERROR(IF(AND(INDEX(Arten,MATCH(AD9,Codes,0))="Arbeit",INDEX(Arten,MATCH(AE9,Codes,0))="Arbeit"),IF(ROUND((1+INDEX(Beginne,MATCH(AE9,Codes,0))-INDEX(EndeRel,MATCH(AD9,Codes,0)))*1440,0)&lt;660,1,0),0),0))</f>
      </c>
      <c r="AF58" s="1">
        <f>IF(OR(AF$52=0,AE9="",AF9=""),0,IFERROR(IF(AND(INDEX(Arten,MATCH(AE9,Codes,0))="Arbeit",INDEX(Arten,MATCH(AF9,Codes,0))="Arbeit"),IF(ROUND((1+INDEX(Beginne,MATCH(AF9,Codes,0))-INDEX(EndeRel,MATCH(AE9,Codes,0)))*1440,0)&lt;660,1,0),0),0))</f>
      </c>
    </row>
    <row r="59" hidden="1" spans="1:32" x14ac:dyDescent="0.25">
      <c r="A59" s="1"/>
      <c r="B59" s="1">
        <f>IF(OR(B$52=0,""="",B10=""),0,IFERROR(IF(AND(INDEX(Arten,MATCH("",Codes,0))="Arbeit",INDEX(Arten,MATCH(B10,Codes,0))="Arbeit"),IF(ROUND((1+INDEX(Beginne,MATCH(B10,Codes,0))-INDEX(EndeRel,MATCH("",Codes,0)))*1440,0)&lt;660,1,0),0),0))</f>
      </c>
      <c r="C59" s="1">
        <f>IF(OR(C$52=0,B10="",C10=""),0,IFERROR(IF(AND(INDEX(Arten,MATCH(B10,Codes,0))="Arbeit",INDEX(Arten,MATCH(C10,Codes,0))="Arbeit"),IF(ROUND((1+INDEX(Beginne,MATCH(C10,Codes,0))-INDEX(EndeRel,MATCH(B10,Codes,0)))*1440,0)&lt;660,1,0),0),0))</f>
      </c>
      <c r="D59" s="1">
        <f>IF(OR(D$52=0,C10="",D10=""),0,IFERROR(IF(AND(INDEX(Arten,MATCH(C10,Codes,0))="Arbeit",INDEX(Arten,MATCH(D10,Codes,0))="Arbeit"),IF(ROUND((1+INDEX(Beginne,MATCH(D10,Codes,0))-INDEX(EndeRel,MATCH(C10,Codes,0)))*1440,0)&lt;660,1,0),0),0))</f>
      </c>
      <c r="E59" s="1">
        <f>IF(OR(E$52=0,D10="",E10=""),0,IFERROR(IF(AND(INDEX(Arten,MATCH(D10,Codes,0))="Arbeit",INDEX(Arten,MATCH(E10,Codes,0))="Arbeit"),IF(ROUND((1+INDEX(Beginne,MATCH(E10,Codes,0))-INDEX(EndeRel,MATCH(D10,Codes,0)))*1440,0)&lt;660,1,0),0),0))</f>
      </c>
      <c r="F59" s="1">
        <f>IF(OR(F$52=0,E10="",F10=""),0,IFERROR(IF(AND(INDEX(Arten,MATCH(E10,Codes,0))="Arbeit",INDEX(Arten,MATCH(F10,Codes,0))="Arbeit"),IF(ROUND((1+INDEX(Beginne,MATCH(F10,Codes,0))-INDEX(EndeRel,MATCH(E10,Codes,0)))*1440,0)&lt;660,1,0),0),0))</f>
      </c>
      <c r="G59" s="1">
        <f>IF(OR(G$52=0,F10="",G10=""),0,IFERROR(IF(AND(INDEX(Arten,MATCH(F10,Codes,0))="Arbeit",INDEX(Arten,MATCH(G10,Codes,0))="Arbeit"),IF(ROUND((1+INDEX(Beginne,MATCH(G10,Codes,0))-INDEX(EndeRel,MATCH(F10,Codes,0)))*1440,0)&lt;660,1,0),0),0))</f>
      </c>
      <c r="H59" s="1">
        <f>IF(OR(H$52=0,G10="",H10=""),0,IFERROR(IF(AND(INDEX(Arten,MATCH(G10,Codes,0))="Arbeit",INDEX(Arten,MATCH(H10,Codes,0))="Arbeit"),IF(ROUND((1+INDEX(Beginne,MATCH(H10,Codes,0))-INDEX(EndeRel,MATCH(G10,Codes,0)))*1440,0)&lt;660,1,0),0),0))</f>
      </c>
      <c r="I59" s="1">
        <f>IF(OR(I$52=0,H10="",I10=""),0,IFERROR(IF(AND(INDEX(Arten,MATCH(H10,Codes,0))="Arbeit",INDEX(Arten,MATCH(I10,Codes,0))="Arbeit"),IF(ROUND((1+INDEX(Beginne,MATCH(I10,Codes,0))-INDEX(EndeRel,MATCH(H10,Codes,0)))*1440,0)&lt;660,1,0),0),0))</f>
      </c>
      <c r="J59" s="1">
        <f>IF(OR(J$52=0,I10="",J10=""),0,IFERROR(IF(AND(INDEX(Arten,MATCH(I10,Codes,0))="Arbeit",INDEX(Arten,MATCH(J10,Codes,0))="Arbeit"),IF(ROUND((1+INDEX(Beginne,MATCH(J10,Codes,0))-INDEX(EndeRel,MATCH(I10,Codes,0)))*1440,0)&lt;660,1,0),0),0))</f>
      </c>
      <c r="K59" s="1">
        <f>IF(OR(K$52=0,J10="",K10=""),0,IFERROR(IF(AND(INDEX(Arten,MATCH(J10,Codes,0))="Arbeit",INDEX(Arten,MATCH(K10,Codes,0))="Arbeit"),IF(ROUND((1+INDEX(Beginne,MATCH(K10,Codes,0))-INDEX(EndeRel,MATCH(J10,Codes,0)))*1440,0)&lt;660,1,0),0),0))</f>
      </c>
      <c r="L59" s="1">
        <f>IF(OR(L$52=0,K10="",L10=""),0,IFERROR(IF(AND(INDEX(Arten,MATCH(K10,Codes,0))="Arbeit",INDEX(Arten,MATCH(L10,Codes,0))="Arbeit"),IF(ROUND((1+INDEX(Beginne,MATCH(L10,Codes,0))-INDEX(EndeRel,MATCH(K10,Codes,0)))*1440,0)&lt;660,1,0),0),0))</f>
      </c>
      <c r="M59" s="1">
        <f>IF(OR(M$52=0,L10="",M10=""),0,IFERROR(IF(AND(INDEX(Arten,MATCH(L10,Codes,0))="Arbeit",INDEX(Arten,MATCH(M10,Codes,0))="Arbeit"),IF(ROUND((1+INDEX(Beginne,MATCH(M10,Codes,0))-INDEX(EndeRel,MATCH(L10,Codes,0)))*1440,0)&lt;660,1,0),0),0))</f>
      </c>
      <c r="N59" s="1">
        <f>IF(OR(N$52=0,M10="",N10=""),0,IFERROR(IF(AND(INDEX(Arten,MATCH(M10,Codes,0))="Arbeit",INDEX(Arten,MATCH(N10,Codes,0))="Arbeit"),IF(ROUND((1+INDEX(Beginne,MATCH(N10,Codes,0))-INDEX(EndeRel,MATCH(M10,Codes,0)))*1440,0)&lt;660,1,0),0),0))</f>
      </c>
      <c r="O59" s="1">
        <f>IF(OR(O$52=0,N10="",O10=""),0,IFERROR(IF(AND(INDEX(Arten,MATCH(N10,Codes,0))="Arbeit",INDEX(Arten,MATCH(O10,Codes,0))="Arbeit"),IF(ROUND((1+INDEX(Beginne,MATCH(O10,Codes,0))-INDEX(EndeRel,MATCH(N10,Codes,0)))*1440,0)&lt;660,1,0),0),0))</f>
      </c>
      <c r="P59" s="1">
        <f>IF(OR(P$52=0,O10="",P10=""),0,IFERROR(IF(AND(INDEX(Arten,MATCH(O10,Codes,0))="Arbeit",INDEX(Arten,MATCH(P10,Codes,0))="Arbeit"),IF(ROUND((1+INDEX(Beginne,MATCH(P10,Codes,0))-INDEX(EndeRel,MATCH(O10,Codes,0)))*1440,0)&lt;660,1,0),0),0))</f>
      </c>
      <c r="Q59" s="1">
        <f>IF(OR(Q$52=0,P10="",Q10=""),0,IFERROR(IF(AND(INDEX(Arten,MATCH(P10,Codes,0))="Arbeit",INDEX(Arten,MATCH(Q10,Codes,0))="Arbeit"),IF(ROUND((1+INDEX(Beginne,MATCH(Q10,Codes,0))-INDEX(EndeRel,MATCH(P10,Codes,0)))*1440,0)&lt;660,1,0),0),0))</f>
      </c>
      <c r="R59" s="1">
        <f>IF(OR(R$52=0,Q10="",R10=""),0,IFERROR(IF(AND(INDEX(Arten,MATCH(Q10,Codes,0))="Arbeit",INDEX(Arten,MATCH(R10,Codes,0))="Arbeit"),IF(ROUND((1+INDEX(Beginne,MATCH(R10,Codes,0))-INDEX(EndeRel,MATCH(Q10,Codes,0)))*1440,0)&lt;660,1,0),0),0))</f>
      </c>
      <c r="S59" s="1">
        <f>IF(OR(S$52=0,R10="",S10=""),0,IFERROR(IF(AND(INDEX(Arten,MATCH(R10,Codes,0))="Arbeit",INDEX(Arten,MATCH(S10,Codes,0))="Arbeit"),IF(ROUND((1+INDEX(Beginne,MATCH(S10,Codes,0))-INDEX(EndeRel,MATCH(R10,Codes,0)))*1440,0)&lt;660,1,0),0),0))</f>
      </c>
      <c r="T59" s="1">
        <f>IF(OR(T$52=0,S10="",T10=""),0,IFERROR(IF(AND(INDEX(Arten,MATCH(S10,Codes,0))="Arbeit",INDEX(Arten,MATCH(T10,Codes,0))="Arbeit"),IF(ROUND((1+INDEX(Beginne,MATCH(T10,Codes,0))-INDEX(EndeRel,MATCH(S10,Codes,0)))*1440,0)&lt;660,1,0),0),0))</f>
      </c>
      <c r="U59" s="1">
        <f>IF(OR(U$52=0,T10="",U10=""),0,IFERROR(IF(AND(INDEX(Arten,MATCH(T10,Codes,0))="Arbeit",INDEX(Arten,MATCH(U10,Codes,0))="Arbeit"),IF(ROUND((1+INDEX(Beginne,MATCH(U10,Codes,0))-INDEX(EndeRel,MATCH(T10,Codes,0)))*1440,0)&lt;660,1,0),0),0))</f>
      </c>
      <c r="V59" s="1">
        <f>IF(OR(V$52=0,U10="",V10=""),0,IFERROR(IF(AND(INDEX(Arten,MATCH(U10,Codes,0))="Arbeit",INDEX(Arten,MATCH(V10,Codes,0))="Arbeit"),IF(ROUND((1+INDEX(Beginne,MATCH(V10,Codes,0))-INDEX(EndeRel,MATCH(U10,Codes,0)))*1440,0)&lt;660,1,0),0),0))</f>
      </c>
      <c r="W59" s="1">
        <f>IF(OR(W$52=0,V10="",W10=""),0,IFERROR(IF(AND(INDEX(Arten,MATCH(V10,Codes,0))="Arbeit",INDEX(Arten,MATCH(W10,Codes,0))="Arbeit"),IF(ROUND((1+INDEX(Beginne,MATCH(W10,Codes,0))-INDEX(EndeRel,MATCH(V10,Codes,0)))*1440,0)&lt;660,1,0),0),0))</f>
      </c>
      <c r="X59" s="1">
        <f>IF(OR(X$52=0,W10="",X10=""),0,IFERROR(IF(AND(INDEX(Arten,MATCH(W10,Codes,0))="Arbeit",INDEX(Arten,MATCH(X10,Codes,0))="Arbeit"),IF(ROUND((1+INDEX(Beginne,MATCH(X10,Codes,0))-INDEX(EndeRel,MATCH(W10,Codes,0)))*1440,0)&lt;660,1,0),0),0))</f>
      </c>
      <c r="Y59" s="1">
        <f>IF(OR(Y$52=0,X10="",Y10=""),0,IFERROR(IF(AND(INDEX(Arten,MATCH(X10,Codes,0))="Arbeit",INDEX(Arten,MATCH(Y10,Codes,0))="Arbeit"),IF(ROUND((1+INDEX(Beginne,MATCH(Y10,Codes,0))-INDEX(EndeRel,MATCH(X10,Codes,0)))*1440,0)&lt;660,1,0),0),0))</f>
      </c>
      <c r="Z59" s="1">
        <f>IF(OR(Z$52=0,Y10="",Z10=""),0,IFERROR(IF(AND(INDEX(Arten,MATCH(Y10,Codes,0))="Arbeit",INDEX(Arten,MATCH(Z10,Codes,0))="Arbeit"),IF(ROUND((1+INDEX(Beginne,MATCH(Z10,Codes,0))-INDEX(EndeRel,MATCH(Y10,Codes,0)))*1440,0)&lt;660,1,0),0),0))</f>
      </c>
      <c r="AA59" s="1">
        <f>IF(OR(AA$52=0,Z10="",AA10=""),0,IFERROR(IF(AND(INDEX(Arten,MATCH(Z10,Codes,0))="Arbeit",INDEX(Arten,MATCH(AA10,Codes,0))="Arbeit"),IF(ROUND((1+INDEX(Beginne,MATCH(AA10,Codes,0))-INDEX(EndeRel,MATCH(Z10,Codes,0)))*1440,0)&lt;660,1,0),0),0))</f>
      </c>
      <c r="AB59" s="1">
        <f>IF(OR(AB$52=0,AA10="",AB10=""),0,IFERROR(IF(AND(INDEX(Arten,MATCH(AA10,Codes,0))="Arbeit",INDEX(Arten,MATCH(AB10,Codes,0))="Arbeit"),IF(ROUND((1+INDEX(Beginne,MATCH(AB10,Codes,0))-INDEX(EndeRel,MATCH(AA10,Codes,0)))*1440,0)&lt;660,1,0),0),0))</f>
      </c>
      <c r="AC59" s="1">
        <f>IF(OR(AC$52=0,AB10="",AC10=""),0,IFERROR(IF(AND(INDEX(Arten,MATCH(AB10,Codes,0))="Arbeit",INDEX(Arten,MATCH(AC10,Codes,0))="Arbeit"),IF(ROUND((1+INDEX(Beginne,MATCH(AC10,Codes,0))-INDEX(EndeRel,MATCH(AB10,Codes,0)))*1440,0)&lt;660,1,0),0),0))</f>
      </c>
      <c r="AD59" s="1">
        <f>IF(OR(AD$52=0,AC10="",AD10=""),0,IFERROR(IF(AND(INDEX(Arten,MATCH(AC10,Codes,0))="Arbeit",INDEX(Arten,MATCH(AD10,Codes,0))="Arbeit"),IF(ROUND((1+INDEX(Beginne,MATCH(AD10,Codes,0))-INDEX(EndeRel,MATCH(AC10,Codes,0)))*1440,0)&lt;660,1,0),0),0))</f>
      </c>
      <c r="AE59" s="1">
        <f>IF(OR(AE$52=0,AD10="",AE10=""),0,IFERROR(IF(AND(INDEX(Arten,MATCH(AD10,Codes,0))="Arbeit",INDEX(Arten,MATCH(AE10,Codes,0))="Arbeit"),IF(ROUND((1+INDEX(Beginne,MATCH(AE10,Codes,0))-INDEX(EndeRel,MATCH(AD10,Codes,0)))*1440,0)&lt;660,1,0),0),0))</f>
      </c>
      <c r="AF59" s="1">
        <f>IF(OR(AF$52=0,AE10="",AF10=""),0,IFERROR(IF(AND(INDEX(Arten,MATCH(AE10,Codes,0))="Arbeit",INDEX(Arten,MATCH(AF10,Codes,0))="Arbeit"),IF(ROUND((1+INDEX(Beginne,MATCH(AF10,Codes,0))-INDEX(EndeRel,MATCH(AE10,Codes,0)))*1440,0)&lt;660,1,0),0),0))</f>
      </c>
    </row>
    <row r="60" hidden="1" spans="1:32" x14ac:dyDescent="0.25">
      <c r="A60" s="1"/>
      <c r="B60" s="1">
        <f>IF(OR(B$52=0,""="",B11=""),0,IFERROR(IF(AND(INDEX(Arten,MATCH("",Codes,0))="Arbeit",INDEX(Arten,MATCH(B11,Codes,0))="Arbeit"),IF(ROUND((1+INDEX(Beginne,MATCH(B11,Codes,0))-INDEX(EndeRel,MATCH("",Codes,0)))*1440,0)&lt;660,1,0),0),0))</f>
      </c>
      <c r="C60" s="1">
        <f>IF(OR(C$52=0,B11="",C11=""),0,IFERROR(IF(AND(INDEX(Arten,MATCH(B11,Codes,0))="Arbeit",INDEX(Arten,MATCH(C11,Codes,0))="Arbeit"),IF(ROUND((1+INDEX(Beginne,MATCH(C11,Codes,0))-INDEX(EndeRel,MATCH(B11,Codes,0)))*1440,0)&lt;660,1,0),0),0))</f>
      </c>
      <c r="D60" s="1">
        <f>IF(OR(D$52=0,C11="",D11=""),0,IFERROR(IF(AND(INDEX(Arten,MATCH(C11,Codes,0))="Arbeit",INDEX(Arten,MATCH(D11,Codes,0))="Arbeit"),IF(ROUND((1+INDEX(Beginne,MATCH(D11,Codes,0))-INDEX(EndeRel,MATCH(C11,Codes,0)))*1440,0)&lt;660,1,0),0),0))</f>
      </c>
      <c r="E60" s="1">
        <f>IF(OR(E$52=0,D11="",E11=""),0,IFERROR(IF(AND(INDEX(Arten,MATCH(D11,Codes,0))="Arbeit",INDEX(Arten,MATCH(E11,Codes,0))="Arbeit"),IF(ROUND((1+INDEX(Beginne,MATCH(E11,Codes,0))-INDEX(EndeRel,MATCH(D11,Codes,0)))*1440,0)&lt;660,1,0),0),0))</f>
      </c>
      <c r="F60" s="1">
        <f>IF(OR(F$52=0,E11="",F11=""),0,IFERROR(IF(AND(INDEX(Arten,MATCH(E11,Codes,0))="Arbeit",INDEX(Arten,MATCH(F11,Codes,0))="Arbeit"),IF(ROUND((1+INDEX(Beginne,MATCH(F11,Codes,0))-INDEX(EndeRel,MATCH(E11,Codes,0)))*1440,0)&lt;660,1,0),0),0))</f>
      </c>
      <c r="G60" s="1">
        <f>IF(OR(G$52=0,F11="",G11=""),0,IFERROR(IF(AND(INDEX(Arten,MATCH(F11,Codes,0))="Arbeit",INDEX(Arten,MATCH(G11,Codes,0))="Arbeit"),IF(ROUND((1+INDEX(Beginne,MATCH(G11,Codes,0))-INDEX(EndeRel,MATCH(F11,Codes,0)))*1440,0)&lt;660,1,0),0),0))</f>
      </c>
      <c r="H60" s="1">
        <f>IF(OR(H$52=0,G11="",H11=""),0,IFERROR(IF(AND(INDEX(Arten,MATCH(G11,Codes,0))="Arbeit",INDEX(Arten,MATCH(H11,Codes,0))="Arbeit"),IF(ROUND((1+INDEX(Beginne,MATCH(H11,Codes,0))-INDEX(EndeRel,MATCH(G11,Codes,0)))*1440,0)&lt;660,1,0),0),0))</f>
      </c>
      <c r="I60" s="1">
        <f>IF(OR(I$52=0,H11="",I11=""),0,IFERROR(IF(AND(INDEX(Arten,MATCH(H11,Codes,0))="Arbeit",INDEX(Arten,MATCH(I11,Codes,0))="Arbeit"),IF(ROUND((1+INDEX(Beginne,MATCH(I11,Codes,0))-INDEX(EndeRel,MATCH(H11,Codes,0)))*1440,0)&lt;660,1,0),0),0))</f>
      </c>
      <c r="J60" s="1">
        <f>IF(OR(J$52=0,I11="",J11=""),0,IFERROR(IF(AND(INDEX(Arten,MATCH(I11,Codes,0))="Arbeit",INDEX(Arten,MATCH(J11,Codes,0))="Arbeit"),IF(ROUND((1+INDEX(Beginne,MATCH(J11,Codes,0))-INDEX(EndeRel,MATCH(I11,Codes,0)))*1440,0)&lt;660,1,0),0),0))</f>
      </c>
      <c r="K60" s="1">
        <f>IF(OR(K$52=0,J11="",K11=""),0,IFERROR(IF(AND(INDEX(Arten,MATCH(J11,Codes,0))="Arbeit",INDEX(Arten,MATCH(K11,Codes,0))="Arbeit"),IF(ROUND((1+INDEX(Beginne,MATCH(K11,Codes,0))-INDEX(EndeRel,MATCH(J11,Codes,0)))*1440,0)&lt;660,1,0),0),0))</f>
      </c>
      <c r="L60" s="1">
        <f>IF(OR(L$52=0,K11="",L11=""),0,IFERROR(IF(AND(INDEX(Arten,MATCH(K11,Codes,0))="Arbeit",INDEX(Arten,MATCH(L11,Codes,0))="Arbeit"),IF(ROUND((1+INDEX(Beginne,MATCH(L11,Codes,0))-INDEX(EndeRel,MATCH(K11,Codes,0)))*1440,0)&lt;660,1,0),0),0))</f>
      </c>
      <c r="M60" s="1">
        <f>IF(OR(M$52=0,L11="",M11=""),0,IFERROR(IF(AND(INDEX(Arten,MATCH(L11,Codes,0))="Arbeit",INDEX(Arten,MATCH(M11,Codes,0))="Arbeit"),IF(ROUND((1+INDEX(Beginne,MATCH(M11,Codes,0))-INDEX(EndeRel,MATCH(L11,Codes,0)))*1440,0)&lt;660,1,0),0),0))</f>
      </c>
      <c r="N60" s="1">
        <f>IF(OR(N$52=0,M11="",N11=""),0,IFERROR(IF(AND(INDEX(Arten,MATCH(M11,Codes,0))="Arbeit",INDEX(Arten,MATCH(N11,Codes,0))="Arbeit"),IF(ROUND((1+INDEX(Beginne,MATCH(N11,Codes,0))-INDEX(EndeRel,MATCH(M11,Codes,0)))*1440,0)&lt;660,1,0),0),0))</f>
      </c>
      <c r="O60" s="1">
        <f>IF(OR(O$52=0,N11="",O11=""),0,IFERROR(IF(AND(INDEX(Arten,MATCH(N11,Codes,0))="Arbeit",INDEX(Arten,MATCH(O11,Codes,0))="Arbeit"),IF(ROUND((1+INDEX(Beginne,MATCH(O11,Codes,0))-INDEX(EndeRel,MATCH(N11,Codes,0)))*1440,0)&lt;660,1,0),0),0))</f>
      </c>
      <c r="P60" s="1">
        <f>IF(OR(P$52=0,O11="",P11=""),0,IFERROR(IF(AND(INDEX(Arten,MATCH(O11,Codes,0))="Arbeit",INDEX(Arten,MATCH(P11,Codes,0))="Arbeit"),IF(ROUND((1+INDEX(Beginne,MATCH(P11,Codes,0))-INDEX(EndeRel,MATCH(O11,Codes,0)))*1440,0)&lt;660,1,0),0),0))</f>
      </c>
      <c r="Q60" s="1">
        <f>IF(OR(Q$52=0,P11="",Q11=""),0,IFERROR(IF(AND(INDEX(Arten,MATCH(P11,Codes,0))="Arbeit",INDEX(Arten,MATCH(Q11,Codes,0))="Arbeit"),IF(ROUND((1+INDEX(Beginne,MATCH(Q11,Codes,0))-INDEX(EndeRel,MATCH(P11,Codes,0)))*1440,0)&lt;660,1,0),0),0))</f>
      </c>
      <c r="R60" s="1">
        <f>IF(OR(R$52=0,Q11="",R11=""),0,IFERROR(IF(AND(INDEX(Arten,MATCH(Q11,Codes,0))="Arbeit",INDEX(Arten,MATCH(R11,Codes,0))="Arbeit"),IF(ROUND((1+INDEX(Beginne,MATCH(R11,Codes,0))-INDEX(EndeRel,MATCH(Q11,Codes,0)))*1440,0)&lt;660,1,0),0),0))</f>
      </c>
      <c r="S60" s="1">
        <f>IF(OR(S$52=0,R11="",S11=""),0,IFERROR(IF(AND(INDEX(Arten,MATCH(R11,Codes,0))="Arbeit",INDEX(Arten,MATCH(S11,Codes,0))="Arbeit"),IF(ROUND((1+INDEX(Beginne,MATCH(S11,Codes,0))-INDEX(EndeRel,MATCH(R11,Codes,0)))*1440,0)&lt;660,1,0),0),0))</f>
      </c>
      <c r="T60" s="1">
        <f>IF(OR(T$52=0,S11="",T11=""),0,IFERROR(IF(AND(INDEX(Arten,MATCH(S11,Codes,0))="Arbeit",INDEX(Arten,MATCH(T11,Codes,0))="Arbeit"),IF(ROUND((1+INDEX(Beginne,MATCH(T11,Codes,0))-INDEX(EndeRel,MATCH(S11,Codes,0)))*1440,0)&lt;660,1,0),0),0))</f>
      </c>
      <c r="U60" s="1">
        <f>IF(OR(U$52=0,T11="",U11=""),0,IFERROR(IF(AND(INDEX(Arten,MATCH(T11,Codes,0))="Arbeit",INDEX(Arten,MATCH(U11,Codes,0))="Arbeit"),IF(ROUND((1+INDEX(Beginne,MATCH(U11,Codes,0))-INDEX(EndeRel,MATCH(T11,Codes,0)))*1440,0)&lt;660,1,0),0),0))</f>
      </c>
      <c r="V60" s="1">
        <f>IF(OR(V$52=0,U11="",V11=""),0,IFERROR(IF(AND(INDEX(Arten,MATCH(U11,Codes,0))="Arbeit",INDEX(Arten,MATCH(V11,Codes,0))="Arbeit"),IF(ROUND((1+INDEX(Beginne,MATCH(V11,Codes,0))-INDEX(EndeRel,MATCH(U11,Codes,0)))*1440,0)&lt;660,1,0),0),0))</f>
      </c>
      <c r="W60" s="1">
        <f>IF(OR(W$52=0,V11="",W11=""),0,IFERROR(IF(AND(INDEX(Arten,MATCH(V11,Codes,0))="Arbeit",INDEX(Arten,MATCH(W11,Codes,0))="Arbeit"),IF(ROUND((1+INDEX(Beginne,MATCH(W11,Codes,0))-INDEX(EndeRel,MATCH(V11,Codes,0)))*1440,0)&lt;660,1,0),0),0))</f>
      </c>
      <c r="X60" s="1">
        <f>IF(OR(X$52=0,W11="",X11=""),0,IFERROR(IF(AND(INDEX(Arten,MATCH(W11,Codes,0))="Arbeit",INDEX(Arten,MATCH(X11,Codes,0))="Arbeit"),IF(ROUND((1+INDEX(Beginne,MATCH(X11,Codes,0))-INDEX(EndeRel,MATCH(W11,Codes,0)))*1440,0)&lt;660,1,0),0),0))</f>
      </c>
      <c r="Y60" s="1">
        <f>IF(OR(Y$52=0,X11="",Y11=""),0,IFERROR(IF(AND(INDEX(Arten,MATCH(X11,Codes,0))="Arbeit",INDEX(Arten,MATCH(Y11,Codes,0))="Arbeit"),IF(ROUND((1+INDEX(Beginne,MATCH(Y11,Codes,0))-INDEX(EndeRel,MATCH(X11,Codes,0)))*1440,0)&lt;660,1,0),0),0))</f>
      </c>
      <c r="Z60" s="1">
        <f>IF(OR(Z$52=0,Y11="",Z11=""),0,IFERROR(IF(AND(INDEX(Arten,MATCH(Y11,Codes,0))="Arbeit",INDEX(Arten,MATCH(Z11,Codes,0))="Arbeit"),IF(ROUND((1+INDEX(Beginne,MATCH(Z11,Codes,0))-INDEX(EndeRel,MATCH(Y11,Codes,0)))*1440,0)&lt;660,1,0),0),0))</f>
      </c>
      <c r="AA60" s="1">
        <f>IF(OR(AA$52=0,Z11="",AA11=""),0,IFERROR(IF(AND(INDEX(Arten,MATCH(Z11,Codes,0))="Arbeit",INDEX(Arten,MATCH(AA11,Codes,0))="Arbeit"),IF(ROUND((1+INDEX(Beginne,MATCH(AA11,Codes,0))-INDEX(EndeRel,MATCH(Z11,Codes,0)))*1440,0)&lt;660,1,0),0),0))</f>
      </c>
      <c r="AB60" s="1">
        <f>IF(OR(AB$52=0,AA11="",AB11=""),0,IFERROR(IF(AND(INDEX(Arten,MATCH(AA11,Codes,0))="Arbeit",INDEX(Arten,MATCH(AB11,Codes,0))="Arbeit"),IF(ROUND((1+INDEX(Beginne,MATCH(AB11,Codes,0))-INDEX(EndeRel,MATCH(AA11,Codes,0)))*1440,0)&lt;660,1,0),0),0))</f>
      </c>
      <c r="AC60" s="1">
        <f>IF(OR(AC$52=0,AB11="",AC11=""),0,IFERROR(IF(AND(INDEX(Arten,MATCH(AB11,Codes,0))="Arbeit",INDEX(Arten,MATCH(AC11,Codes,0))="Arbeit"),IF(ROUND((1+INDEX(Beginne,MATCH(AC11,Codes,0))-INDEX(EndeRel,MATCH(AB11,Codes,0)))*1440,0)&lt;660,1,0),0),0))</f>
      </c>
      <c r="AD60" s="1">
        <f>IF(OR(AD$52=0,AC11="",AD11=""),0,IFERROR(IF(AND(INDEX(Arten,MATCH(AC11,Codes,0))="Arbeit",INDEX(Arten,MATCH(AD11,Codes,0))="Arbeit"),IF(ROUND((1+INDEX(Beginne,MATCH(AD11,Codes,0))-INDEX(EndeRel,MATCH(AC11,Codes,0)))*1440,0)&lt;660,1,0),0),0))</f>
      </c>
      <c r="AE60" s="1">
        <f>IF(OR(AE$52=0,AD11="",AE11=""),0,IFERROR(IF(AND(INDEX(Arten,MATCH(AD11,Codes,0))="Arbeit",INDEX(Arten,MATCH(AE11,Codes,0))="Arbeit"),IF(ROUND((1+INDEX(Beginne,MATCH(AE11,Codes,0))-INDEX(EndeRel,MATCH(AD11,Codes,0)))*1440,0)&lt;660,1,0),0),0))</f>
      </c>
      <c r="AF60" s="1">
        <f>IF(OR(AF$52=0,AE11="",AF11=""),0,IFERROR(IF(AND(INDEX(Arten,MATCH(AE11,Codes,0))="Arbeit",INDEX(Arten,MATCH(AF11,Codes,0))="Arbeit"),IF(ROUND((1+INDEX(Beginne,MATCH(AF11,Codes,0))-INDEX(EndeRel,MATCH(AE11,Codes,0)))*1440,0)&lt;660,1,0),0),0))</f>
      </c>
    </row>
    <row r="61" hidden="1" spans="1:32" x14ac:dyDescent="0.25">
      <c r="A61" s="1"/>
      <c r="B61" s="1">
        <f>IF(OR(B$52=0,""="",B12=""),0,IFERROR(IF(AND(INDEX(Arten,MATCH("",Codes,0))="Arbeit",INDEX(Arten,MATCH(B12,Codes,0))="Arbeit"),IF(ROUND((1+INDEX(Beginne,MATCH(B12,Codes,0))-INDEX(EndeRel,MATCH("",Codes,0)))*1440,0)&lt;660,1,0),0),0))</f>
      </c>
      <c r="C61" s="1">
        <f>IF(OR(C$52=0,B12="",C12=""),0,IFERROR(IF(AND(INDEX(Arten,MATCH(B12,Codes,0))="Arbeit",INDEX(Arten,MATCH(C12,Codes,0))="Arbeit"),IF(ROUND((1+INDEX(Beginne,MATCH(C12,Codes,0))-INDEX(EndeRel,MATCH(B12,Codes,0)))*1440,0)&lt;660,1,0),0),0))</f>
      </c>
      <c r="D61" s="1">
        <f>IF(OR(D$52=0,C12="",D12=""),0,IFERROR(IF(AND(INDEX(Arten,MATCH(C12,Codes,0))="Arbeit",INDEX(Arten,MATCH(D12,Codes,0))="Arbeit"),IF(ROUND((1+INDEX(Beginne,MATCH(D12,Codes,0))-INDEX(EndeRel,MATCH(C12,Codes,0)))*1440,0)&lt;660,1,0),0),0))</f>
      </c>
      <c r="E61" s="1">
        <f>IF(OR(E$52=0,D12="",E12=""),0,IFERROR(IF(AND(INDEX(Arten,MATCH(D12,Codes,0))="Arbeit",INDEX(Arten,MATCH(E12,Codes,0))="Arbeit"),IF(ROUND((1+INDEX(Beginne,MATCH(E12,Codes,0))-INDEX(EndeRel,MATCH(D12,Codes,0)))*1440,0)&lt;660,1,0),0),0))</f>
      </c>
      <c r="F61" s="1">
        <f>IF(OR(F$52=0,E12="",F12=""),0,IFERROR(IF(AND(INDEX(Arten,MATCH(E12,Codes,0))="Arbeit",INDEX(Arten,MATCH(F12,Codes,0))="Arbeit"),IF(ROUND((1+INDEX(Beginne,MATCH(F12,Codes,0))-INDEX(EndeRel,MATCH(E12,Codes,0)))*1440,0)&lt;660,1,0),0),0))</f>
      </c>
      <c r="G61" s="1">
        <f>IF(OR(G$52=0,F12="",G12=""),0,IFERROR(IF(AND(INDEX(Arten,MATCH(F12,Codes,0))="Arbeit",INDEX(Arten,MATCH(G12,Codes,0))="Arbeit"),IF(ROUND((1+INDEX(Beginne,MATCH(G12,Codes,0))-INDEX(EndeRel,MATCH(F12,Codes,0)))*1440,0)&lt;660,1,0),0),0))</f>
      </c>
      <c r="H61" s="1">
        <f>IF(OR(H$52=0,G12="",H12=""),0,IFERROR(IF(AND(INDEX(Arten,MATCH(G12,Codes,0))="Arbeit",INDEX(Arten,MATCH(H12,Codes,0))="Arbeit"),IF(ROUND((1+INDEX(Beginne,MATCH(H12,Codes,0))-INDEX(EndeRel,MATCH(G12,Codes,0)))*1440,0)&lt;660,1,0),0),0))</f>
      </c>
      <c r="I61" s="1">
        <f>IF(OR(I$52=0,H12="",I12=""),0,IFERROR(IF(AND(INDEX(Arten,MATCH(H12,Codes,0))="Arbeit",INDEX(Arten,MATCH(I12,Codes,0))="Arbeit"),IF(ROUND((1+INDEX(Beginne,MATCH(I12,Codes,0))-INDEX(EndeRel,MATCH(H12,Codes,0)))*1440,0)&lt;660,1,0),0),0))</f>
      </c>
      <c r="J61" s="1">
        <f>IF(OR(J$52=0,I12="",J12=""),0,IFERROR(IF(AND(INDEX(Arten,MATCH(I12,Codes,0))="Arbeit",INDEX(Arten,MATCH(J12,Codes,0))="Arbeit"),IF(ROUND((1+INDEX(Beginne,MATCH(J12,Codes,0))-INDEX(EndeRel,MATCH(I12,Codes,0)))*1440,0)&lt;660,1,0),0),0))</f>
      </c>
      <c r="K61" s="1">
        <f>IF(OR(K$52=0,J12="",K12=""),0,IFERROR(IF(AND(INDEX(Arten,MATCH(J12,Codes,0))="Arbeit",INDEX(Arten,MATCH(K12,Codes,0))="Arbeit"),IF(ROUND((1+INDEX(Beginne,MATCH(K12,Codes,0))-INDEX(EndeRel,MATCH(J12,Codes,0)))*1440,0)&lt;660,1,0),0),0))</f>
      </c>
      <c r="L61" s="1">
        <f>IF(OR(L$52=0,K12="",L12=""),0,IFERROR(IF(AND(INDEX(Arten,MATCH(K12,Codes,0))="Arbeit",INDEX(Arten,MATCH(L12,Codes,0))="Arbeit"),IF(ROUND((1+INDEX(Beginne,MATCH(L12,Codes,0))-INDEX(EndeRel,MATCH(K12,Codes,0)))*1440,0)&lt;660,1,0),0),0))</f>
      </c>
      <c r="M61" s="1">
        <f>IF(OR(M$52=0,L12="",M12=""),0,IFERROR(IF(AND(INDEX(Arten,MATCH(L12,Codes,0))="Arbeit",INDEX(Arten,MATCH(M12,Codes,0))="Arbeit"),IF(ROUND((1+INDEX(Beginne,MATCH(M12,Codes,0))-INDEX(EndeRel,MATCH(L12,Codes,0)))*1440,0)&lt;660,1,0),0),0))</f>
      </c>
      <c r="N61" s="1">
        <f>IF(OR(N$52=0,M12="",N12=""),0,IFERROR(IF(AND(INDEX(Arten,MATCH(M12,Codes,0))="Arbeit",INDEX(Arten,MATCH(N12,Codes,0))="Arbeit"),IF(ROUND((1+INDEX(Beginne,MATCH(N12,Codes,0))-INDEX(EndeRel,MATCH(M12,Codes,0)))*1440,0)&lt;660,1,0),0),0))</f>
      </c>
      <c r="O61" s="1">
        <f>IF(OR(O$52=0,N12="",O12=""),0,IFERROR(IF(AND(INDEX(Arten,MATCH(N12,Codes,0))="Arbeit",INDEX(Arten,MATCH(O12,Codes,0))="Arbeit"),IF(ROUND((1+INDEX(Beginne,MATCH(O12,Codes,0))-INDEX(EndeRel,MATCH(N12,Codes,0)))*1440,0)&lt;660,1,0),0),0))</f>
      </c>
      <c r="P61" s="1">
        <f>IF(OR(P$52=0,O12="",P12=""),0,IFERROR(IF(AND(INDEX(Arten,MATCH(O12,Codes,0))="Arbeit",INDEX(Arten,MATCH(P12,Codes,0))="Arbeit"),IF(ROUND((1+INDEX(Beginne,MATCH(P12,Codes,0))-INDEX(EndeRel,MATCH(O12,Codes,0)))*1440,0)&lt;660,1,0),0),0))</f>
      </c>
      <c r="Q61" s="1">
        <f>IF(OR(Q$52=0,P12="",Q12=""),0,IFERROR(IF(AND(INDEX(Arten,MATCH(P12,Codes,0))="Arbeit",INDEX(Arten,MATCH(Q12,Codes,0))="Arbeit"),IF(ROUND((1+INDEX(Beginne,MATCH(Q12,Codes,0))-INDEX(EndeRel,MATCH(P12,Codes,0)))*1440,0)&lt;660,1,0),0),0))</f>
      </c>
      <c r="R61" s="1">
        <f>IF(OR(R$52=0,Q12="",R12=""),0,IFERROR(IF(AND(INDEX(Arten,MATCH(Q12,Codes,0))="Arbeit",INDEX(Arten,MATCH(R12,Codes,0))="Arbeit"),IF(ROUND((1+INDEX(Beginne,MATCH(R12,Codes,0))-INDEX(EndeRel,MATCH(Q12,Codes,0)))*1440,0)&lt;660,1,0),0),0))</f>
      </c>
      <c r="S61" s="1">
        <f>IF(OR(S$52=0,R12="",S12=""),0,IFERROR(IF(AND(INDEX(Arten,MATCH(R12,Codes,0))="Arbeit",INDEX(Arten,MATCH(S12,Codes,0))="Arbeit"),IF(ROUND((1+INDEX(Beginne,MATCH(S12,Codes,0))-INDEX(EndeRel,MATCH(R12,Codes,0)))*1440,0)&lt;660,1,0),0),0))</f>
      </c>
      <c r="T61" s="1">
        <f>IF(OR(T$52=0,S12="",T12=""),0,IFERROR(IF(AND(INDEX(Arten,MATCH(S12,Codes,0))="Arbeit",INDEX(Arten,MATCH(T12,Codes,0))="Arbeit"),IF(ROUND((1+INDEX(Beginne,MATCH(T12,Codes,0))-INDEX(EndeRel,MATCH(S12,Codes,0)))*1440,0)&lt;660,1,0),0),0))</f>
      </c>
      <c r="U61" s="1">
        <f>IF(OR(U$52=0,T12="",U12=""),0,IFERROR(IF(AND(INDEX(Arten,MATCH(T12,Codes,0))="Arbeit",INDEX(Arten,MATCH(U12,Codes,0))="Arbeit"),IF(ROUND((1+INDEX(Beginne,MATCH(U12,Codes,0))-INDEX(EndeRel,MATCH(T12,Codes,0)))*1440,0)&lt;660,1,0),0),0))</f>
      </c>
      <c r="V61" s="1">
        <f>IF(OR(V$52=0,U12="",V12=""),0,IFERROR(IF(AND(INDEX(Arten,MATCH(U12,Codes,0))="Arbeit",INDEX(Arten,MATCH(V12,Codes,0))="Arbeit"),IF(ROUND((1+INDEX(Beginne,MATCH(V12,Codes,0))-INDEX(EndeRel,MATCH(U12,Codes,0)))*1440,0)&lt;660,1,0),0),0))</f>
      </c>
      <c r="W61" s="1">
        <f>IF(OR(W$52=0,V12="",W12=""),0,IFERROR(IF(AND(INDEX(Arten,MATCH(V12,Codes,0))="Arbeit",INDEX(Arten,MATCH(W12,Codes,0))="Arbeit"),IF(ROUND((1+INDEX(Beginne,MATCH(W12,Codes,0))-INDEX(EndeRel,MATCH(V12,Codes,0)))*1440,0)&lt;660,1,0),0),0))</f>
      </c>
      <c r="X61" s="1">
        <f>IF(OR(X$52=0,W12="",X12=""),0,IFERROR(IF(AND(INDEX(Arten,MATCH(W12,Codes,0))="Arbeit",INDEX(Arten,MATCH(X12,Codes,0))="Arbeit"),IF(ROUND((1+INDEX(Beginne,MATCH(X12,Codes,0))-INDEX(EndeRel,MATCH(W12,Codes,0)))*1440,0)&lt;660,1,0),0),0))</f>
      </c>
      <c r="Y61" s="1">
        <f>IF(OR(Y$52=0,X12="",Y12=""),0,IFERROR(IF(AND(INDEX(Arten,MATCH(X12,Codes,0))="Arbeit",INDEX(Arten,MATCH(Y12,Codes,0))="Arbeit"),IF(ROUND((1+INDEX(Beginne,MATCH(Y12,Codes,0))-INDEX(EndeRel,MATCH(X12,Codes,0)))*1440,0)&lt;660,1,0),0),0))</f>
      </c>
      <c r="Z61" s="1">
        <f>IF(OR(Z$52=0,Y12="",Z12=""),0,IFERROR(IF(AND(INDEX(Arten,MATCH(Y12,Codes,0))="Arbeit",INDEX(Arten,MATCH(Z12,Codes,0))="Arbeit"),IF(ROUND((1+INDEX(Beginne,MATCH(Z12,Codes,0))-INDEX(EndeRel,MATCH(Y12,Codes,0)))*1440,0)&lt;660,1,0),0),0))</f>
      </c>
      <c r="AA61" s="1">
        <f>IF(OR(AA$52=0,Z12="",AA12=""),0,IFERROR(IF(AND(INDEX(Arten,MATCH(Z12,Codes,0))="Arbeit",INDEX(Arten,MATCH(AA12,Codes,0))="Arbeit"),IF(ROUND((1+INDEX(Beginne,MATCH(AA12,Codes,0))-INDEX(EndeRel,MATCH(Z12,Codes,0)))*1440,0)&lt;660,1,0),0),0))</f>
      </c>
      <c r="AB61" s="1">
        <f>IF(OR(AB$52=0,AA12="",AB12=""),0,IFERROR(IF(AND(INDEX(Arten,MATCH(AA12,Codes,0))="Arbeit",INDEX(Arten,MATCH(AB12,Codes,0))="Arbeit"),IF(ROUND((1+INDEX(Beginne,MATCH(AB12,Codes,0))-INDEX(EndeRel,MATCH(AA12,Codes,0)))*1440,0)&lt;660,1,0),0),0))</f>
      </c>
      <c r="AC61" s="1">
        <f>IF(OR(AC$52=0,AB12="",AC12=""),0,IFERROR(IF(AND(INDEX(Arten,MATCH(AB12,Codes,0))="Arbeit",INDEX(Arten,MATCH(AC12,Codes,0))="Arbeit"),IF(ROUND((1+INDEX(Beginne,MATCH(AC12,Codes,0))-INDEX(EndeRel,MATCH(AB12,Codes,0)))*1440,0)&lt;660,1,0),0),0))</f>
      </c>
      <c r="AD61" s="1">
        <f>IF(OR(AD$52=0,AC12="",AD12=""),0,IFERROR(IF(AND(INDEX(Arten,MATCH(AC12,Codes,0))="Arbeit",INDEX(Arten,MATCH(AD12,Codes,0))="Arbeit"),IF(ROUND((1+INDEX(Beginne,MATCH(AD12,Codes,0))-INDEX(EndeRel,MATCH(AC12,Codes,0)))*1440,0)&lt;660,1,0),0),0))</f>
      </c>
      <c r="AE61" s="1">
        <f>IF(OR(AE$52=0,AD12="",AE12=""),0,IFERROR(IF(AND(INDEX(Arten,MATCH(AD12,Codes,0))="Arbeit",INDEX(Arten,MATCH(AE12,Codes,0))="Arbeit"),IF(ROUND((1+INDEX(Beginne,MATCH(AE12,Codes,0))-INDEX(EndeRel,MATCH(AD12,Codes,0)))*1440,0)&lt;660,1,0),0),0))</f>
      </c>
      <c r="AF61" s="1">
        <f>IF(OR(AF$52=0,AE12="",AF12=""),0,IFERROR(IF(AND(INDEX(Arten,MATCH(AE12,Codes,0))="Arbeit",INDEX(Arten,MATCH(AF12,Codes,0))="Arbeit"),IF(ROUND((1+INDEX(Beginne,MATCH(AF12,Codes,0))-INDEX(EndeRel,MATCH(AE12,Codes,0)))*1440,0)&lt;660,1,0),0),0))</f>
      </c>
    </row>
    <row r="62" hidden="1" spans="1:32" x14ac:dyDescent="0.25">
      <c r="A62" s="1"/>
      <c r="B62" s="1">
        <f>IF(OR(B$52=0,""="",B13=""),0,IFERROR(IF(AND(INDEX(Arten,MATCH("",Codes,0))="Arbeit",INDEX(Arten,MATCH(B13,Codes,0))="Arbeit"),IF(ROUND((1+INDEX(Beginne,MATCH(B13,Codes,0))-INDEX(EndeRel,MATCH("",Codes,0)))*1440,0)&lt;660,1,0),0),0))</f>
      </c>
      <c r="C62" s="1">
        <f>IF(OR(C$52=0,B13="",C13=""),0,IFERROR(IF(AND(INDEX(Arten,MATCH(B13,Codes,0))="Arbeit",INDEX(Arten,MATCH(C13,Codes,0))="Arbeit"),IF(ROUND((1+INDEX(Beginne,MATCH(C13,Codes,0))-INDEX(EndeRel,MATCH(B13,Codes,0)))*1440,0)&lt;660,1,0),0),0))</f>
      </c>
      <c r="D62" s="1">
        <f>IF(OR(D$52=0,C13="",D13=""),0,IFERROR(IF(AND(INDEX(Arten,MATCH(C13,Codes,0))="Arbeit",INDEX(Arten,MATCH(D13,Codes,0))="Arbeit"),IF(ROUND((1+INDEX(Beginne,MATCH(D13,Codes,0))-INDEX(EndeRel,MATCH(C13,Codes,0)))*1440,0)&lt;660,1,0),0),0))</f>
      </c>
      <c r="E62" s="1">
        <f>IF(OR(E$52=0,D13="",E13=""),0,IFERROR(IF(AND(INDEX(Arten,MATCH(D13,Codes,0))="Arbeit",INDEX(Arten,MATCH(E13,Codes,0))="Arbeit"),IF(ROUND((1+INDEX(Beginne,MATCH(E13,Codes,0))-INDEX(EndeRel,MATCH(D13,Codes,0)))*1440,0)&lt;660,1,0),0),0))</f>
      </c>
      <c r="F62" s="1">
        <f>IF(OR(F$52=0,E13="",F13=""),0,IFERROR(IF(AND(INDEX(Arten,MATCH(E13,Codes,0))="Arbeit",INDEX(Arten,MATCH(F13,Codes,0))="Arbeit"),IF(ROUND((1+INDEX(Beginne,MATCH(F13,Codes,0))-INDEX(EndeRel,MATCH(E13,Codes,0)))*1440,0)&lt;660,1,0),0),0))</f>
      </c>
      <c r="G62" s="1">
        <f>IF(OR(G$52=0,F13="",G13=""),0,IFERROR(IF(AND(INDEX(Arten,MATCH(F13,Codes,0))="Arbeit",INDEX(Arten,MATCH(G13,Codes,0))="Arbeit"),IF(ROUND((1+INDEX(Beginne,MATCH(G13,Codes,0))-INDEX(EndeRel,MATCH(F13,Codes,0)))*1440,0)&lt;660,1,0),0),0))</f>
      </c>
      <c r="H62" s="1">
        <f>IF(OR(H$52=0,G13="",H13=""),0,IFERROR(IF(AND(INDEX(Arten,MATCH(G13,Codes,0))="Arbeit",INDEX(Arten,MATCH(H13,Codes,0))="Arbeit"),IF(ROUND((1+INDEX(Beginne,MATCH(H13,Codes,0))-INDEX(EndeRel,MATCH(G13,Codes,0)))*1440,0)&lt;660,1,0),0),0))</f>
      </c>
      <c r="I62" s="1">
        <f>IF(OR(I$52=0,H13="",I13=""),0,IFERROR(IF(AND(INDEX(Arten,MATCH(H13,Codes,0))="Arbeit",INDEX(Arten,MATCH(I13,Codes,0))="Arbeit"),IF(ROUND((1+INDEX(Beginne,MATCH(I13,Codes,0))-INDEX(EndeRel,MATCH(H13,Codes,0)))*1440,0)&lt;660,1,0),0),0))</f>
      </c>
      <c r="J62" s="1">
        <f>IF(OR(J$52=0,I13="",J13=""),0,IFERROR(IF(AND(INDEX(Arten,MATCH(I13,Codes,0))="Arbeit",INDEX(Arten,MATCH(J13,Codes,0))="Arbeit"),IF(ROUND((1+INDEX(Beginne,MATCH(J13,Codes,0))-INDEX(EndeRel,MATCH(I13,Codes,0)))*1440,0)&lt;660,1,0),0),0))</f>
      </c>
      <c r="K62" s="1">
        <f>IF(OR(K$52=0,J13="",K13=""),0,IFERROR(IF(AND(INDEX(Arten,MATCH(J13,Codes,0))="Arbeit",INDEX(Arten,MATCH(K13,Codes,0))="Arbeit"),IF(ROUND((1+INDEX(Beginne,MATCH(K13,Codes,0))-INDEX(EndeRel,MATCH(J13,Codes,0)))*1440,0)&lt;660,1,0),0),0))</f>
      </c>
      <c r="L62" s="1">
        <f>IF(OR(L$52=0,K13="",L13=""),0,IFERROR(IF(AND(INDEX(Arten,MATCH(K13,Codes,0))="Arbeit",INDEX(Arten,MATCH(L13,Codes,0))="Arbeit"),IF(ROUND((1+INDEX(Beginne,MATCH(L13,Codes,0))-INDEX(EndeRel,MATCH(K13,Codes,0)))*1440,0)&lt;660,1,0),0),0))</f>
      </c>
      <c r="M62" s="1">
        <f>IF(OR(M$52=0,L13="",M13=""),0,IFERROR(IF(AND(INDEX(Arten,MATCH(L13,Codes,0))="Arbeit",INDEX(Arten,MATCH(M13,Codes,0))="Arbeit"),IF(ROUND((1+INDEX(Beginne,MATCH(M13,Codes,0))-INDEX(EndeRel,MATCH(L13,Codes,0)))*1440,0)&lt;660,1,0),0),0))</f>
      </c>
      <c r="N62" s="1">
        <f>IF(OR(N$52=0,M13="",N13=""),0,IFERROR(IF(AND(INDEX(Arten,MATCH(M13,Codes,0))="Arbeit",INDEX(Arten,MATCH(N13,Codes,0))="Arbeit"),IF(ROUND((1+INDEX(Beginne,MATCH(N13,Codes,0))-INDEX(EndeRel,MATCH(M13,Codes,0)))*1440,0)&lt;660,1,0),0),0))</f>
      </c>
      <c r="O62" s="1">
        <f>IF(OR(O$52=0,N13="",O13=""),0,IFERROR(IF(AND(INDEX(Arten,MATCH(N13,Codes,0))="Arbeit",INDEX(Arten,MATCH(O13,Codes,0))="Arbeit"),IF(ROUND((1+INDEX(Beginne,MATCH(O13,Codes,0))-INDEX(EndeRel,MATCH(N13,Codes,0)))*1440,0)&lt;660,1,0),0),0))</f>
      </c>
      <c r="P62" s="1">
        <f>IF(OR(P$52=0,O13="",P13=""),0,IFERROR(IF(AND(INDEX(Arten,MATCH(O13,Codes,0))="Arbeit",INDEX(Arten,MATCH(P13,Codes,0))="Arbeit"),IF(ROUND((1+INDEX(Beginne,MATCH(P13,Codes,0))-INDEX(EndeRel,MATCH(O13,Codes,0)))*1440,0)&lt;660,1,0),0),0))</f>
      </c>
      <c r="Q62" s="1">
        <f>IF(OR(Q$52=0,P13="",Q13=""),0,IFERROR(IF(AND(INDEX(Arten,MATCH(P13,Codes,0))="Arbeit",INDEX(Arten,MATCH(Q13,Codes,0))="Arbeit"),IF(ROUND((1+INDEX(Beginne,MATCH(Q13,Codes,0))-INDEX(EndeRel,MATCH(P13,Codes,0)))*1440,0)&lt;660,1,0),0),0))</f>
      </c>
      <c r="R62" s="1">
        <f>IF(OR(R$52=0,Q13="",R13=""),0,IFERROR(IF(AND(INDEX(Arten,MATCH(Q13,Codes,0))="Arbeit",INDEX(Arten,MATCH(R13,Codes,0))="Arbeit"),IF(ROUND((1+INDEX(Beginne,MATCH(R13,Codes,0))-INDEX(EndeRel,MATCH(Q13,Codes,0)))*1440,0)&lt;660,1,0),0),0))</f>
      </c>
      <c r="S62" s="1">
        <f>IF(OR(S$52=0,R13="",S13=""),0,IFERROR(IF(AND(INDEX(Arten,MATCH(R13,Codes,0))="Arbeit",INDEX(Arten,MATCH(S13,Codes,0))="Arbeit"),IF(ROUND((1+INDEX(Beginne,MATCH(S13,Codes,0))-INDEX(EndeRel,MATCH(R13,Codes,0)))*1440,0)&lt;660,1,0),0),0))</f>
      </c>
      <c r="T62" s="1">
        <f>IF(OR(T$52=0,S13="",T13=""),0,IFERROR(IF(AND(INDEX(Arten,MATCH(S13,Codes,0))="Arbeit",INDEX(Arten,MATCH(T13,Codes,0))="Arbeit"),IF(ROUND((1+INDEX(Beginne,MATCH(T13,Codes,0))-INDEX(EndeRel,MATCH(S13,Codes,0)))*1440,0)&lt;660,1,0),0),0))</f>
      </c>
      <c r="U62" s="1">
        <f>IF(OR(U$52=0,T13="",U13=""),0,IFERROR(IF(AND(INDEX(Arten,MATCH(T13,Codes,0))="Arbeit",INDEX(Arten,MATCH(U13,Codes,0))="Arbeit"),IF(ROUND((1+INDEX(Beginne,MATCH(U13,Codes,0))-INDEX(EndeRel,MATCH(T13,Codes,0)))*1440,0)&lt;660,1,0),0),0))</f>
      </c>
      <c r="V62" s="1">
        <f>IF(OR(V$52=0,U13="",V13=""),0,IFERROR(IF(AND(INDEX(Arten,MATCH(U13,Codes,0))="Arbeit",INDEX(Arten,MATCH(V13,Codes,0))="Arbeit"),IF(ROUND((1+INDEX(Beginne,MATCH(V13,Codes,0))-INDEX(EndeRel,MATCH(U13,Codes,0)))*1440,0)&lt;660,1,0),0),0))</f>
      </c>
      <c r="W62" s="1">
        <f>IF(OR(W$52=0,V13="",W13=""),0,IFERROR(IF(AND(INDEX(Arten,MATCH(V13,Codes,0))="Arbeit",INDEX(Arten,MATCH(W13,Codes,0))="Arbeit"),IF(ROUND((1+INDEX(Beginne,MATCH(W13,Codes,0))-INDEX(EndeRel,MATCH(V13,Codes,0)))*1440,0)&lt;660,1,0),0),0))</f>
      </c>
      <c r="X62" s="1">
        <f>IF(OR(X$52=0,W13="",X13=""),0,IFERROR(IF(AND(INDEX(Arten,MATCH(W13,Codes,0))="Arbeit",INDEX(Arten,MATCH(X13,Codes,0))="Arbeit"),IF(ROUND((1+INDEX(Beginne,MATCH(X13,Codes,0))-INDEX(EndeRel,MATCH(W13,Codes,0)))*1440,0)&lt;660,1,0),0),0))</f>
      </c>
      <c r="Y62" s="1">
        <f>IF(OR(Y$52=0,X13="",Y13=""),0,IFERROR(IF(AND(INDEX(Arten,MATCH(X13,Codes,0))="Arbeit",INDEX(Arten,MATCH(Y13,Codes,0))="Arbeit"),IF(ROUND((1+INDEX(Beginne,MATCH(Y13,Codes,0))-INDEX(EndeRel,MATCH(X13,Codes,0)))*1440,0)&lt;660,1,0),0),0))</f>
      </c>
      <c r="Z62" s="1">
        <f>IF(OR(Z$52=0,Y13="",Z13=""),0,IFERROR(IF(AND(INDEX(Arten,MATCH(Y13,Codes,0))="Arbeit",INDEX(Arten,MATCH(Z13,Codes,0))="Arbeit"),IF(ROUND((1+INDEX(Beginne,MATCH(Z13,Codes,0))-INDEX(EndeRel,MATCH(Y13,Codes,0)))*1440,0)&lt;660,1,0),0),0))</f>
      </c>
      <c r="AA62" s="1">
        <f>IF(OR(AA$52=0,Z13="",AA13=""),0,IFERROR(IF(AND(INDEX(Arten,MATCH(Z13,Codes,0))="Arbeit",INDEX(Arten,MATCH(AA13,Codes,0))="Arbeit"),IF(ROUND((1+INDEX(Beginne,MATCH(AA13,Codes,0))-INDEX(EndeRel,MATCH(Z13,Codes,0)))*1440,0)&lt;660,1,0),0),0))</f>
      </c>
      <c r="AB62" s="1">
        <f>IF(OR(AB$52=0,AA13="",AB13=""),0,IFERROR(IF(AND(INDEX(Arten,MATCH(AA13,Codes,0))="Arbeit",INDEX(Arten,MATCH(AB13,Codes,0))="Arbeit"),IF(ROUND((1+INDEX(Beginne,MATCH(AB13,Codes,0))-INDEX(EndeRel,MATCH(AA13,Codes,0)))*1440,0)&lt;660,1,0),0),0))</f>
      </c>
      <c r="AC62" s="1">
        <f>IF(OR(AC$52=0,AB13="",AC13=""),0,IFERROR(IF(AND(INDEX(Arten,MATCH(AB13,Codes,0))="Arbeit",INDEX(Arten,MATCH(AC13,Codes,0))="Arbeit"),IF(ROUND((1+INDEX(Beginne,MATCH(AC13,Codes,0))-INDEX(EndeRel,MATCH(AB13,Codes,0)))*1440,0)&lt;660,1,0),0),0))</f>
      </c>
      <c r="AD62" s="1">
        <f>IF(OR(AD$52=0,AC13="",AD13=""),0,IFERROR(IF(AND(INDEX(Arten,MATCH(AC13,Codes,0))="Arbeit",INDEX(Arten,MATCH(AD13,Codes,0))="Arbeit"),IF(ROUND((1+INDEX(Beginne,MATCH(AD13,Codes,0))-INDEX(EndeRel,MATCH(AC13,Codes,0)))*1440,0)&lt;660,1,0),0),0))</f>
      </c>
      <c r="AE62" s="1">
        <f>IF(OR(AE$52=0,AD13="",AE13=""),0,IFERROR(IF(AND(INDEX(Arten,MATCH(AD13,Codes,0))="Arbeit",INDEX(Arten,MATCH(AE13,Codes,0))="Arbeit"),IF(ROUND((1+INDEX(Beginne,MATCH(AE13,Codes,0))-INDEX(EndeRel,MATCH(AD13,Codes,0)))*1440,0)&lt;660,1,0),0),0))</f>
      </c>
      <c r="AF62" s="1">
        <f>IF(OR(AF$52=0,AE13="",AF13=""),0,IFERROR(IF(AND(INDEX(Arten,MATCH(AE13,Codes,0))="Arbeit",INDEX(Arten,MATCH(AF13,Codes,0))="Arbeit"),IF(ROUND((1+INDEX(Beginne,MATCH(AF13,Codes,0))-INDEX(EndeRel,MATCH(AE13,Codes,0)))*1440,0)&lt;660,1,0),0),0))</f>
      </c>
    </row>
    <row r="63" hidden="1" spans="1:32" x14ac:dyDescent="0.25">
      <c r="A63" s="1"/>
      <c r="B63" s="1">
        <f>IF(OR(B$52=0,""="",B14=""),0,IFERROR(IF(AND(INDEX(Arten,MATCH("",Codes,0))="Arbeit",INDEX(Arten,MATCH(B14,Codes,0))="Arbeit"),IF(ROUND((1+INDEX(Beginne,MATCH(B14,Codes,0))-INDEX(EndeRel,MATCH("",Codes,0)))*1440,0)&lt;660,1,0),0),0))</f>
      </c>
      <c r="C63" s="1">
        <f>IF(OR(C$52=0,B14="",C14=""),0,IFERROR(IF(AND(INDEX(Arten,MATCH(B14,Codes,0))="Arbeit",INDEX(Arten,MATCH(C14,Codes,0))="Arbeit"),IF(ROUND((1+INDEX(Beginne,MATCH(C14,Codes,0))-INDEX(EndeRel,MATCH(B14,Codes,0)))*1440,0)&lt;660,1,0),0),0))</f>
      </c>
      <c r="D63" s="1">
        <f>IF(OR(D$52=0,C14="",D14=""),0,IFERROR(IF(AND(INDEX(Arten,MATCH(C14,Codes,0))="Arbeit",INDEX(Arten,MATCH(D14,Codes,0))="Arbeit"),IF(ROUND((1+INDEX(Beginne,MATCH(D14,Codes,0))-INDEX(EndeRel,MATCH(C14,Codes,0)))*1440,0)&lt;660,1,0),0),0))</f>
      </c>
      <c r="E63" s="1">
        <f>IF(OR(E$52=0,D14="",E14=""),0,IFERROR(IF(AND(INDEX(Arten,MATCH(D14,Codes,0))="Arbeit",INDEX(Arten,MATCH(E14,Codes,0))="Arbeit"),IF(ROUND((1+INDEX(Beginne,MATCH(E14,Codes,0))-INDEX(EndeRel,MATCH(D14,Codes,0)))*1440,0)&lt;660,1,0),0),0))</f>
      </c>
      <c r="F63" s="1">
        <f>IF(OR(F$52=0,E14="",F14=""),0,IFERROR(IF(AND(INDEX(Arten,MATCH(E14,Codes,0))="Arbeit",INDEX(Arten,MATCH(F14,Codes,0))="Arbeit"),IF(ROUND((1+INDEX(Beginne,MATCH(F14,Codes,0))-INDEX(EndeRel,MATCH(E14,Codes,0)))*1440,0)&lt;660,1,0),0),0))</f>
      </c>
      <c r="G63" s="1">
        <f>IF(OR(G$52=0,F14="",G14=""),0,IFERROR(IF(AND(INDEX(Arten,MATCH(F14,Codes,0))="Arbeit",INDEX(Arten,MATCH(G14,Codes,0))="Arbeit"),IF(ROUND((1+INDEX(Beginne,MATCH(G14,Codes,0))-INDEX(EndeRel,MATCH(F14,Codes,0)))*1440,0)&lt;660,1,0),0),0))</f>
      </c>
      <c r="H63" s="1">
        <f>IF(OR(H$52=0,G14="",H14=""),0,IFERROR(IF(AND(INDEX(Arten,MATCH(G14,Codes,0))="Arbeit",INDEX(Arten,MATCH(H14,Codes,0))="Arbeit"),IF(ROUND((1+INDEX(Beginne,MATCH(H14,Codes,0))-INDEX(EndeRel,MATCH(G14,Codes,0)))*1440,0)&lt;660,1,0),0),0))</f>
      </c>
      <c r="I63" s="1">
        <f>IF(OR(I$52=0,H14="",I14=""),0,IFERROR(IF(AND(INDEX(Arten,MATCH(H14,Codes,0))="Arbeit",INDEX(Arten,MATCH(I14,Codes,0))="Arbeit"),IF(ROUND((1+INDEX(Beginne,MATCH(I14,Codes,0))-INDEX(EndeRel,MATCH(H14,Codes,0)))*1440,0)&lt;660,1,0),0),0))</f>
      </c>
      <c r="J63" s="1">
        <f>IF(OR(J$52=0,I14="",J14=""),0,IFERROR(IF(AND(INDEX(Arten,MATCH(I14,Codes,0))="Arbeit",INDEX(Arten,MATCH(J14,Codes,0))="Arbeit"),IF(ROUND((1+INDEX(Beginne,MATCH(J14,Codes,0))-INDEX(EndeRel,MATCH(I14,Codes,0)))*1440,0)&lt;660,1,0),0),0))</f>
      </c>
      <c r="K63" s="1">
        <f>IF(OR(K$52=0,J14="",K14=""),0,IFERROR(IF(AND(INDEX(Arten,MATCH(J14,Codes,0))="Arbeit",INDEX(Arten,MATCH(K14,Codes,0))="Arbeit"),IF(ROUND((1+INDEX(Beginne,MATCH(K14,Codes,0))-INDEX(EndeRel,MATCH(J14,Codes,0)))*1440,0)&lt;660,1,0),0),0))</f>
      </c>
      <c r="L63" s="1">
        <f>IF(OR(L$52=0,K14="",L14=""),0,IFERROR(IF(AND(INDEX(Arten,MATCH(K14,Codes,0))="Arbeit",INDEX(Arten,MATCH(L14,Codes,0))="Arbeit"),IF(ROUND((1+INDEX(Beginne,MATCH(L14,Codes,0))-INDEX(EndeRel,MATCH(K14,Codes,0)))*1440,0)&lt;660,1,0),0),0))</f>
      </c>
      <c r="M63" s="1">
        <f>IF(OR(M$52=0,L14="",M14=""),0,IFERROR(IF(AND(INDEX(Arten,MATCH(L14,Codes,0))="Arbeit",INDEX(Arten,MATCH(M14,Codes,0))="Arbeit"),IF(ROUND((1+INDEX(Beginne,MATCH(M14,Codes,0))-INDEX(EndeRel,MATCH(L14,Codes,0)))*1440,0)&lt;660,1,0),0),0))</f>
      </c>
      <c r="N63" s="1">
        <f>IF(OR(N$52=0,M14="",N14=""),0,IFERROR(IF(AND(INDEX(Arten,MATCH(M14,Codes,0))="Arbeit",INDEX(Arten,MATCH(N14,Codes,0))="Arbeit"),IF(ROUND((1+INDEX(Beginne,MATCH(N14,Codes,0))-INDEX(EndeRel,MATCH(M14,Codes,0)))*1440,0)&lt;660,1,0),0),0))</f>
      </c>
      <c r="O63" s="1">
        <f>IF(OR(O$52=0,N14="",O14=""),0,IFERROR(IF(AND(INDEX(Arten,MATCH(N14,Codes,0))="Arbeit",INDEX(Arten,MATCH(O14,Codes,0))="Arbeit"),IF(ROUND((1+INDEX(Beginne,MATCH(O14,Codes,0))-INDEX(EndeRel,MATCH(N14,Codes,0)))*1440,0)&lt;660,1,0),0),0))</f>
      </c>
      <c r="P63" s="1">
        <f>IF(OR(P$52=0,O14="",P14=""),0,IFERROR(IF(AND(INDEX(Arten,MATCH(O14,Codes,0))="Arbeit",INDEX(Arten,MATCH(P14,Codes,0))="Arbeit"),IF(ROUND((1+INDEX(Beginne,MATCH(P14,Codes,0))-INDEX(EndeRel,MATCH(O14,Codes,0)))*1440,0)&lt;660,1,0),0),0))</f>
      </c>
      <c r="Q63" s="1">
        <f>IF(OR(Q$52=0,P14="",Q14=""),0,IFERROR(IF(AND(INDEX(Arten,MATCH(P14,Codes,0))="Arbeit",INDEX(Arten,MATCH(Q14,Codes,0))="Arbeit"),IF(ROUND((1+INDEX(Beginne,MATCH(Q14,Codes,0))-INDEX(EndeRel,MATCH(P14,Codes,0)))*1440,0)&lt;660,1,0),0),0))</f>
      </c>
      <c r="R63" s="1">
        <f>IF(OR(R$52=0,Q14="",R14=""),0,IFERROR(IF(AND(INDEX(Arten,MATCH(Q14,Codes,0))="Arbeit",INDEX(Arten,MATCH(R14,Codes,0))="Arbeit"),IF(ROUND((1+INDEX(Beginne,MATCH(R14,Codes,0))-INDEX(EndeRel,MATCH(Q14,Codes,0)))*1440,0)&lt;660,1,0),0),0))</f>
      </c>
      <c r="S63" s="1">
        <f>IF(OR(S$52=0,R14="",S14=""),0,IFERROR(IF(AND(INDEX(Arten,MATCH(R14,Codes,0))="Arbeit",INDEX(Arten,MATCH(S14,Codes,0))="Arbeit"),IF(ROUND((1+INDEX(Beginne,MATCH(S14,Codes,0))-INDEX(EndeRel,MATCH(R14,Codes,0)))*1440,0)&lt;660,1,0),0),0))</f>
      </c>
      <c r="T63" s="1">
        <f>IF(OR(T$52=0,S14="",T14=""),0,IFERROR(IF(AND(INDEX(Arten,MATCH(S14,Codes,0))="Arbeit",INDEX(Arten,MATCH(T14,Codes,0))="Arbeit"),IF(ROUND((1+INDEX(Beginne,MATCH(T14,Codes,0))-INDEX(EndeRel,MATCH(S14,Codes,0)))*1440,0)&lt;660,1,0),0),0))</f>
      </c>
      <c r="U63" s="1">
        <f>IF(OR(U$52=0,T14="",U14=""),0,IFERROR(IF(AND(INDEX(Arten,MATCH(T14,Codes,0))="Arbeit",INDEX(Arten,MATCH(U14,Codes,0))="Arbeit"),IF(ROUND((1+INDEX(Beginne,MATCH(U14,Codes,0))-INDEX(EndeRel,MATCH(T14,Codes,0)))*1440,0)&lt;660,1,0),0),0))</f>
      </c>
      <c r="V63" s="1">
        <f>IF(OR(V$52=0,U14="",V14=""),0,IFERROR(IF(AND(INDEX(Arten,MATCH(U14,Codes,0))="Arbeit",INDEX(Arten,MATCH(V14,Codes,0))="Arbeit"),IF(ROUND((1+INDEX(Beginne,MATCH(V14,Codes,0))-INDEX(EndeRel,MATCH(U14,Codes,0)))*1440,0)&lt;660,1,0),0),0))</f>
      </c>
      <c r="W63" s="1">
        <f>IF(OR(W$52=0,V14="",W14=""),0,IFERROR(IF(AND(INDEX(Arten,MATCH(V14,Codes,0))="Arbeit",INDEX(Arten,MATCH(W14,Codes,0))="Arbeit"),IF(ROUND((1+INDEX(Beginne,MATCH(W14,Codes,0))-INDEX(EndeRel,MATCH(V14,Codes,0)))*1440,0)&lt;660,1,0),0),0))</f>
      </c>
      <c r="X63" s="1">
        <f>IF(OR(X$52=0,W14="",X14=""),0,IFERROR(IF(AND(INDEX(Arten,MATCH(W14,Codes,0))="Arbeit",INDEX(Arten,MATCH(X14,Codes,0))="Arbeit"),IF(ROUND((1+INDEX(Beginne,MATCH(X14,Codes,0))-INDEX(EndeRel,MATCH(W14,Codes,0)))*1440,0)&lt;660,1,0),0),0))</f>
      </c>
      <c r="Y63" s="1">
        <f>IF(OR(Y$52=0,X14="",Y14=""),0,IFERROR(IF(AND(INDEX(Arten,MATCH(X14,Codes,0))="Arbeit",INDEX(Arten,MATCH(Y14,Codes,0))="Arbeit"),IF(ROUND((1+INDEX(Beginne,MATCH(Y14,Codes,0))-INDEX(EndeRel,MATCH(X14,Codes,0)))*1440,0)&lt;660,1,0),0),0))</f>
      </c>
      <c r="Z63" s="1">
        <f>IF(OR(Z$52=0,Y14="",Z14=""),0,IFERROR(IF(AND(INDEX(Arten,MATCH(Y14,Codes,0))="Arbeit",INDEX(Arten,MATCH(Z14,Codes,0))="Arbeit"),IF(ROUND((1+INDEX(Beginne,MATCH(Z14,Codes,0))-INDEX(EndeRel,MATCH(Y14,Codes,0)))*1440,0)&lt;660,1,0),0),0))</f>
      </c>
      <c r="AA63" s="1">
        <f>IF(OR(AA$52=0,Z14="",AA14=""),0,IFERROR(IF(AND(INDEX(Arten,MATCH(Z14,Codes,0))="Arbeit",INDEX(Arten,MATCH(AA14,Codes,0))="Arbeit"),IF(ROUND((1+INDEX(Beginne,MATCH(AA14,Codes,0))-INDEX(EndeRel,MATCH(Z14,Codes,0)))*1440,0)&lt;660,1,0),0),0))</f>
      </c>
      <c r="AB63" s="1">
        <f>IF(OR(AB$52=0,AA14="",AB14=""),0,IFERROR(IF(AND(INDEX(Arten,MATCH(AA14,Codes,0))="Arbeit",INDEX(Arten,MATCH(AB14,Codes,0))="Arbeit"),IF(ROUND((1+INDEX(Beginne,MATCH(AB14,Codes,0))-INDEX(EndeRel,MATCH(AA14,Codes,0)))*1440,0)&lt;660,1,0),0),0))</f>
      </c>
      <c r="AC63" s="1">
        <f>IF(OR(AC$52=0,AB14="",AC14=""),0,IFERROR(IF(AND(INDEX(Arten,MATCH(AB14,Codes,0))="Arbeit",INDEX(Arten,MATCH(AC14,Codes,0))="Arbeit"),IF(ROUND((1+INDEX(Beginne,MATCH(AC14,Codes,0))-INDEX(EndeRel,MATCH(AB14,Codes,0)))*1440,0)&lt;660,1,0),0),0))</f>
      </c>
      <c r="AD63" s="1">
        <f>IF(OR(AD$52=0,AC14="",AD14=""),0,IFERROR(IF(AND(INDEX(Arten,MATCH(AC14,Codes,0))="Arbeit",INDEX(Arten,MATCH(AD14,Codes,0))="Arbeit"),IF(ROUND((1+INDEX(Beginne,MATCH(AD14,Codes,0))-INDEX(EndeRel,MATCH(AC14,Codes,0)))*1440,0)&lt;660,1,0),0),0))</f>
      </c>
      <c r="AE63" s="1">
        <f>IF(OR(AE$52=0,AD14="",AE14=""),0,IFERROR(IF(AND(INDEX(Arten,MATCH(AD14,Codes,0))="Arbeit",INDEX(Arten,MATCH(AE14,Codes,0))="Arbeit"),IF(ROUND((1+INDEX(Beginne,MATCH(AE14,Codes,0))-INDEX(EndeRel,MATCH(AD14,Codes,0)))*1440,0)&lt;660,1,0),0),0))</f>
      </c>
      <c r="AF63" s="1">
        <f>IF(OR(AF$52=0,AE14="",AF14=""),0,IFERROR(IF(AND(INDEX(Arten,MATCH(AE14,Codes,0))="Arbeit",INDEX(Arten,MATCH(AF14,Codes,0))="Arbeit"),IF(ROUND((1+INDEX(Beginne,MATCH(AF14,Codes,0))-INDEX(EndeRel,MATCH(AE14,Codes,0)))*1440,0)&lt;660,1,0),0),0))</f>
      </c>
    </row>
    <row r="64" hidden="1" spans="1:32" x14ac:dyDescent="0.25">
      <c r="A64" s="1"/>
      <c r="B64" s="1">
        <f>IF(OR(B$52=0,""="",B15=""),0,IFERROR(IF(AND(INDEX(Arten,MATCH("",Codes,0))="Arbeit",INDEX(Arten,MATCH(B15,Codes,0))="Arbeit"),IF(ROUND((1+INDEX(Beginne,MATCH(B15,Codes,0))-INDEX(EndeRel,MATCH("",Codes,0)))*1440,0)&lt;660,1,0),0),0))</f>
      </c>
      <c r="C64" s="1">
        <f>IF(OR(C$52=0,B15="",C15=""),0,IFERROR(IF(AND(INDEX(Arten,MATCH(B15,Codes,0))="Arbeit",INDEX(Arten,MATCH(C15,Codes,0))="Arbeit"),IF(ROUND((1+INDEX(Beginne,MATCH(C15,Codes,0))-INDEX(EndeRel,MATCH(B15,Codes,0)))*1440,0)&lt;660,1,0),0),0))</f>
      </c>
      <c r="D64" s="1">
        <f>IF(OR(D$52=0,C15="",D15=""),0,IFERROR(IF(AND(INDEX(Arten,MATCH(C15,Codes,0))="Arbeit",INDEX(Arten,MATCH(D15,Codes,0))="Arbeit"),IF(ROUND((1+INDEX(Beginne,MATCH(D15,Codes,0))-INDEX(EndeRel,MATCH(C15,Codes,0)))*1440,0)&lt;660,1,0),0),0))</f>
      </c>
      <c r="E64" s="1">
        <f>IF(OR(E$52=0,D15="",E15=""),0,IFERROR(IF(AND(INDEX(Arten,MATCH(D15,Codes,0))="Arbeit",INDEX(Arten,MATCH(E15,Codes,0))="Arbeit"),IF(ROUND((1+INDEX(Beginne,MATCH(E15,Codes,0))-INDEX(EndeRel,MATCH(D15,Codes,0)))*1440,0)&lt;660,1,0),0),0))</f>
      </c>
      <c r="F64" s="1">
        <f>IF(OR(F$52=0,E15="",F15=""),0,IFERROR(IF(AND(INDEX(Arten,MATCH(E15,Codes,0))="Arbeit",INDEX(Arten,MATCH(F15,Codes,0))="Arbeit"),IF(ROUND((1+INDEX(Beginne,MATCH(F15,Codes,0))-INDEX(EndeRel,MATCH(E15,Codes,0)))*1440,0)&lt;660,1,0),0),0))</f>
      </c>
      <c r="G64" s="1">
        <f>IF(OR(G$52=0,F15="",G15=""),0,IFERROR(IF(AND(INDEX(Arten,MATCH(F15,Codes,0))="Arbeit",INDEX(Arten,MATCH(G15,Codes,0))="Arbeit"),IF(ROUND((1+INDEX(Beginne,MATCH(G15,Codes,0))-INDEX(EndeRel,MATCH(F15,Codes,0)))*1440,0)&lt;660,1,0),0),0))</f>
      </c>
      <c r="H64" s="1">
        <f>IF(OR(H$52=0,G15="",H15=""),0,IFERROR(IF(AND(INDEX(Arten,MATCH(G15,Codes,0))="Arbeit",INDEX(Arten,MATCH(H15,Codes,0))="Arbeit"),IF(ROUND((1+INDEX(Beginne,MATCH(H15,Codes,0))-INDEX(EndeRel,MATCH(G15,Codes,0)))*1440,0)&lt;660,1,0),0),0))</f>
      </c>
      <c r="I64" s="1">
        <f>IF(OR(I$52=0,H15="",I15=""),0,IFERROR(IF(AND(INDEX(Arten,MATCH(H15,Codes,0))="Arbeit",INDEX(Arten,MATCH(I15,Codes,0))="Arbeit"),IF(ROUND((1+INDEX(Beginne,MATCH(I15,Codes,0))-INDEX(EndeRel,MATCH(H15,Codes,0)))*1440,0)&lt;660,1,0),0),0))</f>
      </c>
      <c r="J64" s="1">
        <f>IF(OR(J$52=0,I15="",J15=""),0,IFERROR(IF(AND(INDEX(Arten,MATCH(I15,Codes,0))="Arbeit",INDEX(Arten,MATCH(J15,Codes,0))="Arbeit"),IF(ROUND((1+INDEX(Beginne,MATCH(J15,Codes,0))-INDEX(EndeRel,MATCH(I15,Codes,0)))*1440,0)&lt;660,1,0),0),0))</f>
      </c>
      <c r="K64" s="1">
        <f>IF(OR(K$52=0,J15="",K15=""),0,IFERROR(IF(AND(INDEX(Arten,MATCH(J15,Codes,0))="Arbeit",INDEX(Arten,MATCH(K15,Codes,0))="Arbeit"),IF(ROUND((1+INDEX(Beginne,MATCH(K15,Codes,0))-INDEX(EndeRel,MATCH(J15,Codes,0)))*1440,0)&lt;660,1,0),0),0))</f>
      </c>
      <c r="L64" s="1">
        <f>IF(OR(L$52=0,K15="",L15=""),0,IFERROR(IF(AND(INDEX(Arten,MATCH(K15,Codes,0))="Arbeit",INDEX(Arten,MATCH(L15,Codes,0))="Arbeit"),IF(ROUND((1+INDEX(Beginne,MATCH(L15,Codes,0))-INDEX(EndeRel,MATCH(K15,Codes,0)))*1440,0)&lt;660,1,0),0),0))</f>
      </c>
      <c r="M64" s="1">
        <f>IF(OR(M$52=0,L15="",M15=""),0,IFERROR(IF(AND(INDEX(Arten,MATCH(L15,Codes,0))="Arbeit",INDEX(Arten,MATCH(M15,Codes,0))="Arbeit"),IF(ROUND((1+INDEX(Beginne,MATCH(M15,Codes,0))-INDEX(EndeRel,MATCH(L15,Codes,0)))*1440,0)&lt;660,1,0),0),0))</f>
      </c>
      <c r="N64" s="1">
        <f>IF(OR(N$52=0,M15="",N15=""),0,IFERROR(IF(AND(INDEX(Arten,MATCH(M15,Codes,0))="Arbeit",INDEX(Arten,MATCH(N15,Codes,0))="Arbeit"),IF(ROUND((1+INDEX(Beginne,MATCH(N15,Codes,0))-INDEX(EndeRel,MATCH(M15,Codes,0)))*1440,0)&lt;660,1,0),0),0))</f>
      </c>
      <c r="O64" s="1">
        <f>IF(OR(O$52=0,N15="",O15=""),0,IFERROR(IF(AND(INDEX(Arten,MATCH(N15,Codes,0))="Arbeit",INDEX(Arten,MATCH(O15,Codes,0))="Arbeit"),IF(ROUND((1+INDEX(Beginne,MATCH(O15,Codes,0))-INDEX(EndeRel,MATCH(N15,Codes,0)))*1440,0)&lt;660,1,0),0),0))</f>
      </c>
      <c r="P64" s="1">
        <f>IF(OR(P$52=0,O15="",P15=""),0,IFERROR(IF(AND(INDEX(Arten,MATCH(O15,Codes,0))="Arbeit",INDEX(Arten,MATCH(P15,Codes,0))="Arbeit"),IF(ROUND((1+INDEX(Beginne,MATCH(P15,Codes,0))-INDEX(EndeRel,MATCH(O15,Codes,0)))*1440,0)&lt;660,1,0),0),0))</f>
      </c>
      <c r="Q64" s="1">
        <f>IF(OR(Q$52=0,P15="",Q15=""),0,IFERROR(IF(AND(INDEX(Arten,MATCH(P15,Codes,0))="Arbeit",INDEX(Arten,MATCH(Q15,Codes,0))="Arbeit"),IF(ROUND((1+INDEX(Beginne,MATCH(Q15,Codes,0))-INDEX(EndeRel,MATCH(P15,Codes,0)))*1440,0)&lt;660,1,0),0),0))</f>
      </c>
      <c r="R64" s="1">
        <f>IF(OR(R$52=0,Q15="",R15=""),0,IFERROR(IF(AND(INDEX(Arten,MATCH(Q15,Codes,0))="Arbeit",INDEX(Arten,MATCH(R15,Codes,0))="Arbeit"),IF(ROUND((1+INDEX(Beginne,MATCH(R15,Codes,0))-INDEX(EndeRel,MATCH(Q15,Codes,0)))*1440,0)&lt;660,1,0),0),0))</f>
      </c>
      <c r="S64" s="1">
        <f>IF(OR(S$52=0,R15="",S15=""),0,IFERROR(IF(AND(INDEX(Arten,MATCH(R15,Codes,0))="Arbeit",INDEX(Arten,MATCH(S15,Codes,0))="Arbeit"),IF(ROUND((1+INDEX(Beginne,MATCH(S15,Codes,0))-INDEX(EndeRel,MATCH(R15,Codes,0)))*1440,0)&lt;660,1,0),0),0))</f>
      </c>
      <c r="T64" s="1">
        <f>IF(OR(T$52=0,S15="",T15=""),0,IFERROR(IF(AND(INDEX(Arten,MATCH(S15,Codes,0))="Arbeit",INDEX(Arten,MATCH(T15,Codes,0))="Arbeit"),IF(ROUND((1+INDEX(Beginne,MATCH(T15,Codes,0))-INDEX(EndeRel,MATCH(S15,Codes,0)))*1440,0)&lt;660,1,0),0),0))</f>
      </c>
      <c r="U64" s="1">
        <f>IF(OR(U$52=0,T15="",U15=""),0,IFERROR(IF(AND(INDEX(Arten,MATCH(T15,Codes,0))="Arbeit",INDEX(Arten,MATCH(U15,Codes,0))="Arbeit"),IF(ROUND((1+INDEX(Beginne,MATCH(U15,Codes,0))-INDEX(EndeRel,MATCH(T15,Codes,0)))*1440,0)&lt;660,1,0),0),0))</f>
      </c>
      <c r="V64" s="1">
        <f>IF(OR(V$52=0,U15="",V15=""),0,IFERROR(IF(AND(INDEX(Arten,MATCH(U15,Codes,0))="Arbeit",INDEX(Arten,MATCH(V15,Codes,0))="Arbeit"),IF(ROUND((1+INDEX(Beginne,MATCH(V15,Codes,0))-INDEX(EndeRel,MATCH(U15,Codes,0)))*1440,0)&lt;660,1,0),0),0))</f>
      </c>
      <c r="W64" s="1">
        <f>IF(OR(W$52=0,V15="",W15=""),0,IFERROR(IF(AND(INDEX(Arten,MATCH(V15,Codes,0))="Arbeit",INDEX(Arten,MATCH(W15,Codes,0))="Arbeit"),IF(ROUND((1+INDEX(Beginne,MATCH(W15,Codes,0))-INDEX(EndeRel,MATCH(V15,Codes,0)))*1440,0)&lt;660,1,0),0),0))</f>
      </c>
      <c r="X64" s="1">
        <f>IF(OR(X$52=0,W15="",X15=""),0,IFERROR(IF(AND(INDEX(Arten,MATCH(W15,Codes,0))="Arbeit",INDEX(Arten,MATCH(X15,Codes,0))="Arbeit"),IF(ROUND((1+INDEX(Beginne,MATCH(X15,Codes,0))-INDEX(EndeRel,MATCH(W15,Codes,0)))*1440,0)&lt;660,1,0),0),0))</f>
      </c>
      <c r="Y64" s="1">
        <f>IF(OR(Y$52=0,X15="",Y15=""),0,IFERROR(IF(AND(INDEX(Arten,MATCH(X15,Codes,0))="Arbeit",INDEX(Arten,MATCH(Y15,Codes,0))="Arbeit"),IF(ROUND((1+INDEX(Beginne,MATCH(Y15,Codes,0))-INDEX(EndeRel,MATCH(X15,Codes,0)))*1440,0)&lt;660,1,0),0),0))</f>
      </c>
      <c r="Z64" s="1">
        <f>IF(OR(Z$52=0,Y15="",Z15=""),0,IFERROR(IF(AND(INDEX(Arten,MATCH(Y15,Codes,0))="Arbeit",INDEX(Arten,MATCH(Z15,Codes,0))="Arbeit"),IF(ROUND((1+INDEX(Beginne,MATCH(Z15,Codes,0))-INDEX(EndeRel,MATCH(Y15,Codes,0)))*1440,0)&lt;660,1,0),0),0))</f>
      </c>
      <c r="AA64" s="1">
        <f>IF(OR(AA$52=0,Z15="",AA15=""),0,IFERROR(IF(AND(INDEX(Arten,MATCH(Z15,Codes,0))="Arbeit",INDEX(Arten,MATCH(AA15,Codes,0))="Arbeit"),IF(ROUND((1+INDEX(Beginne,MATCH(AA15,Codes,0))-INDEX(EndeRel,MATCH(Z15,Codes,0)))*1440,0)&lt;660,1,0),0),0))</f>
      </c>
      <c r="AB64" s="1">
        <f>IF(OR(AB$52=0,AA15="",AB15=""),0,IFERROR(IF(AND(INDEX(Arten,MATCH(AA15,Codes,0))="Arbeit",INDEX(Arten,MATCH(AB15,Codes,0))="Arbeit"),IF(ROUND((1+INDEX(Beginne,MATCH(AB15,Codes,0))-INDEX(EndeRel,MATCH(AA15,Codes,0)))*1440,0)&lt;660,1,0),0),0))</f>
      </c>
      <c r="AC64" s="1">
        <f>IF(OR(AC$52=0,AB15="",AC15=""),0,IFERROR(IF(AND(INDEX(Arten,MATCH(AB15,Codes,0))="Arbeit",INDEX(Arten,MATCH(AC15,Codes,0))="Arbeit"),IF(ROUND((1+INDEX(Beginne,MATCH(AC15,Codes,0))-INDEX(EndeRel,MATCH(AB15,Codes,0)))*1440,0)&lt;660,1,0),0),0))</f>
      </c>
      <c r="AD64" s="1">
        <f>IF(OR(AD$52=0,AC15="",AD15=""),0,IFERROR(IF(AND(INDEX(Arten,MATCH(AC15,Codes,0))="Arbeit",INDEX(Arten,MATCH(AD15,Codes,0))="Arbeit"),IF(ROUND((1+INDEX(Beginne,MATCH(AD15,Codes,0))-INDEX(EndeRel,MATCH(AC15,Codes,0)))*1440,0)&lt;660,1,0),0),0))</f>
      </c>
      <c r="AE64" s="1">
        <f>IF(OR(AE$52=0,AD15="",AE15=""),0,IFERROR(IF(AND(INDEX(Arten,MATCH(AD15,Codes,0))="Arbeit",INDEX(Arten,MATCH(AE15,Codes,0))="Arbeit"),IF(ROUND((1+INDEX(Beginne,MATCH(AE15,Codes,0))-INDEX(EndeRel,MATCH(AD15,Codes,0)))*1440,0)&lt;660,1,0),0),0))</f>
      </c>
      <c r="AF64" s="1">
        <f>IF(OR(AF$52=0,AE15="",AF15=""),0,IFERROR(IF(AND(INDEX(Arten,MATCH(AE15,Codes,0))="Arbeit",INDEX(Arten,MATCH(AF15,Codes,0))="Arbeit"),IF(ROUND((1+INDEX(Beginne,MATCH(AF15,Codes,0))-INDEX(EndeRel,MATCH(AE15,Codes,0)))*1440,0)&lt;660,1,0),0),0))</f>
      </c>
    </row>
    <row r="65" hidden="1" spans="1:32" x14ac:dyDescent="0.25">
      <c r="A65" s="1"/>
      <c r="B65" s="1">
        <f>IF(OR(B$52=0,""="",B16=""),0,IFERROR(IF(AND(INDEX(Arten,MATCH("",Codes,0))="Arbeit",INDEX(Arten,MATCH(B16,Codes,0))="Arbeit"),IF(ROUND((1+INDEX(Beginne,MATCH(B16,Codes,0))-INDEX(EndeRel,MATCH("",Codes,0)))*1440,0)&lt;660,1,0),0),0))</f>
      </c>
      <c r="C65" s="1">
        <f>IF(OR(C$52=0,B16="",C16=""),0,IFERROR(IF(AND(INDEX(Arten,MATCH(B16,Codes,0))="Arbeit",INDEX(Arten,MATCH(C16,Codes,0))="Arbeit"),IF(ROUND((1+INDEX(Beginne,MATCH(C16,Codes,0))-INDEX(EndeRel,MATCH(B16,Codes,0)))*1440,0)&lt;660,1,0),0),0))</f>
      </c>
      <c r="D65" s="1">
        <f>IF(OR(D$52=0,C16="",D16=""),0,IFERROR(IF(AND(INDEX(Arten,MATCH(C16,Codes,0))="Arbeit",INDEX(Arten,MATCH(D16,Codes,0))="Arbeit"),IF(ROUND((1+INDEX(Beginne,MATCH(D16,Codes,0))-INDEX(EndeRel,MATCH(C16,Codes,0)))*1440,0)&lt;660,1,0),0),0))</f>
      </c>
      <c r="E65" s="1">
        <f>IF(OR(E$52=0,D16="",E16=""),0,IFERROR(IF(AND(INDEX(Arten,MATCH(D16,Codes,0))="Arbeit",INDEX(Arten,MATCH(E16,Codes,0))="Arbeit"),IF(ROUND((1+INDEX(Beginne,MATCH(E16,Codes,0))-INDEX(EndeRel,MATCH(D16,Codes,0)))*1440,0)&lt;660,1,0),0),0))</f>
      </c>
      <c r="F65" s="1">
        <f>IF(OR(F$52=0,E16="",F16=""),0,IFERROR(IF(AND(INDEX(Arten,MATCH(E16,Codes,0))="Arbeit",INDEX(Arten,MATCH(F16,Codes,0))="Arbeit"),IF(ROUND((1+INDEX(Beginne,MATCH(F16,Codes,0))-INDEX(EndeRel,MATCH(E16,Codes,0)))*1440,0)&lt;660,1,0),0),0))</f>
      </c>
      <c r="G65" s="1">
        <f>IF(OR(G$52=0,F16="",G16=""),0,IFERROR(IF(AND(INDEX(Arten,MATCH(F16,Codes,0))="Arbeit",INDEX(Arten,MATCH(G16,Codes,0))="Arbeit"),IF(ROUND((1+INDEX(Beginne,MATCH(G16,Codes,0))-INDEX(EndeRel,MATCH(F16,Codes,0)))*1440,0)&lt;660,1,0),0),0))</f>
      </c>
      <c r="H65" s="1">
        <f>IF(OR(H$52=0,G16="",H16=""),0,IFERROR(IF(AND(INDEX(Arten,MATCH(G16,Codes,0))="Arbeit",INDEX(Arten,MATCH(H16,Codes,0))="Arbeit"),IF(ROUND((1+INDEX(Beginne,MATCH(H16,Codes,0))-INDEX(EndeRel,MATCH(G16,Codes,0)))*1440,0)&lt;660,1,0),0),0))</f>
      </c>
      <c r="I65" s="1">
        <f>IF(OR(I$52=0,H16="",I16=""),0,IFERROR(IF(AND(INDEX(Arten,MATCH(H16,Codes,0))="Arbeit",INDEX(Arten,MATCH(I16,Codes,0))="Arbeit"),IF(ROUND((1+INDEX(Beginne,MATCH(I16,Codes,0))-INDEX(EndeRel,MATCH(H16,Codes,0)))*1440,0)&lt;660,1,0),0),0))</f>
      </c>
      <c r="J65" s="1">
        <f>IF(OR(J$52=0,I16="",J16=""),0,IFERROR(IF(AND(INDEX(Arten,MATCH(I16,Codes,0))="Arbeit",INDEX(Arten,MATCH(J16,Codes,0))="Arbeit"),IF(ROUND((1+INDEX(Beginne,MATCH(J16,Codes,0))-INDEX(EndeRel,MATCH(I16,Codes,0)))*1440,0)&lt;660,1,0),0),0))</f>
      </c>
      <c r="K65" s="1">
        <f>IF(OR(K$52=0,J16="",K16=""),0,IFERROR(IF(AND(INDEX(Arten,MATCH(J16,Codes,0))="Arbeit",INDEX(Arten,MATCH(K16,Codes,0))="Arbeit"),IF(ROUND((1+INDEX(Beginne,MATCH(K16,Codes,0))-INDEX(EndeRel,MATCH(J16,Codes,0)))*1440,0)&lt;660,1,0),0),0))</f>
      </c>
      <c r="L65" s="1">
        <f>IF(OR(L$52=0,K16="",L16=""),0,IFERROR(IF(AND(INDEX(Arten,MATCH(K16,Codes,0))="Arbeit",INDEX(Arten,MATCH(L16,Codes,0))="Arbeit"),IF(ROUND((1+INDEX(Beginne,MATCH(L16,Codes,0))-INDEX(EndeRel,MATCH(K16,Codes,0)))*1440,0)&lt;660,1,0),0),0))</f>
      </c>
      <c r="M65" s="1">
        <f>IF(OR(M$52=0,L16="",M16=""),0,IFERROR(IF(AND(INDEX(Arten,MATCH(L16,Codes,0))="Arbeit",INDEX(Arten,MATCH(M16,Codes,0))="Arbeit"),IF(ROUND((1+INDEX(Beginne,MATCH(M16,Codes,0))-INDEX(EndeRel,MATCH(L16,Codes,0)))*1440,0)&lt;660,1,0),0),0))</f>
      </c>
      <c r="N65" s="1">
        <f>IF(OR(N$52=0,M16="",N16=""),0,IFERROR(IF(AND(INDEX(Arten,MATCH(M16,Codes,0))="Arbeit",INDEX(Arten,MATCH(N16,Codes,0))="Arbeit"),IF(ROUND((1+INDEX(Beginne,MATCH(N16,Codes,0))-INDEX(EndeRel,MATCH(M16,Codes,0)))*1440,0)&lt;660,1,0),0),0))</f>
      </c>
      <c r="O65" s="1">
        <f>IF(OR(O$52=0,N16="",O16=""),0,IFERROR(IF(AND(INDEX(Arten,MATCH(N16,Codes,0))="Arbeit",INDEX(Arten,MATCH(O16,Codes,0))="Arbeit"),IF(ROUND((1+INDEX(Beginne,MATCH(O16,Codes,0))-INDEX(EndeRel,MATCH(N16,Codes,0)))*1440,0)&lt;660,1,0),0),0))</f>
      </c>
      <c r="P65" s="1">
        <f>IF(OR(P$52=0,O16="",P16=""),0,IFERROR(IF(AND(INDEX(Arten,MATCH(O16,Codes,0))="Arbeit",INDEX(Arten,MATCH(P16,Codes,0))="Arbeit"),IF(ROUND((1+INDEX(Beginne,MATCH(P16,Codes,0))-INDEX(EndeRel,MATCH(O16,Codes,0)))*1440,0)&lt;660,1,0),0),0))</f>
      </c>
      <c r="Q65" s="1">
        <f>IF(OR(Q$52=0,P16="",Q16=""),0,IFERROR(IF(AND(INDEX(Arten,MATCH(P16,Codes,0))="Arbeit",INDEX(Arten,MATCH(Q16,Codes,0))="Arbeit"),IF(ROUND((1+INDEX(Beginne,MATCH(Q16,Codes,0))-INDEX(EndeRel,MATCH(P16,Codes,0)))*1440,0)&lt;660,1,0),0),0))</f>
      </c>
      <c r="R65" s="1">
        <f>IF(OR(R$52=0,Q16="",R16=""),0,IFERROR(IF(AND(INDEX(Arten,MATCH(Q16,Codes,0))="Arbeit",INDEX(Arten,MATCH(R16,Codes,0))="Arbeit"),IF(ROUND((1+INDEX(Beginne,MATCH(R16,Codes,0))-INDEX(EndeRel,MATCH(Q16,Codes,0)))*1440,0)&lt;660,1,0),0),0))</f>
      </c>
      <c r="S65" s="1">
        <f>IF(OR(S$52=0,R16="",S16=""),0,IFERROR(IF(AND(INDEX(Arten,MATCH(R16,Codes,0))="Arbeit",INDEX(Arten,MATCH(S16,Codes,0))="Arbeit"),IF(ROUND((1+INDEX(Beginne,MATCH(S16,Codes,0))-INDEX(EndeRel,MATCH(R16,Codes,0)))*1440,0)&lt;660,1,0),0),0))</f>
      </c>
      <c r="T65" s="1">
        <f>IF(OR(T$52=0,S16="",T16=""),0,IFERROR(IF(AND(INDEX(Arten,MATCH(S16,Codes,0))="Arbeit",INDEX(Arten,MATCH(T16,Codes,0))="Arbeit"),IF(ROUND((1+INDEX(Beginne,MATCH(T16,Codes,0))-INDEX(EndeRel,MATCH(S16,Codes,0)))*1440,0)&lt;660,1,0),0),0))</f>
      </c>
      <c r="U65" s="1">
        <f>IF(OR(U$52=0,T16="",U16=""),0,IFERROR(IF(AND(INDEX(Arten,MATCH(T16,Codes,0))="Arbeit",INDEX(Arten,MATCH(U16,Codes,0))="Arbeit"),IF(ROUND((1+INDEX(Beginne,MATCH(U16,Codes,0))-INDEX(EndeRel,MATCH(T16,Codes,0)))*1440,0)&lt;660,1,0),0),0))</f>
      </c>
      <c r="V65" s="1">
        <f>IF(OR(V$52=0,U16="",V16=""),0,IFERROR(IF(AND(INDEX(Arten,MATCH(U16,Codes,0))="Arbeit",INDEX(Arten,MATCH(V16,Codes,0))="Arbeit"),IF(ROUND((1+INDEX(Beginne,MATCH(V16,Codes,0))-INDEX(EndeRel,MATCH(U16,Codes,0)))*1440,0)&lt;660,1,0),0),0))</f>
      </c>
      <c r="W65" s="1">
        <f>IF(OR(W$52=0,V16="",W16=""),0,IFERROR(IF(AND(INDEX(Arten,MATCH(V16,Codes,0))="Arbeit",INDEX(Arten,MATCH(W16,Codes,0))="Arbeit"),IF(ROUND((1+INDEX(Beginne,MATCH(W16,Codes,0))-INDEX(EndeRel,MATCH(V16,Codes,0)))*1440,0)&lt;660,1,0),0),0))</f>
      </c>
      <c r="X65" s="1">
        <f>IF(OR(X$52=0,W16="",X16=""),0,IFERROR(IF(AND(INDEX(Arten,MATCH(W16,Codes,0))="Arbeit",INDEX(Arten,MATCH(X16,Codes,0))="Arbeit"),IF(ROUND((1+INDEX(Beginne,MATCH(X16,Codes,0))-INDEX(EndeRel,MATCH(W16,Codes,0)))*1440,0)&lt;660,1,0),0),0))</f>
      </c>
      <c r="Y65" s="1">
        <f>IF(OR(Y$52=0,X16="",Y16=""),0,IFERROR(IF(AND(INDEX(Arten,MATCH(X16,Codes,0))="Arbeit",INDEX(Arten,MATCH(Y16,Codes,0))="Arbeit"),IF(ROUND((1+INDEX(Beginne,MATCH(Y16,Codes,0))-INDEX(EndeRel,MATCH(X16,Codes,0)))*1440,0)&lt;660,1,0),0),0))</f>
      </c>
      <c r="Z65" s="1">
        <f>IF(OR(Z$52=0,Y16="",Z16=""),0,IFERROR(IF(AND(INDEX(Arten,MATCH(Y16,Codes,0))="Arbeit",INDEX(Arten,MATCH(Z16,Codes,0))="Arbeit"),IF(ROUND((1+INDEX(Beginne,MATCH(Z16,Codes,0))-INDEX(EndeRel,MATCH(Y16,Codes,0)))*1440,0)&lt;660,1,0),0),0))</f>
      </c>
      <c r="AA65" s="1">
        <f>IF(OR(AA$52=0,Z16="",AA16=""),0,IFERROR(IF(AND(INDEX(Arten,MATCH(Z16,Codes,0))="Arbeit",INDEX(Arten,MATCH(AA16,Codes,0))="Arbeit"),IF(ROUND((1+INDEX(Beginne,MATCH(AA16,Codes,0))-INDEX(EndeRel,MATCH(Z16,Codes,0)))*1440,0)&lt;660,1,0),0),0))</f>
      </c>
      <c r="AB65" s="1">
        <f>IF(OR(AB$52=0,AA16="",AB16=""),0,IFERROR(IF(AND(INDEX(Arten,MATCH(AA16,Codes,0))="Arbeit",INDEX(Arten,MATCH(AB16,Codes,0))="Arbeit"),IF(ROUND((1+INDEX(Beginne,MATCH(AB16,Codes,0))-INDEX(EndeRel,MATCH(AA16,Codes,0)))*1440,0)&lt;660,1,0),0),0))</f>
      </c>
      <c r="AC65" s="1">
        <f>IF(OR(AC$52=0,AB16="",AC16=""),0,IFERROR(IF(AND(INDEX(Arten,MATCH(AB16,Codes,0))="Arbeit",INDEX(Arten,MATCH(AC16,Codes,0))="Arbeit"),IF(ROUND((1+INDEX(Beginne,MATCH(AC16,Codes,0))-INDEX(EndeRel,MATCH(AB16,Codes,0)))*1440,0)&lt;660,1,0),0),0))</f>
      </c>
      <c r="AD65" s="1">
        <f>IF(OR(AD$52=0,AC16="",AD16=""),0,IFERROR(IF(AND(INDEX(Arten,MATCH(AC16,Codes,0))="Arbeit",INDEX(Arten,MATCH(AD16,Codes,0))="Arbeit"),IF(ROUND((1+INDEX(Beginne,MATCH(AD16,Codes,0))-INDEX(EndeRel,MATCH(AC16,Codes,0)))*1440,0)&lt;660,1,0),0),0))</f>
      </c>
      <c r="AE65" s="1">
        <f>IF(OR(AE$52=0,AD16="",AE16=""),0,IFERROR(IF(AND(INDEX(Arten,MATCH(AD16,Codes,0))="Arbeit",INDEX(Arten,MATCH(AE16,Codes,0))="Arbeit"),IF(ROUND((1+INDEX(Beginne,MATCH(AE16,Codes,0))-INDEX(EndeRel,MATCH(AD16,Codes,0)))*1440,0)&lt;660,1,0),0),0))</f>
      </c>
      <c r="AF65" s="1">
        <f>IF(OR(AF$52=0,AE16="",AF16=""),0,IFERROR(IF(AND(INDEX(Arten,MATCH(AE16,Codes,0))="Arbeit",INDEX(Arten,MATCH(AF16,Codes,0))="Arbeit"),IF(ROUND((1+INDEX(Beginne,MATCH(AF16,Codes,0))-INDEX(EndeRel,MATCH(AE16,Codes,0)))*1440,0)&lt;660,1,0),0),0))</f>
      </c>
    </row>
    <row r="66" hidden="1" spans="1:32" x14ac:dyDescent="0.25">
      <c r="A66" s="1"/>
      <c r="B66" s="1">
        <f>IF(OR(B$52=0,""="",B17=""),0,IFERROR(IF(AND(INDEX(Arten,MATCH("",Codes,0))="Arbeit",INDEX(Arten,MATCH(B17,Codes,0))="Arbeit"),IF(ROUND((1+INDEX(Beginne,MATCH(B17,Codes,0))-INDEX(EndeRel,MATCH("",Codes,0)))*1440,0)&lt;660,1,0),0),0))</f>
      </c>
      <c r="C66" s="1">
        <f>IF(OR(C$52=0,B17="",C17=""),0,IFERROR(IF(AND(INDEX(Arten,MATCH(B17,Codes,0))="Arbeit",INDEX(Arten,MATCH(C17,Codes,0))="Arbeit"),IF(ROUND((1+INDEX(Beginne,MATCH(C17,Codes,0))-INDEX(EndeRel,MATCH(B17,Codes,0)))*1440,0)&lt;660,1,0),0),0))</f>
      </c>
      <c r="D66" s="1">
        <f>IF(OR(D$52=0,C17="",D17=""),0,IFERROR(IF(AND(INDEX(Arten,MATCH(C17,Codes,0))="Arbeit",INDEX(Arten,MATCH(D17,Codes,0))="Arbeit"),IF(ROUND((1+INDEX(Beginne,MATCH(D17,Codes,0))-INDEX(EndeRel,MATCH(C17,Codes,0)))*1440,0)&lt;660,1,0),0),0))</f>
      </c>
      <c r="E66" s="1">
        <f>IF(OR(E$52=0,D17="",E17=""),0,IFERROR(IF(AND(INDEX(Arten,MATCH(D17,Codes,0))="Arbeit",INDEX(Arten,MATCH(E17,Codes,0))="Arbeit"),IF(ROUND((1+INDEX(Beginne,MATCH(E17,Codes,0))-INDEX(EndeRel,MATCH(D17,Codes,0)))*1440,0)&lt;660,1,0),0),0))</f>
      </c>
      <c r="F66" s="1">
        <f>IF(OR(F$52=0,E17="",F17=""),0,IFERROR(IF(AND(INDEX(Arten,MATCH(E17,Codes,0))="Arbeit",INDEX(Arten,MATCH(F17,Codes,0))="Arbeit"),IF(ROUND((1+INDEX(Beginne,MATCH(F17,Codes,0))-INDEX(EndeRel,MATCH(E17,Codes,0)))*1440,0)&lt;660,1,0),0),0))</f>
      </c>
      <c r="G66" s="1">
        <f>IF(OR(G$52=0,F17="",G17=""),0,IFERROR(IF(AND(INDEX(Arten,MATCH(F17,Codes,0))="Arbeit",INDEX(Arten,MATCH(G17,Codes,0))="Arbeit"),IF(ROUND((1+INDEX(Beginne,MATCH(G17,Codes,0))-INDEX(EndeRel,MATCH(F17,Codes,0)))*1440,0)&lt;660,1,0),0),0))</f>
      </c>
      <c r="H66" s="1">
        <f>IF(OR(H$52=0,G17="",H17=""),0,IFERROR(IF(AND(INDEX(Arten,MATCH(G17,Codes,0))="Arbeit",INDEX(Arten,MATCH(H17,Codes,0))="Arbeit"),IF(ROUND((1+INDEX(Beginne,MATCH(H17,Codes,0))-INDEX(EndeRel,MATCH(G17,Codes,0)))*1440,0)&lt;660,1,0),0),0))</f>
      </c>
      <c r="I66" s="1">
        <f>IF(OR(I$52=0,H17="",I17=""),0,IFERROR(IF(AND(INDEX(Arten,MATCH(H17,Codes,0))="Arbeit",INDEX(Arten,MATCH(I17,Codes,0))="Arbeit"),IF(ROUND((1+INDEX(Beginne,MATCH(I17,Codes,0))-INDEX(EndeRel,MATCH(H17,Codes,0)))*1440,0)&lt;660,1,0),0),0))</f>
      </c>
      <c r="J66" s="1">
        <f>IF(OR(J$52=0,I17="",J17=""),0,IFERROR(IF(AND(INDEX(Arten,MATCH(I17,Codes,0))="Arbeit",INDEX(Arten,MATCH(J17,Codes,0))="Arbeit"),IF(ROUND((1+INDEX(Beginne,MATCH(J17,Codes,0))-INDEX(EndeRel,MATCH(I17,Codes,0)))*1440,0)&lt;660,1,0),0),0))</f>
      </c>
      <c r="K66" s="1">
        <f>IF(OR(K$52=0,J17="",K17=""),0,IFERROR(IF(AND(INDEX(Arten,MATCH(J17,Codes,0))="Arbeit",INDEX(Arten,MATCH(K17,Codes,0))="Arbeit"),IF(ROUND((1+INDEX(Beginne,MATCH(K17,Codes,0))-INDEX(EndeRel,MATCH(J17,Codes,0)))*1440,0)&lt;660,1,0),0),0))</f>
      </c>
      <c r="L66" s="1">
        <f>IF(OR(L$52=0,K17="",L17=""),0,IFERROR(IF(AND(INDEX(Arten,MATCH(K17,Codes,0))="Arbeit",INDEX(Arten,MATCH(L17,Codes,0))="Arbeit"),IF(ROUND((1+INDEX(Beginne,MATCH(L17,Codes,0))-INDEX(EndeRel,MATCH(K17,Codes,0)))*1440,0)&lt;660,1,0),0),0))</f>
      </c>
      <c r="M66" s="1">
        <f>IF(OR(M$52=0,L17="",M17=""),0,IFERROR(IF(AND(INDEX(Arten,MATCH(L17,Codes,0))="Arbeit",INDEX(Arten,MATCH(M17,Codes,0))="Arbeit"),IF(ROUND((1+INDEX(Beginne,MATCH(M17,Codes,0))-INDEX(EndeRel,MATCH(L17,Codes,0)))*1440,0)&lt;660,1,0),0),0))</f>
      </c>
      <c r="N66" s="1">
        <f>IF(OR(N$52=0,M17="",N17=""),0,IFERROR(IF(AND(INDEX(Arten,MATCH(M17,Codes,0))="Arbeit",INDEX(Arten,MATCH(N17,Codes,0))="Arbeit"),IF(ROUND((1+INDEX(Beginne,MATCH(N17,Codes,0))-INDEX(EndeRel,MATCH(M17,Codes,0)))*1440,0)&lt;660,1,0),0),0))</f>
      </c>
      <c r="O66" s="1">
        <f>IF(OR(O$52=0,N17="",O17=""),0,IFERROR(IF(AND(INDEX(Arten,MATCH(N17,Codes,0))="Arbeit",INDEX(Arten,MATCH(O17,Codes,0))="Arbeit"),IF(ROUND((1+INDEX(Beginne,MATCH(O17,Codes,0))-INDEX(EndeRel,MATCH(N17,Codes,0)))*1440,0)&lt;660,1,0),0),0))</f>
      </c>
      <c r="P66" s="1">
        <f>IF(OR(P$52=0,O17="",P17=""),0,IFERROR(IF(AND(INDEX(Arten,MATCH(O17,Codes,0))="Arbeit",INDEX(Arten,MATCH(P17,Codes,0))="Arbeit"),IF(ROUND((1+INDEX(Beginne,MATCH(P17,Codes,0))-INDEX(EndeRel,MATCH(O17,Codes,0)))*1440,0)&lt;660,1,0),0),0))</f>
      </c>
      <c r="Q66" s="1">
        <f>IF(OR(Q$52=0,P17="",Q17=""),0,IFERROR(IF(AND(INDEX(Arten,MATCH(P17,Codes,0))="Arbeit",INDEX(Arten,MATCH(Q17,Codes,0))="Arbeit"),IF(ROUND((1+INDEX(Beginne,MATCH(Q17,Codes,0))-INDEX(EndeRel,MATCH(P17,Codes,0)))*1440,0)&lt;660,1,0),0),0))</f>
      </c>
      <c r="R66" s="1">
        <f>IF(OR(R$52=0,Q17="",R17=""),0,IFERROR(IF(AND(INDEX(Arten,MATCH(Q17,Codes,0))="Arbeit",INDEX(Arten,MATCH(R17,Codes,0))="Arbeit"),IF(ROUND((1+INDEX(Beginne,MATCH(R17,Codes,0))-INDEX(EndeRel,MATCH(Q17,Codes,0)))*1440,0)&lt;660,1,0),0),0))</f>
      </c>
      <c r="S66" s="1">
        <f>IF(OR(S$52=0,R17="",S17=""),0,IFERROR(IF(AND(INDEX(Arten,MATCH(R17,Codes,0))="Arbeit",INDEX(Arten,MATCH(S17,Codes,0))="Arbeit"),IF(ROUND((1+INDEX(Beginne,MATCH(S17,Codes,0))-INDEX(EndeRel,MATCH(R17,Codes,0)))*1440,0)&lt;660,1,0),0),0))</f>
      </c>
      <c r="T66" s="1">
        <f>IF(OR(T$52=0,S17="",T17=""),0,IFERROR(IF(AND(INDEX(Arten,MATCH(S17,Codes,0))="Arbeit",INDEX(Arten,MATCH(T17,Codes,0))="Arbeit"),IF(ROUND((1+INDEX(Beginne,MATCH(T17,Codes,0))-INDEX(EndeRel,MATCH(S17,Codes,0)))*1440,0)&lt;660,1,0),0),0))</f>
      </c>
      <c r="U66" s="1">
        <f>IF(OR(U$52=0,T17="",U17=""),0,IFERROR(IF(AND(INDEX(Arten,MATCH(T17,Codes,0))="Arbeit",INDEX(Arten,MATCH(U17,Codes,0))="Arbeit"),IF(ROUND((1+INDEX(Beginne,MATCH(U17,Codes,0))-INDEX(EndeRel,MATCH(T17,Codes,0)))*1440,0)&lt;660,1,0),0),0))</f>
      </c>
      <c r="V66" s="1">
        <f>IF(OR(V$52=0,U17="",V17=""),0,IFERROR(IF(AND(INDEX(Arten,MATCH(U17,Codes,0))="Arbeit",INDEX(Arten,MATCH(V17,Codes,0))="Arbeit"),IF(ROUND((1+INDEX(Beginne,MATCH(V17,Codes,0))-INDEX(EndeRel,MATCH(U17,Codes,0)))*1440,0)&lt;660,1,0),0),0))</f>
      </c>
      <c r="W66" s="1">
        <f>IF(OR(W$52=0,V17="",W17=""),0,IFERROR(IF(AND(INDEX(Arten,MATCH(V17,Codes,0))="Arbeit",INDEX(Arten,MATCH(W17,Codes,0))="Arbeit"),IF(ROUND((1+INDEX(Beginne,MATCH(W17,Codes,0))-INDEX(EndeRel,MATCH(V17,Codes,0)))*1440,0)&lt;660,1,0),0),0))</f>
      </c>
      <c r="X66" s="1">
        <f>IF(OR(X$52=0,W17="",X17=""),0,IFERROR(IF(AND(INDEX(Arten,MATCH(W17,Codes,0))="Arbeit",INDEX(Arten,MATCH(X17,Codes,0))="Arbeit"),IF(ROUND((1+INDEX(Beginne,MATCH(X17,Codes,0))-INDEX(EndeRel,MATCH(W17,Codes,0)))*1440,0)&lt;660,1,0),0),0))</f>
      </c>
      <c r="Y66" s="1">
        <f>IF(OR(Y$52=0,X17="",Y17=""),0,IFERROR(IF(AND(INDEX(Arten,MATCH(X17,Codes,0))="Arbeit",INDEX(Arten,MATCH(Y17,Codes,0))="Arbeit"),IF(ROUND((1+INDEX(Beginne,MATCH(Y17,Codes,0))-INDEX(EndeRel,MATCH(X17,Codes,0)))*1440,0)&lt;660,1,0),0),0))</f>
      </c>
      <c r="Z66" s="1">
        <f>IF(OR(Z$52=0,Y17="",Z17=""),0,IFERROR(IF(AND(INDEX(Arten,MATCH(Y17,Codes,0))="Arbeit",INDEX(Arten,MATCH(Z17,Codes,0))="Arbeit"),IF(ROUND((1+INDEX(Beginne,MATCH(Z17,Codes,0))-INDEX(EndeRel,MATCH(Y17,Codes,0)))*1440,0)&lt;660,1,0),0),0))</f>
      </c>
      <c r="AA66" s="1">
        <f>IF(OR(AA$52=0,Z17="",AA17=""),0,IFERROR(IF(AND(INDEX(Arten,MATCH(Z17,Codes,0))="Arbeit",INDEX(Arten,MATCH(AA17,Codes,0))="Arbeit"),IF(ROUND((1+INDEX(Beginne,MATCH(AA17,Codes,0))-INDEX(EndeRel,MATCH(Z17,Codes,0)))*1440,0)&lt;660,1,0),0),0))</f>
      </c>
      <c r="AB66" s="1">
        <f>IF(OR(AB$52=0,AA17="",AB17=""),0,IFERROR(IF(AND(INDEX(Arten,MATCH(AA17,Codes,0))="Arbeit",INDEX(Arten,MATCH(AB17,Codes,0))="Arbeit"),IF(ROUND((1+INDEX(Beginne,MATCH(AB17,Codes,0))-INDEX(EndeRel,MATCH(AA17,Codes,0)))*1440,0)&lt;660,1,0),0),0))</f>
      </c>
      <c r="AC66" s="1">
        <f>IF(OR(AC$52=0,AB17="",AC17=""),0,IFERROR(IF(AND(INDEX(Arten,MATCH(AB17,Codes,0))="Arbeit",INDEX(Arten,MATCH(AC17,Codes,0))="Arbeit"),IF(ROUND((1+INDEX(Beginne,MATCH(AC17,Codes,0))-INDEX(EndeRel,MATCH(AB17,Codes,0)))*1440,0)&lt;660,1,0),0),0))</f>
      </c>
      <c r="AD66" s="1">
        <f>IF(OR(AD$52=0,AC17="",AD17=""),0,IFERROR(IF(AND(INDEX(Arten,MATCH(AC17,Codes,0))="Arbeit",INDEX(Arten,MATCH(AD17,Codes,0))="Arbeit"),IF(ROUND((1+INDEX(Beginne,MATCH(AD17,Codes,0))-INDEX(EndeRel,MATCH(AC17,Codes,0)))*1440,0)&lt;660,1,0),0),0))</f>
      </c>
      <c r="AE66" s="1">
        <f>IF(OR(AE$52=0,AD17="",AE17=""),0,IFERROR(IF(AND(INDEX(Arten,MATCH(AD17,Codes,0))="Arbeit",INDEX(Arten,MATCH(AE17,Codes,0))="Arbeit"),IF(ROUND((1+INDEX(Beginne,MATCH(AE17,Codes,0))-INDEX(EndeRel,MATCH(AD17,Codes,0)))*1440,0)&lt;660,1,0),0),0))</f>
      </c>
      <c r="AF66" s="1">
        <f>IF(OR(AF$52=0,AE17="",AF17=""),0,IFERROR(IF(AND(INDEX(Arten,MATCH(AE17,Codes,0))="Arbeit",INDEX(Arten,MATCH(AF17,Codes,0))="Arbeit"),IF(ROUND((1+INDEX(Beginne,MATCH(AF17,Codes,0))-INDEX(EndeRel,MATCH(AE17,Codes,0)))*1440,0)&lt;660,1,0),0),0))</f>
      </c>
    </row>
    <row r="67" hidden="1" spans="1:32" x14ac:dyDescent="0.25">
      <c r="A67" s="1"/>
      <c r="B67" s="1">
        <f>IF(OR(B$52=0,""="",B18=""),0,IFERROR(IF(AND(INDEX(Arten,MATCH("",Codes,0))="Arbeit",INDEX(Arten,MATCH(B18,Codes,0))="Arbeit"),IF(ROUND((1+INDEX(Beginne,MATCH(B18,Codes,0))-INDEX(EndeRel,MATCH("",Codes,0)))*1440,0)&lt;660,1,0),0),0))</f>
      </c>
      <c r="C67" s="1">
        <f>IF(OR(C$52=0,B18="",C18=""),0,IFERROR(IF(AND(INDEX(Arten,MATCH(B18,Codes,0))="Arbeit",INDEX(Arten,MATCH(C18,Codes,0))="Arbeit"),IF(ROUND((1+INDEX(Beginne,MATCH(C18,Codes,0))-INDEX(EndeRel,MATCH(B18,Codes,0)))*1440,0)&lt;660,1,0),0),0))</f>
      </c>
      <c r="D67" s="1">
        <f>IF(OR(D$52=0,C18="",D18=""),0,IFERROR(IF(AND(INDEX(Arten,MATCH(C18,Codes,0))="Arbeit",INDEX(Arten,MATCH(D18,Codes,0))="Arbeit"),IF(ROUND((1+INDEX(Beginne,MATCH(D18,Codes,0))-INDEX(EndeRel,MATCH(C18,Codes,0)))*1440,0)&lt;660,1,0),0),0))</f>
      </c>
      <c r="E67" s="1">
        <f>IF(OR(E$52=0,D18="",E18=""),0,IFERROR(IF(AND(INDEX(Arten,MATCH(D18,Codes,0))="Arbeit",INDEX(Arten,MATCH(E18,Codes,0))="Arbeit"),IF(ROUND((1+INDEX(Beginne,MATCH(E18,Codes,0))-INDEX(EndeRel,MATCH(D18,Codes,0)))*1440,0)&lt;660,1,0),0),0))</f>
      </c>
      <c r="F67" s="1">
        <f>IF(OR(F$52=0,E18="",F18=""),0,IFERROR(IF(AND(INDEX(Arten,MATCH(E18,Codes,0))="Arbeit",INDEX(Arten,MATCH(F18,Codes,0))="Arbeit"),IF(ROUND((1+INDEX(Beginne,MATCH(F18,Codes,0))-INDEX(EndeRel,MATCH(E18,Codes,0)))*1440,0)&lt;660,1,0),0),0))</f>
      </c>
      <c r="G67" s="1">
        <f>IF(OR(G$52=0,F18="",G18=""),0,IFERROR(IF(AND(INDEX(Arten,MATCH(F18,Codes,0))="Arbeit",INDEX(Arten,MATCH(G18,Codes,0))="Arbeit"),IF(ROUND((1+INDEX(Beginne,MATCH(G18,Codes,0))-INDEX(EndeRel,MATCH(F18,Codes,0)))*1440,0)&lt;660,1,0),0),0))</f>
      </c>
      <c r="H67" s="1">
        <f>IF(OR(H$52=0,G18="",H18=""),0,IFERROR(IF(AND(INDEX(Arten,MATCH(G18,Codes,0))="Arbeit",INDEX(Arten,MATCH(H18,Codes,0))="Arbeit"),IF(ROUND((1+INDEX(Beginne,MATCH(H18,Codes,0))-INDEX(EndeRel,MATCH(G18,Codes,0)))*1440,0)&lt;660,1,0),0),0))</f>
      </c>
      <c r="I67" s="1">
        <f>IF(OR(I$52=0,H18="",I18=""),0,IFERROR(IF(AND(INDEX(Arten,MATCH(H18,Codes,0))="Arbeit",INDEX(Arten,MATCH(I18,Codes,0))="Arbeit"),IF(ROUND((1+INDEX(Beginne,MATCH(I18,Codes,0))-INDEX(EndeRel,MATCH(H18,Codes,0)))*1440,0)&lt;660,1,0),0),0))</f>
      </c>
      <c r="J67" s="1">
        <f>IF(OR(J$52=0,I18="",J18=""),0,IFERROR(IF(AND(INDEX(Arten,MATCH(I18,Codes,0))="Arbeit",INDEX(Arten,MATCH(J18,Codes,0))="Arbeit"),IF(ROUND((1+INDEX(Beginne,MATCH(J18,Codes,0))-INDEX(EndeRel,MATCH(I18,Codes,0)))*1440,0)&lt;660,1,0),0),0))</f>
      </c>
      <c r="K67" s="1">
        <f>IF(OR(K$52=0,J18="",K18=""),0,IFERROR(IF(AND(INDEX(Arten,MATCH(J18,Codes,0))="Arbeit",INDEX(Arten,MATCH(K18,Codes,0))="Arbeit"),IF(ROUND((1+INDEX(Beginne,MATCH(K18,Codes,0))-INDEX(EndeRel,MATCH(J18,Codes,0)))*1440,0)&lt;660,1,0),0),0))</f>
      </c>
      <c r="L67" s="1">
        <f>IF(OR(L$52=0,K18="",L18=""),0,IFERROR(IF(AND(INDEX(Arten,MATCH(K18,Codes,0))="Arbeit",INDEX(Arten,MATCH(L18,Codes,0))="Arbeit"),IF(ROUND((1+INDEX(Beginne,MATCH(L18,Codes,0))-INDEX(EndeRel,MATCH(K18,Codes,0)))*1440,0)&lt;660,1,0),0),0))</f>
      </c>
      <c r="M67" s="1">
        <f>IF(OR(M$52=0,L18="",M18=""),0,IFERROR(IF(AND(INDEX(Arten,MATCH(L18,Codes,0))="Arbeit",INDEX(Arten,MATCH(M18,Codes,0))="Arbeit"),IF(ROUND((1+INDEX(Beginne,MATCH(M18,Codes,0))-INDEX(EndeRel,MATCH(L18,Codes,0)))*1440,0)&lt;660,1,0),0),0))</f>
      </c>
      <c r="N67" s="1">
        <f>IF(OR(N$52=0,M18="",N18=""),0,IFERROR(IF(AND(INDEX(Arten,MATCH(M18,Codes,0))="Arbeit",INDEX(Arten,MATCH(N18,Codes,0))="Arbeit"),IF(ROUND((1+INDEX(Beginne,MATCH(N18,Codes,0))-INDEX(EndeRel,MATCH(M18,Codes,0)))*1440,0)&lt;660,1,0),0),0))</f>
      </c>
      <c r="O67" s="1">
        <f>IF(OR(O$52=0,N18="",O18=""),0,IFERROR(IF(AND(INDEX(Arten,MATCH(N18,Codes,0))="Arbeit",INDEX(Arten,MATCH(O18,Codes,0))="Arbeit"),IF(ROUND((1+INDEX(Beginne,MATCH(O18,Codes,0))-INDEX(EndeRel,MATCH(N18,Codes,0)))*1440,0)&lt;660,1,0),0),0))</f>
      </c>
      <c r="P67" s="1">
        <f>IF(OR(P$52=0,O18="",P18=""),0,IFERROR(IF(AND(INDEX(Arten,MATCH(O18,Codes,0))="Arbeit",INDEX(Arten,MATCH(P18,Codes,0))="Arbeit"),IF(ROUND((1+INDEX(Beginne,MATCH(P18,Codes,0))-INDEX(EndeRel,MATCH(O18,Codes,0)))*1440,0)&lt;660,1,0),0),0))</f>
      </c>
      <c r="Q67" s="1">
        <f>IF(OR(Q$52=0,P18="",Q18=""),0,IFERROR(IF(AND(INDEX(Arten,MATCH(P18,Codes,0))="Arbeit",INDEX(Arten,MATCH(Q18,Codes,0))="Arbeit"),IF(ROUND((1+INDEX(Beginne,MATCH(Q18,Codes,0))-INDEX(EndeRel,MATCH(P18,Codes,0)))*1440,0)&lt;660,1,0),0),0))</f>
      </c>
      <c r="R67" s="1">
        <f>IF(OR(R$52=0,Q18="",R18=""),0,IFERROR(IF(AND(INDEX(Arten,MATCH(Q18,Codes,0))="Arbeit",INDEX(Arten,MATCH(R18,Codes,0))="Arbeit"),IF(ROUND((1+INDEX(Beginne,MATCH(R18,Codes,0))-INDEX(EndeRel,MATCH(Q18,Codes,0)))*1440,0)&lt;660,1,0),0),0))</f>
      </c>
      <c r="S67" s="1">
        <f>IF(OR(S$52=0,R18="",S18=""),0,IFERROR(IF(AND(INDEX(Arten,MATCH(R18,Codes,0))="Arbeit",INDEX(Arten,MATCH(S18,Codes,0))="Arbeit"),IF(ROUND((1+INDEX(Beginne,MATCH(S18,Codes,0))-INDEX(EndeRel,MATCH(R18,Codes,0)))*1440,0)&lt;660,1,0),0),0))</f>
      </c>
      <c r="T67" s="1">
        <f>IF(OR(T$52=0,S18="",T18=""),0,IFERROR(IF(AND(INDEX(Arten,MATCH(S18,Codes,0))="Arbeit",INDEX(Arten,MATCH(T18,Codes,0))="Arbeit"),IF(ROUND((1+INDEX(Beginne,MATCH(T18,Codes,0))-INDEX(EndeRel,MATCH(S18,Codes,0)))*1440,0)&lt;660,1,0),0),0))</f>
      </c>
      <c r="U67" s="1">
        <f>IF(OR(U$52=0,T18="",U18=""),0,IFERROR(IF(AND(INDEX(Arten,MATCH(T18,Codes,0))="Arbeit",INDEX(Arten,MATCH(U18,Codes,0))="Arbeit"),IF(ROUND((1+INDEX(Beginne,MATCH(U18,Codes,0))-INDEX(EndeRel,MATCH(T18,Codes,0)))*1440,0)&lt;660,1,0),0),0))</f>
      </c>
      <c r="V67" s="1">
        <f>IF(OR(V$52=0,U18="",V18=""),0,IFERROR(IF(AND(INDEX(Arten,MATCH(U18,Codes,0))="Arbeit",INDEX(Arten,MATCH(V18,Codes,0))="Arbeit"),IF(ROUND((1+INDEX(Beginne,MATCH(V18,Codes,0))-INDEX(EndeRel,MATCH(U18,Codes,0)))*1440,0)&lt;660,1,0),0),0))</f>
      </c>
      <c r="W67" s="1">
        <f>IF(OR(W$52=0,V18="",W18=""),0,IFERROR(IF(AND(INDEX(Arten,MATCH(V18,Codes,0))="Arbeit",INDEX(Arten,MATCH(W18,Codes,0))="Arbeit"),IF(ROUND((1+INDEX(Beginne,MATCH(W18,Codes,0))-INDEX(EndeRel,MATCH(V18,Codes,0)))*1440,0)&lt;660,1,0),0),0))</f>
      </c>
      <c r="X67" s="1">
        <f>IF(OR(X$52=0,W18="",X18=""),0,IFERROR(IF(AND(INDEX(Arten,MATCH(W18,Codes,0))="Arbeit",INDEX(Arten,MATCH(X18,Codes,0))="Arbeit"),IF(ROUND((1+INDEX(Beginne,MATCH(X18,Codes,0))-INDEX(EndeRel,MATCH(W18,Codes,0)))*1440,0)&lt;660,1,0),0),0))</f>
      </c>
      <c r="Y67" s="1">
        <f>IF(OR(Y$52=0,X18="",Y18=""),0,IFERROR(IF(AND(INDEX(Arten,MATCH(X18,Codes,0))="Arbeit",INDEX(Arten,MATCH(Y18,Codes,0))="Arbeit"),IF(ROUND((1+INDEX(Beginne,MATCH(Y18,Codes,0))-INDEX(EndeRel,MATCH(X18,Codes,0)))*1440,0)&lt;660,1,0),0),0))</f>
      </c>
      <c r="Z67" s="1">
        <f>IF(OR(Z$52=0,Y18="",Z18=""),0,IFERROR(IF(AND(INDEX(Arten,MATCH(Y18,Codes,0))="Arbeit",INDEX(Arten,MATCH(Z18,Codes,0))="Arbeit"),IF(ROUND((1+INDEX(Beginne,MATCH(Z18,Codes,0))-INDEX(EndeRel,MATCH(Y18,Codes,0)))*1440,0)&lt;660,1,0),0),0))</f>
      </c>
      <c r="AA67" s="1">
        <f>IF(OR(AA$52=0,Z18="",AA18=""),0,IFERROR(IF(AND(INDEX(Arten,MATCH(Z18,Codes,0))="Arbeit",INDEX(Arten,MATCH(AA18,Codes,0))="Arbeit"),IF(ROUND((1+INDEX(Beginne,MATCH(AA18,Codes,0))-INDEX(EndeRel,MATCH(Z18,Codes,0)))*1440,0)&lt;660,1,0),0),0))</f>
      </c>
      <c r="AB67" s="1">
        <f>IF(OR(AB$52=0,AA18="",AB18=""),0,IFERROR(IF(AND(INDEX(Arten,MATCH(AA18,Codes,0))="Arbeit",INDEX(Arten,MATCH(AB18,Codes,0))="Arbeit"),IF(ROUND((1+INDEX(Beginne,MATCH(AB18,Codes,0))-INDEX(EndeRel,MATCH(AA18,Codes,0)))*1440,0)&lt;660,1,0),0),0))</f>
      </c>
      <c r="AC67" s="1">
        <f>IF(OR(AC$52=0,AB18="",AC18=""),0,IFERROR(IF(AND(INDEX(Arten,MATCH(AB18,Codes,0))="Arbeit",INDEX(Arten,MATCH(AC18,Codes,0))="Arbeit"),IF(ROUND((1+INDEX(Beginne,MATCH(AC18,Codes,0))-INDEX(EndeRel,MATCH(AB18,Codes,0)))*1440,0)&lt;660,1,0),0),0))</f>
      </c>
      <c r="AD67" s="1">
        <f>IF(OR(AD$52=0,AC18="",AD18=""),0,IFERROR(IF(AND(INDEX(Arten,MATCH(AC18,Codes,0))="Arbeit",INDEX(Arten,MATCH(AD18,Codes,0))="Arbeit"),IF(ROUND((1+INDEX(Beginne,MATCH(AD18,Codes,0))-INDEX(EndeRel,MATCH(AC18,Codes,0)))*1440,0)&lt;660,1,0),0),0))</f>
      </c>
      <c r="AE67" s="1">
        <f>IF(OR(AE$52=0,AD18="",AE18=""),0,IFERROR(IF(AND(INDEX(Arten,MATCH(AD18,Codes,0))="Arbeit",INDEX(Arten,MATCH(AE18,Codes,0))="Arbeit"),IF(ROUND((1+INDEX(Beginne,MATCH(AE18,Codes,0))-INDEX(EndeRel,MATCH(AD18,Codes,0)))*1440,0)&lt;660,1,0),0),0))</f>
      </c>
      <c r="AF67" s="1">
        <f>IF(OR(AF$52=0,AE18="",AF18=""),0,IFERROR(IF(AND(INDEX(Arten,MATCH(AE18,Codes,0))="Arbeit",INDEX(Arten,MATCH(AF18,Codes,0))="Arbeit"),IF(ROUND((1+INDEX(Beginne,MATCH(AF18,Codes,0))-INDEX(EndeRel,MATCH(AE18,Codes,0)))*1440,0)&lt;660,1,0),0),0))</f>
      </c>
    </row>
    <row r="68" hidden="1" spans="1:32" x14ac:dyDescent="0.25">
      <c r="A68" s="1"/>
      <c r="B68" s="1">
        <f>IF(OR(B$52=0,""="",B19=""),0,IFERROR(IF(AND(INDEX(Arten,MATCH("",Codes,0))="Arbeit",INDEX(Arten,MATCH(B19,Codes,0))="Arbeit"),IF(ROUND((1+INDEX(Beginne,MATCH(B19,Codes,0))-INDEX(EndeRel,MATCH("",Codes,0)))*1440,0)&lt;660,1,0),0),0))</f>
      </c>
      <c r="C68" s="1">
        <f>IF(OR(C$52=0,B19="",C19=""),0,IFERROR(IF(AND(INDEX(Arten,MATCH(B19,Codes,0))="Arbeit",INDEX(Arten,MATCH(C19,Codes,0))="Arbeit"),IF(ROUND((1+INDEX(Beginne,MATCH(C19,Codes,0))-INDEX(EndeRel,MATCH(B19,Codes,0)))*1440,0)&lt;660,1,0),0),0))</f>
      </c>
      <c r="D68" s="1">
        <f>IF(OR(D$52=0,C19="",D19=""),0,IFERROR(IF(AND(INDEX(Arten,MATCH(C19,Codes,0))="Arbeit",INDEX(Arten,MATCH(D19,Codes,0))="Arbeit"),IF(ROUND((1+INDEX(Beginne,MATCH(D19,Codes,0))-INDEX(EndeRel,MATCH(C19,Codes,0)))*1440,0)&lt;660,1,0),0),0))</f>
      </c>
      <c r="E68" s="1">
        <f>IF(OR(E$52=0,D19="",E19=""),0,IFERROR(IF(AND(INDEX(Arten,MATCH(D19,Codes,0))="Arbeit",INDEX(Arten,MATCH(E19,Codes,0))="Arbeit"),IF(ROUND((1+INDEX(Beginne,MATCH(E19,Codes,0))-INDEX(EndeRel,MATCH(D19,Codes,0)))*1440,0)&lt;660,1,0),0),0))</f>
      </c>
      <c r="F68" s="1">
        <f>IF(OR(F$52=0,E19="",F19=""),0,IFERROR(IF(AND(INDEX(Arten,MATCH(E19,Codes,0))="Arbeit",INDEX(Arten,MATCH(F19,Codes,0))="Arbeit"),IF(ROUND((1+INDEX(Beginne,MATCH(F19,Codes,0))-INDEX(EndeRel,MATCH(E19,Codes,0)))*1440,0)&lt;660,1,0),0),0))</f>
      </c>
      <c r="G68" s="1">
        <f>IF(OR(G$52=0,F19="",G19=""),0,IFERROR(IF(AND(INDEX(Arten,MATCH(F19,Codes,0))="Arbeit",INDEX(Arten,MATCH(G19,Codes,0))="Arbeit"),IF(ROUND((1+INDEX(Beginne,MATCH(G19,Codes,0))-INDEX(EndeRel,MATCH(F19,Codes,0)))*1440,0)&lt;660,1,0),0),0))</f>
      </c>
      <c r="H68" s="1">
        <f>IF(OR(H$52=0,G19="",H19=""),0,IFERROR(IF(AND(INDEX(Arten,MATCH(G19,Codes,0))="Arbeit",INDEX(Arten,MATCH(H19,Codes,0))="Arbeit"),IF(ROUND((1+INDEX(Beginne,MATCH(H19,Codes,0))-INDEX(EndeRel,MATCH(G19,Codes,0)))*1440,0)&lt;660,1,0),0),0))</f>
      </c>
      <c r="I68" s="1">
        <f>IF(OR(I$52=0,H19="",I19=""),0,IFERROR(IF(AND(INDEX(Arten,MATCH(H19,Codes,0))="Arbeit",INDEX(Arten,MATCH(I19,Codes,0))="Arbeit"),IF(ROUND((1+INDEX(Beginne,MATCH(I19,Codes,0))-INDEX(EndeRel,MATCH(H19,Codes,0)))*1440,0)&lt;660,1,0),0),0))</f>
      </c>
      <c r="J68" s="1">
        <f>IF(OR(J$52=0,I19="",J19=""),0,IFERROR(IF(AND(INDEX(Arten,MATCH(I19,Codes,0))="Arbeit",INDEX(Arten,MATCH(J19,Codes,0))="Arbeit"),IF(ROUND((1+INDEX(Beginne,MATCH(J19,Codes,0))-INDEX(EndeRel,MATCH(I19,Codes,0)))*1440,0)&lt;660,1,0),0),0))</f>
      </c>
      <c r="K68" s="1">
        <f>IF(OR(K$52=0,J19="",K19=""),0,IFERROR(IF(AND(INDEX(Arten,MATCH(J19,Codes,0))="Arbeit",INDEX(Arten,MATCH(K19,Codes,0))="Arbeit"),IF(ROUND((1+INDEX(Beginne,MATCH(K19,Codes,0))-INDEX(EndeRel,MATCH(J19,Codes,0)))*1440,0)&lt;660,1,0),0),0))</f>
      </c>
      <c r="L68" s="1">
        <f>IF(OR(L$52=0,K19="",L19=""),0,IFERROR(IF(AND(INDEX(Arten,MATCH(K19,Codes,0))="Arbeit",INDEX(Arten,MATCH(L19,Codes,0))="Arbeit"),IF(ROUND((1+INDEX(Beginne,MATCH(L19,Codes,0))-INDEX(EndeRel,MATCH(K19,Codes,0)))*1440,0)&lt;660,1,0),0),0))</f>
      </c>
      <c r="M68" s="1">
        <f>IF(OR(M$52=0,L19="",M19=""),0,IFERROR(IF(AND(INDEX(Arten,MATCH(L19,Codes,0))="Arbeit",INDEX(Arten,MATCH(M19,Codes,0))="Arbeit"),IF(ROUND((1+INDEX(Beginne,MATCH(M19,Codes,0))-INDEX(EndeRel,MATCH(L19,Codes,0)))*1440,0)&lt;660,1,0),0),0))</f>
      </c>
      <c r="N68" s="1">
        <f>IF(OR(N$52=0,M19="",N19=""),0,IFERROR(IF(AND(INDEX(Arten,MATCH(M19,Codes,0))="Arbeit",INDEX(Arten,MATCH(N19,Codes,0))="Arbeit"),IF(ROUND((1+INDEX(Beginne,MATCH(N19,Codes,0))-INDEX(EndeRel,MATCH(M19,Codes,0)))*1440,0)&lt;660,1,0),0),0))</f>
      </c>
      <c r="O68" s="1">
        <f>IF(OR(O$52=0,N19="",O19=""),0,IFERROR(IF(AND(INDEX(Arten,MATCH(N19,Codes,0))="Arbeit",INDEX(Arten,MATCH(O19,Codes,0))="Arbeit"),IF(ROUND((1+INDEX(Beginne,MATCH(O19,Codes,0))-INDEX(EndeRel,MATCH(N19,Codes,0)))*1440,0)&lt;660,1,0),0),0))</f>
      </c>
      <c r="P68" s="1">
        <f>IF(OR(P$52=0,O19="",P19=""),0,IFERROR(IF(AND(INDEX(Arten,MATCH(O19,Codes,0))="Arbeit",INDEX(Arten,MATCH(P19,Codes,0))="Arbeit"),IF(ROUND((1+INDEX(Beginne,MATCH(P19,Codes,0))-INDEX(EndeRel,MATCH(O19,Codes,0)))*1440,0)&lt;660,1,0),0),0))</f>
      </c>
      <c r="Q68" s="1">
        <f>IF(OR(Q$52=0,P19="",Q19=""),0,IFERROR(IF(AND(INDEX(Arten,MATCH(P19,Codes,0))="Arbeit",INDEX(Arten,MATCH(Q19,Codes,0))="Arbeit"),IF(ROUND((1+INDEX(Beginne,MATCH(Q19,Codes,0))-INDEX(EndeRel,MATCH(P19,Codes,0)))*1440,0)&lt;660,1,0),0),0))</f>
      </c>
      <c r="R68" s="1">
        <f>IF(OR(R$52=0,Q19="",R19=""),0,IFERROR(IF(AND(INDEX(Arten,MATCH(Q19,Codes,0))="Arbeit",INDEX(Arten,MATCH(R19,Codes,0))="Arbeit"),IF(ROUND((1+INDEX(Beginne,MATCH(R19,Codes,0))-INDEX(EndeRel,MATCH(Q19,Codes,0)))*1440,0)&lt;660,1,0),0),0))</f>
      </c>
      <c r="S68" s="1">
        <f>IF(OR(S$52=0,R19="",S19=""),0,IFERROR(IF(AND(INDEX(Arten,MATCH(R19,Codes,0))="Arbeit",INDEX(Arten,MATCH(S19,Codes,0))="Arbeit"),IF(ROUND((1+INDEX(Beginne,MATCH(S19,Codes,0))-INDEX(EndeRel,MATCH(R19,Codes,0)))*1440,0)&lt;660,1,0),0),0))</f>
      </c>
      <c r="T68" s="1">
        <f>IF(OR(T$52=0,S19="",T19=""),0,IFERROR(IF(AND(INDEX(Arten,MATCH(S19,Codes,0))="Arbeit",INDEX(Arten,MATCH(T19,Codes,0))="Arbeit"),IF(ROUND((1+INDEX(Beginne,MATCH(T19,Codes,0))-INDEX(EndeRel,MATCH(S19,Codes,0)))*1440,0)&lt;660,1,0),0),0))</f>
      </c>
      <c r="U68" s="1">
        <f>IF(OR(U$52=0,T19="",U19=""),0,IFERROR(IF(AND(INDEX(Arten,MATCH(T19,Codes,0))="Arbeit",INDEX(Arten,MATCH(U19,Codes,0))="Arbeit"),IF(ROUND((1+INDEX(Beginne,MATCH(U19,Codes,0))-INDEX(EndeRel,MATCH(T19,Codes,0)))*1440,0)&lt;660,1,0),0),0))</f>
      </c>
      <c r="V68" s="1">
        <f>IF(OR(V$52=0,U19="",V19=""),0,IFERROR(IF(AND(INDEX(Arten,MATCH(U19,Codes,0))="Arbeit",INDEX(Arten,MATCH(V19,Codes,0))="Arbeit"),IF(ROUND((1+INDEX(Beginne,MATCH(V19,Codes,0))-INDEX(EndeRel,MATCH(U19,Codes,0)))*1440,0)&lt;660,1,0),0),0))</f>
      </c>
      <c r="W68" s="1">
        <f>IF(OR(W$52=0,V19="",W19=""),0,IFERROR(IF(AND(INDEX(Arten,MATCH(V19,Codes,0))="Arbeit",INDEX(Arten,MATCH(W19,Codes,0))="Arbeit"),IF(ROUND((1+INDEX(Beginne,MATCH(W19,Codes,0))-INDEX(EndeRel,MATCH(V19,Codes,0)))*1440,0)&lt;660,1,0),0),0))</f>
      </c>
      <c r="X68" s="1">
        <f>IF(OR(X$52=0,W19="",X19=""),0,IFERROR(IF(AND(INDEX(Arten,MATCH(W19,Codes,0))="Arbeit",INDEX(Arten,MATCH(X19,Codes,0))="Arbeit"),IF(ROUND((1+INDEX(Beginne,MATCH(X19,Codes,0))-INDEX(EndeRel,MATCH(W19,Codes,0)))*1440,0)&lt;660,1,0),0),0))</f>
      </c>
      <c r="Y68" s="1">
        <f>IF(OR(Y$52=0,X19="",Y19=""),0,IFERROR(IF(AND(INDEX(Arten,MATCH(X19,Codes,0))="Arbeit",INDEX(Arten,MATCH(Y19,Codes,0))="Arbeit"),IF(ROUND((1+INDEX(Beginne,MATCH(Y19,Codes,0))-INDEX(EndeRel,MATCH(X19,Codes,0)))*1440,0)&lt;660,1,0),0),0))</f>
      </c>
      <c r="Z68" s="1">
        <f>IF(OR(Z$52=0,Y19="",Z19=""),0,IFERROR(IF(AND(INDEX(Arten,MATCH(Y19,Codes,0))="Arbeit",INDEX(Arten,MATCH(Z19,Codes,0))="Arbeit"),IF(ROUND((1+INDEX(Beginne,MATCH(Z19,Codes,0))-INDEX(EndeRel,MATCH(Y19,Codes,0)))*1440,0)&lt;660,1,0),0),0))</f>
      </c>
      <c r="AA68" s="1">
        <f>IF(OR(AA$52=0,Z19="",AA19=""),0,IFERROR(IF(AND(INDEX(Arten,MATCH(Z19,Codes,0))="Arbeit",INDEX(Arten,MATCH(AA19,Codes,0))="Arbeit"),IF(ROUND((1+INDEX(Beginne,MATCH(AA19,Codes,0))-INDEX(EndeRel,MATCH(Z19,Codes,0)))*1440,0)&lt;660,1,0),0),0))</f>
      </c>
      <c r="AB68" s="1">
        <f>IF(OR(AB$52=0,AA19="",AB19=""),0,IFERROR(IF(AND(INDEX(Arten,MATCH(AA19,Codes,0))="Arbeit",INDEX(Arten,MATCH(AB19,Codes,0))="Arbeit"),IF(ROUND((1+INDEX(Beginne,MATCH(AB19,Codes,0))-INDEX(EndeRel,MATCH(AA19,Codes,0)))*1440,0)&lt;660,1,0),0),0))</f>
      </c>
      <c r="AC68" s="1">
        <f>IF(OR(AC$52=0,AB19="",AC19=""),0,IFERROR(IF(AND(INDEX(Arten,MATCH(AB19,Codes,0))="Arbeit",INDEX(Arten,MATCH(AC19,Codes,0))="Arbeit"),IF(ROUND((1+INDEX(Beginne,MATCH(AC19,Codes,0))-INDEX(EndeRel,MATCH(AB19,Codes,0)))*1440,0)&lt;660,1,0),0),0))</f>
      </c>
      <c r="AD68" s="1">
        <f>IF(OR(AD$52=0,AC19="",AD19=""),0,IFERROR(IF(AND(INDEX(Arten,MATCH(AC19,Codes,0))="Arbeit",INDEX(Arten,MATCH(AD19,Codes,0))="Arbeit"),IF(ROUND((1+INDEX(Beginne,MATCH(AD19,Codes,0))-INDEX(EndeRel,MATCH(AC19,Codes,0)))*1440,0)&lt;660,1,0),0),0))</f>
      </c>
      <c r="AE68" s="1">
        <f>IF(OR(AE$52=0,AD19="",AE19=""),0,IFERROR(IF(AND(INDEX(Arten,MATCH(AD19,Codes,0))="Arbeit",INDEX(Arten,MATCH(AE19,Codes,0))="Arbeit"),IF(ROUND((1+INDEX(Beginne,MATCH(AE19,Codes,0))-INDEX(EndeRel,MATCH(AD19,Codes,0)))*1440,0)&lt;660,1,0),0),0))</f>
      </c>
      <c r="AF68" s="1">
        <f>IF(OR(AF$52=0,AE19="",AF19=""),0,IFERROR(IF(AND(INDEX(Arten,MATCH(AE19,Codes,0))="Arbeit",INDEX(Arten,MATCH(AF19,Codes,0))="Arbeit"),IF(ROUND((1+INDEX(Beginne,MATCH(AF19,Codes,0))-INDEX(EndeRel,MATCH(AE19,Codes,0)))*1440,0)&lt;660,1,0),0),0))</f>
      </c>
    </row>
    <row r="69" hidden="1" spans="1:32" x14ac:dyDescent="0.25">
      <c r="A69" s="1"/>
      <c r="B69" s="1">
        <f>IF(OR(B$52=0,""="",B20=""),0,IFERROR(IF(AND(INDEX(Arten,MATCH("",Codes,0))="Arbeit",INDEX(Arten,MATCH(B20,Codes,0))="Arbeit"),IF(ROUND((1+INDEX(Beginne,MATCH(B20,Codes,0))-INDEX(EndeRel,MATCH("",Codes,0)))*1440,0)&lt;660,1,0),0),0))</f>
      </c>
      <c r="C69" s="1">
        <f>IF(OR(C$52=0,B20="",C20=""),0,IFERROR(IF(AND(INDEX(Arten,MATCH(B20,Codes,0))="Arbeit",INDEX(Arten,MATCH(C20,Codes,0))="Arbeit"),IF(ROUND((1+INDEX(Beginne,MATCH(C20,Codes,0))-INDEX(EndeRel,MATCH(B20,Codes,0)))*1440,0)&lt;660,1,0),0),0))</f>
      </c>
      <c r="D69" s="1">
        <f>IF(OR(D$52=0,C20="",D20=""),0,IFERROR(IF(AND(INDEX(Arten,MATCH(C20,Codes,0))="Arbeit",INDEX(Arten,MATCH(D20,Codes,0))="Arbeit"),IF(ROUND((1+INDEX(Beginne,MATCH(D20,Codes,0))-INDEX(EndeRel,MATCH(C20,Codes,0)))*1440,0)&lt;660,1,0),0),0))</f>
      </c>
      <c r="E69" s="1">
        <f>IF(OR(E$52=0,D20="",E20=""),0,IFERROR(IF(AND(INDEX(Arten,MATCH(D20,Codes,0))="Arbeit",INDEX(Arten,MATCH(E20,Codes,0))="Arbeit"),IF(ROUND((1+INDEX(Beginne,MATCH(E20,Codes,0))-INDEX(EndeRel,MATCH(D20,Codes,0)))*1440,0)&lt;660,1,0),0),0))</f>
      </c>
      <c r="F69" s="1">
        <f>IF(OR(F$52=0,E20="",F20=""),0,IFERROR(IF(AND(INDEX(Arten,MATCH(E20,Codes,0))="Arbeit",INDEX(Arten,MATCH(F20,Codes,0))="Arbeit"),IF(ROUND((1+INDEX(Beginne,MATCH(F20,Codes,0))-INDEX(EndeRel,MATCH(E20,Codes,0)))*1440,0)&lt;660,1,0),0),0))</f>
      </c>
      <c r="G69" s="1">
        <f>IF(OR(G$52=0,F20="",G20=""),0,IFERROR(IF(AND(INDEX(Arten,MATCH(F20,Codes,0))="Arbeit",INDEX(Arten,MATCH(G20,Codes,0))="Arbeit"),IF(ROUND((1+INDEX(Beginne,MATCH(G20,Codes,0))-INDEX(EndeRel,MATCH(F20,Codes,0)))*1440,0)&lt;660,1,0),0),0))</f>
      </c>
      <c r="H69" s="1">
        <f>IF(OR(H$52=0,G20="",H20=""),0,IFERROR(IF(AND(INDEX(Arten,MATCH(G20,Codes,0))="Arbeit",INDEX(Arten,MATCH(H20,Codes,0))="Arbeit"),IF(ROUND((1+INDEX(Beginne,MATCH(H20,Codes,0))-INDEX(EndeRel,MATCH(G20,Codes,0)))*1440,0)&lt;660,1,0),0),0))</f>
      </c>
      <c r="I69" s="1">
        <f>IF(OR(I$52=0,H20="",I20=""),0,IFERROR(IF(AND(INDEX(Arten,MATCH(H20,Codes,0))="Arbeit",INDEX(Arten,MATCH(I20,Codes,0))="Arbeit"),IF(ROUND((1+INDEX(Beginne,MATCH(I20,Codes,0))-INDEX(EndeRel,MATCH(H20,Codes,0)))*1440,0)&lt;660,1,0),0),0))</f>
      </c>
      <c r="J69" s="1">
        <f>IF(OR(J$52=0,I20="",J20=""),0,IFERROR(IF(AND(INDEX(Arten,MATCH(I20,Codes,0))="Arbeit",INDEX(Arten,MATCH(J20,Codes,0))="Arbeit"),IF(ROUND((1+INDEX(Beginne,MATCH(J20,Codes,0))-INDEX(EndeRel,MATCH(I20,Codes,0)))*1440,0)&lt;660,1,0),0),0))</f>
      </c>
      <c r="K69" s="1">
        <f>IF(OR(K$52=0,J20="",K20=""),0,IFERROR(IF(AND(INDEX(Arten,MATCH(J20,Codes,0))="Arbeit",INDEX(Arten,MATCH(K20,Codes,0))="Arbeit"),IF(ROUND((1+INDEX(Beginne,MATCH(K20,Codes,0))-INDEX(EndeRel,MATCH(J20,Codes,0)))*1440,0)&lt;660,1,0),0),0))</f>
      </c>
      <c r="L69" s="1">
        <f>IF(OR(L$52=0,K20="",L20=""),0,IFERROR(IF(AND(INDEX(Arten,MATCH(K20,Codes,0))="Arbeit",INDEX(Arten,MATCH(L20,Codes,0))="Arbeit"),IF(ROUND((1+INDEX(Beginne,MATCH(L20,Codes,0))-INDEX(EndeRel,MATCH(K20,Codes,0)))*1440,0)&lt;660,1,0),0),0))</f>
      </c>
      <c r="M69" s="1">
        <f>IF(OR(M$52=0,L20="",M20=""),0,IFERROR(IF(AND(INDEX(Arten,MATCH(L20,Codes,0))="Arbeit",INDEX(Arten,MATCH(M20,Codes,0))="Arbeit"),IF(ROUND((1+INDEX(Beginne,MATCH(M20,Codes,0))-INDEX(EndeRel,MATCH(L20,Codes,0)))*1440,0)&lt;660,1,0),0),0))</f>
      </c>
      <c r="N69" s="1">
        <f>IF(OR(N$52=0,M20="",N20=""),0,IFERROR(IF(AND(INDEX(Arten,MATCH(M20,Codes,0))="Arbeit",INDEX(Arten,MATCH(N20,Codes,0))="Arbeit"),IF(ROUND((1+INDEX(Beginne,MATCH(N20,Codes,0))-INDEX(EndeRel,MATCH(M20,Codes,0)))*1440,0)&lt;660,1,0),0),0))</f>
      </c>
      <c r="O69" s="1">
        <f>IF(OR(O$52=0,N20="",O20=""),0,IFERROR(IF(AND(INDEX(Arten,MATCH(N20,Codes,0))="Arbeit",INDEX(Arten,MATCH(O20,Codes,0))="Arbeit"),IF(ROUND((1+INDEX(Beginne,MATCH(O20,Codes,0))-INDEX(EndeRel,MATCH(N20,Codes,0)))*1440,0)&lt;660,1,0),0),0))</f>
      </c>
      <c r="P69" s="1">
        <f>IF(OR(P$52=0,O20="",P20=""),0,IFERROR(IF(AND(INDEX(Arten,MATCH(O20,Codes,0))="Arbeit",INDEX(Arten,MATCH(P20,Codes,0))="Arbeit"),IF(ROUND((1+INDEX(Beginne,MATCH(P20,Codes,0))-INDEX(EndeRel,MATCH(O20,Codes,0)))*1440,0)&lt;660,1,0),0),0))</f>
      </c>
      <c r="Q69" s="1">
        <f>IF(OR(Q$52=0,P20="",Q20=""),0,IFERROR(IF(AND(INDEX(Arten,MATCH(P20,Codes,0))="Arbeit",INDEX(Arten,MATCH(Q20,Codes,0))="Arbeit"),IF(ROUND((1+INDEX(Beginne,MATCH(Q20,Codes,0))-INDEX(EndeRel,MATCH(P20,Codes,0)))*1440,0)&lt;660,1,0),0),0))</f>
      </c>
      <c r="R69" s="1">
        <f>IF(OR(R$52=0,Q20="",R20=""),0,IFERROR(IF(AND(INDEX(Arten,MATCH(Q20,Codes,0))="Arbeit",INDEX(Arten,MATCH(R20,Codes,0))="Arbeit"),IF(ROUND((1+INDEX(Beginne,MATCH(R20,Codes,0))-INDEX(EndeRel,MATCH(Q20,Codes,0)))*1440,0)&lt;660,1,0),0),0))</f>
      </c>
      <c r="S69" s="1">
        <f>IF(OR(S$52=0,R20="",S20=""),0,IFERROR(IF(AND(INDEX(Arten,MATCH(R20,Codes,0))="Arbeit",INDEX(Arten,MATCH(S20,Codes,0))="Arbeit"),IF(ROUND((1+INDEX(Beginne,MATCH(S20,Codes,0))-INDEX(EndeRel,MATCH(R20,Codes,0)))*1440,0)&lt;660,1,0),0),0))</f>
      </c>
      <c r="T69" s="1">
        <f>IF(OR(T$52=0,S20="",T20=""),0,IFERROR(IF(AND(INDEX(Arten,MATCH(S20,Codes,0))="Arbeit",INDEX(Arten,MATCH(T20,Codes,0))="Arbeit"),IF(ROUND((1+INDEX(Beginne,MATCH(T20,Codes,0))-INDEX(EndeRel,MATCH(S20,Codes,0)))*1440,0)&lt;660,1,0),0),0))</f>
      </c>
      <c r="U69" s="1">
        <f>IF(OR(U$52=0,T20="",U20=""),0,IFERROR(IF(AND(INDEX(Arten,MATCH(T20,Codes,0))="Arbeit",INDEX(Arten,MATCH(U20,Codes,0))="Arbeit"),IF(ROUND((1+INDEX(Beginne,MATCH(U20,Codes,0))-INDEX(EndeRel,MATCH(T20,Codes,0)))*1440,0)&lt;660,1,0),0),0))</f>
      </c>
      <c r="V69" s="1">
        <f>IF(OR(V$52=0,U20="",V20=""),0,IFERROR(IF(AND(INDEX(Arten,MATCH(U20,Codes,0))="Arbeit",INDEX(Arten,MATCH(V20,Codes,0))="Arbeit"),IF(ROUND((1+INDEX(Beginne,MATCH(V20,Codes,0))-INDEX(EndeRel,MATCH(U20,Codes,0)))*1440,0)&lt;660,1,0),0),0))</f>
      </c>
      <c r="W69" s="1">
        <f>IF(OR(W$52=0,V20="",W20=""),0,IFERROR(IF(AND(INDEX(Arten,MATCH(V20,Codes,0))="Arbeit",INDEX(Arten,MATCH(W20,Codes,0))="Arbeit"),IF(ROUND((1+INDEX(Beginne,MATCH(W20,Codes,0))-INDEX(EndeRel,MATCH(V20,Codes,0)))*1440,0)&lt;660,1,0),0),0))</f>
      </c>
      <c r="X69" s="1">
        <f>IF(OR(X$52=0,W20="",X20=""),0,IFERROR(IF(AND(INDEX(Arten,MATCH(W20,Codes,0))="Arbeit",INDEX(Arten,MATCH(X20,Codes,0))="Arbeit"),IF(ROUND((1+INDEX(Beginne,MATCH(X20,Codes,0))-INDEX(EndeRel,MATCH(W20,Codes,0)))*1440,0)&lt;660,1,0),0),0))</f>
      </c>
      <c r="Y69" s="1">
        <f>IF(OR(Y$52=0,X20="",Y20=""),0,IFERROR(IF(AND(INDEX(Arten,MATCH(X20,Codes,0))="Arbeit",INDEX(Arten,MATCH(Y20,Codes,0))="Arbeit"),IF(ROUND((1+INDEX(Beginne,MATCH(Y20,Codes,0))-INDEX(EndeRel,MATCH(X20,Codes,0)))*1440,0)&lt;660,1,0),0),0))</f>
      </c>
      <c r="Z69" s="1">
        <f>IF(OR(Z$52=0,Y20="",Z20=""),0,IFERROR(IF(AND(INDEX(Arten,MATCH(Y20,Codes,0))="Arbeit",INDEX(Arten,MATCH(Z20,Codes,0))="Arbeit"),IF(ROUND((1+INDEX(Beginne,MATCH(Z20,Codes,0))-INDEX(EndeRel,MATCH(Y20,Codes,0)))*1440,0)&lt;660,1,0),0),0))</f>
      </c>
      <c r="AA69" s="1">
        <f>IF(OR(AA$52=0,Z20="",AA20=""),0,IFERROR(IF(AND(INDEX(Arten,MATCH(Z20,Codes,0))="Arbeit",INDEX(Arten,MATCH(AA20,Codes,0))="Arbeit"),IF(ROUND((1+INDEX(Beginne,MATCH(AA20,Codes,0))-INDEX(EndeRel,MATCH(Z20,Codes,0)))*1440,0)&lt;660,1,0),0),0))</f>
      </c>
      <c r="AB69" s="1">
        <f>IF(OR(AB$52=0,AA20="",AB20=""),0,IFERROR(IF(AND(INDEX(Arten,MATCH(AA20,Codes,0))="Arbeit",INDEX(Arten,MATCH(AB20,Codes,0))="Arbeit"),IF(ROUND((1+INDEX(Beginne,MATCH(AB20,Codes,0))-INDEX(EndeRel,MATCH(AA20,Codes,0)))*1440,0)&lt;660,1,0),0),0))</f>
      </c>
      <c r="AC69" s="1">
        <f>IF(OR(AC$52=0,AB20="",AC20=""),0,IFERROR(IF(AND(INDEX(Arten,MATCH(AB20,Codes,0))="Arbeit",INDEX(Arten,MATCH(AC20,Codes,0))="Arbeit"),IF(ROUND((1+INDEX(Beginne,MATCH(AC20,Codes,0))-INDEX(EndeRel,MATCH(AB20,Codes,0)))*1440,0)&lt;660,1,0),0),0))</f>
      </c>
      <c r="AD69" s="1">
        <f>IF(OR(AD$52=0,AC20="",AD20=""),0,IFERROR(IF(AND(INDEX(Arten,MATCH(AC20,Codes,0))="Arbeit",INDEX(Arten,MATCH(AD20,Codes,0))="Arbeit"),IF(ROUND((1+INDEX(Beginne,MATCH(AD20,Codes,0))-INDEX(EndeRel,MATCH(AC20,Codes,0)))*1440,0)&lt;660,1,0),0),0))</f>
      </c>
      <c r="AE69" s="1">
        <f>IF(OR(AE$52=0,AD20="",AE20=""),0,IFERROR(IF(AND(INDEX(Arten,MATCH(AD20,Codes,0))="Arbeit",INDEX(Arten,MATCH(AE20,Codes,0))="Arbeit"),IF(ROUND((1+INDEX(Beginne,MATCH(AE20,Codes,0))-INDEX(EndeRel,MATCH(AD20,Codes,0)))*1440,0)&lt;660,1,0),0),0))</f>
      </c>
      <c r="AF69" s="1">
        <f>IF(OR(AF$52=0,AE20="",AF20=""),0,IFERROR(IF(AND(INDEX(Arten,MATCH(AE20,Codes,0))="Arbeit",INDEX(Arten,MATCH(AF20,Codes,0))="Arbeit"),IF(ROUND((1+INDEX(Beginne,MATCH(AF20,Codes,0))-INDEX(EndeRel,MATCH(AE20,Codes,0)))*1440,0)&lt;660,1,0),0),0))</f>
      </c>
    </row>
    <row r="70" hidden="1" spans="1:32" x14ac:dyDescent="0.25">
      <c r="A70" s="1"/>
      <c r="B70" s="1">
        <f>IF(OR(B$52=0,""="",B21=""),0,IFERROR(IF(AND(INDEX(Arten,MATCH("",Codes,0))="Arbeit",INDEX(Arten,MATCH(B21,Codes,0))="Arbeit"),IF(ROUND((1+INDEX(Beginne,MATCH(B21,Codes,0))-INDEX(EndeRel,MATCH("",Codes,0)))*1440,0)&lt;660,1,0),0),0))</f>
      </c>
      <c r="C70" s="1">
        <f>IF(OR(C$52=0,B21="",C21=""),0,IFERROR(IF(AND(INDEX(Arten,MATCH(B21,Codes,0))="Arbeit",INDEX(Arten,MATCH(C21,Codes,0))="Arbeit"),IF(ROUND((1+INDEX(Beginne,MATCH(C21,Codes,0))-INDEX(EndeRel,MATCH(B21,Codes,0)))*1440,0)&lt;660,1,0),0),0))</f>
      </c>
      <c r="D70" s="1">
        <f>IF(OR(D$52=0,C21="",D21=""),0,IFERROR(IF(AND(INDEX(Arten,MATCH(C21,Codes,0))="Arbeit",INDEX(Arten,MATCH(D21,Codes,0))="Arbeit"),IF(ROUND((1+INDEX(Beginne,MATCH(D21,Codes,0))-INDEX(EndeRel,MATCH(C21,Codes,0)))*1440,0)&lt;660,1,0),0),0))</f>
      </c>
      <c r="E70" s="1">
        <f>IF(OR(E$52=0,D21="",E21=""),0,IFERROR(IF(AND(INDEX(Arten,MATCH(D21,Codes,0))="Arbeit",INDEX(Arten,MATCH(E21,Codes,0))="Arbeit"),IF(ROUND((1+INDEX(Beginne,MATCH(E21,Codes,0))-INDEX(EndeRel,MATCH(D21,Codes,0)))*1440,0)&lt;660,1,0),0),0))</f>
      </c>
      <c r="F70" s="1">
        <f>IF(OR(F$52=0,E21="",F21=""),0,IFERROR(IF(AND(INDEX(Arten,MATCH(E21,Codes,0))="Arbeit",INDEX(Arten,MATCH(F21,Codes,0))="Arbeit"),IF(ROUND((1+INDEX(Beginne,MATCH(F21,Codes,0))-INDEX(EndeRel,MATCH(E21,Codes,0)))*1440,0)&lt;660,1,0),0),0))</f>
      </c>
      <c r="G70" s="1">
        <f>IF(OR(G$52=0,F21="",G21=""),0,IFERROR(IF(AND(INDEX(Arten,MATCH(F21,Codes,0))="Arbeit",INDEX(Arten,MATCH(G21,Codes,0))="Arbeit"),IF(ROUND((1+INDEX(Beginne,MATCH(G21,Codes,0))-INDEX(EndeRel,MATCH(F21,Codes,0)))*1440,0)&lt;660,1,0),0),0))</f>
      </c>
      <c r="H70" s="1">
        <f>IF(OR(H$52=0,G21="",H21=""),0,IFERROR(IF(AND(INDEX(Arten,MATCH(G21,Codes,0))="Arbeit",INDEX(Arten,MATCH(H21,Codes,0))="Arbeit"),IF(ROUND((1+INDEX(Beginne,MATCH(H21,Codes,0))-INDEX(EndeRel,MATCH(G21,Codes,0)))*1440,0)&lt;660,1,0),0),0))</f>
      </c>
      <c r="I70" s="1">
        <f>IF(OR(I$52=0,H21="",I21=""),0,IFERROR(IF(AND(INDEX(Arten,MATCH(H21,Codes,0))="Arbeit",INDEX(Arten,MATCH(I21,Codes,0))="Arbeit"),IF(ROUND((1+INDEX(Beginne,MATCH(I21,Codes,0))-INDEX(EndeRel,MATCH(H21,Codes,0)))*1440,0)&lt;660,1,0),0),0))</f>
      </c>
      <c r="J70" s="1">
        <f>IF(OR(J$52=0,I21="",J21=""),0,IFERROR(IF(AND(INDEX(Arten,MATCH(I21,Codes,0))="Arbeit",INDEX(Arten,MATCH(J21,Codes,0))="Arbeit"),IF(ROUND((1+INDEX(Beginne,MATCH(J21,Codes,0))-INDEX(EndeRel,MATCH(I21,Codes,0)))*1440,0)&lt;660,1,0),0),0))</f>
      </c>
      <c r="K70" s="1">
        <f>IF(OR(K$52=0,J21="",K21=""),0,IFERROR(IF(AND(INDEX(Arten,MATCH(J21,Codes,0))="Arbeit",INDEX(Arten,MATCH(K21,Codes,0))="Arbeit"),IF(ROUND((1+INDEX(Beginne,MATCH(K21,Codes,0))-INDEX(EndeRel,MATCH(J21,Codes,0)))*1440,0)&lt;660,1,0),0),0))</f>
      </c>
      <c r="L70" s="1">
        <f>IF(OR(L$52=0,K21="",L21=""),0,IFERROR(IF(AND(INDEX(Arten,MATCH(K21,Codes,0))="Arbeit",INDEX(Arten,MATCH(L21,Codes,0))="Arbeit"),IF(ROUND((1+INDEX(Beginne,MATCH(L21,Codes,0))-INDEX(EndeRel,MATCH(K21,Codes,0)))*1440,0)&lt;660,1,0),0),0))</f>
      </c>
      <c r="M70" s="1">
        <f>IF(OR(M$52=0,L21="",M21=""),0,IFERROR(IF(AND(INDEX(Arten,MATCH(L21,Codes,0))="Arbeit",INDEX(Arten,MATCH(M21,Codes,0))="Arbeit"),IF(ROUND((1+INDEX(Beginne,MATCH(M21,Codes,0))-INDEX(EndeRel,MATCH(L21,Codes,0)))*1440,0)&lt;660,1,0),0),0))</f>
      </c>
      <c r="N70" s="1">
        <f>IF(OR(N$52=0,M21="",N21=""),0,IFERROR(IF(AND(INDEX(Arten,MATCH(M21,Codes,0))="Arbeit",INDEX(Arten,MATCH(N21,Codes,0))="Arbeit"),IF(ROUND((1+INDEX(Beginne,MATCH(N21,Codes,0))-INDEX(EndeRel,MATCH(M21,Codes,0)))*1440,0)&lt;660,1,0),0),0))</f>
      </c>
      <c r="O70" s="1">
        <f>IF(OR(O$52=0,N21="",O21=""),0,IFERROR(IF(AND(INDEX(Arten,MATCH(N21,Codes,0))="Arbeit",INDEX(Arten,MATCH(O21,Codes,0))="Arbeit"),IF(ROUND((1+INDEX(Beginne,MATCH(O21,Codes,0))-INDEX(EndeRel,MATCH(N21,Codes,0)))*1440,0)&lt;660,1,0),0),0))</f>
      </c>
      <c r="P70" s="1">
        <f>IF(OR(P$52=0,O21="",P21=""),0,IFERROR(IF(AND(INDEX(Arten,MATCH(O21,Codes,0))="Arbeit",INDEX(Arten,MATCH(P21,Codes,0))="Arbeit"),IF(ROUND((1+INDEX(Beginne,MATCH(P21,Codes,0))-INDEX(EndeRel,MATCH(O21,Codes,0)))*1440,0)&lt;660,1,0),0),0))</f>
      </c>
      <c r="Q70" s="1">
        <f>IF(OR(Q$52=0,P21="",Q21=""),0,IFERROR(IF(AND(INDEX(Arten,MATCH(P21,Codes,0))="Arbeit",INDEX(Arten,MATCH(Q21,Codes,0))="Arbeit"),IF(ROUND((1+INDEX(Beginne,MATCH(Q21,Codes,0))-INDEX(EndeRel,MATCH(P21,Codes,0)))*1440,0)&lt;660,1,0),0),0))</f>
      </c>
      <c r="R70" s="1">
        <f>IF(OR(R$52=0,Q21="",R21=""),0,IFERROR(IF(AND(INDEX(Arten,MATCH(Q21,Codes,0))="Arbeit",INDEX(Arten,MATCH(R21,Codes,0))="Arbeit"),IF(ROUND((1+INDEX(Beginne,MATCH(R21,Codes,0))-INDEX(EndeRel,MATCH(Q21,Codes,0)))*1440,0)&lt;660,1,0),0),0))</f>
      </c>
      <c r="S70" s="1">
        <f>IF(OR(S$52=0,R21="",S21=""),0,IFERROR(IF(AND(INDEX(Arten,MATCH(R21,Codes,0))="Arbeit",INDEX(Arten,MATCH(S21,Codes,0))="Arbeit"),IF(ROUND((1+INDEX(Beginne,MATCH(S21,Codes,0))-INDEX(EndeRel,MATCH(R21,Codes,0)))*1440,0)&lt;660,1,0),0),0))</f>
      </c>
      <c r="T70" s="1">
        <f>IF(OR(T$52=0,S21="",T21=""),0,IFERROR(IF(AND(INDEX(Arten,MATCH(S21,Codes,0))="Arbeit",INDEX(Arten,MATCH(T21,Codes,0))="Arbeit"),IF(ROUND((1+INDEX(Beginne,MATCH(T21,Codes,0))-INDEX(EndeRel,MATCH(S21,Codes,0)))*1440,0)&lt;660,1,0),0),0))</f>
      </c>
      <c r="U70" s="1">
        <f>IF(OR(U$52=0,T21="",U21=""),0,IFERROR(IF(AND(INDEX(Arten,MATCH(T21,Codes,0))="Arbeit",INDEX(Arten,MATCH(U21,Codes,0))="Arbeit"),IF(ROUND((1+INDEX(Beginne,MATCH(U21,Codes,0))-INDEX(EndeRel,MATCH(T21,Codes,0)))*1440,0)&lt;660,1,0),0),0))</f>
      </c>
      <c r="V70" s="1">
        <f>IF(OR(V$52=0,U21="",V21=""),0,IFERROR(IF(AND(INDEX(Arten,MATCH(U21,Codes,0))="Arbeit",INDEX(Arten,MATCH(V21,Codes,0))="Arbeit"),IF(ROUND((1+INDEX(Beginne,MATCH(V21,Codes,0))-INDEX(EndeRel,MATCH(U21,Codes,0)))*1440,0)&lt;660,1,0),0),0))</f>
      </c>
      <c r="W70" s="1">
        <f>IF(OR(W$52=0,V21="",W21=""),0,IFERROR(IF(AND(INDEX(Arten,MATCH(V21,Codes,0))="Arbeit",INDEX(Arten,MATCH(W21,Codes,0))="Arbeit"),IF(ROUND((1+INDEX(Beginne,MATCH(W21,Codes,0))-INDEX(EndeRel,MATCH(V21,Codes,0)))*1440,0)&lt;660,1,0),0),0))</f>
      </c>
      <c r="X70" s="1">
        <f>IF(OR(X$52=0,W21="",X21=""),0,IFERROR(IF(AND(INDEX(Arten,MATCH(W21,Codes,0))="Arbeit",INDEX(Arten,MATCH(X21,Codes,0))="Arbeit"),IF(ROUND((1+INDEX(Beginne,MATCH(X21,Codes,0))-INDEX(EndeRel,MATCH(W21,Codes,0)))*1440,0)&lt;660,1,0),0),0))</f>
      </c>
      <c r="Y70" s="1">
        <f>IF(OR(Y$52=0,X21="",Y21=""),0,IFERROR(IF(AND(INDEX(Arten,MATCH(X21,Codes,0))="Arbeit",INDEX(Arten,MATCH(Y21,Codes,0))="Arbeit"),IF(ROUND((1+INDEX(Beginne,MATCH(Y21,Codes,0))-INDEX(EndeRel,MATCH(X21,Codes,0)))*1440,0)&lt;660,1,0),0),0))</f>
      </c>
      <c r="Z70" s="1">
        <f>IF(OR(Z$52=0,Y21="",Z21=""),0,IFERROR(IF(AND(INDEX(Arten,MATCH(Y21,Codes,0))="Arbeit",INDEX(Arten,MATCH(Z21,Codes,0))="Arbeit"),IF(ROUND((1+INDEX(Beginne,MATCH(Z21,Codes,0))-INDEX(EndeRel,MATCH(Y21,Codes,0)))*1440,0)&lt;660,1,0),0),0))</f>
      </c>
      <c r="AA70" s="1">
        <f>IF(OR(AA$52=0,Z21="",AA21=""),0,IFERROR(IF(AND(INDEX(Arten,MATCH(Z21,Codes,0))="Arbeit",INDEX(Arten,MATCH(AA21,Codes,0))="Arbeit"),IF(ROUND((1+INDEX(Beginne,MATCH(AA21,Codes,0))-INDEX(EndeRel,MATCH(Z21,Codes,0)))*1440,0)&lt;660,1,0),0),0))</f>
      </c>
      <c r="AB70" s="1">
        <f>IF(OR(AB$52=0,AA21="",AB21=""),0,IFERROR(IF(AND(INDEX(Arten,MATCH(AA21,Codes,0))="Arbeit",INDEX(Arten,MATCH(AB21,Codes,0))="Arbeit"),IF(ROUND((1+INDEX(Beginne,MATCH(AB21,Codes,0))-INDEX(EndeRel,MATCH(AA21,Codes,0)))*1440,0)&lt;660,1,0),0),0))</f>
      </c>
      <c r="AC70" s="1">
        <f>IF(OR(AC$52=0,AB21="",AC21=""),0,IFERROR(IF(AND(INDEX(Arten,MATCH(AB21,Codes,0))="Arbeit",INDEX(Arten,MATCH(AC21,Codes,0))="Arbeit"),IF(ROUND((1+INDEX(Beginne,MATCH(AC21,Codes,0))-INDEX(EndeRel,MATCH(AB21,Codes,0)))*1440,0)&lt;660,1,0),0),0))</f>
      </c>
      <c r="AD70" s="1">
        <f>IF(OR(AD$52=0,AC21="",AD21=""),0,IFERROR(IF(AND(INDEX(Arten,MATCH(AC21,Codes,0))="Arbeit",INDEX(Arten,MATCH(AD21,Codes,0))="Arbeit"),IF(ROUND((1+INDEX(Beginne,MATCH(AD21,Codes,0))-INDEX(EndeRel,MATCH(AC21,Codes,0)))*1440,0)&lt;660,1,0),0),0))</f>
      </c>
      <c r="AE70" s="1">
        <f>IF(OR(AE$52=0,AD21="",AE21=""),0,IFERROR(IF(AND(INDEX(Arten,MATCH(AD21,Codes,0))="Arbeit",INDEX(Arten,MATCH(AE21,Codes,0))="Arbeit"),IF(ROUND((1+INDEX(Beginne,MATCH(AE21,Codes,0))-INDEX(EndeRel,MATCH(AD21,Codes,0)))*1440,0)&lt;660,1,0),0),0))</f>
      </c>
      <c r="AF70" s="1">
        <f>IF(OR(AF$52=0,AE21="",AF21=""),0,IFERROR(IF(AND(INDEX(Arten,MATCH(AE21,Codes,0))="Arbeit",INDEX(Arten,MATCH(AF21,Codes,0))="Arbeit"),IF(ROUND((1+INDEX(Beginne,MATCH(AF21,Codes,0))-INDEX(EndeRel,MATCH(AE21,Codes,0)))*1440,0)&lt;660,1,0),0),0))</f>
      </c>
    </row>
    <row r="71" hidden="1" spans="1:32" x14ac:dyDescent="0.25">
      <c r="A71" s="1"/>
      <c r="B71" s="1">
        <f>IF(OR(B$52=0,""="",B22=""),0,IFERROR(IF(AND(INDEX(Arten,MATCH("",Codes,0))="Arbeit",INDEX(Arten,MATCH(B22,Codes,0))="Arbeit"),IF(ROUND((1+INDEX(Beginne,MATCH(B22,Codes,0))-INDEX(EndeRel,MATCH("",Codes,0)))*1440,0)&lt;660,1,0),0),0))</f>
      </c>
      <c r="C71" s="1">
        <f>IF(OR(C$52=0,B22="",C22=""),0,IFERROR(IF(AND(INDEX(Arten,MATCH(B22,Codes,0))="Arbeit",INDEX(Arten,MATCH(C22,Codes,0))="Arbeit"),IF(ROUND((1+INDEX(Beginne,MATCH(C22,Codes,0))-INDEX(EndeRel,MATCH(B22,Codes,0)))*1440,0)&lt;660,1,0),0),0))</f>
      </c>
      <c r="D71" s="1">
        <f>IF(OR(D$52=0,C22="",D22=""),0,IFERROR(IF(AND(INDEX(Arten,MATCH(C22,Codes,0))="Arbeit",INDEX(Arten,MATCH(D22,Codes,0))="Arbeit"),IF(ROUND((1+INDEX(Beginne,MATCH(D22,Codes,0))-INDEX(EndeRel,MATCH(C22,Codes,0)))*1440,0)&lt;660,1,0),0),0))</f>
      </c>
      <c r="E71" s="1">
        <f>IF(OR(E$52=0,D22="",E22=""),0,IFERROR(IF(AND(INDEX(Arten,MATCH(D22,Codes,0))="Arbeit",INDEX(Arten,MATCH(E22,Codes,0))="Arbeit"),IF(ROUND((1+INDEX(Beginne,MATCH(E22,Codes,0))-INDEX(EndeRel,MATCH(D22,Codes,0)))*1440,0)&lt;660,1,0),0),0))</f>
      </c>
      <c r="F71" s="1">
        <f>IF(OR(F$52=0,E22="",F22=""),0,IFERROR(IF(AND(INDEX(Arten,MATCH(E22,Codes,0))="Arbeit",INDEX(Arten,MATCH(F22,Codes,0))="Arbeit"),IF(ROUND((1+INDEX(Beginne,MATCH(F22,Codes,0))-INDEX(EndeRel,MATCH(E22,Codes,0)))*1440,0)&lt;660,1,0),0),0))</f>
      </c>
      <c r="G71" s="1">
        <f>IF(OR(G$52=0,F22="",G22=""),0,IFERROR(IF(AND(INDEX(Arten,MATCH(F22,Codes,0))="Arbeit",INDEX(Arten,MATCH(G22,Codes,0))="Arbeit"),IF(ROUND((1+INDEX(Beginne,MATCH(G22,Codes,0))-INDEX(EndeRel,MATCH(F22,Codes,0)))*1440,0)&lt;660,1,0),0),0))</f>
      </c>
      <c r="H71" s="1">
        <f>IF(OR(H$52=0,G22="",H22=""),0,IFERROR(IF(AND(INDEX(Arten,MATCH(G22,Codes,0))="Arbeit",INDEX(Arten,MATCH(H22,Codes,0))="Arbeit"),IF(ROUND((1+INDEX(Beginne,MATCH(H22,Codes,0))-INDEX(EndeRel,MATCH(G22,Codes,0)))*1440,0)&lt;660,1,0),0),0))</f>
      </c>
      <c r="I71" s="1">
        <f>IF(OR(I$52=0,H22="",I22=""),0,IFERROR(IF(AND(INDEX(Arten,MATCH(H22,Codes,0))="Arbeit",INDEX(Arten,MATCH(I22,Codes,0))="Arbeit"),IF(ROUND((1+INDEX(Beginne,MATCH(I22,Codes,0))-INDEX(EndeRel,MATCH(H22,Codes,0)))*1440,0)&lt;660,1,0),0),0))</f>
      </c>
      <c r="J71" s="1">
        <f>IF(OR(J$52=0,I22="",J22=""),0,IFERROR(IF(AND(INDEX(Arten,MATCH(I22,Codes,0))="Arbeit",INDEX(Arten,MATCH(J22,Codes,0))="Arbeit"),IF(ROUND((1+INDEX(Beginne,MATCH(J22,Codes,0))-INDEX(EndeRel,MATCH(I22,Codes,0)))*1440,0)&lt;660,1,0),0),0))</f>
      </c>
      <c r="K71" s="1">
        <f>IF(OR(K$52=0,J22="",K22=""),0,IFERROR(IF(AND(INDEX(Arten,MATCH(J22,Codes,0))="Arbeit",INDEX(Arten,MATCH(K22,Codes,0))="Arbeit"),IF(ROUND((1+INDEX(Beginne,MATCH(K22,Codes,0))-INDEX(EndeRel,MATCH(J22,Codes,0)))*1440,0)&lt;660,1,0),0),0))</f>
      </c>
      <c r="L71" s="1">
        <f>IF(OR(L$52=0,K22="",L22=""),0,IFERROR(IF(AND(INDEX(Arten,MATCH(K22,Codes,0))="Arbeit",INDEX(Arten,MATCH(L22,Codes,0))="Arbeit"),IF(ROUND((1+INDEX(Beginne,MATCH(L22,Codes,0))-INDEX(EndeRel,MATCH(K22,Codes,0)))*1440,0)&lt;660,1,0),0),0))</f>
      </c>
      <c r="M71" s="1">
        <f>IF(OR(M$52=0,L22="",M22=""),0,IFERROR(IF(AND(INDEX(Arten,MATCH(L22,Codes,0))="Arbeit",INDEX(Arten,MATCH(M22,Codes,0))="Arbeit"),IF(ROUND((1+INDEX(Beginne,MATCH(M22,Codes,0))-INDEX(EndeRel,MATCH(L22,Codes,0)))*1440,0)&lt;660,1,0),0),0))</f>
      </c>
      <c r="N71" s="1">
        <f>IF(OR(N$52=0,M22="",N22=""),0,IFERROR(IF(AND(INDEX(Arten,MATCH(M22,Codes,0))="Arbeit",INDEX(Arten,MATCH(N22,Codes,0))="Arbeit"),IF(ROUND((1+INDEX(Beginne,MATCH(N22,Codes,0))-INDEX(EndeRel,MATCH(M22,Codes,0)))*1440,0)&lt;660,1,0),0),0))</f>
      </c>
      <c r="O71" s="1">
        <f>IF(OR(O$52=0,N22="",O22=""),0,IFERROR(IF(AND(INDEX(Arten,MATCH(N22,Codes,0))="Arbeit",INDEX(Arten,MATCH(O22,Codes,0))="Arbeit"),IF(ROUND((1+INDEX(Beginne,MATCH(O22,Codes,0))-INDEX(EndeRel,MATCH(N22,Codes,0)))*1440,0)&lt;660,1,0),0),0))</f>
      </c>
      <c r="P71" s="1">
        <f>IF(OR(P$52=0,O22="",P22=""),0,IFERROR(IF(AND(INDEX(Arten,MATCH(O22,Codes,0))="Arbeit",INDEX(Arten,MATCH(P22,Codes,0))="Arbeit"),IF(ROUND((1+INDEX(Beginne,MATCH(P22,Codes,0))-INDEX(EndeRel,MATCH(O22,Codes,0)))*1440,0)&lt;660,1,0),0),0))</f>
      </c>
      <c r="Q71" s="1">
        <f>IF(OR(Q$52=0,P22="",Q22=""),0,IFERROR(IF(AND(INDEX(Arten,MATCH(P22,Codes,0))="Arbeit",INDEX(Arten,MATCH(Q22,Codes,0))="Arbeit"),IF(ROUND((1+INDEX(Beginne,MATCH(Q22,Codes,0))-INDEX(EndeRel,MATCH(P22,Codes,0)))*1440,0)&lt;660,1,0),0),0))</f>
      </c>
      <c r="R71" s="1">
        <f>IF(OR(R$52=0,Q22="",R22=""),0,IFERROR(IF(AND(INDEX(Arten,MATCH(Q22,Codes,0))="Arbeit",INDEX(Arten,MATCH(R22,Codes,0))="Arbeit"),IF(ROUND((1+INDEX(Beginne,MATCH(R22,Codes,0))-INDEX(EndeRel,MATCH(Q22,Codes,0)))*1440,0)&lt;660,1,0),0),0))</f>
      </c>
      <c r="S71" s="1">
        <f>IF(OR(S$52=0,R22="",S22=""),0,IFERROR(IF(AND(INDEX(Arten,MATCH(R22,Codes,0))="Arbeit",INDEX(Arten,MATCH(S22,Codes,0))="Arbeit"),IF(ROUND((1+INDEX(Beginne,MATCH(S22,Codes,0))-INDEX(EndeRel,MATCH(R22,Codes,0)))*1440,0)&lt;660,1,0),0),0))</f>
      </c>
      <c r="T71" s="1">
        <f>IF(OR(T$52=0,S22="",T22=""),0,IFERROR(IF(AND(INDEX(Arten,MATCH(S22,Codes,0))="Arbeit",INDEX(Arten,MATCH(T22,Codes,0))="Arbeit"),IF(ROUND((1+INDEX(Beginne,MATCH(T22,Codes,0))-INDEX(EndeRel,MATCH(S22,Codes,0)))*1440,0)&lt;660,1,0),0),0))</f>
      </c>
      <c r="U71" s="1">
        <f>IF(OR(U$52=0,T22="",U22=""),0,IFERROR(IF(AND(INDEX(Arten,MATCH(T22,Codes,0))="Arbeit",INDEX(Arten,MATCH(U22,Codes,0))="Arbeit"),IF(ROUND((1+INDEX(Beginne,MATCH(U22,Codes,0))-INDEX(EndeRel,MATCH(T22,Codes,0)))*1440,0)&lt;660,1,0),0),0))</f>
      </c>
      <c r="V71" s="1">
        <f>IF(OR(V$52=0,U22="",V22=""),0,IFERROR(IF(AND(INDEX(Arten,MATCH(U22,Codes,0))="Arbeit",INDEX(Arten,MATCH(V22,Codes,0))="Arbeit"),IF(ROUND((1+INDEX(Beginne,MATCH(V22,Codes,0))-INDEX(EndeRel,MATCH(U22,Codes,0)))*1440,0)&lt;660,1,0),0),0))</f>
      </c>
      <c r="W71" s="1">
        <f>IF(OR(W$52=0,V22="",W22=""),0,IFERROR(IF(AND(INDEX(Arten,MATCH(V22,Codes,0))="Arbeit",INDEX(Arten,MATCH(W22,Codes,0))="Arbeit"),IF(ROUND((1+INDEX(Beginne,MATCH(W22,Codes,0))-INDEX(EndeRel,MATCH(V22,Codes,0)))*1440,0)&lt;660,1,0),0),0))</f>
      </c>
      <c r="X71" s="1">
        <f>IF(OR(X$52=0,W22="",X22=""),0,IFERROR(IF(AND(INDEX(Arten,MATCH(W22,Codes,0))="Arbeit",INDEX(Arten,MATCH(X22,Codes,0))="Arbeit"),IF(ROUND((1+INDEX(Beginne,MATCH(X22,Codes,0))-INDEX(EndeRel,MATCH(W22,Codes,0)))*1440,0)&lt;660,1,0),0),0))</f>
      </c>
      <c r="Y71" s="1">
        <f>IF(OR(Y$52=0,X22="",Y22=""),0,IFERROR(IF(AND(INDEX(Arten,MATCH(X22,Codes,0))="Arbeit",INDEX(Arten,MATCH(Y22,Codes,0))="Arbeit"),IF(ROUND((1+INDEX(Beginne,MATCH(Y22,Codes,0))-INDEX(EndeRel,MATCH(X22,Codes,0)))*1440,0)&lt;660,1,0),0),0))</f>
      </c>
      <c r="Z71" s="1">
        <f>IF(OR(Z$52=0,Y22="",Z22=""),0,IFERROR(IF(AND(INDEX(Arten,MATCH(Y22,Codes,0))="Arbeit",INDEX(Arten,MATCH(Z22,Codes,0))="Arbeit"),IF(ROUND((1+INDEX(Beginne,MATCH(Z22,Codes,0))-INDEX(EndeRel,MATCH(Y22,Codes,0)))*1440,0)&lt;660,1,0),0),0))</f>
      </c>
      <c r="AA71" s="1">
        <f>IF(OR(AA$52=0,Z22="",AA22=""),0,IFERROR(IF(AND(INDEX(Arten,MATCH(Z22,Codes,0))="Arbeit",INDEX(Arten,MATCH(AA22,Codes,0))="Arbeit"),IF(ROUND((1+INDEX(Beginne,MATCH(AA22,Codes,0))-INDEX(EndeRel,MATCH(Z22,Codes,0)))*1440,0)&lt;660,1,0),0),0))</f>
      </c>
      <c r="AB71" s="1">
        <f>IF(OR(AB$52=0,AA22="",AB22=""),0,IFERROR(IF(AND(INDEX(Arten,MATCH(AA22,Codes,0))="Arbeit",INDEX(Arten,MATCH(AB22,Codes,0))="Arbeit"),IF(ROUND((1+INDEX(Beginne,MATCH(AB22,Codes,0))-INDEX(EndeRel,MATCH(AA22,Codes,0)))*1440,0)&lt;660,1,0),0),0))</f>
      </c>
      <c r="AC71" s="1">
        <f>IF(OR(AC$52=0,AB22="",AC22=""),0,IFERROR(IF(AND(INDEX(Arten,MATCH(AB22,Codes,0))="Arbeit",INDEX(Arten,MATCH(AC22,Codes,0))="Arbeit"),IF(ROUND((1+INDEX(Beginne,MATCH(AC22,Codes,0))-INDEX(EndeRel,MATCH(AB22,Codes,0)))*1440,0)&lt;660,1,0),0),0))</f>
      </c>
      <c r="AD71" s="1">
        <f>IF(OR(AD$52=0,AC22="",AD22=""),0,IFERROR(IF(AND(INDEX(Arten,MATCH(AC22,Codes,0))="Arbeit",INDEX(Arten,MATCH(AD22,Codes,0))="Arbeit"),IF(ROUND((1+INDEX(Beginne,MATCH(AD22,Codes,0))-INDEX(EndeRel,MATCH(AC22,Codes,0)))*1440,0)&lt;660,1,0),0),0))</f>
      </c>
      <c r="AE71" s="1">
        <f>IF(OR(AE$52=0,AD22="",AE22=""),0,IFERROR(IF(AND(INDEX(Arten,MATCH(AD22,Codes,0))="Arbeit",INDEX(Arten,MATCH(AE22,Codes,0))="Arbeit"),IF(ROUND((1+INDEX(Beginne,MATCH(AE22,Codes,0))-INDEX(EndeRel,MATCH(AD22,Codes,0)))*1440,0)&lt;660,1,0),0),0))</f>
      </c>
      <c r="AF71" s="1">
        <f>IF(OR(AF$52=0,AE22="",AF22=""),0,IFERROR(IF(AND(INDEX(Arten,MATCH(AE22,Codes,0))="Arbeit",INDEX(Arten,MATCH(AF22,Codes,0))="Arbeit"),IF(ROUND((1+INDEX(Beginne,MATCH(AF22,Codes,0))-INDEX(EndeRel,MATCH(AE22,Codes,0)))*1440,0)&lt;660,1,0),0),0))</f>
      </c>
    </row>
    <row r="72" hidden="1" spans="1:32" x14ac:dyDescent="0.25">
      <c r="A72" s="1"/>
      <c r="B72" s="1">
        <f>IF(OR(B$52=0,""="",B23=""),0,IFERROR(IF(AND(INDEX(Arten,MATCH("",Codes,0))="Arbeit",INDEX(Arten,MATCH(B23,Codes,0))="Arbeit"),IF(ROUND((1+INDEX(Beginne,MATCH(B23,Codes,0))-INDEX(EndeRel,MATCH("",Codes,0)))*1440,0)&lt;660,1,0),0),0))</f>
      </c>
      <c r="C72" s="1">
        <f>IF(OR(C$52=0,B23="",C23=""),0,IFERROR(IF(AND(INDEX(Arten,MATCH(B23,Codes,0))="Arbeit",INDEX(Arten,MATCH(C23,Codes,0))="Arbeit"),IF(ROUND((1+INDEX(Beginne,MATCH(C23,Codes,0))-INDEX(EndeRel,MATCH(B23,Codes,0)))*1440,0)&lt;660,1,0),0),0))</f>
      </c>
      <c r="D72" s="1">
        <f>IF(OR(D$52=0,C23="",D23=""),0,IFERROR(IF(AND(INDEX(Arten,MATCH(C23,Codes,0))="Arbeit",INDEX(Arten,MATCH(D23,Codes,0))="Arbeit"),IF(ROUND((1+INDEX(Beginne,MATCH(D23,Codes,0))-INDEX(EndeRel,MATCH(C23,Codes,0)))*1440,0)&lt;660,1,0),0),0))</f>
      </c>
      <c r="E72" s="1">
        <f>IF(OR(E$52=0,D23="",E23=""),0,IFERROR(IF(AND(INDEX(Arten,MATCH(D23,Codes,0))="Arbeit",INDEX(Arten,MATCH(E23,Codes,0))="Arbeit"),IF(ROUND((1+INDEX(Beginne,MATCH(E23,Codes,0))-INDEX(EndeRel,MATCH(D23,Codes,0)))*1440,0)&lt;660,1,0),0),0))</f>
      </c>
      <c r="F72" s="1">
        <f>IF(OR(F$52=0,E23="",F23=""),0,IFERROR(IF(AND(INDEX(Arten,MATCH(E23,Codes,0))="Arbeit",INDEX(Arten,MATCH(F23,Codes,0))="Arbeit"),IF(ROUND((1+INDEX(Beginne,MATCH(F23,Codes,0))-INDEX(EndeRel,MATCH(E23,Codes,0)))*1440,0)&lt;660,1,0),0),0))</f>
      </c>
      <c r="G72" s="1">
        <f>IF(OR(G$52=0,F23="",G23=""),0,IFERROR(IF(AND(INDEX(Arten,MATCH(F23,Codes,0))="Arbeit",INDEX(Arten,MATCH(G23,Codes,0))="Arbeit"),IF(ROUND((1+INDEX(Beginne,MATCH(G23,Codes,0))-INDEX(EndeRel,MATCH(F23,Codes,0)))*1440,0)&lt;660,1,0),0),0))</f>
      </c>
      <c r="H72" s="1">
        <f>IF(OR(H$52=0,G23="",H23=""),0,IFERROR(IF(AND(INDEX(Arten,MATCH(G23,Codes,0))="Arbeit",INDEX(Arten,MATCH(H23,Codes,0))="Arbeit"),IF(ROUND((1+INDEX(Beginne,MATCH(H23,Codes,0))-INDEX(EndeRel,MATCH(G23,Codes,0)))*1440,0)&lt;660,1,0),0),0))</f>
      </c>
      <c r="I72" s="1">
        <f>IF(OR(I$52=0,H23="",I23=""),0,IFERROR(IF(AND(INDEX(Arten,MATCH(H23,Codes,0))="Arbeit",INDEX(Arten,MATCH(I23,Codes,0))="Arbeit"),IF(ROUND((1+INDEX(Beginne,MATCH(I23,Codes,0))-INDEX(EndeRel,MATCH(H23,Codes,0)))*1440,0)&lt;660,1,0),0),0))</f>
      </c>
      <c r="J72" s="1">
        <f>IF(OR(J$52=0,I23="",J23=""),0,IFERROR(IF(AND(INDEX(Arten,MATCH(I23,Codes,0))="Arbeit",INDEX(Arten,MATCH(J23,Codes,0))="Arbeit"),IF(ROUND((1+INDEX(Beginne,MATCH(J23,Codes,0))-INDEX(EndeRel,MATCH(I23,Codes,0)))*1440,0)&lt;660,1,0),0),0))</f>
      </c>
      <c r="K72" s="1">
        <f>IF(OR(K$52=0,J23="",K23=""),0,IFERROR(IF(AND(INDEX(Arten,MATCH(J23,Codes,0))="Arbeit",INDEX(Arten,MATCH(K23,Codes,0))="Arbeit"),IF(ROUND((1+INDEX(Beginne,MATCH(K23,Codes,0))-INDEX(EndeRel,MATCH(J23,Codes,0)))*1440,0)&lt;660,1,0),0),0))</f>
      </c>
      <c r="L72" s="1">
        <f>IF(OR(L$52=0,K23="",L23=""),0,IFERROR(IF(AND(INDEX(Arten,MATCH(K23,Codes,0))="Arbeit",INDEX(Arten,MATCH(L23,Codes,0))="Arbeit"),IF(ROUND((1+INDEX(Beginne,MATCH(L23,Codes,0))-INDEX(EndeRel,MATCH(K23,Codes,0)))*1440,0)&lt;660,1,0),0),0))</f>
      </c>
      <c r="M72" s="1">
        <f>IF(OR(M$52=0,L23="",M23=""),0,IFERROR(IF(AND(INDEX(Arten,MATCH(L23,Codes,0))="Arbeit",INDEX(Arten,MATCH(M23,Codes,0))="Arbeit"),IF(ROUND((1+INDEX(Beginne,MATCH(M23,Codes,0))-INDEX(EndeRel,MATCH(L23,Codes,0)))*1440,0)&lt;660,1,0),0),0))</f>
      </c>
      <c r="N72" s="1">
        <f>IF(OR(N$52=0,M23="",N23=""),0,IFERROR(IF(AND(INDEX(Arten,MATCH(M23,Codes,0))="Arbeit",INDEX(Arten,MATCH(N23,Codes,0))="Arbeit"),IF(ROUND((1+INDEX(Beginne,MATCH(N23,Codes,0))-INDEX(EndeRel,MATCH(M23,Codes,0)))*1440,0)&lt;660,1,0),0),0))</f>
      </c>
      <c r="O72" s="1">
        <f>IF(OR(O$52=0,N23="",O23=""),0,IFERROR(IF(AND(INDEX(Arten,MATCH(N23,Codes,0))="Arbeit",INDEX(Arten,MATCH(O23,Codes,0))="Arbeit"),IF(ROUND((1+INDEX(Beginne,MATCH(O23,Codes,0))-INDEX(EndeRel,MATCH(N23,Codes,0)))*1440,0)&lt;660,1,0),0),0))</f>
      </c>
      <c r="P72" s="1">
        <f>IF(OR(P$52=0,O23="",P23=""),0,IFERROR(IF(AND(INDEX(Arten,MATCH(O23,Codes,0))="Arbeit",INDEX(Arten,MATCH(P23,Codes,0))="Arbeit"),IF(ROUND((1+INDEX(Beginne,MATCH(P23,Codes,0))-INDEX(EndeRel,MATCH(O23,Codes,0)))*1440,0)&lt;660,1,0),0),0))</f>
      </c>
      <c r="Q72" s="1">
        <f>IF(OR(Q$52=0,P23="",Q23=""),0,IFERROR(IF(AND(INDEX(Arten,MATCH(P23,Codes,0))="Arbeit",INDEX(Arten,MATCH(Q23,Codes,0))="Arbeit"),IF(ROUND((1+INDEX(Beginne,MATCH(Q23,Codes,0))-INDEX(EndeRel,MATCH(P23,Codes,0)))*1440,0)&lt;660,1,0),0),0))</f>
      </c>
      <c r="R72" s="1">
        <f>IF(OR(R$52=0,Q23="",R23=""),0,IFERROR(IF(AND(INDEX(Arten,MATCH(Q23,Codes,0))="Arbeit",INDEX(Arten,MATCH(R23,Codes,0))="Arbeit"),IF(ROUND((1+INDEX(Beginne,MATCH(R23,Codes,0))-INDEX(EndeRel,MATCH(Q23,Codes,0)))*1440,0)&lt;660,1,0),0),0))</f>
      </c>
      <c r="S72" s="1">
        <f>IF(OR(S$52=0,R23="",S23=""),0,IFERROR(IF(AND(INDEX(Arten,MATCH(R23,Codes,0))="Arbeit",INDEX(Arten,MATCH(S23,Codes,0))="Arbeit"),IF(ROUND((1+INDEX(Beginne,MATCH(S23,Codes,0))-INDEX(EndeRel,MATCH(R23,Codes,0)))*1440,0)&lt;660,1,0),0),0))</f>
      </c>
      <c r="T72" s="1">
        <f>IF(OR(T$52=0,S23="",T23=""),0,IFERROR(IF(AND(INDEX(Arten,MATCH(S23,Codes,0))="Arbeit",INDEX(Arten,MATCH(T23,Codes,0))="Arbeit"),IF(ROUND((1+INDEX(Beginne,MATCH(T23,Codes,0))-INDEX(EndeRel,MATCH(S23,Codes,0)))*1440,0)&lt;660,1,0),0),0))</f>
      </c>
      <c r="U72" s="1">
        <f>IF(OR(U$52=0,T23="",U23=""),0,IFERROR(IF(AND(INDEX(Arten,MATCH(T23,Codes,0))="Arbeit",INDEX(Arten,MATCH(U23,Codes,0))="Arbeit"),IF(ROUND((1+INDEX(Beginne,MATCH(U23,Codes,0))-INDEX(EndeRel,MATCH(T23,Codes,0)))*1440,0)&lt;660,1,0),0),0))</f>
      </c>
      <c r="V72" s="1">
        <f>IF(OR(V$52=0,U23="",V23=""),0,IFERROR(IF(AND(INDEX(Arten,MATCH(U23,Codes,0))="Arbeit",INDEX(Arten,MATCH(V23,Codes,0))="Arbeit"),IF(ROUND((1+INDEX(Beginne,MATCH(V23,Codes,0))-INDEX(EndeRel,MATCH(U23,Codes,0)))*1440,0)&lt;660,1,0),0),0))</f>
      </c>
      <c r="W72" s="1">
        <f>IF(OR(W$52=0,V23="",W23=""),0,IFERROR(IF(AND(INDEX(Arten,MATCH(V23,Codes,0))="Arbeit",INDEX(Arten,MATCH(W23,Codes,0))="Arbeit"),IF(ROUND((1+INDEX(Beginne,MATCH(W23,Codes,0))-INDEX(EndeRel,MATCH(V23,Codes,0)))*1440,0)&lt;660,1,0),0),0))</f>
      </c>
      <c r="X72" s="1">
        <f>IF(OR(X$52=0,W23="",X23=""),0,IFERROR(IF(AND(INDEX(Arten,MATCH(W23,Codes,0))="Arbeit",INDEX(Arten,MATCH(X23,Codes,0))="Arbeit"),IF(ROUND((1+INDEX(Beginne,MATCH(X23,Codes,0))-INDEX(EndeRel,MATCH(W23,Codes,0)))*1440,0)&lt;660,1,0),0),0))</f>
      </c>
      <c r="Y72" s="1">
        <f>IF(OR(Y$52=0,X23="",Y23=""),0,IFERROR(IF(AND(INDEX(Arten,MATCH(X23,Codes,0))="Arbeit",INDEX(Arten,MATCH(Y23,Codes,0))="Arbeit"),IF(ROUND((1+INDEX(Beginne,MATCH(Y23,Codes,0))-INDEX(EndeRel,MATCH(X23,Codes,0)))*1440,0)&lt;660,1,0),0),0))</f>
      </c>
      <c r="Z72" s="1">
        <f>IF(OR(Z$52=0,Y23="",Z23=""),0,IFERROR(IF(AND(INDEX(Arten,MATCH(Y23,Codes,0))="Arbeit",INDEX(Arten,MATCH(Z23,Codes,0))="Arbeit"),IF(ROUND((1+INDEX(Beginne,MATCH(Z23,Codes,0))-INDEX(EndeRel,MATCH(Y23,Codes,0)))*1440,0)&lt;660,1,0),0),0))</f>
      </c>
      <c r="AA72" s="1">
        <f>IF(OR(AA$52=0,Z23="",AA23=""),0,IFERROR(IF(AND(INDEX(Arten,MATCH(Z23,Codes,0))="Arbeit",INDEX(Arten,MATCH(AA23,Codes,0))="Arbeit"),IF(ROUND((1+INDEX(Beginne,MATCH(AA23,Codes,0))-INDEX(EndeRel,MATCH(Z23,Codes,0)))*1440,0)&lt;660,1,0),0),0))</f>
      </c>
      <c r="AB72" s="1">
        <f>IF(OR(AB$52=0,AA23="",AB23=""),0,IFERROR(IF(AND(INDEX(Arten,MATCH(AA23,Codes,0))="Arbeit",INDEX(Arten,MATCH(AB23,Codes,0))="Arbeit"),IF(ROUND((1+INDEX(Beginne,MATCH(AB23,Codes,0))-INDEX(EndeRel,MATCH(AA23,Codes,0)))*1440,0)&lt;660,1,0),0),0))</f>
      </c>
      <c r="AC72" s="1">
        <f>IF(OR(AC$52=0,AB23="",AC23=""),0,IFERROR(IF(AND(INDEX(Arten,MATCH(AB23,Codes,0))="Arbeit",INDEX(Arten,MATCH(AC23,Codes,0))="Arbeit"),IF(ROUND((1+INDEX(Beginne,MATCH(AC23,Codes,0))-INDEX(EndeRel,MATCH(AB23,Codes,0)))*1440,0)&lt;660,1,0),0),0))</f>
      </c>
      <c r="AD72" s="1">
        <f>IF(OR(AD$52=0,AC23="",AD23=""),0,IFERROR(IF(AND(INDEX(Arten,MATCH(AC23,Codes,0))="Arbeit",INDEX(Arten,MATCH(AD23,Codes,0))="Arbeit"),IF(ROUND((1+INDEX(Beginne,MATCH(AD23,Codes,0))-INDEX(EndeRel,MATCH(AC23,Codes,0)))*1440,0)&lt;660,1,0),0),0))</f>
      </c>
      <c r="AE72" s="1">
        <f>IF(OR(AE$52=0,AD23="",AE23=""),0,IFERROR(IF(AND(INDEX(Arten,MATCH(AD23,Codes,0))="Arbeit",INDEX(Arten,MATCH(AE23,Codes,0))="Arbeit"),IF(ROUND((1+INDEX(Beginne,MATCH(AE23,Codes,0))-INDEX(EndeRel,MATCH(AD23,Codes,0)))*1440,0)&lt;660,1,0),0),0))</f>
      </c>
      <c r="AF72" s="1">
        <f>IF(OR(AF$52=0,AE23="",AF23=""),0,IFERROR(IF(AND(INDEX(Arten,MATCH(AE23,Codes,0))="Arbeit",INDEX(Arten,MATCH(AF23,Codes,0))="Arbeit"),IF(ROUND((1+INDEX(Beginne,MATCH(AF23,Codes,0))-INDEX(EndeRel,MATCH(AE23,Codes,0)))*1440,0)&lt;660,1,0),0),0))</f>
      </c>
    </row>
    <row r="73" hidden="1" spans="1:32" x14ac:dyDescent="0.25">
      <c r="A73" s="1"/>
      <c r="B73" s="1">
        <f>IF(OR(B$52=0,""="",B24=""),0,IFERROR(IF(AND(INDEX(Arten,MATCH("",Codes,0))="Arbeit",INDEX(Arten,MATCH(B24,Codes,0))="Arbeit"),IF(ROUND((1+INDEX(Beginne,MATCH(B24,Codes,0))-INDEX(EndeRel,MATCH("",Codes,0)))*1440,0)&lt;660,1,0),0),0))</f>
      </c>
      <c r="C73" s="1">
        <f>IF(OR(C$52=0,B24="",C24=""),0,IFERROR(IF(AND(INDEX(Arten,MATCH(B24,Codes,0))="Arbeit",INDEX(Arten,MATCH(C24,Codes,0))="Arbeit"),IF(ROUND((1+INDEX(Beginne,MATCH(C24,Codes,0))-INDEX(EndeRel,MATCH(B24,Codes,0)))*1440,0)&lt;660,1,0),0),0))</f>
      </c>
      <c r="D73" s="1">
        <f>IF(OR(D$52=0,C24="",D24=""),0,IFERROR(IF(AND(INDEX(Arten,MATCH(C24,Codes,0))="Arbeit",INDEX(Arten,MATCH(D24,Codes,0))="Arbeit"),IF(ROUND((1+INDEX(Beginne,MATCH(D24,Codes,0))-INDEX(EndeRel,MATCH(C24,Codes,0)))*1440,0)&lt;660,1,0),0),0))</f>
      </c>
      <c r="E73" s="1">
        <f>IF(OR(E$52=0,D24="",E24=""),0,IFERROR(IF(AND(INDEX(Arten,MATCH(D24,Codes,0))="Arbeit",INDEX(Arten,MATCH(E24,Codes,0))="Arbeit"),IF(ROUND((1+INDEX(Beginne,MATCH(E24,Codes,0))-INDEX(EndeRel,MATCH(D24,Codes,0)))*1440,0)&lt;660,1,0),0),0))</f>
      </c>
      <c r="F73" s="1">
        <f>IF(OR(F$52=0,E24="",F24=""),0,IFERROR(IF(AND(INDEX(Arten,MATCH(E24,Codes,0))="Arbeit",INDEX(Arten,MATCH(F24,Codes,0))="Arbeit"),IF(ROUND((1+INDEX(Beginne,MATCH(F24,Codes,0))-INDEX(EndeRel,MATCH(E24,Codes,0)))*1440,0)&lt;660,1,0),0),0))</f>
      </c>
      <c r="G73" s="1">
        <f>IF(OR(G$52=0,F24="",G24=""),0,IFERROR(IF(AND(INDEX(Arten,MATCH(F24,Codes,0))="Arbeit",INDEX(Arten,MATCH(G24,Codes,0))="Arbeit"),IF(ROUND((1+INDEX(Beginne,MATCH(G24,Codes,0))-INDEX(EndeRel,MATCH(F24,Codes,0)))*1440,0)&lt;660,1,0),0),0))</f>
      </c>
      <c r="H73" s="1">
        <f>IF(OR(H$52=0,G24="",H24=""),0,IFERROR(IF(AND(INDEX(Arten,MATCH(G24,Codes,0))="Arbeit",INDEX(Arten,MATCH(H24,Codes,0))="Arbeit"),IF(ROUND((1+INDEX(Beginne,MATCH(H24,Codes,0))-INDEX(EndeRel,MATCH(G24,Codes,0)))*1440,0)&lt;660,1,0),0),0))</f>
      </c>
      <c r="I73" s="1">
        <f>IF(OR(I$52=0,H24="",I24=""),0,IFERROR(IF(AND(INDEX(Arten,MATCH(H24,Codes,0))="Arbeit",INDEX(Arten,MATCH(I24,Codes,0))="Arbeit"),IF(ROUND((1+INDEX(Beginne,MATCH(I24,Codes,0))-INDEX(EndeRel,MATCH(H24,Codes,0)))*1440,0)&lt;660,1,0),0),0))</f>
      </c>
      <c r="J73" s="1">
        <f>IF(OR(J$52=0,I24="",J24=""),0,IFERROR(IF(AND(INDEX(Arten,MATCH(I24,Codes,0))="Arbeit",INDEX(Arten,MATCH(J24,Codes,0))="Arbeit"),IF(ROUND((1+INDEX(Beginne,MATCH(J24,Codes,0))-INDEX(EndeRel,MATCH(I24,Codes,0)))*1440,0)&lt;660,1,0),0),0))</f>
      </c>
      <c r="K73" s="1">
        <f>IF(OR(K$52=0,J24="",K24=""),0,IFERROR(IF(AND(INDEX(Arten,MATCH(J24,Codes,0))="Arbeit",INDEX(Arten,MATCH(K24,Codes,0))="Arbeit"),IF(ROUND((1+INDEX(Beginne,MATCH(K24,Codes,0))-INDEX(EndeRel,MATCH(J24,Codes,0)))*1440,0)&lt;660,1,0),0),0))</f>
      </c>
      <c r="L73" s="1">
        <f>IF(OR(L$52=0,K24="",L24=""),0,IFERROR(IF(AND(INDEX(Arten,MATCH(K24,Codes,0))="Arbeit",INDEX(Arten,MATCH(L24,Codes,0))="Arbeit"),IF(ROUND((1+INDEX(Beginne,MATCH(L24,Codes,0))-INDEX(EndeRel,MATCH(K24,Codes,0)))*1440,0)&lt;660,1,0),0),0))</f>
      </c>
      <c r="M73" s="1">
        <f>IF(OR(M$52=0,L24="",M24=""),0,IFERROR(IF(AND(INDEX(Arten,MATCH(L24,Codes,0))="Arbeit",INDEX(Arten,MATCH(M24,Codes,0))="Arbeit"),IF(ROUND((1+INDEX(Beginne,MATCH(M24,Codes,0))-INDEX(EndeRel,MATCH(L24,Codes,0)))*1440,0)&lt;660,1,0),0),0))</f>
      </c>
      <c r="N73" s="1">
        <f>IF(OR(N$52=0,M24="",N24=""),0,IFERROR(IF(AND(INDEX(Arten,MATCH(M24,Codes,0))="Arbeit",INDEX(Arten,MATCH(N24,Codes,0))="Arbeit"),IF(ROUND((1+INDEX(Beginne,MATCH(N24,Codes,0))-INDEX(EndeRel,MATCH(M24,Codes,0)))*1440,0)&lt;660,1,0),0),0))</f>
      </c>
      <c r="O73" s="1">
        <f>IF(OR(O$52=0,N24="",O24=""),0,IFERROR(IF(AND(INDEX(Arten,MATCH(N24,Codes,0))="Arbeit",INDEX(Arten,MATCH(O24,Codes,0))="Arbeit"),IF(ROUND((1+INDEX(Beginne,MATCH(O24,Codes,0))-INDEX(EndeRel,MATCH(N24,Codes,0)))*1440,0)&lt;660,1,0),0),0))</f>
      </c>
      <c r="P73" s="1">
        <f>IF(OR(P$52=0,O24="",P24=""),0,IFERROR(IF(AND(INDEX(Arten,MATCH(O24,Codes,0))="Arbeit",INDEX(Arten,MATCH(P24,Codes,0))="Arbeit"),IF(ROUND((1+INDEX(Beginne,MATCH(P24,Codes,0))-INDEX(EndeRel,MATCH(O24,Codes,0)))*1440,0)&lt;660,1,0),0),0))</f>
      </c>
      <c r="Q73" s="1">
        <f>IF(OR(Q$52=0,P24="",Q24=""),0,IFERROR(IF(AND(INDEX(Arten,MATCH(P24,Codes,0))="Arbeit",INDEX(Arten,MATCH(Q24,Codes,0))="Arbeit"),IF(ROUND((1+INDEX(Beginne,MATCH(Q24,Codes,0))-INDEX(EndeRel,MATCH(P24,Codes,0)))*1440,0)&lt;660,1,0),0),0))</f>
      </c>
      <c r="R73" s="1">
        <f>IF(OR(R$52=0,Q24="",R24=""),0,IFERROR(IF(AND(INDEX(Arten,MATCH(Q24,Codes,0))="Arbeit",INDEX(Arten,MATCH(R24,Codes,0))="Arbeit"),IF(ROUND((1+INDEX(Beginne,MATCH(R24,Codes,0))-INDEX(EndeRel,MATCH(Q24,Codes,0)))*1440,0)&lt;660,1,0),0),0))</f>
      </c>
      <c r="S73" s="1">
        <f>IF(OR(S$52=0,R24="",S24=""),0,IFERROR(IF(AND(INDEX(Arten,MATCH(R24,Codes,0))="Arbeit",INDEX(Arten,MATCH(S24,Codes,0))="Arbeit"),IF(ROUND((1+INDEX(Beginne,MATCH(S24,Codes,0))-INDEX(EndeRel,MATCH(R24,Codes,0)))*1440,0)&lt;660,1,0),0),0))</f>
      </c>
      <c r="T73" s="1">
        <f>IF(OR(T$52=0,S24="",T24=""),0,IFERROR(IF(AND(INDEX(Arten,MATCH(S24,Codes,0))="Arbeit",INDEX(Arten,MATCH(T24,Codes,0))="Arbeit"),IF(ROUND((1+INDEX(Beginne,MATCH(T24,Codes,0))-INDEX(EndeRel,MATCH(S24,Codes,0)))*1440,0)&lt;660,1,0),0),0))</f>
      </c>
      <c r="U73" s="1">
        <f>IF(OR(U$52=0,T24="",U24=""),0,IFERROR(IF(AND(INDEX(Arten,MATCH(T24,Codes,0))="Arbeit",INDEX(Arten,MATCH(U24,Codes,0))="Arbeit"),IF(ROUND((1+INDEX(Beginne,MATCH(U24,Codes,0))-INDEX(EndeRel,MATCH(T24,Codes,0)))*1440,0)&lt;660,1,0),0),0))</f>
      </c>
      <c r="V73" s="1">
        <f>IF(OR(V$52=0,U24="",V24=""),0,IFERROR(IF(AND(INDEX(Arten,MATCH(U24,Codes,0))="Arbeit",INDEX(Arten,MATCH(V24,Codes,0))="Arbeit"),IF(ROUND((1+INDEX(Beginne,MATCH(V24,Codes,0))-INDEX(EndeRel,MATCH(U24,Codes,0)))*1440,0)&lt;660,1,0),0),0))</f>
      </c>
      <c r="W73" s="1">
        <f>IF(OR(W$52=0,V24="",W24=""),0,IFERROR(IF(AND(INDEX(Arten,MATCH(V24,Codes,0))="Arbeit",INDEX(Arten,MATCH(W24,Codes,0))="Arbeit"),IF(ROUND((1+INDEX(Beginne,MATCH(W24,Codes,0))-INDEX(EndeRel,MATCH(V24,Codes,0)))*1440,0)&lt;660,1,0),0),0))</f>
      </c>
      <c r="X73" s="1">
        <f>IF(OR(X$52=0,W24="",X24=""),0,IFERROR(IF(AND(INDEX(Arten,MATCH(W24,Codes,0))="Arbeit",INDEX(Arten,MATCH(X24,Codes,0))="Arbeit"),IF(ROUND((1+INDEX(Beginne,MATCH(X24,Codes,0))-INDEX(EndeRel,MATCH(W24,Codes,0)))*1440,0)&lt;660,1,0),0),0))</f>
      </c>
      <c r="Y73" s="1">
        <f>IF(OR(Y$52=0,X24="",Y24=""),0,IFERROR(IF(AND(INDEX(Arten,MATCH(X24,Codes,0))="Arbeit",INDEX(Arten,MATCH(Y24,Codes,0))="Arbeit"),IF(ROUND((1+INDEX(Beginne,MATCH(Y24,Codes,0))-INDEX(EndeRel,MATCH(X24,Codes,0)))*1440,0)&lt;660,1,0),0),0))</f>
      </c>
      <c r="Z73" s="1">
        <f>IF(OR(Z$52=0,Y24="",Z24=""),0,IFERROR(IF(AND(INDEX(Arten,MATCH(Y24,Codes,0))="Arbeit",INDEX(Arten,MATCH(Z24,Codes,0))="Arbeit"),IF(ROUND((1+INDEX(Beginne,MATCH(Z24,Codes,0))-INDEX(EndeRel,MATCH(Y24,Codes,0)))*1440,0)&lt;660,1,0),0),0))</f>
      </c>
      <c r="AA73" s="1">
        <f>IF(OR(AA$52=0,Z24="",AA24=""),0,IFERROR(IF(AND(INDEX(Arten,MATCH(Z24,Codes,0))="Arbeit",INDEX(Arten,MATCH(AA24,Codes,0))="Arbeit"),IF(ROUND((1+INDEX(Beginne,MATCH(AA24,Codes,0))-INDEX(EndeRel,MATCH(Z24,Codes,0)))*1440,0)&lt;660,1,0),0),0))</f>
      </c>
      <c r="AB73" s="1">
        <f>IF(OR(AB$52=0,AA24="",AB24=""),0,IFERROR(IF(AND(INDEX(Arten,MATCH(AA24,Codes,0))="Arbeit",INDEX(Arten,MATCH(AB24,Codes,0))="Arbeit"),IF(ROUND((1+INDEX(Beginne,MATCH(AB24,Codes,0))-INDEX(EndeRel,MATCH(AA24,Codes,0)))*1440,0)&lt;660,1,0),0),0))</f>
      </c>
      <c r="AC73" s="1">
        <f>IF(OR(AC$52=0,AB24="",AC24=""),0,IFERROR(IF(AND(INDEX(Arten,MATCH(AB24,Codes,0))="Arbeit",INDEX(Arten,MATCH(AC24,Codes,0))="Arbeit"),IF(ROUND((1+INDEX(Beginne,MATCH(AC24,Codes,0))-INDEX(EndeRel,MATCH(AB24,Codes,0)))*1440,0)&lt;660,1,0),0),0))</f>
      </c>
      <c r="AD73" s="1">
        <f>IF(OR(AD$52=0,AC24="",AD24=""),0,IFERROR(IF(AND(INDEX(Arten,MATCH(AC24,Codes,0))="Arbeit",INDEX(Arten,MATCH(AD24,Codes,0))="Arbeit"),IF(ROUND((1+INDEX(Beginne,MATCH(AD24,Codes,0))-INDEX(EndeRel,MATCH(AC24,Codes,0)))*1440,0)&lt;660,1,0),0),0))</f>
      </c>
      <c r="AE73" s="1">
        <f>IF(OR(AE$52=0,AD24="",AE24=""),0,IFERROR(IF(AND(INDEX(Arten,MATCH(AD24,Codes,0))="Arbeit",INDEX(Arten,MATCH(AE24,Codes,0))="Arbeit"),IF(ROUND((1+INDEX(Beginne,MATCH(AE24,Codes,0))-INDEX(EndeRel,MATCH(AD24,Codes,0)))*1440,0)&lt;660,1,0),0),0))</f>
      </c>
      <c r="AF73" s="1">
        <f>IF(OR(AF$52=0,AE24="",AF24=""),0,IFERROR(IF(AND(INDEX(Arten,MATCH(AE24,Codes,0))="Arbeit",INDEX(Arten,MATCH(AF24,Codes,0))="Arbeit"),IF(ROUND((1+INDEX(Beginne,MATCH(AF24,Codes,0))-INDEX(EndeRel,MATCH(AE24,Codes,0)))*1440,0)&lt;660,1,0),0),0))</f>
      </c>
    </row>
    <row r="74" hidden="1" spans="1:32" x14ac:dyDescent="0.25">
      <c r="A74" s="1"/>
      <c r="B74" s="1">
        <f>IF(OR(B$52=0,""="",B25=""),0,IFERROR(IF(AND(INDEX(Arten,MATCH("",Codes,0))="Arbeit",INDEX(Arten,MATCH(B25,Codes,0))="Arbeit"),IF(ROUND((1+INDEX(Beginne,MATCH(B25,Codes,0))-INDEX(EndeRel,MATCH("",Codes,0)))*1440,0)&lt;660,1,0),0),0))</f>
      </c>
      <c r="C74" s="1">
        <f>IF(OR(C$52=0,B25="",C25=""),0,IFERROR(IF(AND(INDEX(Arten,MATCH(B25,Codes,0))="Arbeit",INDEX(Arten,MATCH(C25,Codes,0))="Arbeit"),IF(ROUND((1+INDEX(Beginne,MATCH(C25,Codes,0))-INDEX(EndeRel,MATCH(B25,Codes,0)))*1440,0)&lt;660,1,0),0),0))</f>
      </c>
      <c r="D74" s="1">
        <f>IF(OR(D$52=0,C25="",D25=""),0,IFERROR(IF(AND(INDEX(Arten,MATCH(C25,Codes,0))="Arbeit",INDEX(Arten,MATCH(D25,Codes,0))="Arbeit"),IF(ROUND((1+INDEX(Beginne,MATCH(D25,Codes,0))-INDEX(EndeRel,MATCH(C25,Codes,0)))*1440,0)&lt;660,1,0),0),0))</f>
      </c>
      <c r="E74" s="1">
        <f>IF(OR(E$52=0,D25="",E25=""),0,IFERROR(IF(AND(INDEX(Arten,MATCH(D25,Codes,0))="Arbeit",INDEX(Arten,MATCH(E25,Codes,0))="Arbeit"),IF(ROUND((1+INDEX(Beginne,MATCH(E25,Codes,0))-INDEX(EndeRel,MATCH(D25,Codes,0)))*1440,0)&lt;660,1,0),0),0))</f>
      </c>
      <c r="F74" s="1">
        <f>IF(OR(F$52=0,E25="",F25=""),0,IFERROR(IF(AND(INDEX(Arten,MATCH(E25,Codes,0))="Arbeit",INDEX(Arten,MATCH(F25,Codes,0))="Arbeit"),IF(ROUND((1+INDEX(Beginne,MATCH(F25,Codes,0))-INDEX(EndeRel,MATCH(E25,Codes,0)))*1440,0)&lt;660,1,0),0),0))</f>
      </c>
      <c r="G74" s="1">
        <f>IF(OR(G$52=0,F25="",G25=""),0,IFERROR(IF(AND(INDEX(Arten,MATCH(F25,Codes,0))="Arbeit",INDEX(Arten,MATCH(G25,Codes,0))="Arbeit"),IF(ROUND((1+INDEX(Beginne,MATCH(G25,Codes,0))-INDEX(EndeRel,MATCH(F25,Codes,0)))*1440,0)&lt;660,1,0),0),0))</f>
      </c>
      <c r="H74" s="1">
        <f>IF(OR(H$52=0,G25="",H25=""),0,IFERROR(IF(AND(INDEX(Arten,MATCH(G25,Codes,0))="Arbeit",INDEX(Arten,MATCH(H25,Codes,0))="Arbeit"),IF(ROUND((1+INDEX(Beginne,MATCH(H25,Codes,0))-INDEX(EndeRel,MATCH(G25,Codes,0)))*1440,0)&lt;660,1,0),0),0))</f>
      </c>
      <c r="I74" s="1">
        <f>IF(OR(I$52=0,H25="",I25=""),0,IFERROR(IF(AND(INDEX(Arten,MATCH(H25,Codes,0))="Arbeit",INDEX(Arten,MATCH(I25,Codes,0))="Arbeit"),IF(ROUND((1+INDEX(Beginne,MATCH(I25,Codes,0))-INDEX(EndeRel,MATCH(H25,Codes,0)))*1440,0)&lt;660,1,0),0),0))</f>
      </c>
      <c r="J74" s="1">
        <f>IF(OR(J$52=0,I25="",J25=""),0,IFERROR(IF(AND(INDEX(Arten,MATCH(I25,Codes,0))="Arbeit",INDEX(Arten,MATCH(J25,Codes,0))="Arbeit"),IF(ROUND((1+INDEX(Beginne,MATCH(J25,Codes,0))-INDEX(EndeRel,MATCH(I25,Codes,0)))*1440,0)&lt;660,1,0),0),0))</f>
      </c>
      <c r="K74" s="1">
        <f>IF(OR(K$52=0,J25="",K25=""),0,IFERROR(IF(AND(INDEX(Arten,MATCH(J25,Codes,0))="Arbeit",INDEX(Arten,MATCH(K25,Codes,0))="Arbeit"),IF(ROUND((1+INDEX(Beginne,MATCH(K25,Codes,0))-INDEX(EndeRel,MATCH(J25,Codes,0)))*1440,0)&lt;660,1,0),0),0))</f>
      </c>
      <c r="L74" s="1">
        <f>IF(OR(L$52=0,K25="",L25=""),0,IFERROR(IF(AND(INDEX(Arten,MATCH(K25,Codes,0))="Arbeit",INDEX(Arten,MATCH(L25,Codes,0))="Arbeit"),IF(ROUND((1+INDEX(Beginne,MATCH(L25,Codes,0))-INDEX(EndeRel,MATCH(K25,Codes,0)))*1440,0)&lt;660,1,0),0),0))</f>
      </c>
      <c r="M74" s="1">
        <f>IF(OR(M$52=0,L25="",M25=""),0,IFERROR(IF(AND(INDEX(Arten,MATCH(L25,Codes,0))="Arbeit",INDEX(Arten,MATCH(M25,Codes,0))="Arbeit"),IF(ROUND((1+INDEX(Beginne,MATCH(M25,Codes,0))-INDEX(EndeRel,MATCH(L25,Codes,0)))*1440,0)&lt;660,1,0),0),0))</f>
      </c>
      <c r="N74" s="1">
        <f>IF(OR(N$52=0,M25="",N25=""),0,IFERROR(IF(AND(INDEX(Arten,MATCH(M25,Codes,0))="Arbeit",INDEX(Arten,MATCH(N25,Codes,0))="Arbeit"),IF(ROUND((1+INDEX(Beginne,MATCH(N25,Codes,0))-INDEX(EndeRel,MATCH(M25,Codes,0)))*1440,0)&lt;660,1,0),0),0))</f>
      </c>
      <c r="O74" s="1">
        <f>IF(OR(O$52=0,N25="",O25=""),0,IFERROR(IF(AND(INDEX(Arten,MATCH(N25,Codes,0))="Arbeit",INDEX(Arten,MATCH(O25,Codes,0))="Arbeit"),IF(ROUND((1+INDEX(Beginne,MATCH(O25,Codes,0))-INDEX(EndeRel,MATCH(N25,Codes,0)))*1440,0)&lt;660,1,0),0),0))</f>
      </c>
      <c r="P74" s="1">
        <f>IF(OR(P$52=0,O25="",P25=""),0,IFERROR(IF(AND(INDEX(Arten,MATCH(O25,Codes,0))="Arbeit",INDEX(Arten,MATCH(P25,Codes,0))="Arbeit"),IF(ROUND((1+INDEX(Beginne,MATCH(P25,Codes,0))-INDEX(EndeRel,MATCH(O25,Codes,0)))*1440,0)&lt;660,1,0),0),0))</f>
      </c>
      <c r="Q74" s="1">
        <f>IF(OR(Q$52=0,P25="",Q25=""),0,IFERROR(IF(AND(INDEX(Arten,MATCH(P25,Codes,0))="Arbeit",INDEX(Arten,MATCH(Q25,Codes,0))="Arbeit"),IF(ROUND((1+INDEX(Beginne,MATCH(Q25,Codes,0))-INDEX(EndeRel,MATCH(P25,Codes,0)))*1440,0)&lt;660,1,0),0),0))</f>
      </c>
      <c r="R74" s="1">
        <f>IF(OR(R$52=0,Q25="",R25=""),0,IFERROR(IF(AND(INDEX(Arten,MATCH(Q25,Codes,0))="Arbeit",INDEX(Arten,MATCH(R25,Codes,0))="Arbeit"),IF(ROUND((1+INDEX(Beginne,MATCH(R25,Codes,0))-INDEX(EndeRel,MATCH(Q25,Codes,0)))*1440,0)&lt;660,1,0),0),0))</f>
      </c>
      <c r="S74" s="1">
        <f>IF(OR(S$52=0,R25="",S25=""),0,IFERROR(IF(AND(INDEX(Arten,MATCH(R25,Codes,0))="Arbeit",INDEX(Arten,MATCH(S25,Codes,0))="Arbeit"),IF(ROUND((1+INDEX(Beginne,MATCH(S25,Codes,0))-INDEX(EndeRel,MATCH(R25,Codes,0)))*1440,0)&lt;660,1,0),0),0))</f>
      </c>
      <c r="T74" s="1">
        <f>IF(OR(T$52=0,S25="",T25=""),0,IFERROR(IF(AND(INDEX(Arten,MATCH(S25,Codes,0))="Arbeit",INDEX(Arten,MATCH(T25,Codes,0))="Arbeit"),IF(ROUND((1+INDEX(Beginne,MATCH(T25,Codes,0))-INDEX(EndeRel,MATCH(S25,Codes,0)))*1440,0)&lt;660,1,0),0),0))</f>
      </c>
      <c r="U74" s="1">
        <f>IF(OR(U$52=0,T25="",U25=""),0,IFERROR(IF(AND(INDEX(Arten,MATCH(T25,Codes,0))="Arbeit",INDEX(Arten,MATCH(U25,Codes,0))="Arbeit"),IF(ROUND((1+INDEX(Beginne,MATCH(U25,Codes,0))-INDEX(EndeRel,MATCH(T25,Codes,0)))*1440,0)&lt;660,1,0),0),0))</f>
      </c>
      <c r="V74" s="1">
        <f>IF(OR(V$52=0,U25="",V25=""),0,IFERROR(IF(AND(INDEX(Arten,MATCH(U25,Codes,0))="Arbeit",INDEX(Arten,MATCH(V25,Codes,0))="Arbeit"),IF(ROUND((1+INDEX(Beginne,MATCH(V25,Codes,0))-INDEX(EndeRel,MATCH(U25,Codes,0)))*1440,0)&lt;660,1,0),0),0))</f>
      </c>
      <c r="W74" s="1">
        <f>IF(OR(W$52=0,V25="",W25=""),0,IFERROR(IF(AND(INDEX(Arten,MATCH(V25,Codes,0))="Arbeit",INDEX(Arten,MATCH(W25,Codes,0))="Arbeit"),IF(ROUND((1+INDEX(Beginne,MATCH(W25,Codes,0))-INDEX(EndeRel,MATCH(V25,Codes,0)))*1440,0)&lt;660,1,0),0),0))</f>
      </c>
      <c r="X74" s="1">
        <f>IF(OR(X$52=0,W25="",X25=""),0,IFERROR(IF(AND(INDEX(Arten,MATCH(W25,Codes,0))="Arbeit",INDEX(Arten,MATCH(X25,Codes,0))="Arbeit"),IF(ROUND((1+INDEX(Beginne,MATCH(X25,Codes,0))-INDEX(EndeRel,MATCH(W25,Codes,0)))*1440,0)&lt;660,1,0),0),0))</f>
      </c>
      <c r="Y74" s="1">
        <f>IF(OR(Y$52=0,X25="",Y25=""),0,IFERROR(IF(AND(INDEX(Arten,MATCH(X25,Codes,0))="Arbeit",INDEX(Arten,MATCH(Y25,Codes,0))="Arbeit"),IF(ROUND((1+INDEX(Beginne,MATCH(Y25,Codes,0))-INDEX(EndeRel,MATCH(X25,Codes,0)))*1440,0)&lt;660,1,0),0),0))</f>
      </c>
      <c r="Z74" s="1">
        <f>IF(OR(Z$52=0,Y25="",Z25=""),0,IFERROR(IF(AND(INDEX(Arten,MATCH(Y25,Codes,0))="Arbeit",INDEX(Arten,MATCH(Z25,Codes,0))="Arbeit"),IF(ROUND((1+INDEX(Beginne,MATCH(Z25,Codes,0))-INDEX(EndeRel,MATCH(Y25,Codes,0)))*1440,0)&lt;660,1,0),0),0))</f>
      </c>
      <c r="AA74" s="1">
        <f>IF(OR(AA$52=0,Z25="",AA25=""),0,IFERROR(IF(AND(INDEX(Arten,MATCH(Z25,Codes,0))="Arbeit",INDEX(Arten,MATCH(AA25,Codes,0))="Arbeit"),IF(ROUND((1+INDEX(Beginne,MATCH(AA25,Codes,0))-INDEX(EndeRel,MATCH(Z25,Codes,0)))*1440,0)&lt;660,1,0),0),0))</f>
      </c>
      <c r="AB74" s="1">
        <f>IF(OR(AB$52=0,AA25="",AB25=""),0,IFERROR(IF(AND(INDEX(Arten,MATCH(AA25,Codes,0))="Arbeit",INDEX(Arten,MATCH(AB25,Codes,0))="Arbeit"),IF(ROUND((1+INDEX(Beginne,MATCH(AB25,Codes,0))-INDEX(EndeRel,MATCH(AA25,Codes,0)))*1440,0)&lt;660,1,0),0),0))</f>
      </c>
      <c r="AC74" s="1">
        <f>IF(OR(AC$52=0,AB25="",AC25=""),0,IFERROR(IF(AND(INDEX(Arten,MATCH(AB25,Codes,0))="Arbeit",INDEX(Arten,MATCH(AC25,Codes,0))="Arbeit"),IF(ROUND((1+INDEX(Beginne,MATCH(AC25,Codes,0))-INDEX(EndeRel,MATCH(AB25,Codes,0)))*1440,0)&lt;660,1,0),0),0))</f>
      </c>
      <c r="AD74" s="1">
        <f>IF(OR(AD$52=0,AC25="",AD25=""),0,IFERROR(IF(AND(INDEX(Arten,MATCH(AC25,Codes,0))="Arbeit",INDEX(Arten,MATCH(AD25,Codes,0))="Arbeit"),IF(ROUND((1+INDEX(Beginne,MATCH(AD25,Codes,0))-INDEX(EndeRel,MATCH(AC25,Codes,0)))*1440,0)&lt;660,1,0),0),0))</f>
      </c>
      <c r="AE74" s="1">
        <f>IF(OR(AE$52=0,AD25="",AE25=""),0,IFERROR(IF(AND(INDEX(Arten,MATCH(AD25,Codes,0))="Arbeit",INDEX(Arten,MATCH(AE25,Codes,0))="Arbeit"),IF(ROUND((1+INDEX(Beginne,MATCH(AE25,Codes,0))-INDEX(EndeRel,MATCH(AD25,Codes,0)))*1440,0)&lt;660,1,0),0),0))</f>
      </c>
      <c r="AF74" s="1">
        <f>IF(OR(AF$52=0,AE25="",AF25=""),0,IFERROR(IF(AND(INDEX(Arten,MATCH(AE25,Codes,0))="Arbeit",INDEX(Arten,MATCH(AF25,Codes,0))="Arbeit"),IF(ROUND((1+INDEX(Beginne,MATCH(AF25,Codes,0))-INDEX(EndeRel,MATCH(AE25,Codes,0)))*1440,0)&lt;660,1,0),0),0))</f>
      </c>
    </row>
    <row r="75" hidden="1" spans="1:32" x14ac:dyDescent="0.25">
      <c r="A75" s="1"/>
      <c r="B75" s="1">
        <f>IF(OR(B$52=0,""="",B26=""),0,IFERROR(IF(AND(INDEX(Arten,MATCH("",Codes,0))="Arbeit",INDEX(Arten,MATCH(B26,Codes,0))="Arbeit"),IF(ROUND((1+INDEX(Beginne,MATCH(B26,Codes,0))-INDEX(EndeRel,MATCH("",Codes,0)))*1440,0)&lt;660,1,0),0),0))</f>
      </c>
      <c r="C75" s="1">
        <f>IF(OR(C$52=0,B26="",C26=""),0,IFERROR(IF(AND(INDEX(Arten,MATCH(B26,Codes,0))="Arbeit",INDEX(Arten,MATCH(C26,Codes,0))="Arbeit"),IF(ROUND((1+INDEX(Beginne,MATCH(C26,Codes,0))-INDEX(EndeRel,MATCH(B26,Codes,0)))*1440,0)&lt;660,1,0),0),0))</f>
      </c>
      <c r="D75" s="1">
        <f>IF(OR(D$52=0,C26="",D26=""),0,IFERROR(IF(AND(INDEX(Arten,MATCH(C26,Codes,0))="Arbeit",INDEX(Arten,MATCH(D26,Codes,0))="Arbeit"),IF(ROUND((1+INDEX(Beginne,MATCH(D26,Codes,0))-INDEX(EndeRel,MATCH(C26,Codes,0)))*1440,0)&lt;660,1,0),0),0))</f>
      </c>
      <c r="E75" s="1">
        <f>IF(OR(E$52=0,D26="",E26=""),0,IFERROR(IF(AND(INDEX(Arten,MATCH(D26,Codes,0))="Arbeit",INDEX(Arten,MATCH(E26,Codes,0))="Arbeit"),IF(ROUND((1+INDEX(Beginne,MATCH(E26,Codes,0))-INDEX(EndeRel,MATCH(D26,Codes,0)))*1440,0)&lt;660,1,0),0),0))</f>
      </c>
      <c r="F75" s="1">
        <f>IF(OR(F$52=0,E26="",F26=""),0,IFERROR(IF(AND(INDEX(Arten,MATCH(E26,Codes,0))="Arbeit",INDEX(Arten,MATCH(F26,Codes,0))="Arbeit"),IF(ROUND((1+INDEX(Beginne,MATCH(F26,Codes,0))-INDEX(EndeRel,MATCH(E26,Codes,0)))*1440,0)&lt;660,1,0),0),0))</f>
      </c>
      <c r="G75" s="1">
        <f>IF(OR(G$52=0,F26="",G26=""),0,IFERROR(IF(AND(INDEX(Arten,MATCH(F26,Codes,0))="Arbeit",INDEX(Arten,MATCH(G26,Codes,0))="Arbeit"),IF(ROUND((1+INDEX(Beginne,MATCH(G26,Codes,0))-INDEX(EndeRel,MATCH(F26,Codes,0)))*1440,0)&lt;660,1,0),0),0))</f>
      </c>
      <c r="H75" s="1">
        <f>IF(OR(H$52=0,G26="",H26=""),0,IFERROR(IF(AND(INDEX(Arten,MATCH(G26,Codes,0))="Arbeit",INDEX(Arten,MATCH(H26,Codes,0))="Arbeit"),IF(ROUND((1+INDEX(Beginne,MATCH(H26,Codes,0))-INDEX(EndeRel,MATCH(G26,Codes,0)))*1440,0)&lt;660,1,0),0),0))</f>
      </c>
      <c r="I75" s="1">
        <f>IF(OR(I$52=0,H26="",I26=""),0,IFERROR(IF(AND(INDEX(Arten,MATCH(H26,Codes,0))="Arbeit",INDEX(Arten,MATCH(I26,Codes,0))="Arbeit"),IF(ROUND((1+INDEX(Beginne,MATCH(I26,Codes,0))-INDEX(EndeRel,MATCH(H26,Codes,0)))*1440,0)&lt;660,1,0),0),0))</f>
      </c>
      <c r="J75" s="1">
        <f>IF(OR(J$52=0,I26="",J26=""),0,IFERROR(IF(AND(INDEX(Arten,MATCH(I26,Codes,0))="Arbeit",INDEX(Arten,MATCH(J26,Codes,0))="Arbeit"),IF(ROUND((1+INDEX(Beginne,MATCH(J26,Codes,0))-INDEX(EndeRel,MATCH(I26,Codes,0)))*1440,0)&lt;660,1,0),0),0))</f>
      </c>
      <c r="K75" s="1">
        <f>IF(OR(K$52=0,J26="",K26=""),0,IFERROR(IF(AND(INDEX(Arten,MATCH(J26,Codes,0))="Arbeit",INDEX(Arten,MATCH(K26,Codes,0))="Arbeit"),IF(ROUND((1+INDEX(Beginne,MATCH(K26,Codes,0))-INDEX(EndeRel,MATCH(J26,Codes,0)))*1440,0)&lt;660,1,0),0),0))</f>
      </c>
      <c r="L75" s="1">
        <f>IF(OR(L$52=0,K26="",L26=""),0,IFERROR(IF(AND(INDEX(Arten,MATCH(K26,Codes,0))="Arbeit",INDEX(Arten,MATCH(L26,Codes,0))="Arbeit"),IF(ROUND((1+INDEX(Beginne,MATCH(L26,Codes,0))-INDEX(EndeRel,MATCH(K26,Codes,0)))*1440,0)&lt;660,1,0),0),0))</f>
      </c>
      <c r="M75" s="1">
        <f>IF(OR(M$52=0,L26="",M26=""),0,IFERROR(IF(AND(INDEX(Arten,MATCH(L26,Codes,0))="Arbeit",INDEX(Arten,MATCH(M26,Codes,0))="Arbeit"),IF(ROUND((1+INDEX(Beginne,MATCH(M26,Codes,0))-INDEX(EndeRel,MATCH(L26,Codes,0)))*1440,0)&lt;660,1,0),0),0))</f>
      </c>
      <c r="N75" s="1">
        <f>IF(OR(N$52=0,M26="",N26=""),0,IFERROR(IF(AND(INDEX(Arten,MATCH(M26,Codes,0))="Arbeit",INDEX(Arten,MATCH(N26,Codes,0))="Arbeit"),IF(ROUND((1+INDEX(Beginne,MATCH(N26,Codes,0))-INDEX(EndeRel,MATCH(M26,Codes,0)))*1440,0)&lt;660,1,0),0),0))</f>
      </c>
      <c r="O75" s="1">
        <f>IF(OR(O$52=0,N26="",O26=""),0,IFERROR(IF(AND(INDEX(Arten,MATCH(N26,Codes,0))="Arbeit",INDEX(Arten,MATCH(O26,Codes,0))="Arbeit"),IF(ROUND((1+INDEX(Beginne,MATCH(O26,Codes,0))-INDEX(EndeRel,MATCH(N26,Codes,0)))*1440,0)&lt;660,1,0),0),0))</f>
      </c>
      <c r="P75" s="1">
        <f>IF(OR(P$52=0,O26="",P26=""),0,IFERROR(IF(AND(INDEX(Arten,MATCH(O26,Codes,0))="Arbeit",INDEX(Arten,MATCH(P26,Codes,0))="Arbeit"),IF(ROUND((1+INDEX(Beginne,MATCH(P26,Codes,0))-INDEX(EndeRel,MATCH(O26,Codes,0)))*1440,0)&lt;660,1,0),0),0))</f>
      </c>
      <c r="Q75" s="1">
        <f>IF(OR(Q$52=0,P26="",Q26=""),0,IFERROR(IF(AND(INDEX(Arten,MATCH(P26,Codes,0))="Arbeit",INDEX(Arten,MATCH(Q26,Codes,0))="Arbeit"),IF(ROUND((1+INDEX(Beginne,MATCH(Q26,Codes,0))-INDEX(EndeRel,MATCH(P26,Codes,0)))*1440,0)&lt;660,1,0),0),0))</f>
      </c>
      <c r="R75" s="1">
        <f>IF(OR(R$52=0,Q26="",R26=""),0,IFERROR(IF(AND(INDEX(Arten,MATCH(Q26,Codes,0))="Arbeit",INDEX(Arten,MATCH(R26,Codes,0))="Arbeit"),IF(ROUND((1+INDEX(Beginne,MATCH(R26,Codes,0))-INDEX(EndeRel,MATCH(Q26,Codes,0)))*1440,0)&lt;660,1,0),0),0))</f>
      </c>
      <c r="S75" s="1">
        <f>IF(OR(S$52=0,R26="",S26=""),0,IFERROR(IF(AND(INDEX(Arten,MATCH(R26,Codes,0))="Arbeit",INDEX(Arten,MATCH(S26,Codes,0))="Arbeit"),IF(ROUND((1+INDEX(Beginne,MATCH(S26,Codes,0))-INDEX(EndeRel,MATCH(R26,Codes,0)))*1440,0)&lt;660,1,0),0),0))</f>
      </c>
      <c r="T75" s="1">
        <f>IF(OR(T$52=0,S26="",T26=""),0,IFERROR(IF(AND(INDEX(Arten,MATCH(S26,Codes,0))="Arbeit",INDEX(Arten,MATCH(T26,Codes,0))="Arbeit"),IF(ROUND((1+INDEX(Beginne,MATCH(T26,Codes,0))-INDEX(EndeRel,MATCH(S26,Codes,0)))*1440,0)&lt;660,1,0),0),0))</f>
      </c>
      <c r="U75" s="1">
        <f>IF(OR(U$52=0,T26="",U26=""),0,IFERROR(IF(AND(INDEX(Arten,MATCH(T26,Codes,0))="Arbeit",INDEX(Arten,MATCH(U26,Codes,0))="Arbeit"),IF(ROUND((1+INDEX(Beginne,MATCH(U26,Codes,0))-INDEX(EndeRel,MATCH(T26,Codes,0)))*1440,0)&lt;660,1,0),0),0))</f>
      </c>
      <c r="V75" s="1">
        <f>IF(OR(V$52=0,U26="",V26=""),0,IFERROR(IF(AND(INDEX(Arten,MATCH(U26,Codes,0))="Arbeit",INDEX(Arten,MATCH(V26,Codes,0))="Arbeit"),IF(ROUND((1+INDEX(Beginne,MATCH(V26,Codes,0))-INDEX(EndeRel,MATCH(U26,Codes,0)))*1440,0)&lt;660,1,0),0),0))</f>
      </c>
      <c r="W75" s="1">
        <f>IF(OR(W$52=0,V26="",W26=""),0,IFERROR(IF(AND(INDEX(Arten,MATCH(V26,Codes,0))="Arbeit",INDEX(Arten,MATCH(W26,Codes,0))="Arbeit"),IF(ROUND((1+INDEX(Beginne,MATCH(W26,Codes,0))-INDEX(EndeRel,MATCH(V26,Codes,0)))*1440,0)&lt;660,1,0),0),0))</f>
      </c>
      <c r="X75" s="1">
        <f>IF(OR(X$52=0,W26="",X26=""),0,IFERROR(IF(AND(INDEX(Arten,MATCH(W26,Codes,0))="Arbeit",INDEX(Arten,MATCH(X26,Codes,0))="Arbeit"),IF(ROUND((1+INDEX(Beginne,MATCH(X26,Codes,0))-INDEX(EndeRel,MATCH(W26,Codes,0)))*1440,0)&lt;660,1,0),0),0))</f>
      </c>
      <c r="Y75" s="1">
        <f>IF(OR(Y$52=0,X26="",Y26=""),0,IFERROR(IF(AND(INDEX(Arten,MATCH(X26,Codes,0))="Arbeit",INDEX(Arten,MATCH(Y26,Codes,0))="Arbeit"),IF(ROUND((1+INDEX(Beginne,MATCH(Y26,Codes,0))-INDEX(EndeRel,MATCH(X26,Codes,0)))*1440,0)&lt;660,1,0),0),0))</f>
      </c>
      <c r="Z75" s="1">
        <f>IF(OR(Z$52=0,Y26="",Z26=""),0,IFERROR(IF(AND(INDEX(Arten,MATCH(Y26,Codes,0))="Arbeit",INDEX(Arten,MATCH(Z26,Codes,0))="Arbeit"),IF(ROUND((1+INDEX(Beginne,MATCH(Z26,Codes,0))-INDEX(EndeRel,MATCH(Y26,Codes,0)))*1440,0)&lt;660,1,0),0),0))</f>
      </c>
      <c r="AA75" s="1">
        <f>IF(OR(AA$52=0,Z26="",AA26=""),0,IFERROR(IF(AND(INDEX(Arten,MATCH(Z26,Codes,0))="Arbeit",INDEX(Arten,MATCH(AA26,Codes,0))="Arbeit"),IF(ROUND((1+INDEX(Beginne,MATCH(AA26,Codes,0))-INDEX(EndeRel,MATCH(Z26,Codes,0)))*1440,0)&lt;660,1,0),0),0))</f>
      </c>
      <c r="AB75" s="1">
        <f>IF(OR(AB$52=0,AA26="",AB26=""),0,IFERROR(IF(AND(INDEX(Arten,MATCH(AA26,Codes,0))="Arbeit",INDEX(Arten,MATCH(AB26,Codes,0))="Arbeit"),IF(ROUND((1+INDEX(Beginne,MATCH(AB26,Codes,0))-INDEX(EndeRel,MATCH(AA26,Codes,0)))*1440,0)&lt;660,1,0),0),0))</f>
      </c>
      <c r="AC75" s="1">
        <f>IF(OR(AC$52=0,AB26="",AC26=""),0,IFERROR(IF(AND(INDEX(Arten,MATCH(AB26,Codes,0))="Arbeit",INDEX(Arten,MATCH(AC26,Codes,0))="Arbeit"),IF(ROUND((1+INDEX(Beginne,MATCH(AC26,Codes,0))-INDEX(EndeRel,MATCH(AB26,Codes,0)))*1440,0)&lt;660,1,0),0),0))</f>
      </c>
      <c r="AD75" s="1">
        <f>IF(OR(AD$52=0,AC26="",AD26=""),0,IFERROR(IF(AND(INDEX(Arten,MATCH(AC26,Codes,0))="Arbeit",INDEX(Arten,MATCH(AD26,Codes,0))="Arbeit"),IF(ROUND((1+INDEX(Beginne,MATCH(AD26,Codes,0))-INDEX(EndeRel,MATCH(AC26,Codes,0)))*1440,0)&lt;660,1,0),0),0))</f>
      </c>
      <c r="AE75" s="1">
        <f>IF(OR(AE$52=0,AD26="",AE26=""),0,IFERROR(IF(AND(INDEX(Arten,MATCH(AD26,Codes,0))="Arbeit",INDEX(Arten,MATCH(AE26,Codes,0))="Arbeit"),IF(ROUND((1+INDEX(Beginne,MATCH(AE26,Codes,0))-INDEX(EndeRel,MATCH(AD26,Codes,0)))*1440,0)&lt;660,1,0),0),0))</f>
      </c>
      <c r="AF75" s="1">
        <f>IF(OR(AF$52=0,AE26="",AF26=""),0,IFERROR(IF(AND(INDEX(Arten,MATCH(AE26,Codes,0))="Arbeit",INDEX(Arten,MATCH(AF26,Codes,0))="Arbeit"),IF(ROUND((1+INDEX(Beginne,MATCH(AF26,Codes,0))-INDEX(EndeRel,MATCH(AE26,Codes,0)))*1440,0)&lt;660,1,0),0),0))</f>
      </c>
    </row>
    <row r="76" hidden="1" spans="1:32" x14ac:dyDescent="0.25">
      <c r="A76" s="1"/>
      <c r="B76" s="1">
        <f>IF(OR(B$52=0,""="",B27=""),0,IFERROR(IF(AND(INDEX(Arten,MATCH("",Codes,0))="Arbeit",INDEX(Arten,MATCH(B27,Codes,0))="Arbeit"),IF(ROUND((1+INDEX(Beginne,MATCH(B27,Codes,0))-INDEX(EndeRel,MATCH("",Codes,0)))*1440,0)&lt;660,1,0),0),0))</f>
      </c>
      <c r="C76" s="1">
        <f>IF(OR(C$52=0,B27="",C27=""),0,IFERROR(IF(AND(INDEX(Arten,MATCH(B27,Codes,0))="Arbeit",INDEX(Arten,MATCH(C27,Codes,0))="Arbeit"),IF(ROUND((1+INDEX(Beginne,MATCH(C27,Codes,0))-INDEX(EndeRel,MATCH(B27,Codes,0)))*1440,0)&lt;660,1,0),0),0))</f>
      </c>
      <c r="D76" s="1">
        <f>IF(OR(D$52=0,C27="",D27=""),0,IFERROR(IF(AND(INDEX(Arten,MATCH(C27,Codes,0))="Arbeit",INDEX(Arten,MATCH(D27,Codes,0))="Arbeit"),IF(ROUND((1+INDEX(Beginne,MATCH(D27,Codes,0))-INDEX(EndeRel,MATCH(C27,Codes,0)))*1440,0)&lt;660,1,0),0),0))</f>
      </c>
      <c r="E76" s="1">
        <f>IF(OR(E$52=0,D27="",E27=""),0,IFERROR(IF(AND(INDEX(Arten,MATCH(D27,Codes,0))="Arbeit",INDEX(Arten,MATCH(E27,Codes,0))="Arbeit"),IF(ROUND((1+INDEX(Beginne,MATCH(E27,Codes,0))-INDEX(EndeRel,MATCH(D27,Codes,0)))*1440,0)&lt;660,1,0),0),0))</f>
      </c>
      <c r="F76" s="1">
        <f>IF(OR(F$52=0,E27="",F27=""),0,IFERROR(IF(AND(INDEX(Arten,MATCH(E27,Codes,0))="Arbeit",INDEX(Arten,MATCH(F27,Codes,0))="Arbeit"),IF(ROUND((1+INDEX(Beginne,MATCH(F27,Codes,0))-INDEX(EndeRel,MATCH(E27,Codes,0)))*1440,0)&lt;660,1,0),0),0))</f>
      </c>
      <c r="G76" s="1">
        <f>IF(OR(G$52=0,F27="",G27=""),0,IFERROR(IF(AND(INDEX(Arten,MATCH(F27,Codes,0))="Arbeit",INDEX(Arten,MATCH(G27,Codes,0))="Arbeit"),IF(ROUND((1+INDEX(Beginne,MATCH(G27,Codes,0))-INDEX(EndeRel,MATCH(F27,Codes,0)))*1440,0)&lt;660,1,0),0),0))</f>
      </c>
      <c r="H76" s="1">
        <f>IF(OR(H$52=0,G27="",H27=""),0,IFERROR(IF(AND(INDEX(Arten,MATCH(G27,Codes,0))="Arbeit",INDEX(Arten,MATCH(H27,Codes,0))="Arbeit"),IF(ROUND((1+INDEX(Beginne,MATCH(H27,Codes,0))-INDEX(EndeRel,MATCH(G27,Codes,0)))*1440,0)&lt;660,1,0),0),0))</f>
      </c>
      <c r="I76" s="1">
        <f>IF(OR(I$52=0,H27="",I27=""),0,IFERROR(IF(AND(INDEX(Arten,MATCH(H27,Codes,0))="Arbeit",INDEX(Arten,MATCH(I27,Codes,0))="Arbeit"),IF(ROUND((1+INDEX(Beginne,MATCH(I27,Codes,0))-INDEX(EndeRel,MATCH(H27,Codes,0)))*1440,0)&lt;660,1,0),0),0))</f>
      </c>
      <c r="J76" s="1">
        <f>IF(OR(J$52=0,I27="",J27=""),0,IFERROR(IF(AND(INDEX(Arten,MATCH(I27,Codes,0))="Arbeit",INDEX(Arten,MATCH(J27,Codes,0))="Arbeit"),IF(ROUND((1+INDEX(Beginne,MATCH(J27,Codes,0))-INDEX(EndeRel,MATCH(I27,Codes,0)))*1440,0)&lt;660,1,0),0),0))</f>
      </c>
      <c r="K76" s="1">
        <f>IF(OR(K$52=0,J27="",K27=""),0,IFERROR(IF(AND(INDEX(Arten,MATCH(J27,Codes,0))="Arbeit",INDEX(Arten,MATCH(K27,Codes,0))="Arbeit"),IF(ROUND((1+INDEX(Beginne,MATCH(K27,Codes,0))-INDEX(EndeRel,MATCH(J27,Codes,0)))*1440,0)&lt;660,1,0),0),0))</f>
      </c>
      <c r="L76" s="1">
        <f>IF(OR(L$52=0,K27="",L27=""),0,IFERROR(IF(AND(INDEX(Arten,MATCH(K27,Codes,0))="Arbeit",INDEX(Arten,MATCH(L27,Codes,0))="Arbeit"),IF(ROUND((1+INDEX(Beginne,MATCH(L27,Codes,0))-INDEX(EndeRel,MATCH(K27,Codes,0)))*1440,0)&lt;660,1,0),0),0))</f>
      </c>
      <c r="M76" s="1">
        <f>IF(OR(M$52=0,L27="",M27=""),0,IFERROR(IF(AND(INDEX(Arten,MATCH(L27,Codes,0))="Arbeit",INDEX(Arten,MATCH(M27,Codes,0))="Arbeit"),IF(ROUND((1+INDEX(Beginne,MATCH(M27,Codes,0))-INDEX(EndeRel,MATCH(L27,Codes,0)))*1440,0)&lt;660,1,0),0),0))</f>
      </c>
      <c r="N76" s="1">
        <f>IF(OR(N$52=0,M27="",N27=""),0,IFERROR(IF(AND(INDEX(Arten,MATCH(M27,Codes,0))="Arbeit",INDEX(Arten,MATCH(N27,Codes,0))="Arbeit"),IF(ROUND((1+INDEX(Beginne,MATCH(N27,Codes,0))-INDEX(EndeRel,MATCH(M27,Codes,0)))*1440,0)&lt;660,1,0),0),0))</f>
      </c>
      <c r="O76" s="1">
        <f>IF(OR(O$52=0,N27="",O27=""),0,IFERROR(IF(AND(INDEX(Arten,MATCH(N27,Codes,0))="Arbeit",INDEX(Arten,MATCH(O27,Codes,0))="Arbeit"),IF(ROUND((1+INDEX(Beginne,MATCH(O27,Codes,0))-INDEX(EndeRel,MATCH(N27,Codes,0)))*1440,0)&lt;660,1,0),0),0))</f>
      </c>
      <c r="P76" s="1">
        <f>IF(OR(P$52=0,O27="",P27=""),0,IFERROR(IF(AND(INDEX(Arten,MATCH(O27,Codes,0))="Arbeit",INDEX(Arten,MATCH(P27,Codes,0))="Arbeit"),IF(ROUND((1+INDEX(Beginne,MATCH(P27,Codes,0))-INDEX(EndeRel,MATCH(O27,Codes,0)))*1440,0)&lt;660,1,0),0),0))</f>
      </c>
      <c r="Q76" s="1">
        <f>IF(OR(Q$52=0,P27="",Q27=""),0,IFERROR(IF(AND(INDEX(Arten,MATCH(P27,Codes,0))="Arbeit",INDEX(Arten,MATCH(Q27,Codes,0))="Arbeit"),IF(ROUND((1+INDEX(Beginne,MATCH(Q27,Codes,0))-INDEX(EndeRel,MATCH(P27,Codes,0)))*1440,0)&lt;660,1,0),0),0))</f>
      </c>
      <c r="R76" s="1">
        <f>IF(OR(R$52=0,Q27="",R27=""),0,IFERROR(IF(AND(INDEX(Arten,MATCH(Q27,Codes,0))="Arbeit",INDEX(Arten,MATCH(R27,Codes,0))="Arbeit"),IF(ROUND((1+INDEX(Beginne,MATCH(R27,Codes,0))-INDEX(EndeRel,MATCH(Q27,Codes,0)))*1440,0)&lt;660,1,0),0),0))</f>
      </c>
      <c r="S76" s="1">
        <f>IF(OR(S$52=0,R27="",S27=""),0,IFERROR(IF(AND(INDEX(Arten,MATCH(R27,Codes,0))="Arbeit",INDEX(Arten,MATCH(S27,Codes,0))="Arbeit"),IF(ROUND((1+INDEX(Beginne,MATCH(S27,Codes,0))-INDEX(EndeRel,MATCH(R27,Codes,0)))*1440,0)&lt;660,1,0),0),0))</f>
      </c>
      <c r="T76" s="1">
        <f>IF(OR(T$52=0,S27="",T27=""),0,IFERROR(IF(AND(INDEX(Arten,MATCH(S27,Codes,0))="Arbeit",INDEX(Arten,MATCH(T27,Codes,0))="Arbeit"),IF(ROUND((1+INDEX(Beginne,MATCH(T27,Codes,0))-INDEX(EndeRel,MATCH(S27,Codes,0)))*1440,0)&lt;660,1,0),0),0))</f>
      </c>
      <c r="U76" s="1">
        <f>IF(OR(U$52=0,T27="",U27=""),0,IFERROR(IF(AND(INDEX(Arten,MATCH(T27,Codes,0))="Arbeit",INDEX(Arten,MATCH(U27,Codes,0))="Arbeit"),IF(ROUND((1+INDEX(Beginne,MATCH(U27,Codes,0))-INDEX(EndeRel,MATCH(T27,Codes,0)))*1440,0)&lt;660,1,0),0),0))</f>
      </c>
      <c r="V76" s="1">
        <f>IF(OR(V$52=0,U27="",V27=""),0,IFERROR(IF(AND(INDEX(Arten,MATCH(U27,Codes,0))="Arbeit",INDEX(Arten,MATCH(V27,Codes,0))="Arbeit"),IF(ROUND((1+INDEX(Beginne,MATCH(V27,Codes,0))-INDEX(EndeRel,MATCH(U27,Codes,0)))*1440,0)&lt;660,1,0),0),0))</f>
      </c>
      <c r="W76" s="1">
        <f>IF(OR(W$52=0,V27="",W27=""),0,IFERROR(IF(AND(INDEX(Arten,MATCH(V27,Codes,0))="Arbeit",INDEX(Arten,MATCH(W27,Codes,0))="Arbeit"),IF(ROUND((1+INDEX(Beginne,MATCH(W27,Codes,0))-INDEX(EndeRel,MATCH(V27,Codes,0)))*1440,0)&lt;660,1,0),0),0))</f>
      </c>
      <c r="X76" s="1">
        <f>IF(OR(X$52=0,W27="",X27=""),0,IFERROR(IF(AND(INDEX(Arten,MATCH(W27,Codes,0))="Arbeit",INDEX(Arten,MATCH(X27,Codes,0))="Arbeit"),IF(ROUND((1+INDEX(Beginne,MATCH(X27,Codes,0))-INDEX(EndeRel,MATCH(W27,Codes,0)))*1440,0)&lt;660,1,0),0),0))</f>
      </c>
      <c r="Y76" s="1">
        <f>IF(OR(Y$52=0,X27="",Y27=""),0,IFERROR(IF(AND(INDEX(Arten,MATCH(X27,Codes,0))="Arbeit",INDEX(Arten,MATCH(Y27,Codes,0))="Arbeit"),IF(ROUND((1+INDEX(Beginne,MATCH(Y27,Codes,0))-INDEX(EndeRel,MATCH(X27,Codes,0)))*1440,0)&lt;660,1,0),0),0))</f>
      </c>
      <c r="Z76" s="1">
        <f>IF(OR(Z$52=0,Y27="",Z27=""),0,IFERROR(IF(AND(INDEX(Arten,MATCH(Y27,Codes,0))="Arbeit",INDEX(Arten,MATCH(Z27,Codes,0))="Arbeit"),IF(ROUND((1+INDEX(Beginne,MATCH(Z27,Codes,0))-INDEX(EndeRel,MATCH(Y27,Codes,0)))*1440,0)&lt;660,1,0),0),0))</f>
      </c>
      <c r="AA76" s="1">
        <f>IF(OR(AA$52=0,Z27="",AA27=""),0,IFERROR(IF(AND(INDEX(Arten,MATCH(Z27,Codes,0))="Arbeit",INDEX(Arten,MATCH(AA27,Codes,0))="Arbeit"),IF(ROUND((1+INDEX(Beginne,MATCH(AA27,Codes,0))-INDEX(EndeRel,MATCH(Z27,Codes,0)))*1440,0)&lt;660,1,0),0),0))</f>
      </c>
      <c r="AB76" s="1">
        <f>IF(OR(AB$52=0,AA27="",AB27=""),0,IFERROR(IF(AND(INDEX(Arten,MATCH(AA27,Codes,0))="Arbeit",INDEX(Arten,MATCH(AB27,Codes,0))="Arbeit"),IF(ROUND((1+INDEX(Beginne,MATCH(AB27,Codes,0))-INDEX(EndeRel,MATCH(AA27,Codes,0)))*1440,0)&lt;660,1,0),0),0))</f>
      </c>
      <c r="AC76" s="1">
        <f>IF(OR(AC$52=0,AB27="",AC27=""),0,IFERROR(IF(AND(INDEX(Arten,MATCH(AB27,Codes,0))="Arbeit",INDEX(Arten,MATCH(AC27,Codes,0))="Arbeit"),IF(ROUND((1+INDEX(Beginne,MATCH(AC27,Codes,0))-INDEX(EndeRel,MATCH(AB27,Codes,0)))*1440,0)&lt;660,1,0),0),0))</f>
      </c>
      <c r="AD76" s="1">
        <f>IF(OR(AD$52=0,AC27="",AD27=""),0,IFERROR(IF(AND(INDEX(Arten,MATCH(AC27,Codes,0))="Arbeit",INDEX(Arten,MATCH(AD27,Codes,0))="Arbeit"),IF(ROUND((1+INDEX(Beginne,MATCH(AD27,Codes,0))-INDEX(EndeRel,MATCH(AC27,Codes,0)))*1440,0)&lt;660,1,0),0),0))</f>
      </c>
      <c r="AE76" s="1">
        <f>IF(OR(AE$52=0,AD27="",AE27=""),0,IFERROR(IF(AND(INDEX(Arten,MATCH(AD27,Codes,0))="Arbeit",INDEX(Arten,MATCH(AE27,Codes,0))="Arbeit"),IF(ROUND((1+INDEX(Beginne,MATCH(AE27,Codes,0))-INDEX(EndeRel,MATCH(AD27,Codes,0)))*1440,0)&lt;660,1,0),0),0))</f>
      </c>
      <c r="AF76" s="1">
        <f>IF(OR(AF$52=0,AE27="",AF27=""),0,IFERROR(IF(AND(INDEX(Arten,MATCH(AE27,Codes,0))="Arbeit",INDEX(Arten,MATCH(AF27,Codes,0))="Arbeit"),IF(ROUND((1+INDEX(Beginne,MATCH(AF27,Codes,0))-INDEX(EndeRel,MATCH(AE27,Codes,0)))*1440,0)&lt;660,1,0),0),0))</f>
      </c>
    </row>
    <row r="77" hidden="1" spans="1:32" x14ac:dyDescent="0.25">
      <c r="A77" s="1"/>
      <c r="B77" s="1">
        <f>IF(OR(B$52=0,""="",B28=""),0,IFERROR(IF(AND(INDEX(Arten,MATCH("",Codes,0))="Arbeit",INDEX(Arten,MATCH(B28,Codes,0))="Arbeit"),IF(ROUND((1+INDEX(Beginne,MATCH(B28,Codes,0))-INDEX(EndeRel,MATCH("",Codes,0)))*1440,0)&lt;660,1,0),0),0))</f>
      </c>
      <c r="C77" s="1">
        <f>IF(OR(C$52=0,B28="",C28=""),0,IFERROR(IF(AND(INDEX(Arten,MATCH(B28,Codes,0))="Arbeit",INDEX(Arten,MATCH(C28,Codes,0))="Arbeit"),IF(ROUND((1+INDEX(Beginne,MATCH(C28,Codes,0))-INDEX(EndeRel,MATCH(B28,Codes,0)))*1440,0)&lt;660,1,0),0),0))</f>
      </c>
      <c r="D77" s="1">
        <f>IF(OR(D$52=0,C28="",D28=""),0,IFERROR(IF(AND(INDEX(Arten,MATCH(C28,Codes,0))="Arbeit",INDEX(Arten,MATCH(D28,Codes,0))="Arbeit"),IF(ROUND((1+INDEX(Beginne,MATCH(D28,Codes,0))-INDEX(EndeRel,MATCH(C28,Codes,0)))*1440,0)&lt;660,1,0),0),0))</f>
      </c>
      <c r="E77" s="1">
        <f>IF(OR(E$52=0,D28="",E28=""),0,IFERROR(IF(AND(INDEX(Arten,MATCH(D28,Codes,0))="Arbeit",INDEX(Arten,MATCH(E28,Codes,0))="Arbeit"),IF(ROUND((1+INDEX(Beginne,MATCH(E28,Codes,0))-INDEX(EndeRel,MATCH(D28,Codes,0)))*1440,0)&lt;660,1,0),0),0))</f>
      </c>
      <c r="F77" s="1">
        <f>IF(OR(F$52=0,E28="",F28=""),0,IFERROR(IF(AND(INDEX(Arten,MATCH(E28,Codes,0))="Arbeit",INDEX(Arten,MATCH(F28,Codes,0))="Arbeit"),IF(ROUND((1+INDEX(Beginne,MATCH(F28,Codes,0))-INDEX(EndeRel,MATCH(E28,Codes,0)))*1440,0)&lt;660,1,0),0),0))</f>
      </c>
      <c r="G77" s="1">
        <f>IF(OR(G$52=0,F28="",G28=""),0,IFERROR(IF(AND(INDEX(Arten,MATCH(F28,Codes,0))="Arbeit",INDEX(Arten,MATCH(G28,Codes,0))="Arbeit"),IF(ROUND((1+INDEX(Beginne,MATCH(G28,Codes,0))-INDEX(EndeRel,MATCH(F28,Codes,0)))*1440,0)&lt;660,1,0),0),0))</f>
      </c>
      <c r="H77" s="1">
        <f>IF(OR(H$52=0,G28="",H28=""),0,IFERROR(IF(AND(INDEX(Arten,MATCH(G28,Codes,0))="Arbeit",INDEX(Arten,MATCH(H28,Codes,0))="Arbeit"),IF(ROUND((1+INDEX(Beginne,MATCH(H28,Codes,0))-INDEX(EndeRel,MATCH(G28,Codes,0)))*1440,0)&lt;660,1,0),0),0))</f>
      </c>
      <c r="I77" s="1">
        <f>IF(OR(I$52=0,H28="",I28=""),0,IFERROR(IF(AND(INDEX(Arten,MATCH(H28,Codes,0))="Arbeit",INDEX(Arten,MATCH(I28,Codes,0))="Arbeit"),IF(ROUND((1+INDEX(Beginne,MATCH(I28,Codes,0))-INDEX(EndeRel,MATCH(H28,Codes,0)))*1440,0)&lt;660,1,0),0),0))</f>
      </c>
      <c r="J77" s="1">
        <f>IF(OR(J$52=0,I28="",J28=""),0,IFERROR(IF(AND(INDEX(Arten,MATCH(I28,Codes,0))="Arbeit",INDEX(Arten,MATCH(J28,Codes,0))="Arbeit"),IF(ROUND((1+INDEX(Beginne,MATCH(J28,Codes,0))-INDEX(EndeRel,MATCH(I28,Codes,0)))*1440,0)&lt;660,1,0),0),0))</f>
      </c>
      <c r="K77" s="1">
        <f>IF(OR(K$52=0,J28="",K28=""),0,IFERROR(IF(AND(INDEX(Arten,MATCH(J28,Codes,0))="Arbeit",INDEX(Arten,MATCH(K28,Codes,0))="Arbeit"),IF(ROUND((1+INDEX(Beginne,MATCH(K28,Codes,0))-INDEX(EndeRel,MATCH(J28,Codes,0)))*1440,0)&lt;660,1,0),0),0))</f>
      </c>
      <c r="L77" s="1">
        <f>IF(OR(L$52=0,K28="",L28=""),0,IFERROR(IF(AND(INDEX(Arten,MATCH(K28,Codes,0))="Arbeit",INDEX(Arten,MATCH(L28,Codes,0))="Arbeit"),IF(ROUND((1+INDEX(Beginne,MATCH(L28,Codes,0))-INDEX(EndeRel,MATCH(K28,Codes,0)))*1440,0)&lt;660,1,0),0),0))</f>
      </c>
      <c r="M77" s="1">
        <f>IF(OR(M$52=0,L28="",M28=""),0,IFERROR(IF(AND(INDEX(Arten,MATCH(L28,Codes,0))="Arbeit",INDEX(Arten,MATCH(M28,Codes,0))="Arbeit"),IF(ROUND((1+INDEX(Beginne,MATCH(M28,Codes,0))-INDEX(EndeRel,MATCH(L28,Codes,0)))*1440,0)&lt;660,1,0),0),0))</f>
      </c>
      <c r="N77" s="1">
        <f>IF(OR(N$52=0,M28="",N28=""),0,IFERROR(IF(AND(INDEX(Arten,MATCH(M28,Codes,0))="Arbeit",INDEX(Arten,MATCH(N28,Codes,0))="Arbeit"),IF(ROUND((1+INDEX(Beginne,MATCH(N28,Codes,0))-INDEX(EndeRel,MATCH(M28,Codes,0)))*1440,0)&lt;660,1,0),0),0))</f>
      </c>
      <c r="O77" s="1">
        <f>IF(OR(O$52=0,N28="",O28=""),0,IFERROR(IF(AND(INDEX(Arten,MATCH(N28,Codes,0))="Arbeit",INDEX(Arten,MATCH(O28,Codes,0))="Arbeit"),IF(ROUND((1+INDEX(Beginne,MATCH(O28,Codes,0))-INDEX(EndeRel,MATCH(N28,Codes,0)))*1440,0)&lt;660,1,0),0),0))</f>
      </c>
      <c r="P77" s="1">
        <f>IF(OR(P$52=0,O28="",P28=""),0,IFERROR(IF(AND(INDEX(Arten,MATCH(O28,Codes,0))="Arbeit",INDEX(Arten,MATCH(P28,Codes,0))="Arbeit"),IF(ROUND((1+INDEX(Beginne,MATCH(P28,Codes,0))-INDEX(EndeRel,MATCH(O28,Codes,0)))*1440,0)&lt;660,1,0),0),0))</f>
      </c>
      <c r="Q77" s="1">
        <f>IF(OR(Q$52=0,P28="",Q28=""),0,IFERROR(IF(AND(INDEX(Arten,MATCH(P28,Codes,0))="Arbeit",INDEX(Arten,MATCH(Q28,Codes,0))="Arbeit"),IF(ROUND((1+INDEX(Beginne,MATCH(Q28,Codes,0))-INDEX(EndeRel,MATCH(P28,Codes,0)))*1440,0)&lt;660,1,0),0),0))</f>
      </c>
      <c r="R77" s="1">
        <f>IF(OR(R$52=0,Q28="",R28=""),0,IFERROR(IF(AND(INDEX(Arten,MATCH(Q28,Codes,0))="Arbeit",INDEX(Arten,MATCH(R28,Codes,0))="Arbeit"),IF(ROUND((1+INDEX(Beginne,MATCH(R28,Codes,0))-INDEX(EndeRel,MATCH(Q28,Codes,0)))*1440,0)&lt;660,1,0),0),0))</f>
      </c>
      <c r="S77" s="1">
        <f>IF(OR(S$52=0,R28="",S28=""),0,IFERROR(IF(AND(INDEX(Arten,MATCH(R28,Codes,0))="Arbeit",INDEX(Arten,MATCH(S28,Codes,0))="Arbeit"),IF(ROUND((1+INDEX(Beginne,MATCH(S28,Codes,0))-INDEX(EndeRel,MATCH(R28,Codes,0)))*1440,0)&lt;660,1,0),0),0))</f>
      </c>
      <c r="T77" s="1">
        <f>IF(OR(T$52=0,S28="",T28=""),0,IFERROR(IF(AND(INDEX(Arten,MATCH(S28,Codes,0))="Arbeit",INDEX(Arten,MATCH(T28,Codes,0))="Arbeit"),IF(ROUND((1+INDEX(Beginne,MATCH(T28,Codes,0))-INDEX(EndeRel,MATCH(S28,Codes,0)))*1440,0)&lt;660,1,0),0),0))</f>
      </c>
      <c r="U77" s="1">
        <f>IF(OR(U$52=0,T28="",U28=""),0,IFERROR(IF(AND(INDEX(Arten,MATCH(T28,Codes,0))="Arbeit",INDEX(Arten,MATCH(U28,Codes,0))="Arbeit"),IF(ROUND((1+INDEX(Beginne,MATCH(U28,Codes,0))-INDEX(EndeRel,MATCH(T28,Codes,0)))*1440,0)&lt;660,1,0),0),0))</f>
      </c>
      <c r="V77" s="1">
        <f>IF(OR(V$52=0,U28="",V28=""),0,IFERROR(IF(AND(INDEX(Arten,MATCH(U28,Codes,0))="Arbeit",INDEX(Arten,MATCH(V28,Codes,0))="Arbeit"),IF(ROUND((1+INDEX(Beginne,MATCH(V28,Codes,0))-INDEX(EndeRel,MATCH(U28,Codes,0)))*1440,0)&lt;660,1,0),0),0))</f>
      </c>
      <c r="W77" s="1">
        <f>IF(OR(W$52=0,V28="",W28=""),0,IFERROR(IF(AND(INDEX(Arten,MATCH(V28,Codes,0))="Arbeit",INDEX(Arten,MATCH(W28,Codes,0))="Arbeit"),IF(ROUND((1+INDEX(Beginne,MATCH(W28,Codes,0))-INDEX(EndeRel,MATCH(V28,Codes,0)))*1440,0)&lt;660,1,0),0),0))</f>
      </c>
      <c r="X77" s="1">
        <f>IF(OR(X$52=0,W28="",X28=""),0,IFERROR(IF(AND(INDEX(Arten,MATCH(W28,Codes,0))="Arbeit",INDEX(Arten,MATCH(X28,Codes,0))="Arbeit"),IF(ROUND((1+INDEX(Beginne,MATCH(X28,Codes,0))-INDEX(EndeRel,MATCH(W28,Codes,0)))*1440,0)&lt;660,1,0),0),0))</f>
      </c>
      <c r="Y77" s="1">
        <f>IF(OR(Y$52=0,X28="",Y28=""),0,IFERROR(IF(AND(INDEX(Arten,MATCH(X28,Codes,0))="Arbeit",INDEX(Arten,MATCH(Y28,Codes,0))="Arbeit"),IF(ROUND((1+INDEX(Beginne,MATCH(Y28,Codes,0))-INDEX(EndeRel,MATCH(X28,Codes,0)))*1440,0)&lt;660,1,0),0),0))</f>
      </c>
      <c r="Z77" s="1">
        <f>IF(OR(Z$52=0,Y28="",Z28=""),0,IFERROR(IF(AND(INDEX(Arten,MATCH(Y28,Codes,0))="Arbeit",INDEX(Arten,MATCH(Z28,Codes,0))="Arbeit"),IF(ROUND((1+INDEX(Beginne,MATCH(Z28,Codes,0))-INDEX(EndeRel,MATCH(Y28,Codes,0)))*1440,0)&lt;660,1,0),0),0))</f>
      </c>
      <c r="AA77" s="1">
        <f>IF(OR(AA$52=0,Z28="",AA28=""),0,IFERROR(IF(AND(INDEX(Arten,MATCH(Z28,Codes,0))="Arbeit",INDEX(Arten,MATCH(AA28,Codes,0))="Arbeit"),IF(ROUND((1+INDEX(Beginne,MATCH(AA28,Codes,0))-INDEX(EndeRel,MATCH(Z28,Codes,0)))*1440,0)&lt;660,1,0),0),0))</f>
      </c>
      <c r="AB77" s="1">
        <f>IF(OR(AB$52=0,AA28="",AB28=""),0,IFERROR(IF(AND(INDEX(Arten,MATCH(AA28,Codes,0))="Arbeit",INDEX(Arten,MATCH(AB28,Codes,0))="Arbeit"),IF(ROUND((1+INDEX(Beginne,MATCH(AB28,Codes,0))-INDEX(EndeRel,MATCH(AA28,Codes,0)))*1440,0)&lt;660,1,0),0),0))</f>
      </c>
      <c r="AC77" s="1">
        <f>IF(OR(AC$52=0,AB28="",AC28=""),0,IFERROR(IF(AND(INDEX(Arten,MATCH(AB28,Codes,0))="Arbeit",INDEX(Arten,MATCH(AC28,Codes,0))="Arbeit"),IF(ROUND((1+INDEX(Beginne,MATCH(AC28,Codes,0))-INDEX(EndeRel,MATCH(AB28,Codes,0)))*1440,0)&lt;660,1,0),0),0))</f>
      </c>
      <c r="AD77" s="1">
        <f>IF(OR(AD$52=0,AC28="",AD28=""),0,IFERROR(IF(AND(INDEX(Arten,MATCH(AC28,Codes,0))="Arbeit",INDEX(Arten,MATCH(AD28,Codes,0))="Arbeit"),IF(ROUND((1+INDEX(Beginne,MATCH(AD28,Codes,0))-INDEX(EndeRel,MATCH(AC28,Codes,0)))*1440,0)&lt;660,1,0),0),0))</f>
      </c>
      <c r="AE77" s="1">
        <f>IF(OR(AE$52=0,AD28="",AE28=""),0,IFERROR(IF(AND(INDEX(Arten,MATCH(AD28,Codes,0))="Arbeit",INDEX(Arten,MATCH(AE28,Codes,0))="Arbeit"),IF(ROUND((1+INDEX(Beginne,MATCH(AE28,Codes,0))-INDEX(EndeRel,MATCH(AD28,Codes,0)))*1440,0)&lt;660,1,0),0),0))</f>
      </c>
      <c r="AF77" s="1">
        <f>IF(OR(AF$52=0,AE28="",AF28=""),0,IFERROR(IF(AND(INDEX(Arten,MATCH(AE28,Codes,0))="Arbeit",INDEX(Arten,MATCH(AF28,Codes,0))="Arbeit"),IF(ROUND((1+INDEX(Beginne,MATCH(AF28,Codes,0))-INDEX(EndeRel,MATCH(AE28,Codes,0)))*1440,0)&lt;660,1,0),0),0))</f>
      </c>
    </row>
    <row r="78" hidden="1" spans="1:32" x14ac:dyDescent="0.25">
      <c r="A78" s="1"/>
      <c r="B78" s="1">
        <f>IF(OR(B$52=0,""="",B29=""),0,IFERROR(IF(AND(INDEX(Arten,MATCH("",Codes,0))="Arbeit",INDEX(Arten,MATCH(B29,Codes,0))="Arbeit"),IF(ROUND((1+INDEX(Beginne,MATCH(B29,Codes,0))-INDEX(EndeRel,MATCH("",Codes,0)))*1440,0)&lt;660,1,0),0),0))</f>
      </c>
      <c r="C78" s="1">
        <f>IF(OR(C$52=0,B29="",C29=""),0,IFERROR(IF(AND(INDEX(Arten,MATCH(B29,Codes,0))="Arbeit",INDEX(Arten,MATCH(C29,Codes,0))="Arbeit"),IF(ROUND((1+INDEX(Beginne,MATCH(C29,Codes,0))-INDEX(EndeRel,MATCH(B29,Codes,0)))*1440,0)&lt;660,1,0),0),0))</f>
      </c>
      <c r="D78" s="1">
        <f>IF(OR(D$52=0,C29="",D29=""),0,IFERROR(IF(AND(INDEX(Arten,MATCH(C29,Codes,0))="Arbeit",INDEX(Arten,MATCH(D29,Codes,0))="Arbeit"),IF(ROUND((1+INDEX(Beginne,MATCH(D29,Codes,0))-INDEX(EndeRel,MATCH(C29,Codes,0)))*1440,0)&lt;660,1,0),0),0))</f>
      </c>
      <c r="E78" s="1">
        <f>IF(OR(E$52=0,D29="",E29=""),0,IFERROR(IF(AND(INDEX(Arten,MATCH(D29,Codes,0))="Arbeit",INDEX(Arten,MATCH(E29,Codes,0))="Arbeit"),IF(ROUND((1+INDEX(Beginne,MATCH(E29,Codes,0))-INDEX(EndeRel,MATCH(D29,Codes,0)))*1440,0)&lt;660,1,0),0),0))</f>
      </c>
      <c r="F78" s="1">
        <f>IF(OR(F$52=0,E29="",F29=""),0,IFERROR(IF(AND(INDEX(Arten,MATCH(E29,Codes,0))="Arbeit",INDEX(Arten,MATCH(F29,Codes,0))="Arbeit"),IF(ROUND((1+INDEX(Beginne,MATCH(F29,Codes,0))-INDEX(EndeRel,MATCH(E29,Codes,0)))*1440,0)&lt;660,1,0),0),0))</f>
      </c>
      <c r="G78" s="1">
        <f>IF(OR(G$52=0,F29="",G29=""),0,IFERROR(IF(AND(INDEX(Arten,MATCH(F29,Codes,0))="Arbeit",INDEX(Arten,MATCH(G29,Codes,0))="Arbeit"),IF(ROUND((1+INDEX(Beginne,MATCH(G29,Codes,0))-INDEX(EndeRel,MATCH(F29,Codes,0)))*1440,0)&lt;660,1,0),0),0))</f>
      </c>
      <c r="H78" s="1">
        <f>IF(OR(H$52=0,G29="",H29=""),0,IFERROR(IF(AND(INDEX(Arten,MATCH(G29,Codes,0))="Arbeit",INDEX(Arten,MATCH(H29,Codes,0))="Arbeit"),IF(ROUND((1+INDEX(Beginne,MATCH(H29,Codes,0))-INDEX(EndeRel,MATCH(G29,Codes,0)))*1440,0)&lt;660,1,0),0),0))</f>
      </c>
      <c r="I78" s="1">
        <f>IF(OR(I$52=0,H29="",I29=""),0,IFERROR(IF(AND(INDEX(Arten,MATCH(H29,Codes,0))="Arbeit",INDEX(Arten,MATCH(I29,Codes,0))="Arbeit"),IF(ROUND((1+INDEX(Beginne,MATCH(I29,Codes,0))-INDEX(EndeRel,MATCH(H29,Codes,0)))*1440,0)&lt;660,1,0),0),0))</f>
      </c>
      <c r="J78" s="1">
        <f>IF(OR(J$52=0,I29="",J29=""),0,IFERROR(IF(AND(INDEX(Arten,MATCH(I29,Codes,0))="Arbeit",INDEX(Arten,MATCH(J29,Codes,0))="Arbeit"),IF(ROUND((1+INDEX(Beginne,MATCH(J29,Codes,0))-INDEX(EndeRel,MATCH(I29,Codes,0)))*1440,0)&lt;660,1,0),0),0))</f>
      </c>
      <c r="K78" s="1">
        <f>IF(OR(K$52=0,J29="",K29=""),0,IFERROR(IF(AND(INDEX(Arten,MATCH(J29,Codes,0))="Arbeit",INDEX(Arten,MATCH(K29,Codes,0))="Arbeit"),IF(ROUND((1+INDEX(Beginne,MATCH(K29,Codes,0))-INDEX(EndeRel,MATCH(J29,Codes,0)))*1440,0)&lt;660,1,0),0),0))</f>
      </c>
      <c r="L78" s="1">
        <f>IF(OR(L$52=0,K29="",L29=""),0,IFERROR(IF(AND(INDEX(Arten,MATCH(K29,Codes,0))="Arbeit",INDEX(Arten,MATCH(L29,Codes,0))="Arbeit"),IF(ROUND((1+INDEX(Beginne,MATCH(L29,Codes,0))-INDEX(EndeRel,MATCH(K29,Codes,0)))*1440,0)&lt;660,1,0),0),0))</f>
      </c>
      <c r="M78" s="1">
        <f>IF(OR(M$52=0,L29="",M29=""),0,IFERROR(IF(AND(INDEX(Arten,MATCH(L29,Codes,0))="Arbeit",INDEX(Arten,MATCH(M29,Codes,0))="Arbeit"),IF(ROUND((1+INDEX(Beginne,MATCH(M29,Codes,0))-INDEX(EndeRel,MATCH(L29,Codes,0)))*1440,0)&lt;660,1,0),0),0))</f>
      </c>
      <c r="N78" s="1">
        <f>IF(OR(N$52=0,M29="",N29=""),0,IFERROR(IF(AND(INDEX(Arten,MATCH(M29,Codes,0))="Arbeit",INDEX(Arten,MATCH(N29,Codes,0))="Arbeit"),IF(ROUND((1+INDEX(Beginne,MATCH(N29,Codes,0))-INDEX(EndeRel,MATCH(M29,Codes,0)))*1440,0)&lt;660,1,0),0),0))</f>
      </c>
      <c r="O78" s="1">
        <f>IF(OR(O$52=0,N29="",O29=""),0,IFERROR(IF(AND(INDEX(Arten,MATCH(N29,Codes,0))="Arbeit",INDEX(Arten,MATCH(O29,Codes,0))="Arbeit"),IF(ROUND((1+INDEX(Beginne,MATCH(O29,Codes,0))-INDEX(EndeRel,MATCH(N29,Codes,0)))*1440,0)&lt;660,1,0),0),0))</f>
      </c>
      <c r="P78" s="1">
        <f>IF(OR(P$52=0,O29="",P29=""),0,IFERROR(IF(AND(INDEX(Arten,MATCH(O29,Codes,0))="Arbeit",INDEX(Arten,MATCH(P29,Codes,0))="Arbeit"),IF(ROUND((1+INDEX(Beginne,MATCH(P29,Codes,0))-INDEX(EndeRel,MATCH(O29,Codes,0)))*1440,0)&lt;660,1,0),0),0))</f>
      </c>
      <c r="Q78" s="1">
        <f>IF(OR(Q$52=0,P29="",Q29=""),0,IFERROR(IF(AND(INDEX(Arten,MATCH(P29,Codes,0))="Arbeit",INDEX(Arten,MATCH(Q29,Codes,0))="Arbeit"),IF(ROUND((1+INDEX(Beginne,MATCH(Q29,Codes,0))-INDEX(EndeRel,MATCH(P29,Codes,0)))*1440,0)&lt;660,1,0),0),0))</f>
      </c>
      <c r="R78" s="1">
        <f>IF(OR(R$52=0,Q29="",R29=""),0,IFERROR(IF(AND(INDEX(Arten,MATCH(Q29,Codes,0))="Arbeit",INDEX(Arten,MATCH(R29,Codes,0))="Arbeit"),IF(ROUND((1+INDEX(Beginne,MATCH(R29,Codes,0))-INDEX(EndeRel,MATCH(Q29,Codes,0)))*1440,0)&lt;660,1,0),0),0))</f>
      </c>
      <c r="S78" s="1">
        <f>IF(OR(S$52=0,R29="",S29=""),0,IFERROR(IF(AND(INDEX(Arten,MATCH(R29,Codes,0))="Arbeit",INDEX(Arten,MATCH(S29,Codes,0))="Arbeit"),IF(ROUND((1+INDEX(Beginne,MATCH(S29,Codes,0))-INDEX(EndeRel,MATCH(R29,Codes,0)))*1440,0)&lt;660,1,0),0),0))</f>
      </c>
      <c r="T78" s="1">
        <f>IF(OR(T$52=0,S29="",T29=""),0,IFERROR(IF(AND(INDEX(Arten,MATCH(S29,Codes,0))="Arbeit",INDEX(Arten,MATCH(T29,Codes,0))="Arbeit"),IF(ROUND((1+INDEX(Beginne,MATCH(T29,Codes,0))-INDEX(EndeRel,MATCH(S29,Codes,0)))*1440,0)&lt;660,1,0),0),0))</f>
      </c>
      <c r="U78" s="1">
        <f>IF(OR(U$52=0,T29="",U29=""),0,IFERROR(IF(AND(INDEX(Arten,MATCH(T29,Codes,0))="Arbeit",INDEX(Arten,MATCH(U29,Codes,0))="Arbeit"),IF(ROUND((1+INDEX(Beginne,MATCH(U29,Codes,0))-INDEX(EndeRel,MATCH(T29,Codes,0)))*1440,0)&lt;660,1,0),0),0))</f>
      </c>
      <c r="V78" s="1">
        <f>IF(OR(V$52=0,U29="",V29=""),0,IFERROR(IF(AND(INDEX(Arten,MATCH(U29,Codes,0))="Arbeit",INDEX(Arten,MATCH(V29,Codes,0))="Arbeit"),IF(ROUND((1+INDEX(Beginne,MATCH(V29,Codes,0))-INDEX(EndeRel,MATCH(U29,Codes,0)))*1440,0)&lt;660,1,0),0),0))</f>
      </c>
      <c r="W78" s="1">
        <f>IF(OR(W$52=0,V29="",W29=""),0,IFERROR(IF(AND(INDEX(Arten,MATCH(V29,Codes,0))="Arbeit",INDEX(Arten,MATCH(W29,Codes,0))="Arbeit"),IF(ROUND((1+INDEX(Beginne,MATCH(W29,Codes,0))-INDEX(EndeRel,MATCH(V29,Codes,0)))*1440,0)&lt;660,1,0),0),0))</f>
      </c>
      <c r="X78" s="1">
        <f>IF(OR(X$52=0,W29="",X29=""),0,IFERROR(IF(AND(INDEX(Arten,MATCH(W29,Codes,0))="Arbeit",INDEX(Arten,MATCH(X29,Codes,0))="Arbeit"),IF(ROUND((1+INDEX(Beginne,MATCH(X29,Codes,0))-INDEX(EndeRel,MATCH(W29,Codes,0)))*1440,0)&lt;660,1,0),0),0))</f>
      </c>
      <c r="Y78" s="1">
        <f>IF(OR(Y$52=0,X29="",Y29=""),0,IFERROR(IF(AND(INDEX(Arten,MATCH(X29,Codes,0))="Arbeit",INDEX(Arten,MATCH(Y29,Codes,0))="Arbeit"),IF(ROUND((1+INDEX(Beginne,MATCH(Y29,Codes,0))-INDEX(EndeRel,MATCH(X29,Codes,0)))*1440,0)&lt;660,1,0),0),0))</f>
      </c>
      <c r="Z78" s="1">
        <f>IF(OR(Z$52=0,Y29="",Z29=""),0,IFERROR(IF(AND(INDEX(Arten,MATCH(Y29,Codes,0))="Arbeit",INDEX(Arten,MATCH(Z29,Codes,0))="Arbeit"),IF(ROUND((1+INDEX(Beginne,MATCH(Z29,Codes,0))-INDEX(EndeRel,MATCH(Y29,Codes,0)))*1440,0)&lt;660,1,0),0),0))</f>
      </c>
      <c r="AA78" s="1">
        <f>IF(OR(AA$52=0,Z29="",AA29=""),0,IFERROR(IF(AND(INDEX(Arten,MATCH(Z29,Codes,0))="Arbeit",INDEX(Arten,MATCH(AA29,Codes,0))="Arbeit"),IF(ROUND((1+INDEX(Beginne,MATCH(AA29,Codes,0))-INDEX(EndeRel,MATCH(Z29,Codes,0)))*1440,0)&lt;660,1,0),0),0))</f>
      </c>
      <c r="AB78" s="1">
        <f>IF(OR(AB$52=0,AA29="",AB29=""),0,IFERROR(IF(AND(INDEX(Arten,MATCH(AA29,Codes,0))="Arbeit",INDEX(Arten,MATCH(AB29,Codes,0))="Arbeit"),IF(ROUND((1+INDEX(Beginne,MATCH(AB29,Codes,0))-INDEX(EndeRel,MATCH(AA29,Codes,0)))*1440,0)&lt;660,1,0),0),0))</f>
      </c>
      <c r="AC78" s="1">
        <f>IF(OR(AC$52=0,AB29="",AC29=""),0,IFERROR(IF(AND(INDEX(Arten,MATCH(AB29,Codes,0))="Arbeit",INDEX(Arten,MATCH(AC29,Codes,0))="Arbeit"),IF(ROUND((1+INDEX(Beginne,MATCH(AC29,Codes,0))-INDEX(EndeRel,MATCH(AB29,Codes,0)))*1440,0)&lt;660,1,0),0),0))</f>
      </c>
      <c r="AD78" s="1">
        <f>IF(OR(AD$52=0,AC29="",AD29=""),0,IFERROR(IF(AND(INDEX(Arten,MATCH(AC29,Codes,0))="Arbeit",INDEX(Arten,MATCH(AD29,Codes,0))="Arbeit"),IF(ROUND((1+INDEX(Beginne,MATCH(AD29,Codes,0))-INDEX(EndeRel,MATCH(AC29,Codes,0)))*1440,0)&lt;660,1,0),0),0))</f>
      </c>
      <c r="AE78" s="1">
        <f>IF(OR(AE$52=0,AD29="",AE29=""),0,IFERROR(IF(AND(INDEX(Arten,MATCH(AD29,Codes,0))="Arbeit",INDEX(Arten,MATCH(AE29,Codes,0))="Arbeit"),IF(ROUND((1+INDEX(Beginne,MATCH(AE29,Codes,0))-INDEX(EndeRel,MATCH(AD29,Codes,0)))*1440,0)&lt;660,1,0),0),0))</f>
      </c>
      <c r="AF78" s="1">
        <f>IF(OR(AF$52=0,AE29="",AF29=""),0,IFERROR(IF(AND(INDEX(Arten,MATCH(AE29,Codes,0))="Arbeit",INDEX(Arten,MATCH(AF29,Codes,0))="Arbeit"),IF(ROUND((1+INDEX(Beginne,MATCH(AF29,Codes,0))-INDEX(EndeRel,MATCH(AE29,Codes,0)))*1440,0)&lt;660,1,0),0),0))</f>
      </c>
    </row>
    <row r="79" hidden="1" spans="1:32" x14ac:dyDescent="0.25">
      <c r="A79" s="1"/>
      <c r="B79" s="1">
        <f>IF(OR(B$52=0,""="",B30=""),0,IFERROR(IF(AND(INDEX(Arten,MATCH("",Codes,0))="Arbeit",INDEX(Arten,MATCH(B30,Codes,0))="Arbeit"),IF(ROUND((1+INDEX(Beginne,MATCH(B30,Codes,0))-INDEX(EndeRel,MATCH("",Codes,0)))*1440,0)&lt;660,1,0),0),0))</f>
      </c>
      <c r="C79" s="1">
        <f>IF(OR(C$52=0,B30="",C30=""),0,IFERROR(IF(AND(INDEX(Arten,MATCH(B30,Codes,0))="Arbeit",INDEX(Arten,MATCH(C30,Codes,0))="Arbeit"),IF(ROUND((1+INDEX(Beginne,MATCH(C30,Codes,0))-INDEX(EndeRel,MATCH(B30,Codes,0)))*1440,0)&lt;660,1,0),0),0))</f>
      </c>
      <c r="D79" s="1">
        <f>IF(OR(D$52=0,C30="",D30=""),0,IFERROR(IF(AND(INDEX(Arten,MATCH(C30,Codes,0))="Arbeit",INDEX(Arten,MATCH(D30,Codes,0))="Arbeit"),IF(ROUND((1+INDEX(Beginne,MATCH(D30,Codes,0))-INDEX(EndeRel,MATCH(C30,Codes,0)))*1440,0)&lt;660,1,0),0),0))</f>
      </c>
      <c r="E79" s="1">
        <f>IF(OR(E$52=0,D30="",E30=""),0,IFERROR(IF(AND(INDEX(Arten,MATCH(D30,Codes,0))="Arbeit",INDEX(Arten,MATCH(E30,Codes,0))="Arbeit"),IF(ROUND((1+INDEX(Beginne,MATCH(E30,Codes,0))-INDEX(EndeRel,MATCH(D30,Codes,0)))*1440,0)&lt;660,1,0),0),0))</f>
      </c>
      <c r="F79" s="1">
        <f>IF(OR(F$52=0,E30="",F30=""),0,IFERROR(IF(AND(INDEX(Arten,MATCH(E30,Codes,0))="Arbeit",INDEX(Arten,MATCH(F30,Codes,0))="Arbeit"),IF(ROUND((1+INDEX(Beginne,MATCH(F30,Codes,0))-INDEX(EndeRel,MATCH(E30,Codes,0)))*1440,0)&lt;660,1,0),0),0))</f>
      </c>
      <c r="G79" s="1">
        <f>IF(OR(G$52=0,F30="",G30=""),0,IFERROR(IF(AND(INDEX(Arten,MATCH(F30,Codes,0))="Arbeit",INDEX(Arten,MATCH(G30,Codes,0))="Arbeit"),IF(ROUND((1+INDEX(Beginne,MATCH(G30,Codes,0))-INDEX(EndeRel,MATCH(F30,Codes,0)))*1440,0)&lt;660,1,0),0),0))</f>
      </c>
      <c r="H79" s="1">
        <f>IF(OR(H$52=0,G30="",H30=""),0,IFERROR(IF(AND(INDEX(Arten,MATCH(G30,Codes,0))="Arbeit",INDEX(Arten,MATCH(H30,Codes,0))="Arbeit"),IF(ROUND((1+INDEX(Beginne,MATCH(H30,Codes,0))-INDEX(EndeRel,MATCH(G30,Codes,0)))*1440,0)&lt;660,1,0),0),0))</f>
      </c>
      <c r="I79" s="1">
        <f>IF(OR(I$52=0,H30="",I30=""),0,IFERROR(IF(AND(INDEX(Arten,MATCH(H30,Codes,0))="Arbeit",INDEX(Arten,MATCH(I30,Codes,0))="Arbeit"),IF(ROUND((1+INDEX(Beginne,MATCH(I30,Codes,0))-INDEX(EndeRel,MATCH(H30,Codes,0)))*1440,0)&lt;660,1,0),0),0))</f>
      </c>
      <c r="J79" s="1">
        <f>IF(OR(J$52=0,I30="",J30=""),0,IFERROR(IF(AND(INDEX(Arten,MATCH(I30,Codes,0))="Arbeit",INDEX(Arten,MATCH(J30,Codes,0))="Arbeit"),IF(ROUND((1+INDEX(Beginne,MATCH(J30,Codes,0))-INDEX(EndeRel,MATCH(I30,Codes,0)))*1440,0)&lt;660,1,0),0),0))</f>
      </c>
      <c r="K79" s="1">
        <f>IF(OR(K$52=0,J30="",K30=""),0,IFERROR(IF(AND(INDEX(Arten,MATCH(J30,Codes,0))="Arbeit",INDEX(Arten,MATCH(K30,Codes,0))="Arbeit"),IF(ROUND((1+INDEX(Beginne,MATCH(K30,Codes,0))-INDEX(EndeRel,MATCH(J30,Codes,0)))*1440,0)&lt;660,1,0),0),0))</f>
      </c>
      <c r="L79" s="1">
        <f>IF(OR(L$52=0,K30="",L30=""),0,IFERROR(IF(AND(INDEX(Arten,MATCH(K30,Codes,0))="Arbeit",INDEX(Arten,MATCH(L30,Codes,0))="Arbeit"),IF(ROUND((1+INDEX(Beginne,MATCH(L30,Codes,0))-INDEX(EndeRel,MATCH(K30,Codes,0)))*1440,0)&lt;660,1,0),0),0))</f>
      </c>
      <c r="M79" s="1">
        <f>IF(OR(M$52=0,L30="",M30=""),0,IFERROR(IF(AND(INDEX(Arten,MATCH(L30,Codes,0))="Arbeit",INDEX(Arten,MATCH(M30,Codes,0))="Arbeit"),IF(ROUND((1+INDEX(Beginne,MATCH(M30,Codes,0))-INDEX(EndeRel,MATCH(L30,Codes,0)))*1440,0)&lt;660,1,0),0),0))</f>
      </c>
      <c r="N79" s="1">
        <f>IF(OR(N$52=0,M30="",N30=""),0,IFERROR(IF(AND(INDEX(Arten,MATCH(M30,Codes,0))="Arbeit",INDEX(Arten,MATCH(N30,Codes,0))="Arbeit"),IF(ROUND((1+INDEX(Beginne,MATCH(N30,Codes,0))-INDEX(EndeRel,MATCH(M30,Codes,0)))*1440,0)&lt;660,1,0),0),0))</f>
      </c>
      <c r="O79" s="1">
        <f>IF(OR(O$52=0,N30="",O30=""),0,IFERROR(IF(AND(INDEX(Arten,MATCH(N30,Codes,0))="Arbeit",INDEX(Arten,MATCH(O30,Codes,0))="Arbeit"),IF(ROUND((1+INDEX(Beginne,MATCH(O30,Codes,0))-INDEX(EndeRel,MATCH(N30,Codes,0)))*1440,0)&lt;660,1,0),0),0))</f>
      </c>
      <c r="P79" s="1">
        <f>IF(OR(P$52=0,O30="",P30=""),0,IFERROR(IF(AND(INDEX(Arten,MATCH(O30,Codes,0))="Arbeit",INDEX(Arten,MATCH(P30,Codes,0))="Arbeit"),IF(ROUND((1+INDEX(Beginne,MATCH(P30,Codes,0))-INDEX(EndeRel,MATCH(O30,Codes,0)))*1440,0)&lt;660,1,0),0),0))</f>
      </c>
      <c r="Q79" s="1">
        <f>IF(OR(Q$52=0,P30="",Q30=""),0,IFERROR(IF(AND(INDEX(Arten,MATCH(P30,Codes,0))="Arbeit",INDEX(Arten,MATCH(Q30,Codes,0))="Arbeit"),IF(ROUND((1+INDEX(Beginne,MATCH(Q30,Codes,0))-INDEX(EndeRel,MATCH(P30,Codes,0)))*1440,0)&lt;660,1,0),0),0))</f>
      </c>
      <c r="R79" s="1">
        <f>IF(OR(R$52=0,Q30="",R30=""),0,IFERROR(IF(AND(INDEX(Arten,MATCH(Q30,Codes,0))="Arbeit",INDEX(Arten,MATCH(R30,Codes,0))="Arbeit"),IF(ROUND((1+INDEX(Beginne,MATCH(R30,Codes,0))-INDEX(EndeRel,MATCH(Q30,Codes,0)))*1440,0)&lt;660,1,0),0),0))</f>
      </c>
      <c r="S79" s="1">
        <f>IF(OR(S$52=0,R30="",S30=""),0,IFERROR(IF(AND(INDEX(Arten,MATCH(R30,Codes,0))="Arbeit",INDEX(Arten,MATCH(S30,Codes,0))="Arbeit"),IF(ROUND((1+INDEX(Beginne,MATCH(S30,Codes,0))-INDEX(EndeRel,MATCH(R30,Codes,0)))*1440,0)&lt;660,1,0),0),0))</f>
      </c>
      <c r="T79" s="1">
        <f>IF(OR(T$52=0,S30="",T30=""),0,IFERROR(IF(AND(INDEX(Arten,MATCH(S30,Codes,0))="Arbeit",INDEX(Arten,MATCH(T30,Codes,0))="Arbeit"),IF(ROUND((1+INDEX(Beginne,MATCH(T30,Codes,0))-INDEX(EndeRel,MATCH(S30,Codes,0)))*1440,0)&lt;660,1,0),0),0))</f>
      </c>
      <c r="U79" s="1">
        <f>IF(OR(U$52=0,T30="",U30=""),0,IFERROR(IF(AND(INDEX(Arten,MATCH(T30,Codes,0))="Arbeit",INDEX(Arten,MATCH(U30,Codes,0))="Arbeit"),IF(ROUND((1+INDEX(Beginne,MATCH(U30,Codes,0))-INDEX(EndeRel,MATCH(T30,Codes,0)))*1440,0)&lt;660,1,0),0),0))</f>
      </c>
      <c r="V79" s="1">
        <f>IF(OR(V$52=0,U30="",V30=""),0,IFERROR(IF(AND(INDEX(Arten,MATCH(U30,Codes,0))="Arbeit",INDEX(Arten,MATCH(V30,Codes,0))="Arbeit"),IF(ROUND((1+INDEX(Beginne,MATCH(V30,Codes,0))-INDEX(EndeRel,MATCH(U30,Codes,0)))*1440,0)&lt;660,1,0),0),0))</f>
      </c>
      <c r="W79" s="1">
        <f>IF(OR(W$52=0,V30="",W30=""),0,IFERROR(IF(AND(INDEX(Arten,MATCH(V30,Codes,0))="Arbeit",INDEX(Arten,MATCH(W30,Codes,0))="Arbeit"),IF(ROUND((1+INDEX(Beginne,MATCH(W30,Codes,0))-INDEX(EndeRel,MATCH(V30,Codes,0)))*1440,0)&lt;660,1,0),0),0))</f>
      </c>
      <c r="X79" s="1">
        <f>IF(OR(X$52=0,W30="",X30=""),0,IFERROR(IF(AND(INDEX(Arten,MATCH(W30,Codes,0))="Arbeit",INDEX(Arten,MATCH(X30,Codes,0))="Arbeit"),IF(ROUND((1+INDEX(Beginne,MATCH(X30,Codes,0))-INDEX(EndeRel,MATCH(W30,Codes,0)))*1440,0)&lt;660,1,0),0),0))</f>
      </c>
      <c r="Y79" s="1">
        <f>IF(OR(Y$52=0,X30="",Y30=""),0,IFERROR(IF(AND(INDEX(Arten,MATCH(X30,Codes,0))="Arbeit",INDEX(Arten,MATCH(Y30,Codes,0))="Arbeit"),IF(ROUND((1+INDEX(Beginne,MATCH(Y30,Codes,0))-INDEX(EndeRel,MATCH(X30,Codes,0)))*1440,0)&lt;660,1,0),0),0))</f>
      </c>
      <c r="Z79" s="1">
        <f>IF(OR(Z$52=0,Y30="",Z30=""),0,IFERROR(IF(AND(INDEX(Arten,MATCH(Y30,Codes,0))="Arbeit",INDEX(Arten,MATCH(Z30,Codes,0))="Arbeit"),IF(ROUND((1+INDEX(Beginne,MATCH(Z30,Codes,0))-INDEX(EndeRel,MATCH(Y30,Codes,0)))*1440,0)&lt;660,1,0),0),0))</f>
      </c>
      <c r="AA79" s="1">
        <f>IF(OR(AA$52=0,Z30="",AA30=""),0,IFERROR(IF(AND(INDEX(Arten,MATCH(Z30,Codes,0))="Arbeit",INDEX(Arten,MATCH(AA30,Codes,0))="Arbeit"),IF(ROUND((1+INDEX(Beginne,MATCH(AA30,Codes,0))-INDEX(EndeRel,MATCH(Z30,Codes,0)))*1440,0)&lt;660,1,0),0),0))</f>
      </c>
      <c r="AB79" s="1">
        <f>IF(OR(AB$52=0,AA30="",AB30=""),0,IFERROR(IF(AND(INDEX(Arten,MATCH(AA30,Codes,0))="Arbeit",INDEX(Arten,MATCH(AB30,Codes,0))="Arbeit"),IF(ROUND((1+INDEX(Beginne,MATCH(AB30,Codes,0))-INDEX(EndeRel,MATCH(AA30,Codes,0)))*1440,0)&lt;660,1,0),0),0))</f>
      </c>
      <c r="AC79" s="1">
        <f>IF(OR(AC$52=0,AB30="",AC30=""),0,IFERROR(IF(AND(INDEX(Arten,MATCH(AB30,Codes,0))="Arbeit",INDEX(Arten,MATCH(AC30,Codes,0))="Arbeit"),IF(ROUND((1+INDEX(Beginne,MATCH(AC30,Codes,0))-INDEX(EndeRel,MATCH(AB30,Codes,0)))*1440,0)&lt;660,1,0),0),0))</f>
      </c>
      <c r="AD79" s="1">
        <f>IF(OR(AD$52=0,AC30="",AD30=""),0,IFERROR(IF(AND(INDEX(Arten,MATCH(AC30,Codes,0))="Arbeit",INDEX(Arten,MATCH(AD30,Codes,0))="Arbeit"),IF(ROUND((1+INDEX(Beginne,MATCH(AD30,Codes,0))-INDEX(EndeRel,MATCH(AC30,Codes,0)))*1440,0)&lt;660,1,0),0),0))</f>
      </c>
      <c r="AE79" s="1">
        <f>IF(OR(AE$52=0,AD30="",AE30=""),0,IFERROR(IF(AND(INDEX(Arten,MATCH(AD30,Codes,0))="Arbeit",INDEX(Arten,MATCH(AE30,Codes,0))="Arbeit"),IF(ROUND((1+INDEX(Beginne,MATCH(AE30,Codes,0))-INDEX(EndeRel,MATCH(AD30,Codes,0)))*1440,0)&lt;660,1,0),0),0))</f>
      </c>
      <c r="AF79" s="1">
        <f>IF(OR(AF$52=0,AE30="",AF30=""),0,IFERROR(IF(AND(INDEX(Arten,MATCH(AE30,Codes,0))="Arbeit",INDEX(Arten,MATCH(AF30,Codes,0))="Arbeit"),IF(ROUND((1+INDEX(Beginne,MATCH(AF30,Codes,0))-INDEX(EndeRel,MATCH(AE30,Codes,0)))*1440,0)&lt;660,1,0),0),0))</f>
      </c>
    </row>
    <row r="80" hidden="1" spans="1:32" x14ac:dyDescent="0.25">
      <c r="A80" s="1"/>
      <c r="B80" s="1">
        <f>IF(OR(B$52=0,""="",B31=""),0,IFERROR(IF(AND(INDEX(Arten,MATCH("",Codes,0))="Arbeit",INDEX(Arten,MATCH(B31,Codes,0))="Arbeit"),IF(ROUND((1+INDEX(Beginne,MATCH(B31,Codes,0))-INDEX(EndeRel,MATCH("",Codes,0)))*1440,0)&lt;660,1,0),0),0))</f>
      </c>
      <c r="C80" s="1">
        <f>IF(OR(C$52=0,B31="",C31=""),0,IFERROR(IF(AND(INDEX(Arten,MATCH(B31,Codes,0))="Arbeit",INDEX(Arten,MATCH(C31,Codes,0))="Arbeit"),IF(ROUND((1+INDEX(Beginne,MATCH(C31,Codes,0))-INDEX(EndeRel,MATCH(B31,Codes,0)))*1440,0)&lt;660,1,0),0),0))</f>
      </c>
      <c r="D80" s="1">
        <f>IF(OR(D$52=0,C31="",D31=""),0,IFERROR(IF(AND(INDEX(Arten,MATCH(C31,Codes,0))="Arbeit",INDEX(Arten,MATCH(D31,Codes,0))="Arbeit"),IF(ROUND((1+INDEX(Beginne,MATCH(D31,Codes,0))-INDEX(EndeRel,MATCH(C31,Codes,0)))*1440,0)&lt;660,1,0),0),0))</f>
      </c>
      <c r="E80" s="1">
        <f>IF(OR(E$52=0,D31="",E31=""),0,IFERROR(IF(AND(INDEX(Arten,MATCH(D31,Codes,0))="Arbeit",INDEX(Arten,MATCH(E31,Codes,0))="Arbeit"),IF(ROUND((1+INDEX(Beginne,MATCH(E31,Codes,0))-INDEX(EndeRel,MATCH(D31,Codes,0)))*1440,0)&lt;660,1,0),0),0))</f>
      </c>
      <c r="F80" s="1">
        <f>IF(OR(F$52=0,E31="",F31=""),0,IFERROR(IF(AND(INDEX(Arten,MATCH(E31,Codes,0))="Arbeit",INDEX(Arten,MATCH(F31,Codes,0))="Arbeit"),IF(ROUND((1+INDEX(Beginne,MATCH(F31,Codes,0))-INDEX(EndeRel,MATCH(E31,Codes,0)))*1440,0)&lt;660,1,0),0),0))</f>
      </c>
      <c r="G80" s="1">
        <f>IF(OR(G$52=0,F31="",G31=""),0,IFERROR(IF(AND(INDEX(Arten,MATCH(F31,Codes,0))="Arbeit",INDEX(Arten,MATCH(G31,Codes,0))="Arbeit"),IF(ROUND((1+INDEX(Beginne,MATCH(G31,Codes,0))-INDEX(EndeRel,MATCH(F31,Codes,0)))*1440,0)&lt;660,1,0),0),0))</f>
      </c>
      <c r="H80" s="1">
        <f>IF(OR(H$52=0,G31="",H31=""),0,IFERROR(IF(AND(INDEX(Arten,MATCH(G31,Codes,0))="Arbeit",INDEX(Arten,MATCH(H31,Codes,0))="Arbeit"),IF(ROUND((1+INDEX(Beginne,MATCH(H31,Codes,0))-INDEX(EndeRel,MATCH(G31,Codes,0)))*1440,0)&lt;660,1,0),0),0))</f>
      </c>
      <c r="I80" s="1">
        <f>IF(OR(I$52=0,H31="",I31=""),0,IFERROR(IF(AND(INDEX(Arten,MATCH(H31,Codes,0))="Arbeit",INDEX(Arten,MATCH(I31,Codes,0))="Arbeit"),IF(ROUND((1+INDEX(Beginne,MATCH(I31,Codes,0))-INDEX(EndeRel,MATCH(H31,Codes,0)))*1440,0)&lt;660,1,0),0),0))</f>
      </c>
      <c r="J80" s="1">
        <f>IF(OR(J$52=0,I31="",J31=""),0,IFERROR(IF(AND(INDEX(Arten,MATCH(I31,Codes,0))="Arbeit",INDEX(Arten,MATCH(J31,Codes,0))="Arbeit"),IF(ROUND((1+INDEX(Beginne,MATCH(J31,Codes,0))-INDEX(EndeRel,MATCH(I31,Codes,0)))*1440,0)&lt;660,1,0),0),0))</f>
      </c>
      <c r="K80" s="1">
        <f>IF(OR(K$52=0,J31="",K31=""),0,IFERROR(IF(AND(INDEX(Arten,MATCH(J31,Codes,0))="Arbeit",INDEX(Arten,MATCH(K31,Codes,0))="Arbeit"),IF(ROUND((1+INDEX(Beginne,MATCH(K31,Codes,0))-INDEX(EndeRel,MATCH(J31,Codes,0)))*1440,0)&lt;660,1,0),0),0))</f>
      </c>
      <c r="L80" s="1">
        <f>IF(OR(L$52=0,K31="",L31=""),0,IFERROR(IF(AND(INDEX(Arten,MATCH(K31,Codes,0))="Arbeit",INDEX(Arten,MATCH(L31,Codes,0))="Arbeit"),IF(ROUND((1+INDEX(Beginne,MATCH(L31,Codes,0))-INDEX(EndeRel,MATCH(K31,Codes,0)))*1440,0)&lt;660,1,0),0),0))</f>
      </c>
      <c r="M80" s="1">
        <f>IF(OR(M$52=0,L31="",M31=""),0,IFERROR(IF(AND(INDEX(Arten,MATCH(L31,Codes,0))="Arbeit",INDEX(Arten,MATCH(M31,Codes,0))="Arbeit"),IF(ROUND((1+INDEX(Beginne,MATCH(M31,Codes,0))-INDEX(EndeRel,MATCH(L31,Codes,0)))*1440,0)&lt;660,1,0),0),0))</f>
      </c>
      <c r="N80" s="1">
        <f>IF(OR(N$52=0,M31="",N31=""),0,IFERROR(IF(AND(INDEX(Arten,MATCH(M31,Codes,0))="Arbeit",INDEX(Arten,MATCH(N31,Codes,0))="Arbeit"),IF(ROUND((1+INDEX(Beginne,MATCH(N31,Codes,0))-INDEX(EndeRel,MATCH(M31,Codes,0)))*1440,0)&lt;660,1,0),0),0))</f>
      </c>
      <c r="O80" s="1">
        <f>IF(OR(O$52=0,N31="",O31=""),0,IFERROR(IF(AND(INDEX(Arten,MATCH(N31,Codes,0))="Arbeit",INDEX(Arten,MATCH(O31,Codes,0))="Arbeit"),IF(ROUND((1+INDEX(Beginne,MATCH(O31,Codes,0))-INDEX(EndeRel,MATCH(N31,Codes,0)))*1440,0)&lt;660,1,0),0),0))</f>
      </c>
      <c r="P80" s="1">
        <f>IF(OR(P$52=0,O31="",P31=""),0,IFERROR(IF(AND(INDEX(Arten,MATCH(O31,Codes,0))="Arbeit",INDEX(Arten,MATCH(P31,Codes,0))="Arbeit"),IF(ROUND((1+INDEX(Beginne,MATCH(P31,Codes,0))-INDEX(EndeRel,MATCH(O31,Codes,0)))*1440,0)&lt;660,1,0),0),0))</f>
      </c>
      <c r="Q80" s="1">
        <f>IF(OR(Q$52=0,P31="",Q31=""),0,IFERROR(IF(AND(INDEX(Arten,MATCH(P31,Codes,0))="Arbeit",INDEX(Arten,MATCH(Q31,Codes,0))="Arbeit"),IF(ROUND((1+INDEX(Beginne,MATCH(Q31,Codes,0))-INDEX(EndeRel,MATCH(P31,Codes,0)))*1440,0)&lt;660,1,0),0),0))</f>
      </c>
      <c r="R80" s="1">
        <f>IF(OR(R$52=0,Q31="",R31=""),0,IFERROR(IF(AND(INDEX(Arten,MATCH(Q31,Codes,0))="Arbeit",INDEX(Arten,MATCH(R31,Codes,0))="Arbeit"),IF(ROUND((1+INDEX(Beginne,MATCH(R31,Codes,0))-INDEX(EndeRel,MATCH(Q31,Codes,0)))*1440,0)&lt;660,1,0),0),0))</f>
      </c>
      <c r="S80" s="1">
        <f>IF(OR(S$52=0,R31="",S31=""),0,IFERROR(IF(AND(INDEX(Arten,MATCH(R31,Codes,0))="Arbeit",INDEX(Arten,MATCH(S31,Codes,0))="Arbeit"),IF(ROUND((1+INDEX(Beginne,MATCH(S31,Codes,0))-INDEX(EndeRel,MATCH(R31,Codes,0)))*1440,0)&lt;660,1,0),0),0))</f>
      </c>
      <c r="T80" s="1">
        <f>IF(OR(T$52=0,S31="",T31=""),0,IFERROR(IF(AND(INDEX(Arten,MATCH(S31,Codes,0))="Arbeit",INDEX(Arten,MATCH(T31,Codes,0))="Arbeit"),IF(ROUND((1+INDEX(Beginne,MATCH(T31,Codes,0))-INDEX(EndeRel,MATCH(S31,Codes,0)))*1440,0)&lt;660,1,0),0),0))</f>
      </c>
      <c r="U80" s="1">
        <f>IF(OR(U$52=0,T31="",U31=""),0,IFERROR(IF(AND(INDEX(Arten,MATCH(T31,Codes,0))="Arbeit",INDEX(Arten,MATCH(U31,Codes,0))="Arbeit"),IF(ROUND((1+INDEX(Beginne,MATCH(U31,Codes,0))-INDEX(EndeRel,MATCH(T31,Codes,0)))*1440,0)&lt;660,1,0),0),0))</f>
      </c>
      <c r="V80" s="1">
        <f>IF(OR(V$52=0,U31="",V31=""),0,IFERROR(IF(AND(INDEX(Arten,MATCH(U31,Codes,0))="Arbeit",INDEX(Arten,MATCH(V31,Codes,0))="Arbeit"),IF(ROUND((1+INDEX(Beginne,MATCH(V31,Codes,0))-INDEX(EndeRel,MATCH(U31,Codes,0)))*1440,0)&lt;660,1,0),0),0))</f>
      </c>
      <c r="W80" s="1">
        <f>IF(OR(W$52=0,V31="",W31=""),0,IFERROR(IF(AND(INDEX(Arten,MATCH(V31,Codes,0))="Arbeit",INDEX(Arten,MATCH(W31,Codes,0))="Arbeit"),IF(ROUND((1+INDEX(Beginne,MATCH(W31,Codes,0))-INDEX(EndeRel,MATCH(V31,Codes,0)))*1440,0)&lt;660,1,0),0),0))</f>
      </c>
      <c r="X80" s="1">
        <f>IF(OR(X$52=0,W31="",X31=""),0,IFERROR(IF(AND(INDEX(Arten,MATCH(W31,Codes,0))="Arbeit",INDEX(Arten,MATCH(X31,Codes,0))="Arbeit"),IF(ROUND((1+INDEX(Beginne,MATCH(X31,Codes,0))-INDEX(EndeRel,MATCH(W31,Codes,0)))*1440,0)&lt;660,1,0),0),0))</f>
      </c>
      <c r="Y80" s="1">
        <f>IF(OR(Y$52=0,X31="",Y31=""),0,IFERROR(IF(AND(INDEX(Arten,MATCH(X31,Codes,0))="Arbeit",INDEX(Arten,MATCH(Y31,Codes,0))="Arbeit"),IF(ROUND((1+INDEX(Beginne,MATCH(Y31,Codes,0))-INDEX(EndeRel,MATCH(X31,Codes,0)))*1440,0)&lt;660,1,0),0),0))</f>
      </c>
      <c r="Z80" s="1">
        <f>IF(OR(Z$52=0,Y31="",Z31=""),0,IFERROR(IF(AND(INDEX(Arten,MATCH(Y31,Codes,0))="Arbeit",INDEX(Arten,MATCH(Z31,Codes,0))="Arbeit"),IF(ROUND((1+INDEX(Beginne,MATCH(Z31,Codes,0))-INDEX(EndeRel,MATCH(Y31,Codes,0)))*1440,0)&lt;660,1,0),0),0))</f>
      </c>
      <c r="AA80" s="1">
        <f>IF(OR(AA$52=0,Z31="",AA31=""),0,IFERROR(IF(AND(INDEX(Arten,MATCH(Z31,Codes,0))="Arbeit",INDEX(Arten,MATCH(AA31,Codes,0))="Arbeit"),IF(ROUND((1+INDEX(Beginne,MATCH(AA31,Codes,0))-INDEX(EndeRel,MATCH(Z31,Codes,0)))*1440,0)&lt;660,1,0),0),0))</f>
      </c>
      <c r="AB80" s="1">
        <f>IF(OR(AB$52=0,AA31="",AB31=""),0,IFERROR(IF(AND(INDEX(Arten,MATCH(AA31,Codes,0))="Arbeit",INDEX(Arten,MATCH(AB31,Codes,0))="Arbeit"),IF(ROUND((1+INDEX(Beginne,MATCH(AB31,Codes,0))-INDEX(EndeRel,MATCH(AA31,Codes,0)))*1440,0)&lt;660,1,0),0),0))</f>
      </c>
      <c r="AC80" s="1">
        <f>IF(OR(AC$52=0,AB31="",AC31=""),0,IFERROR(IF(AND(INDEX(Arten,MATCH(AB31,Codes,0))="Arbeit",INDEX(Arten,MATCH(AC31,Codes,0))="Arbeit"),IF(ROUND((1+INDEX(Beginne,MATCH(AC31,Codes,0))-INDEX(EndeRel,MATCH(AB31,Codes,0)))*1440,0)&lt;660,1,0),0),0))</f>
      </c>
      <c r="AD80" s="1">
        <f>IF(OR(AD$52=0,AC31="",AD31=""),0,IFERROR(IF(AND(INDEX(Arten,MATCH(AC31,Codes,0))="Arbeit",INDEX(Arten,MATCH(AD31,Codes,0))="Arbeit"),IF(ROUND((1+INDEX(Beginne,MATCH(AD31,Codes,0))-INDEX(EndeRel,MATCH(AC31,Codes,0)))*1440,0)&lt;660,1,0),0),0))</f>
      </c>
      <c r="AE80" s="1">
        <f>IF(OR(AE$52=0,AD31="",AE31=""),0,IFERROR(IF(AND(INDEX(Arten,MATCH(AD31,Codes,0))="Arbeit",INDEX(Arten,MATCH(AE31,Codes,0))="Arbeit"),IF(ROUND((1+INDEX(Beginne,MATCH(AE31,Codes,0))-INDEX(EndeRel,MATCH(AD31,Codes,0)))*1440,0)&lt;660,1,0),0),0))</f>
      </c>
      <c r="AF80" s="1">
        <f>IF(OR(AF$52=0,AE31="",AF31=""),0,IFERROR(IF(AND(INDEX(Arten,MATCH(AE31,Codes,0))="Arbeit",INDEX(Arten,MATCH(AF31,Codes,0))="Arbeit"),IF(ROUND((1+INDEX(Beginne,MATCH(AF31,Codes,0))-INDEX(EndeRel,MATCH(AE31,Codes,0)))*1440,0)&lt;660,1,0),0),0))</f>
      </c>
    </row>
    <row r="81" hidden="1" spans="1:32" x14ac:dyDescent="0.25">
      <c r="A81" s="1"/>
      <c r="B81" s="1">
        <f>IF(OR(B$52=0,""="",B32=""),0,IFERROR(IF(AND(INDEX(Arten,MATCH("",Codes,0))="Arbeit",INDEX(Arten,MATCH(B32,Codes,0))="Arbeit"),IF(ROUND((1+INDEX(Beginne,MATCH(B32,Codes,0))-INDEX(EndeRel,MATCH("",Codes,0)))*1440,0)&lt;660,1,0),0),0))</f>
      </c>
      <c r="C81" s="1">
        <f>IF(OR(C$52=0,B32="",C32=""),0,IFERROR(IF(AND(INDEX(Arten,MATCH(B32,Codes,0))="Arbeit",INDEX(Arten,MATCH(C32,Codes,0))="Arbeit"),IF(ROUND((1+INDEX(Beginne,MATCH(C32,Codes,0))-INDEX(EndeRel,MATCH(B32,Codes,0)))*1440,0)&lt;660,1,0),0),0))</f>
      </c>
      <c r="D81" s="1">
        <f>IF(OR(D$52=0,C32="",D32=""),0,IFERROR(IF(AND(INDEX(Arten,MATCH(C32,Codes,0))="Arbeit",INDEX(Arten,MATCH(D32,Codes,0))="Arbeit"),IF(ROUND((1+INDEX(Beginne,MATCH(D32,Codes,0))-INDEX(EndeRel,MATCH(C32,Codes,0)))*1440,0)&lt;660,1,0),0),0))</f>
      </c>
      <c r="E81" s="1">
        <f>IF(OR(E$52=0,D32="",E32=""),0,IFERROR(IF(AND(INDEX(Arten,MATCH(D32,Codes,0))="Arbeit",INDEX(Arten,MATCH(E32,Codes,0))="Arbeit"),IF(ROUND((1+INDEX(Beginne,MATCH(E32,Codes,0))-INDEX(EndeRel,MATCH(D32,Codes,0)))*1440,0)&lt;660,1,0),0),0))</f>
      </c>
      <c r="F81" s="1">
        <f>IF(OR(F$52=0,E32="",F32=""),0,IFERROR(IF(AND(INDEX(Arten,MATCH(E32,Codes,0))="Arbeit",INDEX(Arten,MATCH(F32,Codes,0))="Arbeit"),IF(ROUND((1+INDEX(Beginne,MATCH(F32,Codes,0))-INDEX(EndeRel,MATCH(E32,Codes,0)))*1440,0)&lt;660,1,0),0),0))</f>
      </c>
      <c r="G81" s="1">
        <f>IF(OR(G$52=0,F32="",G32=""),0,IFERROR(IF(AND(INDEX(Arten,MATCH(F32,Codes,0))="Arbeit",INDEX(Arten,MATCH(G32,Codes,0))="Arbeit"),IF(ROUND((1+INDEX(Beginne,MATCH(G32,Codes,0))-INDEX(EndeRel,MATCH(F32,Codes,0)))*1440,0)&lt;660,1,0),0),0))</f>
      </c>
      <c r="H81" s="1">
        <f>IF(OR(H$52=0,G32="",H32=""),0,IFERROR(IF(AND(INDEX(Arten,MATCH(G32,Codes,0))="Arbeit",INDEX(Arten,MATCH(H32,Codes,0))="Arbeit"),IF(ROUND((1+INDEX(Beginne,MATCH(H32,Codes,0))-INDEX(EndeRel,MATCH(G32,Codes,0)))*1440,0)&lt;660,1,0),0),0))</f>
      </c>
      <c r="I81" s="1">
        <f>IF(OR(I$52=0,H32="",I32=""),0,IFERROR(IF(AND(INDEX(Arten,MATCH(H32,Codes,0))="Arbeit",INDEX(Arten,MATCH(I32,Codes,0))="Arbeit"),IF(ROUND((1+INDEX(Beginne,MATCH(I32,Codes,0))-INDEX(EndeRel,MATCH(H32,Codes,0)))*1440,0)&lt;660,1,0),0),0))</f>
      </c>
      <c r="J81" s="1">
        <f>IF(OR(J$52=0,I32="",J32=""),0,IFERROR(IF(AND(INDEX(Arten,MATCH(I32,Codes,0))="Arbeit",INDEX(Arten,MATCH(J32,Codes,0))="Arbeit"),IF(ROUND((1+INDEX(Beginne,MATCH(J32,Codes,0))-INDEX(EndeRel,MATCH(I32,Codes,0)))*1440,0)&lt;660,1,0),0),0))</f>
      </c>
      <c r="K81" s="1">
        <f>IF(OR(K$52=0,J32="",K32=""),0,IFERROR(IF(AND(INDEX(Arten,MATCH(J32,Codes,0))="Arbeit",INDEX(Arten,MATCH(K32,Codes,0))="Arbeit"),IF(ROUND((1+INDEX(Beginne,MATCH(K32,Codes,0))-INDEX(EndeRel,MATCH(J32,Codes,0)))*1440,0)&lt;660,1,0),0),0))</f>
      </c>
      <c r="L81" s="1">
        <f>IF(OR(L$52=0,K32="",L32=""),0,IFERROR(IF(AND(INDEX(Arten,MATCH(K32,Codes,0))="Arbeit",INDEX(Arten,MATCH(L32,Codes,0))="Arbeit"),IF(ROUND((1+INDEX(Beginne,MATCH(L32,Codes,0))-INDEX(EndeRel,MATCH(K32,Codes,0)))*1440,0)&lt;660,1,0),0),0))</f>
      </c>
      <c r="M81" s="1">
        <f>IF(OR(M$52=0,L32="",M32=""),0,IFERROR(IF(AND(INDEX(Arten,MATCH(L32,Codes,0))="Arbeit",INDEX(Arten,MATCH(M32,Codes,0))="Arbeit"),IF(ROUND((1+INDEX(Beginne,MATCH(M32,Codes,0))-INDEX(EndeRel,MATCH(L32,Codes,0)))*1440,0)&lt;660,1,0),0),0))</f>
      </c>
      <c r="N81" s="1">
        <f>IF(OR(N$52=0,M32="",N32=""),0,IFERROR(IF(AND(INDEX(Arten,MATCH(M32,Codes,0))="Arbeit",INDEX(Arten,MATCH(N32,Codes,0))="Arbeit"),IF(ROUND((1+INDEX(Beginne,MATCH(N32,Codes,0))-INDEX(EndeRel,MATCH(M32,Codes,0)))*1440,0)&lt;660,1,0),0),0))</f>
      </c>
      <c r="O81" s="1">
        <f>IF(OR(O$52=0,N32="",O32=""),0,IFERROR(IF(AND(INDEX(Arten,MATCH(N32,Codes,0))="Arbeit",INDEX(Arten,MATCH(O32,Codes,0))="Arbeit"),IF(ROUND((1+INDEX(Beginne,MATCH(O32,Codes,0))-INDEX(EndeRel,MATCH(N32,Codes,0)))*1440,0)&lt;660,1,0),0),0))</f>
      </c>
      <c r="P81" s="1">
        <f>IF(OR(P$52=0,O32="",P32=""),0,IFERROR(IF(AND(INDEX(Arten,MATCH(O32,Codes,0))="Arbeit",INDEX(Arten,MATCH(P32,Codes,0))="Arbeit"),IF(ROUND((1+INDEX(Beginne,MATCH(P32,Codes,0))-INDEX(EndeRel,MATCH(O32,Codes,0)))*1440,0)&lt;660,1,0),0),0))</f>
      </c>
      <c r="Q81" s="1">
        <f>IF(OR(Q$52=0,P32="",Q32=""),0,IFERROR(IF(AND(INDEX(Arten,MATCH(P32,Codes,0))="Arbeit",INDEX(Arten,MATCH(Q32,Codes,0))="Arbeit"),IF(ROUND((1+INDEX(Beginne,MATCH(Q32,Codes,0))-INDEX(EndeRel,MATCH(P32,Codes,0)))*1440,0)&lt;660,1,0),0),0))</f>
      </c>
      <c r="R81" s="1">
        <f>IF(OR(R$52=0,Q32="",R32=""),0,IFERROR(IF(AND(INDEX(Arten,MATCH(Q32,Codes,0))="Arbeit",INDEX(Arten,MATCH(R32,Codes,0))="Arbeit"),IF(ROUND((1+INDEX(Beginne,MATCH(R32,Codes,0))-INDEX(EndeRel,MATCH(Q32,Codes,0)))*1440,0)&lt;660,1,0),0),0))</f>
      </c>
      <c r="S81" s="1">
        <f>IF(OR(S$52=0,R32="",S32=""),0,IFERROR(IF(AND(INDEX(Arten,MATCH(R32,Codes,0))="Arbeit",INDEX(Arten,MATCH(S32,Codes,0))="Arbeit"),IF(ROUND((1+INDEX(Beginne,MATCH(S32,Codes,0))-INDEX(EndeRel,MATCH(R32,Codes,0)))*1440,0)&lt;660,1,0),0),0))</f>
      </c>
      <c r="T81" s="1">
        <f>IF(OR(T$52=0,S32="",T32=""),0,IFERROR(IF(AND(INDEX(Arten,MATCH(S32,Codes,0))="Arbeit",INDEX(Arten,MATCH(T32,Codes,0))="Arbeit"),IF(ROUND((1+INDEX(Beginne,MATCH(T32,Codes,0))-INDEX(EndeRel,MATCH(S32,Codes,0)))*1440,0)&lt;660,1,0),0),0))</f>
      </c>
      <c r="U81" s="1">
        <f>IF(OR(U$52=0,T32="",U32=""),0,IFERROR(IF(AND(INDEX(Arten,MATCH(T32,Codes,0))="Arbeit",INDEX(Arten,MATCH(U32,Codes,0))="Arbeit"),IF(ROUND((1+INDEX(Beginne,MATCH(U32,Codes,0))-INDEX(EndeRel,MATCH(T32,Codes,0)))*1440,0)&lt;660,1,0),0),0))</f>
      </c>
      <c r="V81" s="1">
        <f>IF(OR(V$52=0,U32="",V32=""),0,IFERROR(IF(AND(INDEX(Arten,MATCH(U32,Codes,0))="Arbeit",INDEX(Arten,MATCH(V32,Codes,0))="Arbeit"),IF(ROUND((1+INDEX(Beginne,MATCH(V32,Codes,0))-INDEX(EndeRel,MATCH(U32,Codes,0)))*1440,0)&lt;660,1,0),0),0))</f>
      </c>
      <c r="W81" s="1">
        <f>IF(OR(W$52=0,V32="",W32=""),0,IFERROR(IF(AND(INDEX(Arten,MATCH(V32,Codes,0))="Arbeit",INDEX(Arten,MATCH(W32,Codes,0))="Arbeit"),IF(ROUND((1+INDEX(Beginne,MATCH(W32,Codes,0))-INDEX(EndeRel,MATCH(V32,Codes,0)))*1440,0)&lt;660,1,0),0),0))</f>
      </c>
      <c r="X81" s="1">
        <f>IF(OR(X$52=0,W32="",X32=""),0,IFERROR(IF(AND(INDEX(Arten,MATCH(W32,Codes,0))="Arbeit",INDEX(Arten,MATCH(X32,Codes,0))="Arbeit"),IF(ROUND((1+INDEX(Beginne,MATCH(X32,Codes,0))-INDEX(EndeRel,MATCH(W32,Codes,0)))*1440,0)&lt;660,1,0),0),0))</f>
      </c>
      <c r="Y81" s="1">
        <f>IF(OR(Y$52=0,X32="",Y32=""),0,IFERROR(IF(AND(INDEX(Arten,MATCH(X32,Codes,0))="Arbeit",INDEX(Arten,MATCH(Y32,Codes,0))="Arbeit"),IF(ROUND((1+INDEX(Beginne,MATCH(Y32,Codes,0))-INDEX(EndeRel,MATCH(X32,Codes,0)))*1440,0)&lt;660,1,0),0),0))</f>
      </c>
      <c r="Z81" s="1">
        <f>IF(OR(Z$52=0,Y32="",Z32=""),0,IFERROR(IF(AND(INDEX(Arten,MATCH(Y32,Codes,0))="Arbeit",INDEX(Arten,MATCH(Z32,Codes,0))="Arbeit"),IF(ROUND((1+INDEX(Beginne,MATCH(Z32,Codes,0))-INDEX(EndeRel,MATCH(Y32,Codes,0)))*1440,0)&lt;660,1,0),0),0))</f>
      </c>
      <c r="AA81" s="1">
        <f>IF(OR(AA$52=0,Z32="",AA32=""),0,IFERROR(IF(AND(INDEX(Arten,MATCH(Z32,Codes,0))="Arbeit",INDEX(Arten,MATCH(AA32,Codes,0))="Arbeit"),IF(ROUND((1+INDEX(Beginne,MATCH(AA32,Codes,0))-INDEX(EndeRel,MATCH(Z32,Codes,0)))*1440,0)&lt;660,1,0),0),0))</f>
      </c>
      <c r="AB81" s="1">
        <f>IF(OR(AB$52=0,AA32="",AB32=""),0,IFERROR(IF(AND(INDEX(Arten,MATCH(AA32,Codes,0))="Arbeit",INDEX(Arten,MATCH(AB32,Codes,0))="Arbeit"),IF(ROUND((1+INDEX(Beginne,MATCH(AB32,Codes,0))-INDEX(EndeRel,MATCH(AA32,Codes,0)))*1440,0)&lt;660,1,0),0),0))</f>
      </c>
      <c r="AC81" s="1">
        <f>IF(OR(AC$52=0,AB32="",AC32=""),0,IFERROR(IF(AND(INDEX(Arten,MATCH(AB32,Codes,0))="Arbeit",INDEX(Arten,MATCH(AC32,Codes,0))="Arbeit"),IF(ROUND((1+INDEX(Beginne,MATCH(AC32,Codes,0))-INDEX(EndeRel,MATCH(AB32,Codes,0)))*1440,0)&lt;660,1,0),0),0))</f>
      </c>
      <c r="AD81" s="1">
        <f>IF(OR(AD$52=0,AC32="",AD32=""),0,IFERROR(IF(AND(INDEX(Arten,MATCH(AC32,Codes,0))="Arbeit",INDEX(Arten,MATCH(AD32,Codes,0))="Arbeit"),IF(ROUND((1+INDEX(Beginne,MATCH(AD32,Codes,0))-INDEX(EndeRel,MATCH(AC32,Codes,0)))*1440,0)&lt;660,1,0),0),0))</f>
      </c>
      <c r="AE81" s="1">
        <f>IF(OR(AE$52=0,AD32="",AE32=""),0,IFERROR(IF(AND(INDEX(Arten,MATCH(AD32,Codes,0))="Arbeit",INDEX(Arten,MATCH(AE32,Codes,0))="Arbeit"),IF(ROUND((1+INDEX(Beginne,MATCH(AE32,Codes,0))-INDEX(EndeRel,MATCH(AD32,Codes,0)))*1440,0)&lt;660,1,0),0),0))</f>
      </c>
      <c r="AF81" s="1">
        <f>IF(OR(AF$52=0,AE32="",AF32=""),0,IFERROR(IF(AND(INDEX(Arten,MATCH(AE32,Codes,0))="Arbeit",INDEX(Arten,MATCH(AF32,Codes,0))="Arbeit"),IF(ROUND((1+INDEX(Beginne,MATCH(AF32,Codes,0))-INDEX(EndeRel,MATCH(AE32,Codes,0)))*1440,0)&lt;660,1,0),0),0))</f>
      </c>
    </row>
    <row r="82" hidden="1" spans="1:32" x14ac:dyDescent="0.25">
      <c r="A82" s="1"/>
      <c r="B82" s="1">
        <f>IF(OR(B$52=0,""="",B33=""),0,IFERROR(IF(AND(INDEX(Arten,MATCH("",Codes,0))="Arbeit",INDEX(Arten,MATCH(B33,Codes,0))="Arbeit"),IF(ROUND((1+INDEX(Beginne,MATCH(B33,Codes,0))-INDEX(EndeRel,MATCH("",Codes,0)))*1440,0)&lt;660,1,0),0),0))</f>
      </c>
      <c r="C82" s="1">
        <f>IF(OR(C$52=0,B33="",C33=""),0,IFERROR(IF(AND(INDEX(Arten,MATCH(B33,Codes,0))="Arbeit",INDEX(Arten,MATCH(C33,Codes,0))="Arbeit"),IF(ROUND((1+INDEX(Beginne,MATCH(C33,Codes,0))-INDEX(EndeRel,MATCH(B33,Codes,0)))*1440,0)&lt;660,1,0),0),0))</f>
      </c>
      <c r="D82" s="1">
        <f>IF(OR(D$52=0,C33="",D33=""),0,IFERROR(IF(AND(INDEX(Arten,MATCH(C33,Codes,0))="Arbeit",INDEX(Arten,MATCH(D33,Codes,0))="Arbeit"),IF(ROUND((1+INDEX(Beginne,MATCH(D33,Codes,0))-INDEX(EndeRel,MATCH(C33,Codes,0)))*1440,0)&lt;660,1,0),0),0))</f>
      </c>
      <c r="E82" s="1">
        <f>IF(OR(E$52=0,D33="",E33=""),0,IFERROR(IF(AND(INDEX(Arten,MATCH(D33,Codes,0))="Arbeit",INDEX(Arten,MATCH(E33,Codes,0))="Arbeit"),IF(ROUND((1+INDEX(Beginne,MATCH(E33,Codes,0))-INDEX(EndeRel,MATCH(D33,Codes,0)))*1440,0)&lt;660,1,0),0),0))</f>
      </c>
      <c r="F82" s="1">
        <f>IF(OR(F$52=0,E33="",F33=""),0,IFERROR(IF(AND(INDEX(Arten,MATCH(E33,Codes,0))="Arbeit",INDEX(Arten,MATCH(F33,Codes,0))="Arbeit"),IF(ROUND((1+INDEX(Beginne,MATCH(F33,Codes,0))-INDEX(EndeRel,MATCH(E33,Codes,0)))*1440,0)&lt;660,1,0),0),0))</f>
      </c>
      <c r="G82" s="1">
        <f>IF(OR(G$52=0,F33="",G33=""),0,IFERROR(IF(AND(INDEX(Arten,MATCH(F33,Codes,0))="Arbeit",INDEX(Arten,MATCH(G33,Codes,0))="Arbeit"),IF(ROUND((1+INDEX(Beginne,MATCH(G33,Codes,0))-INDEX(EndeRel,MATCH(F33,Codes,0)))*1440,0)&lt;660,1,0),0),0))</f>
      </c>
      <c r="H82" s="1">
        <f>IF(OR(H$52=0,G33="",H33=""),0,IFERROR(IF(AND(INDEX(Arten,MATCH(G33,Codes,0))="Arbeit",INDEX(Arten,MATCH(H33,Codes,0))="Arbeit"),IF(ROUND((1+INDEX(Beginne,MATCH(H33,Codes,0))-INDEX(EndeRel,MATCH(G33,Codes,0)))*1440,0)&lt;660,1,0),0),0))</f>
      </c>
      <c r="I82" s="1">
        <f>IF(OR(I$52=0,H33="",I33=""),0,IFERROR(IF(AND(INDEX(Arten,MATCH(H33,Codes,0))="Arbeit",INDEX(Arten,MATCH(I33,Codes,0))="Arbeit"),IF(ROUND((1+INDEX(Beginne,MATCH(I33,Codes,0))-INDEX(EndeRel,MATCH(H33,Codes,0)))*1440,0)&lt;660,1,0),0),0))</f>
      </c>
      <c r="J82" s="1">
        <f>IF(OR(J$52=0,I33="",J33=""),0,IFERROR(IF(AND(INDEX(Arten,MATCH(I33,Codes,0))="Arbeit",INDEX(Arten,MATCH(J33,Codes,0))="Arbeit"),IF(ROUND((1+INDEX(Beginne,MATCH(J33,Codes,0))-INDEX(EndeRel,MATCH(I33,Codes,0)))*1440,0)&lt;660,1,0),0),0))</f>
      </c>
      <c r="K82" s="1">
        <f>IF(OR(K$52=0,J33="",K33=""),0,IFERROR(IF(AND(INDEX(Arten,MATCH(J33,Codes,0))="Arbeit",INDEX(Arten,MATCH(K33,Codes,0))="Arbeit"),IF(ROUND((1+INDEX(Beginne,MATCH(K33,Codes,0))-INDEX(EndeRel,MATCH(J33,Codes,0)))*1440,0)&lt;660,1,0),0),0))</f>
      </c>
      <c r="L82" s="1">
        <f>IF(OR(L$52=0,K33="",L33=""),0,IFERROR(IF(AND(INDEX(Arten,MATCH(K33,Codes,0))="Arbeit",INDEX(Arten,MATCH(L33,Codes,0))="Arbeit"),IF(ROUND((1+INDEX(Beginne,MATCH(L33,Codes,0))-INDEX(EndeRel,MATCH(K33,Codes,0)))*1440,0)&lt;660,1,0),0),0))</f>
      </c>
      <c r="M82" s="1">
        <f>IF(OR(M$52=0,L33="",M33=""),0,IFERROR(IF(AND(INDEX(Arten,MATCH(L33,Codes,0))="Arbeit",INDEX(Arten,MATCH(M33,Codes,0))="Arbeit"),IF(ROUND((1+INDEX(Beginne,MATCH(M33,Codes,0))-INDEX(EndeRel,MATCH(L33,Codes,0)))*1440,0)&lt;660,1,0),0),0))</f>
      </c>
      <c r="N82" s="1">
        <f>IF(OR(N$52=0,M33="",N33=""),0,IFERROR(IF(AND(INDEX(Arten,MATCH(M33,Codes,0))="Arbeit",INDEX(Arten,MATCH(N33,Codes,0))="Arbeit"),IF(ROUND((1+INDEX(Beginne,MATCH(N33,Codes,0))-INDEX(EndeRel,MATCH(M33,Codes,0)))*1440,0)&lt;660,1,0),0),0))</f>
      </c>
      <c r="O82" s="1">
        <f>IF(OR(O$52=0,N33="",O33=""),0,IFERROR(IF(AND(INDEX(Arten,MATCH(N33,Codes,0))="Arbeit",INDEX(Arten,MATCH(O33,Codes,0))="Arbeit"),IF(ROUND((1+INDEX(Beginne,MATCH(O33,Codes,0))-INDEX(EndeRel,MATCH(N33,Codes,0)))*1440,0)&lt;660,1,0),0),0))</f>
      </c>
      <c r="P82" s="1">
        <f>IF(OR(P$52=0,O33="",P33=""),0,IFERROR(IF(AND(INDEX(Arten,MATCH(O33,Codes,0))="Arbeit",INDEX(Arten,MATCH(P33,Codes,0))="Arbeit"),IF(ROUND((1+INDEX(Beginne,MATCH(P33,Codes,0))-INDEX(EndeRel,MATCH(O33,Codes,0)))*1440,0)&lt;660,1,0),0),0))</f>
      </c>
      <c r="Q82" s="1">
        <f>IF(OR(Q$52=0,P33="",Q33=""),0,IFERROR(IF(AND(INDEX(Arten,MATCH(P33,Codes,0))="Arbeit",INDEX(Arten,MATCH(Q33,Codes,0))="Arbeit"),IF(ROUND((1+INDEX(Beginne,MATCH(Q33,Codes,0))-INDEX(EndeRel,MATCH(P33,Codes,0)))*1440,0)&lt;660,1,0),0),0))</f>
      </c>
      <c r="R82" s="1">
        <f>IF(OR(R$52=0,Q33="",R33=""),0,IFERROR(IF(AND(INDEX(Arten,MATCH(Q33,Codes,0))="Arbeit",INDEX(Arten,MATCH(R33,Codes,0))="Arbeit"),IF(ROUND((1+INDEX(Beginne,MATCH(R33,Codes,0))-INDEX(EndeRel,MATCH(Q33,Codes,0)))*1440,0)&lt;660,1,0),0),0))</f>
      </c>
      <c r="S82" s="1">
        <f>IF(OR(S$52=0,R33="",S33=""),0,IFERROR(IF(AND(INDEX(Arten,MATCH(R33,Codes,0))="Arbeit",INDEX(Arten,MATCH(S33,Codes,0))="Arbeit"),IF(ROUND((1+INDEX(Beginne,MATCH(S33,Codes,0))-INDEX(EndeRel,MATCH(R33,Codes,0)))*1440,0)&lt;660,1,0),0),0))</f>
      </c>
      <c r="T82" s="1">
        <f>IF(OR(T$52=0,S33="",T33=""),0,IFERROR(IF(AND(INDEX(Arten,MATCH(S33,Codes,0))="Arbeit",INDEX(Arten,MATCH(T33,Codes,0))="Arbeit"),IF(ROUND((1+INDEX(Beginne,MATCH(T33,Codes,0))-INDEX(EndeRel,MATCH(S33,Codes,0)))*1440,0)&lt;660,1,0),0),0))</f>
      </c>
      <c r="U82" s="1">
        <f>IF(OR(U$52=0,T33="",U33=""),0,IFERROR(IF(AND(INDEX(Arten,MATCH(T33,Codes,0))="Arbeit",INDEX(Arten,MATCH(U33,Codes,0))="Arbeit"),IF(ROUND((1+INDEX(Beginne,MATCH(U33,Codes,0))-INDEX(EndeRel,MATCH(T33,Codes,0)))*1440,0)&lt;660,1,0),0),0))</f>
      </c>
      <c r="V82" s="1">
        <f>IF(OR(V$52=0,U33="",V33=""),0,IFERROR(IF(AND(INDEX(Arten,MATCH(U33,Codes,0))="Arbeit",INDEX(Arten,MATCH(V33,Codes,0))="Arbeit"),IF(ROUND((1+INDEX(Beginne,MATCH(V33,Codes,0))-INDEX(EndeRel,MATCH(U33,Codes,0)))*1440,0)&lt;660,1,0),0),0))</f>
      </c>
      <c r="W82" s="1">
        <f>IF(OR(W$52=0,V33="",W33=""),0,IFERROR(IF(AND(INDEX(Arten,MATCH(V33,Codes,0))="Arbeit",INDEX(Arten,MATCH(W33,Codes,0))="Arbeit"),IF(ROUND((1+INDEX(Beginne,MATCH(W33,Codes,0))-INDEX(EndeRel,MATCH(V33,Codes,0)))*1440,0)&lt;660,1,0),0),0))</f>
      </c>
      <c r="X82" s="1">
        <f>IF(OR(X$52=0,W33="",X33=""),0,IFERROR(IF(AND(INDEX(Arten,MATCH(W33,Codes,0))="Arbeit",INDEX(Arten,MATCH(X33,Codes,0))="Arbeit"),IF(ROUND((1+INDEX(Beginne,MATCH(X33,Codes,0))-INDEX(EndeRel,MATCH(W33,Codes,0)))*1440,0)&lt;660,1,0),0),0))</f>
      </c>
      <c r="Y82" s="1">
        <f>IF(OR(Y$52=0,X33="",Y33=""),0,IFERROR(IF(AND(INDEX(Arten,MATCH(X33,Codes,0))="Arbeit",INDEX(Arten,MATCH(Y33,Codes,0))="Arbeit"),IF(ROUND((1+INDEX(Beginne,MATCH(Y33,Codes,0))-INDEX(EndeRel,MATCH(X33,Codes,0)))*1440,0)&lt;660,1,0),0),0))</f>
      </c>
      <c r="Z82" s="1">
        <f>IF(OR(Z$52=0,Y33="",Z33=""),0,IFERROR(IF(AND(INDEX(Arten,MATCH(Y33,Codes,0))="Arbeit",INDEX(Arten,MATCH(Z33,Codes,0))="Arbeit"),IF(ROUND((1+INDEX(Beginne,MATCH(Z33,Codes,0))-INDEX(EndeRel,MATCH(Y33,Codes,0)))*1440,0)&lt;660,1,0),0),0))</f>
      </c>
      <c r="AA82" s="1">
        <f>IF(OR(AA$52=0,Z33="",AA33=""),0,IFERROR(IF(AND(INDEX(Arten,MATCH(Z33,Codes,0))="Arbeit",INDEX(Arten,MATCH(AA33,Codes,0))="Arbeit"),IF(ROUND((1+INDEX(Beginne,MATCH(AA33,Codes,0))-INDEX(EndeRel,MATCH(Z33,Codes,0)))*1440,0)&lt;660,1,0),0),0))</f>
      </c>
      <c r="AB82" s="1">
        <f>IF(OR(AB$52=0,AA33="",AB33=""),0,IFERROR(IF(AND(INDEX(Arten,MATCH(AA33,Codes,0))="Arbeit",INDEX(Arten,MATCH(AB33,Codes,0))="Arbeit"),IF(ROUND((1+INDEX(Beginne,MATCH(AB33,Codes,0))-INDEX(EndeRel,MATCH(AA33,Codes,0)))*1440,0)&lt;660,1,0),0),0))</f>
      </c>
      <c r="AC82" s="1">
        <f>IF(OR(AC$52=0,AB33="",AC33=""),0,IFERROR(IF(AND(INDEX(Arten,MATCH(AB33,Codes,0))="Arbeit",INDEX(Arten,MATCH(AC33,Codes,0))="Arbeit"),IF(ROUND((1+INDEX(Beginne,MATCH(AC33,Codes,0))-INDEX(EndeRel,MATCH(AB33,Codes,0)))*1440,0)&lt;660,1,0),0),0))</f>
      </c>
      <c r="AD82" s="1">
        <f>IF(OR(AD$52=0,AC33="",AD33=""),0,IFERROR(IF(AND(INDEX(Arten,MATCH(AC33,Codes,0))="Arbeit",INDEX(Arten,MATCH(AD33,Codes,0))="Arbeit"),IF(ROUND((1+INDEX(Beginne,MATCH(AD33,Codes,0))-INDEX(EndeRel,MATCH(AC33,Codes,0)))*1440,0)&lt;660,1,0),0),0))</f>
      </c>
      <c r="AE82" s="1">
        <f>IF(OR(AE$52=0,AD33="",AE33=""),0,IFERROR(IF(AND(INDEX(Arten,MATCH(AD33,Codes,0))="Arbeit",INDEX(Arten,MATCH(AE33,Codes,0))="Arbeit"),IF(ROUND((1+INDEX(Beginne,MATCH(AE33,Codes,0))-INDEX(EndeRel,MATCH(AD33,Codes,0)))*1440,0)&lt;660,1,0),0),0))</f>
      </c>
      <c r="AF82" s="1">
        <f>IF(OR(AF$52=0,AE33="",AF33=""),0,IFERROR(IF(AND(INDEX(Arten,MATCH(AE33,Codes,0))="Arbeit",INDEX(Arten,MATCH(AF33,Codes,0))="Arbeit"),IF(ROUND((1+INDEX(Beginne,MATCH(AF33,Codes,0))-INDEX(EndeRel,MATCH(AE33,Codes,0)))*1440,0)&lt;660,1,0),0),0))</f>
      </c>
    </row>
    <row r="83" hidden="1" spans="1:32" x14ac:dyDescent="0.25">
      <c r="A83" s="1"/>
      <c r="B83" s="1">
        <f>IF(OR(B$52=0,""="",B34=""),0,IFERROR(IF(AND(INDEX(Arten,MATCH("",Codes,0))="Arbeit",INDEX(Arten,MATCH(B34,Codes,0))="Arbeit"),IF(ROUND((1+INDEX(Beginne,MATCH(B34,Codes,0))-INDEX(EndeRel,MATCH("",Codes,0)))*1440,0)&lt;660,1,0),0),0))</f>
      </c>
      <c r="C83" s="1">
        <f>IF(OR(C$52=0,B34="",C34=""),0,IFERROR(IF(AND(INDEX(Arten,MATCH(B34,Codes,0))="Arbeit",INDEX(Arten,MATCH(C34,Codes,0))="Arbeit"),IF(ROUND((1+INDEX(Beginne,MATCH(C34,Codes,0))-INDEX(EndeRel,MATCH(B34,Codes,0)))*1440,0)&lt;660,1,0),0),0))</f>
      </c>
      <c r="D83" s="1">
        <f>IF(OR(D$52=0,C34="",D34=""),0,IFERROR(IF(AND(INDEX(Arten,MATCH(C34,Codes,0))="Arbeit",INDEX(Arten,MATCH(D34,Codes,0))="Arbeit"),IF(ROUND((1+INDEX(Beginne,MATCH(D34,Codes,0))-INDEX(EndeRel,MATCH(C34,Codes,0)))*1440,0)&lt;660,1,0),0),0))</f>
      </c>
      <c r="E83" s="1">
        <f>IF(OR(E$52=0,D34="",E34=""),0,IFERROR(IF(AND(INDEX(Arten,MATCH(D34,Codes,0))="Arbeit",INDEX(Arten,MATCH(E34,Codes,0))="Arbeit"),IF(ROUND((1+INDEX(Beginne,MATCH(E34,Codes,0))-INDEX(EndeRel,MATCH(D34,Codes,0)))*1440,0)&lt;660,1,0),0),0))</f>
      </c>
      <c r="F83" s="1">
        <f>IF(OR(F$52=0,E34="",F34=""),0,IFERROR(IF(AND(INDEX(Arten,MATCH(E34,Codes,0))="Arbeit",INDEX(Arten,MATCH(F34,Codes,0))="Arbeit"),IF(ROUND((1+INDEX(Beginne,MATCH(F34,Codes,0))-INDEX(EndeRel,MATCH(E34,Codes,0)))*1440,0)&lt;660,1,0),0),0))</f>
      </c>
      <c r="G83" s="1">
        <f>IF(OR(G$52=0,F34="",G34=""),0,IFERROR(IF(AND(INDEX(Arten,MATCH(F34,Codes,0))="Arbeit",INDEX(Arten,MATCH(G34,Codes,0))="Arbeit"),IF(ROUND((1+INDEX(Beginne,MATCH(G34,Codes,0))-INDEX(EndeRel,MATCH(F34,Codes,0)))*1440,0)&lt;660,1,0),0),0))</f>
      </c>
      <c r="H83" s="1">
        <f>IF(OR(H$52=0,G34="",H34=""),0,IFERROR(IF(AND(INDEX(Arten,MATCH(G34,Codes,0))="Arbeit",INDEX(Arten,MATCH(H34,Codes,0))="Arbeit"),IF(ROUND((1+INDEX(Beginne,MATCH(H34,Codes,0))-INDEX(EndeRel,MATCH(G34,Codes,0)))*1440,0)&lt;660,1,0),0),0))</f>
      </c>
      <c r="I83" s="1">
        <f>IF(OR(I$52=0,H34="",I34=""),0,IFERROR(IF(AND(INDEX(Arten,MATCH(H34,Codes,0))="Arbeit",INDEX(Arten,MATCH(I34,Codes,0))="Arbeit"),IF(ROUND((1+INDEX(Beginne,MATCH(I34,Codes,0))-INDEX(EndeRel,MATCH(H34,Codes,0)))*1440,0)&lt;660,1,0),0),0))</f>
      </c>
      <c r="J83" s="1">
        <f>IF(OR(J$52=0,I34="",J34=""),0,IFERROR(IF(AND(INDEX(Arten,MATCH(I34,Codes,0))="Arbeit",INDEX(Arten,MATCH(J34,Codes,0))="Arbeit"),IF(ROUND((1+INDEX(Beginne,MATCH(J34,Codes,0))-INDEX(EndeRel,MATCH(I34,Codes,0)))*1440,0)&lt;660,1,0),0),0))</f>
      </c>
      <c r="K83" s="1">
        <f>IF(OR(K$52=0,J34="",K34=""),0,IFERROR(IF(AND(INDEX(Arten,MATCH(J34,Codes,0))="Arbeit",INDEX(Arten,MATCH(K34,Codes,0))="Arbeit"),IF(ROUND((1+INDEX(Beginne,MATCH(K34,Codes,0))-INDEX(EndeRel,MATCH(J34,Codes,0)))*1440,0)&lt;660,1,0),0),0))</f>
      </c>
      <c r="L83" s="1">
        <f>IF(OR(L$52=0,K34="",L34=""),0,IFERROR(IF(AND(INDEX(Arten,MATCH(K34,Codes,0))="Arbeit",INDEX(Arten,MATCH(L34,Codes,0))="Arbeit"),IF(ROUND((1+INDEX(Beginne,MATCH(L34,Codes,0))-INDEX(EndeRel,MATCH(K34,Codes,0)))*1440,0)&lt;660,1,0),0),0))</f>
      </c>
      <c r="M83" s="1">
        <f>IF(OR(M$52=0,L34="",M34=""),0,IFERROR(IF(AND(INDEX(Arten,MATCH(L34,Codes,0))="Arbeit",INDEX(Arten,MATCH(M34,Codes,0))="Arbeit"),IF(ROUND((1+INDEX(Beginne,MATCH(M34,Codes,0))-INDEX(EndeRel,MATCH(L34,Codes,0)))*1440,0)&lt;660,1,0),0),0))</f>
      </c>
      <c r="N83" s="1">
        <f>IF(OR(N$52=0,M34="",N34=""),0,IFERROR(IF(AND(INDEX(Arten,MATCH(M34,Codes,0))="Arbeit",INDEX(Arten,MATCH(N34,Codes,0))="Arbeit"),IF(ROUND((1+INDEX(Beginne,MATCH(N34,Codes,0))-INDEX(EndeRel,MATCH(M34,Codes,0)))*1440,0)&lt;660,1,0),0),0))</f>
      </c>
      <c r="O83" s="1">
        <f>IF(OR(O$52=0,N34="",O34=""),0,IFERROR(IF(AND(INDEX(Arten,MATCH(N34,Codes,0))="Arbeit",INDEX(Arten,MATCH(O34,Codes,0))="Arbeit"),IF(ROUND((1+INDEX(Beginne,MATCH(O34,Codes,0))-INDEX(EndeRel,MATCH(N34,Codes,0)))*1440,0)&lt;660,1,0),0),0))</f>
      </c>
      <c r="P83" s="1">
        <f>IF(OR(P$52=0,O34="",P34=""),0,IFERROR(IF(AND(INDEX(Arten,MATCH(O34,Codes,0))="Arbeit",INDEX(Arten,MATCH(P34,Codes,0))="Arbeit"),IF(ROUND((1+INDEX(Beginne,MATCH(P34,Codes,0))-INDEX(EndeRel,MATCH(O34,Codes,0)))*1440,0)&lt;660,1,0),0),0))</f>
      </c>
      <c r="Q83" s="1">
        <f>IF(OR(Q$52=0,P34="",Q34=""),0,IFERROR(IF(AND(INDEX(Arten,MATCH(P34,Codes,0))="Arbeit",INDEX(Arten,MATCH(Q34,Codes,0))="Arbeit"),IF(ROUND((1+INDEX(Beginne,MATCH(Q34,Codes,0))-INDEX(EndeRel,MATCH(P34,Codes,0)))*1440,0)&lt;660,1,0),0),0))</f>
      </c>
      <c r="R83" s="1">
        <f>IF(OR(R$52=0,Q34="",R34=""),0,IFERROR(IF(AND(INDEX(Arten,MATCH(Q34,Codes,0))="Arbeit",INDEX(Arten,MATCH(R34,Codes,0))="Arbeit"),IF(ROUND((1+INDEX(Beginne,MATCH(R34,Codes,0))-INDEX(EndeRel,MATCH(Q34,Codes,0)))*1440,0)&lt;660,1,0),0),0))</f>
      </c>
      <c r="S83" s="1">
        <f>IF(OR(S$52=0,R34="",S34=""),0,IFERROR(IF(AND(INDEX(Arten,MATCH(R34,Codes,0))="Arbeit",INDEX(Arten,MATCH(S34,Codes,0))="Arbeit"),IF(ROUND((1+INDEX(Beginne,MATCH(S34,Codes,0))-INDEX(EndeRel,MATCH(R34,Codes,0)))*1440,0)&lt;660,1,0),0),0))</f>
      </c>
      <c r="T83" s="1">
        <f>IF(OR(T$52=0,S34="",T34=""),0,IFERROR(IF(AND(INDEX(Arten,MATCH(S34,Codes,0))="Arbeit",INDEX(Arten,MATCH(T34,Codes,0))="Arbeit"),IF(ROUND((1+INDEX(Beginne,MATCH(T34,Codes,0))-INDEX(EndeRel,MATCH(S34,Codes,0)))*1440,0)&lt;660,1,0),0),0))</f>
      </c>
      <c r="U83" s="1">
        <f>IF(OR(U$52=0,T34="",U34=""),0,IFERROR(IF(AND(INDEX(Arten,MATCH(T34,Codes,0))="Arbeit",INDEX(Arten,MATCH(U34,Codes,0))="Arbeit"),IF(ROUND((1+INDEX(Beginne,MATCH(U34,Codes,0))-INDEX(EndeRel,MATCH(T34,Codes,0)))*1440,0)&lt;660,1,0),0),0))</f>
      </c>
      <c r="V83" s="1">
        <f>IF(OR(V$52=0,U34="",V34=""),0,IFERROR(IF(AND(INDEX(Arten,MATCH(U34,Codes,0))="Arbeit",INDEX(Arten,MATCH(V34,Codes,0))="Arbeit"),IF(ROUND((1+INDEX(Beginne,MATCH(V34,Codes,0))-INDEX(EndeRel,MATCH(U34,Codes,0)))*1440,0)&lt;660,1,0),0),0))</f>
      </c>
      <c r="W83" s="1">
        <f>IF(OR(W$52=0,V34="",W34=""),0,IFERROR(IF(AND(INDEX(Arten,MATCH(V34,Codes,0))="Arbeit",INDEX(Arten,MATCH(W34,Codes,0))="Arbeit"),IF(ROUND((1+INDEX(Beginne,MATCH(W34,Codes,0))-INDEX(EndeRel,MATCH(V34,Codes,0)))*1440,0)&lt;660,1,0),0),0))</f>
      </c>
      <c r="X83" s="1">
        <f>IF(OR(X$52=0,W34="",X34=""),0,IFERROR(IF(AND(INDEX(Arten,MATCH(W34,Codes,0))="Arbeit",INDEX(Arten,MATCH(X34,Codes,0))="Arbeit"),IF(ROUND((1+INDEX(Beginne,MATCH(X34,Codes,0))-INDEX(EndeRel,MATCH(W34,Codes,0)))*1440,0)&lt;660,1,0),0),0))</f>
      </c>
      <c r="Y83" s="1">
        <f>IF(OR(Y$52=0,X34="",Y34=""),0,IFERROR(IF(AND(INDEX(Arten,MATCH(X34,Codes,0))="Arbeit",INDEX(Arten,MATCH(Y34,Codes,0))="Arbeit"),IF(ROUND((1+INDEX(Beginne,MATCH(Y34,Codes,0))-INDEX(EndeRel,MATCH(X34,Codes,0)))*1440,0)&lt;660,1,0),0),0))</f>
      </c>
      <c r="Z83" s="1">
        <f>IF(OR(Z$52=0,Y34="",Z34=""),0,IFERROR(IF(AND(INDEX(Arten,MATCH(Y34,Codes,0))="Arbeit",INDEX(Arten,MATCH(Z34,Codes,0))="Arbeit"),IF(ROUND((1+INDEX(Beginne,MATCH(Z34,Codes,0))-INDEX(EndeRel,MATCH(Y34,Codes,0)))*1440,0)&lt;660,1,0),0),0))</f>
      </c>
      <c r="AA83" s="1">
        <f>IF(OR(AA$52=0,Z34="",AA34=""),0,IFERROR(IF(AND(INDEX(Arten,MATCH(Z34,Codes,0))="Arbeit",INDEX(Arten,MATCH(AA34,Codes,0))="Arbeit"),IF(ROUND((1+INDEX(Beginne,MATCH(AA34,Codes,0))-INDEX(EndeRel,MATCH(Z34,Codes,0)))*1440,0)&lt;660,1,0),0),0))</f>
      </c>
      <c r="AB83" s="1">
        <f>IF(OR(AB$52=0,AA34="",AB34=""),0,IFERROR(IF(AND(INDEX(Arten,MATCH(AA34,Codes,0))="Arbeit",INDEX(Arten,MATCH(AB34,Codes,0))="Arbeit"),IF(ROUND((1+INDEX(Beginne,MATCH(AB34,Codes,0))-INDEX(EndeRel,MATCH(AA34,Codes,0)))*1440,0)&lt;660,1,0),0),0))</f>
      </c>
      <c r="AC83" s="1">
        <f>IF(OR(AC$52=0,AB34="",AC34=""),0,IFERROR(IF(AND(INDEX(Arten,MATCH(AB34,Codes,0))="Arbeit",INDEX(Arten,MATCH(AC34,Codes,0))="Arbeit"),IF(ROUND((1+INDEX(Beginne,MATCH(AC34,Codes,0))-INDEX(EndeRel,MATCH(AB34,Codes,0)))*1440,0)&lt;660,1,0),0),0))</f>
      </c>
      <c r="AD83" s="1">
        <f>IF(OR(AD$52=0,AC34="",AD34=""),0,IFERROR(IF(AND(INDEX(Arten,MATCH(AC34,Codes,0))="Arbeit",INDEX(Arten,MATCH(AD34,Codes,0))="Arbeit"),IF(ROUND((1+INDEX(Beginne,MATCH(AD34,Codes,0))-INDEX(EndeRel,MATCH(AC34,Codes,0)))*1440,0)&lt;660,1,0),0),0))</f>
      </c>
      <c r="AE83" s="1">
        <f>IF(OR(AE$52=0,AD34="",AE34=""),0,IFERROR(IF(AND(INDEX(Arten,MATCH(AD34,Codes,0))="Arbeit",INDEX(Arten,MATCH(AE34,Codes,0))="Arbeit"),IF(ROUND((1+INDEX(Beginne,MATCH(AE34,Codes,0))-INDEX(EndeRel,MATCH(AD34,Codes,0)))*1440,0)&lt;660,1,0),0),0))</f>
      </c>
      <c r="AF83" s="1">
        <f>IF(OR(AF$52=0,AE34="",AF34=""),0,IFERROR(IF(AND(INDEX(Arten,MATCH(AE34,Codes,0))="Arbeit",INDEX(Arten,MATCH(AF34,Codes,0))="Arbeit"),IF(ROUND((1+INDEX(Beginne,MATCH(AF34,Codes,0))-INDEX(EndeRel,MATCH(AE34,Codes,0)))*1440,0)&lt;660,1,0),0),0))</f>
      </c>
    </row>
    <row r="84" hidden="1" spans="1:32" x14ac:dyDescent="0.25">
      <c r="A84" s="1"/>
      <c r="B84" s="1">
        <f>IF(OR(B$52=0,""="",B35=""),0,IFERROR(IF(AND(INDEX(Arten,MATCH("",Codes,0))="Arbeit",INDEX(Arten,MATCH(B35,Codes,0))="Arbeit"),IF(ROUND((1+INDEX(Beginne,MATCH(B35,Codes,0))-INDEX(EndeRel,MATCH("",Codes,0)))*1440,0)&lt;660,1,0),0),0))</f>
      </c>
      <c r="C84" s="1">
        <f>IF(OR(C$52=0,B35="",C35=""),0,IFERROR(IF(AND(INDEX(Arten,MATCH(B35,Codes,0))="Arbeit",INDEX(Arten,MATCH(C35,Codes,0))="Arbeit"),IF(ROUND((1+INDEX(Beginne,MATCH(C35,Codes,0))-INDEX(EndeRel,MATCH(B35,Codes,0)))*1440,0)&lt;660,1,0),0),0))</f>
      </c>
      <c r="D84" s="1">
        <f>IF(OR(D$52=0,C35="",D35=""),0,IFERROR(IF(AND(INDEX(Arten,MATCH(C35,Codes,0))="Arbeit",INDEX(Arten,MATCH(D35,Codes,0))="Arbeit"),IF(ROUND((1+INDEX(Beginne,MATCH(D35,Codes,0))-INDEX(EndeRel,MATCH(C35,Codes,0)))*1440,0)&lt;660,1,0),0),0))</f>
      </c>
      <c r="E84" s="1">
        <f>IF(OR(E$52=0,D35="",E35=""),0,IFERROR(IF(AND(INDEX(Arten,MATCH(D35,Codes,0))="Arbeit",INDEX(Arten,MATCH(E35,Codes,0))="Arbeit"),IF(ROUND((1+INDEX(Beginne,MATCH(E35,Codes,0))-INDEX(EndeRel,MATCH(D35,Codes,0)))*1440,0)&lt;660,1,0),0),0))</f>
      </c>
      <c r="F84" s="1">
        <f>IF(OR(F$52=0,E35="",F35=""),0,IFERROR(IF(AND(INDEX(Arten,MATCH(E35,Codes,0))="Arbeit",INDEX(Arten,MATCH(F35,Codes,0))="Arbeit"),IF(ROUND((1+INDEX(Beginne,MATCH(F35,Codes,0))-INDEX(EndeRel,MATCH(E35,Codes,0)))*1440,0)&lt;660,1,0),0),0))</f>
      </c>
      <c r="G84" s="1">
        <f>IF(OR(G$52=0,F35="",G35=""),0,IFERROR(IF(AND(INDEX(Arten,MATCH(F35,Codes,0))="Arbeit",INDEX(Arten,MATCH(G35,Codes,0))="Arbeit"),IF(ROUND((1+INDEX(Beginne,MATCH(G35,Codes,0))-INDEX(EndeRel,MATCH(F35,Codes,0)))*1440,0)&lt;660,1,0),0),0))</f>
      </c>
      <c r="H84" s="1">
        <f>IF(OR(H$52=0,G35="",H35=""),0,IFERROR(IF(AND(INDEX(Arten,MATCH(G35,Codes,0))="Arbeit",INDEX(Arten,MATCH(H35,Codes,0))="Arbeit"),IF(ROUND((1+INDEX(Beginne,MATCH(H35,Codes,0))-INDEX(EndeRel,MATCH(G35,Codes,0)))*1440,0)&lt;660,1,0),0),0))</f>
      </c>
      <c r="I84" s="1">
        <f>IF(OR(I$52=0,H35="",I35=""),0,IFERROR(IF(AND(INDEX(Arten,MATCH(H35,Codes,0))="Arbeit",INDEX(Arten,MATCH(I35,Codes,0))="Arbeit"),IF(ROUND((1+INDEX(Beginne,MATCH(I35,Codes,0))-INDEX(EndeRel,MATCH(H35,Codes,0)))*1440,0)&lt;660,1,0),0),0))</f>
      </c>
      <c r="J84" s="1">
        <f>IF(OR(J$52=0,I35="",J35=""),0,IFERROR(IF(AND(INDEX(Arten,MATCH(I35,Codes,0))="Arbeit",INDEX(Arten,MATCH(J35,Codes,0))="Arbeit"),IF(ROUND((1+INDEX(Beginne,MATCH(J35,Codes,0))-INDEX(EndeRel,MATCH(I35,Codes,0)))*1440,0)&lt;660,1,0),0),0))</f>
      </c>
      <c r="K84" s="1">
        <f>IF(OR(K$52=0,J35="",K35=""),0,IFERROR(IF(AND(INDEX(Arten,MATCH(J35,Codes,0))="Arbeit",INDEX(Arten,MATCH(K35,Codes,0))="Arbeit"),IF(ROUND((1+INDEX(Beginne,MATCH(K35,Codes,0))-INDEX(EndeRel,MATCH(J35,Codes,0)))*1440,0)&lt;660,1,0),0),0))</f>
      </c>
      <c r="L84" s="1">
        <f>IF(OR(L$52=0,K35="",L35=""),0,IFERROR(IF(AND(INDEX(Arten,MATCH(K35,Codes,0))="Arbeit",INDEX(Arten,MATCH(L35,Codes,0))="Arbeit"),IF(ROUND((1+INDEX(Beginne,MATCH(L35,Codes,0))-INDEX(EndeRel,MATCH(K35,Codes,0)))*1440,0)&lt;660,1,0),0),0))</f>
      </c>
      <c r="M84" s="1">
        <f>IF(OR(M$52=0,L35="",M35=""),0,IFERROR(IF(AND(INDEX(Arten,MATCH(L35,Codes,0))="Arbeit",INDEX(Arten,MATCH(M35,Codes,0))="Arbeit"),IF(ROUND((1+INDEX(Beginne,MATCH(M35,Codes,0))-INDEX(EndeRel,MATCH(L35,Codes,0)))*1440,0)&lt;660,1,0),0),0))</f>
      </c>
      <c r="N84" s="1">
        <f>IF(OR(N$52=0,M35="",N35=""),0,IFERROR(IF(AND(INDEX(Arten,MATCH(M35,Codes,0))="Arbeit",INDEX(Arten,MATCH(N35,Codes,0))="Arbeit"),IF(ROUND((1+INDEX(Beginne,MATCH(N35,Codes,0))-INDEX(EndeRel,MATCH(M35,Codes,0)))*1440,0)&lt;660,1,0),0),0))</f>
      </c>
      <c r="O84" s="1">
        <f>IF(OR(O$52=0,N35="",O35=""),0,IFERROR(IF(AND(INDEX(Arten,MATCH(N35,Codes,0))="Arbeit",INDEX(Arten,MATCH(O35,Codes,0))="Arbeit"),IF(ROUND((1+INDEX(Beginne,MATCH(O35,Codes,0))-INDEX(EndeRel,MATCH(N35,Codes,0)))*1440,0)&lt;660,1,0),0),0))</f>
      </c>
      <c r="P84" s="1">
        <f>IF(OR(P$52=0,O35="",P35=""),0,IFERROR(IF(AND(INDEX(Arten,MATCH(O35,Codes,0))="Arbeit",INDEX(Arten,MATCH(P35,Codes,0))="Arbeit"),IF(ROUND((1+INDEX(Beginne,MATCH(P35,Codes,0))-INDEX(EndeRel,MATCH(O35,Codes,0)))*1440,0)&lt;660,1,0),0),0))</f>
      </c>
      <c r="Q84" s="1">
        <f>IF(OR(Q$52=0,P35="",Q35=""),0,IFERROR(IF(AND(INDEX(Arten,MATCH(P35,Codes,0))="Arbeit",INDEX(Arten,MATCH(Q35,Codes,0))="Arbeit"),IF(ROUND((1+INDEX(Beginne,MATCH(Q35,Codes,0))-INDEX(EndeRel,MATCH(P35,Codes,0)))*1440,0)&lt;660,1,0),0),0))</f>
      </c>
      <c r="R84" s="1">
        <f>IF(OR(R$52=0,Q35="",R35=""),0,IFERROR(IF(AND(INDEX(Arten,MATCH(Q35,Codes,0))="Arbeit",INDEX(Arten,MATCH(R35,Codes,0))="Arbeit"),IF(ROUND((1+INDEX(Beginne,MATCH(R35,Codes,0))-INDEX(EndeRel,MATCH(Q35,Codes,0)))*1440,0)&lt;660,1,0),0),0))</f>
      </c>
      <c r="S84" s="1">
        <f>IF(OR(S$52=0,R35="",S35=""),0,IFERROR(IF(AND(INDEX(Arten,MATCH(R35,Codes,0))="Arbeit",INDEX(Arten,MATCH(S35,Codes,0))="Arbeit"),IF(ROUND((1+INDEX(Beginne,MATCH(S35,Codes,0))-INDEX(EndeRel,MATCH(R35,Codes,0)))*1440,0)&lt;660,1,0),0),0))</f>
      </c>
      <c r="T84" s="1">
        <f>IF(OR(T$52=0,S35="",T35=""),0,IFERROR(IF(AND(INDEX(Arten,MATCH(S35,Codes,0))="Arbeit",INDEX(Arten,MATCH(T35,Codes,0))="Arbeit"),IF(ROUND((1+INDEX(Beginne,MATCH(T35,Codes,0))-INDEX(EndeRel,MATCH(S35,Codes,0)))*1440,0)&lt;660,1,0),0),0))</f>
      </c>
      <c r="U84" s="1">
        <f>IF(OR(U$52=0,T35="",U35=""),0,IFERROR(IF(AND(INDEX(Arten,MATCH(T35,Codes,0))="Arbeit",INDEX(Arten,MATCH(U35,Codes,0))="Arbeit"),IF(ROUND((1+INDEX(Beginne,MATCH(U35,Codes,0))-INDEX(EndeRel,MATCH(T35,Codes,0)))*1440,0)&lt;660,1,0),0),0))</f>
      </c>
      <c r="V84" s="1">
        <f>IF(OR(V$52=0,U35="",V35=""),0,IFERROR(IF(AND(INDEX(Arten,MATCH(U35,Codes,0))="Arbeit",INDEX(Arten,MATCH(V35,Codes,0))="Arbeit"),IF(ROUND((1+INDEX(Beginne,MATCH(V35,Codes,0))-INDEX(EndeRel,MATCH(U35,Codes,0)))*1440,0)&lt;660,1,0),0),0))</f>
      </c>
      <c r="W84" s="1">
        <f>IF(OR(W$52=0,V35="",W35=""),0,IFERROR(IF(AND(INDEX(Arten,MATCH(V35,Codes,0))="Arbeit",INDEX(Arten,MATCH(W35,Codes,0))="Arbeit"),IF(ROUND((1+INDEX(Beginne,MATCH(W35,Codes,0))-INDEX(EndeRel,MATCH(V35,Codes,0)))*1440,0)&lt;660,1,0),0),0))</f>
      </c>
      <c r="X84" s="1">
        <f>IF(OR(X$52=0,W35="",X35=""),0,IFERROR(IF(AND(INDEX(Arten,MATCH(W35,Codes,0))="Arbeit",INDEX(Arten,MATCH(X35,Codes,0))="Arbeit"),IF(ROUND((1+INDEX(Beginne,MATCH(X35,Codes,0))-INDEX(EndeRel,MATCH(W35,Codes,0)))*1440,0)&lt;660,1,0),0),0))</f>
      </c>
      <c r="Y84" s="1">
        <f>IF(OR(Y$52=0,X35="",Y35=""),0,IFERROR(IF(AND(INDEX(Arten,MATCH(X35,Codes,0))="Arbeit",INDEX(Arten,MATCH(Y35,Codes,0))="Arbeit"),IF(ROUND((1+INDEX(Beginne,MATCH(Y35,Codes,0))-INDEX(EndeRel,MATCH(X35,Codes,0)))*1440,0)&lt;660,1,0),0),0))</f>
      </c>
      <c r="Z84" s="1">
        <f>IF(OR(Z$52=0,Y35="",Z35=""),0,IFERROR(IF(AND(INDEX(Arten,MATCH(Y35,Codes,0))="Arbeit",INDEX(Arten,MATCH(Z35,Codes,0))="Arbeit"),IF(ROUND((1+INDEX(Beginne,MATCH(Z35,Codes,0))-INDEX(EndeRel,MATCH(Y35,Codes,0)))*1440,0)&lt;660,1,0),0),0))</f>
      </c>
      <c r="AA84" s="1">
        <f>IF(OR(AA$52=0,Z35="",AA35=""),0,IFERROR(IF(AND(INDEX(Arten,MATCH(Z35,Codes,0))="Arbeit",INDEX(Arten,MATCH(AA35,Codes,0))="Arbeit"),IF(ROUND((1+INDEX(Beginne,MATCH(AA35,Codes,0))-INDEX(EndeRel,MATCH(Z35,Codes,0)))*1440,0)&lt;660,1,0),0),0))</f>
      </c>
      <c r="AB84" s="1">
        <f>IF(OR(AB$52=0,AA35="",AB35=""),0,IFERROR(IF(AND(INDEX(Arten,MATCH(AA35,Codes,0))="Arbeit",INDEX(Arten,MATCH(AB35,Codes,0))="Arbeit"),IF(ROUND((1+INDEX(Beginne,MATCH(AB35,Codes,0))-INDEX(EndeRel,MATCH(AA35,Codes,0)))*1440,0)&lt;660,1,0),0),0))</f>
      </c>
      <c r="AC84" s="1">
        <f>IF(OR(AC$52=0,AB35="",AC35=""),0,IFERROR(IF(AND(INDEX(Arten,MATCH(AB35,Codes,0))="Arbeit",INDEX(Arten,MATCH(AC35,Codes,0))="Arbeit"),IF(ROUND((1+INDEX(Beginne,MATCH(AC35,Codes,0))-INDEX(EndeRel,MATCH(AB35,Codes,0)))*1440,0)&lt;660,1,0),0),0))</f>
      </c>
      <c r="AD84" s="1">
        <f>IF(OR(AD$52=0,AC35="",AD35=""),0,IFERROR(IF(AND(INDEX(Arten,MATCH(AC35,Codes,0))="Arbeit",INDEX(Arten,MATCH(AD35,Codes,0))="Arbeit"),IF(ROUND((1+INDEX(Beginne,MATCH(AD35,Codes,0))-INDEX(EndeRel,MATCH(AC35,Codes,0)))*1440,0)&lt;660,1,0),0),0))</f>
      </c>
      <c r="AE84" s="1">
        <f>IF(OR(AE$52=0,AD35="",AE35=""),0,IFERROR(IF(AND(INDEX(Arten,MATCH(AD35,Codes,0))="Arbeit",INDEX(Arten,MATCH(AE35,Codes,0))="Arbeit"),IF(ROUND((1+INDEX(Beginne,MATCH(AE35,Codes,0))-INDEX(EndeRel,MATCH(AD35,Codes,0)))*1440,0)&lt;660,1,0),0),0))</f>
      </c>
      <c r="AF84" s="1">
        <f>IF(OR(AF$52=0,AE35="",AF35=""),0,IFERROR(IF(AND(INDEX(Arten,MATCH(AE35,Codes,0))="Arbeit",INDEX(Arten,MATCH(AF35,Codes,0))="Arbeit"),IF(ROUND((1+INDEX(Beginne,MATCH(AF35,Codes,0))-INDEX(EndeRel,MATCH(AE35,Codes,0)))*1440,0)&lt;660,1,0),0),0))</f>
      </c>
    </row>
    <row r="86" hidden="1" spans="1:32" x14ac:dyDescent="0.25">
      <c r="A86" s="1"/>
      <c r="B86" s="1">
        <f>IF($AM38="","",IF(OR(B$51&gt;=6,B$50=1),N(INDEX(MinFrei,MATCH(1,ArbeitNr,0))),N(INDEX(MinWerktag,MATCH(1,ArbeitNr,0)))))</f>
      </c>
      <c r="C86" s="1">
        <f>IF($AM38="","",IF(OR(C$51&gt;=6,C$50=1),N(INDEX(MinFrei,MATCH(1,ArbeitNr,0))),N(INDEX(MinWerktag,MATCH(1,ArbeitNr,0)))))</f>
      </c>
      <c r="D86" s="1">
        <f>IF($AM38="","",IF(OR(D$51&gt;=6,D$50=1),N(INDEX(MinFrei,MATCH(1,ArbeitNr,0))),N(INDEX(MinWerktag,MATCH(1,ArbeitNr,0)))))</f>
      </c>
      <c r="E86" s="1">
        <f>IF($AM38="","",IF(OR(E$51&gt;=6,E$50=1),N(INDEX(MinFrei,MATCH(1,ArbeitNr,0))),N(INDEX(MinWerktag,MATCH(1,ArbeitNr,0)))))</f>
      </c>
      <c r="F86" s="1">
        <f>IF($AM38="","",IF(OR(F$51&gt;=6,F$50=1),N(INDEX(MinFrei,MATCH(1,ArbeitNr,0))),N(INDEX(MinWerktag,MATCH(1,ArbeitNr,0)))))</f>
      </c>
      <c r="G86" s="1">
        <f>IF($AM38="","",IF(OR(G$51&gt;=6,G$50=1),N(INDEX(MinFrei,MATCH(1,ArbeitNr,0))),N(INDEX(MinWerktag,MATCH(1,ArbeitNr,0)))))</f>
      </c>
      <c r="H86" s="1">
        <f>IF($AM38="","",IF(OR(H$51&gt;=6,H$50=1),N(INDEX(MinFrei,MATCH(1,ArbeitNr,0))),N(INDEX(MinWerktag,MATCH(1,ArbeitNr,0)))))</f>
      </c>
      <c r="I86" s="1">
        <f>IF($AM38="","",IF(OR(I$51&gt;=6,I$50=1),N(INDEX(MinFrei,MATCH(1,ArbeitNr,0))),N(INDEX(MinWerktag,MATCH(1,ArbeitNr,0)))))</f>
      </c>
      <c r="J86" s="1">
        <f>IF($AM38="","",IF(OR(J$51&gt;=6,J$50=1),N(INDEX(MinFrei,MATCH(1,ArbeitNr,0))),N(INDEX(MinWerktag,MATCH(1,ArbeitNr,0)))))</f>
      </c>
      <c r="K86" s="1">
        <f>IF($AM38="","",IF(OR(K$51&gt;=6,K$50=1),N(INDEX(MinFrei,MATCH(1,ArbeitNr,0))),N(INDEX(MinWerktag,MATCH(1,ArbeitNr,0)))))</f>
      </c>
      <c r="L86" s="1">
        <f>IF($AM38="","",IF(OR(L$51&gt;=6,L$50=1),N(INDEX(MinFrei,MATCH(1,ArbeitNr,0))),N(INDEX(MinWerktag,MATCH(1,ArbeitNr,0)))))</f>
      </c>
      <c r="M86" s="1">
        <f>IF($AM38="","",IF(OR(M$51&gt;=6,M$50=1),N(INDEX(MinFrei,MATCH(1,ArbeitNr,0))),N(INDEX(MinWerktag,MATCH(1,ArbeitNr,0)))))</f>
      </c>
      <c r="N86" s="1">
        <f>IF($AM38="","",IF(OR(N$51&gt;=6,N$50=1),N(INDEX(MinFrei,MATCH(1,ArbeitNr,0))),N(INDEX(MinWerktag,MATCH(1,ArbeitNr,0)))))</f>
      </c>
      <c r="O86" s="1">
        <f>IF($AM38="","",IF(OR(O$51&gt;=6,O$50=1),N(INDEX(MinFrei,MATCH(1,ArbeitNr,0))),N(INDEX(MinWerktag,MATCH(1,ArbeitNr,0)))))</f>
      </c>
      <c r="P86" s="1">
        <f>IF($AM38="","",IF(OR(P$51&gt;=6,P$50=1),N(INDEX(MinFrei,MATCH(1,ArbeitNr,0))),N(INDEX(MinWerktag,MATCH(1,ArbeitNr,0)))))</f>
      </c>
      <c r="Q86" s="1">
        <f>IF($AM38="","",IF(OR(Q$51&gt;=6,Q$50=1),N(INDEX(MinFrei,MATCH(1,ArbeitNr,0))),N(INDEX(MinWerktag,MATCH(1,ArbeitNr,0)))))</f>
      </c>
      <c r="R86" s="1">
        <f>IF($AM38="","",IF(OR(R$51&gt;=6,R$50=1),N(INDEX(MinFrei,MATCH(1,ArbeitNr,0))),N(INDEX(MinWerktag,MATCH(1,ArbeitNr,0)))))</f>
      </c>
      <c r="S86" s="1">
        <f>IF($AM38="","",IF(OR(S$51&gt;=6,S$50=1),N(INDEX(MinFrei,MATCH(1,ArbeitNr,0))),N(INDEX(MinWerktag,MATCH(1,ArbeitNr,0)))))</f>
      </c>
      <c r="T86" s="1">
        <f>IF($AM38="","",IF(OR(T$51&gt;=6,T$50=1),N(INDEX(MinFrei,MATCH(1,ArbeitNr,0))),N(INDEX(MinWerktag,MATCH(1,ArbeitNr,0)))))</f>
      </c>
      <c r="U86" s="1">
        <f>IF($AM38="","",IF(OR(U$51&gt;=6,U$50=1),N(INDEX(MinFrei,MATCH(1,ArbeitNr,0))),N(INDEX(MinWerktag,MATCH(1,ArbeitNr,0)))))</f>
      </c>
      <c r="V86" s="1">
        <f>IF($AM38="","",IF(OR(V$51&gt;=6,V$50=1),N(INDEX(MinFrei,MATCH(1,ArbeitNr,0))),N(INDEX(MinWerktag,MATCH(1,ArbeitNr,0)))))</f>
      </c>
      <c r="W86" s="1">
        <f>IF($AM38="","",IF(OR(W$51&gt;=6,W$50=1),N(INDEX(MinFrei,MATCH(1,ArbeitNr,0))),N(INDEX(MinWerktag,MATCH(1,ArbeitNr,0)))))</f>
      </c>
      <c r="X86" s="1">
        <f>IF($AM38="","",IF(OR(X$51&gt;=6,X$50=1),N(INDEX(MinFrei,MATCH(1,ArbeitNr,0))),N(INDEX(MinWerktag,MATCH(1,ArbeitNr,0)))))</f>
      </c>
      <c r="Y86" s="1">
        <f>IF($AM38="","",IF(OR(Y$51&gt;=6,Y$50=1),N(INDEX(MinFrei,MATCH(1,ArbeitNr,0))),N(INDEX(MinWerktag,MATCH(1,ArbeitNr,0)))))</f>
      </c>
      <c r="Z86" s="1">
        <f>IF($AM38="","",IF(OR(Z$51&gt;=6,Z$50=1),N(INDEX(MinFrei,MATCH(1,ArbeitNr,0))),N(INDEX(MinWerktag,MATCH(1,ArbeitNr,0)))))</f>
      </c>
      <c r="AA86" s="1">
        <f>IF($AM38="","",IF(OR(AA$51&gt;=6,AA$50=1),N(INDEX(MinFrei,MATCH(1,ArbeitNr,0))),N(INDEX(MinWerktag,MATCH(1,ArbeitNr,0)))))</f>
      </c>
      <c r="AB86" s="1">
        <f>IF($AM38="","",IF(OR(AB$51&gt;=6,AB$50=1),N(INDEX(MinFrei,MATCH(1,ArbeitNr,0))),N(INDEX(MinWerktag,MATCH(1,ArbeitNr,0)))))</f>
      </c>
      <c r="AC86" s="1">
        <f>IF($AM38="","",IF(OR(AC$51&gt;=6,AC$50=1),N(INDEX(MinFrei,MATCH(1,ArbeitNr,0))),N(INDEX(MinWerktag,MATCH(1,ArbeitNr,0)))))</f>
      </c>
      <c r="AD86" s="1">
        <f>IF($AM38="","",IF(OR(AD$51&gt;=6,AD$50=1),N(INDEX(MinFrei,MATCH(1,ArbeitNr,0))),N(INDEX(MinWerktag,MATCH(1,ArbeitNr,0)))))</f>
      </c>
      <c r="AE86" s="1">
        <f>IF($AM38="","",IF(OR(AE$51&gt;=6,AE$50=1),N(INDEX(MinFrei,MATCH(1,ArbeitNr,0))),N(INDEX(MinWerktag,MATCH(1,ArbeitNr,0)))))</f>
      </c>
      <c r="AF86" s="1">
        <f>IF($AM38="","",IF(OR(AF$51&gt;=6,AF$50=1),N(INDEX(MinFrei,MATCH(1,ArbeitNr,0))),N(INDEX(MinWerktag,MATCH(1,ArbeitNr,0)))))</f>
      </c>
    </row>
    <row r="87" hidden="1" spans="1:32" x14ac:dyDescent="0.25">
      <c r="A87" s="1"/>
      <c r="B87" s="1">
        <f>IF($AM39="","",IF(OR(B$51&gt;=6,B$50=1),N(INDEX(MinFrei,MATCH(2,ArbeitNr,0))),N(INDEX(MinWerktag,MATCH(2,ArbeitNr,0)))))</f>
      </c>
      <c r="C87" s="1">
        <f>IF($AM39="","",IF(OR(C$51&gt;=6,C$50=1),N(INDEX(MinFrei,MATCH(2,ArbeitNr,0))),N(INDEX(MinWerktag,MATCH(2,ArbeitNr,0)))))</f>
      </c>
      <c r="D87" s="1">
        <f>IF($AM39="","",IF(OR(D$51&gt;=6,D$50=1),N(INDEX(MinFrei,MATCH(2,ArbeitNr,0))),N(INDEX(MinWerktag,MATCH(2,ArbeitNr,0)))))</f>
      </c>
      <c r="E87" s="1">
        <f>IF($AM39="","",IF(OR(E$51&gt;=6,E$50=1),N(INDEX(MinFrei,MATCH(2,ArbeitNr,0))),N(INDEX(MinWerktag,MATCH(2,ArbeitNr,0)))))</f>
      </c>
      <c r="F87" s="1">
        <f>IF($AM39="","",IF(OR(F$51&gt;=6,F$50=1),N(INDEX(MinFrei,MATCH(2,ArbeitNr,0))),N(INDEX(MinWerktag,MATCH(2,ArbeitNr,0)))))</f>
      </c>
      <c r="G87" s="1">
        <f>IF($AM39="","",IF(OR(G$51&gt;=6,G$50=1),N(INDEX(MinFrei,MATCH(2,ArbeitNr,0))),N(INDEX(MinWerktag,MATCH(2,ArbeitNr,0)))))</f>
      </c>
      <c r="H87" s="1">
        <f>IF($AM39="","",IF(OR(H$51&gt;=6,H$50=1),N(INDEX(MinFrei,MATCH(2,ArbeitNr,0))),N(INDEX(MinWerktag,MATCH(2,ArbeitNr,0)))))</f>
      </c>
      <c r="I87" s="1">
        <f>IF($AM39="","",IF(OR(I$51&gt;=6,I$50=1),N(INDEX(MinFrei,MATCH(2,ArbeitNr,0))),N(INDEX(MinWerktag,MATCH(2,ArbeitNr,0)))))</f>
      </c>
      <c r="J87" s="1">
        <f>IF($AM39="","",IF(OR(J$51&gt;=6,J$50=1),N(INDEX(MinFrei,MATCH(2,ArbeitNr,0))),N(INDEX(MinWerktag,MATCH(2,ArbeitNr,0)))))</f>
      </c>
      <c r="K87" s="1">
        <f>IF($AM39="","",IF(OR(K$51&gt;=6,K$50=1),N(INDEX(MinFrei,MATCH(2,ArbeitNr,0))),N(INDEX(MinWerktag,MATCH(2,ArbeitNr,0)))))</f>
      </c>
      <c r="L87" s="1">
        <f>IF($AM39="","",IF(OR(L$51&gt;=6,L$50=1),N(INDEX(MinFrei,MATCH(2,ArbeitNr,0))),N(INDEX(MinWerktag,MATCH(2,ArbeitNr,0)))))</f>
      </c>
      <c r="M87" s="1">
        <f>IF($AM39="","",IF(OR(M$51&gt;=6,M$50=1),N(INDEX(MinFrei,MATCH(2,ArbeitNr,0))),N(INDEX(MinWerktag,MATCH(2,ArbeitNr,0)))))</f>
      </c>
      <c r="N87" s="1">
        <f>IF($AM39="","",IF(OR(N$51&gt;=6,N$50=1),N(INDEX(MinFrei,MATCH(2,ArbeitNr,0))),N(INDEX(MinWerktag,MATCH(2,ArbeitNr,0)))))</f>
      </c>
      <c r="O87" s="1">
        <f>IF($AM39="","",IF(OR(O$51&gt;=6,O$50=1),N(INDEX(MinFrei,MATCH(2,ArbeitNr,0))),N(INDEX(MinWerktag,MATCH(2,ArbeitNr,0)))))</f>
      </c>
      <c r="P87" s="1">
        <f>IF($AM39="","",IF(OR(P$51&gt;=6,P$50=1),N(INDEX(MinFrei,MATCH(2,ArbeitNr,0))),N(INDEX(MinWerktag,MATCH(2,ArbeitNr,0)))))</f>
      </c>
      <c r="Q87" s="1">
        <f>IF($AM39="","",IF(OR(Q$51&gt;=6,Q$50=1),N(INDEX(MinFrei,MATCH(2,ArbeitNr,0))),N(INDEX(MinWerktag,MATCH(2,ArbeitNr,0)))))</f>
      </c>
      <c r="R87" s="1">
        <f>IF($AM39="","",IF(OR(R$51&gt;=6,R$50=1),N(INDEX(MinFrei,MATCH(2,ArbeitNr,0))),N(INDEX(MinWerktag,MATCH(2,ArbeitNr,0)))))</f>
      </c>
      <c r="S87" s="1">
        <f>IF($AM39="","",IF(OR(S$51&gt;=6,S$50=1),N(INDEX(MinFrei,MATCH(2,ArbeitNr,0))),N(INDEX(MinWerktag,MATCH(2,ArbeitNr,0)))))</f>
      </c>
      <c r="T87" s="1">
        <f>IF($AM39="","",IF(OR(T$51&gt;=6,T$50=1),N(INDEX(MinFrei,MATCH(2,ArbeitNr,0))),N(INDEX(MinWerktag,MATCH(2,ArbeitNr,0)))))</f>
      </c>
      <c r="U87" s="1">
        <f>IF($AM39="","",IF(OR(U$51&gt;=6,U$50=1),N(INDEX(MinFrei,MATCH(2,ArbeitNr,0))),N(INDEX(MinWerktag,MATCH(2,ArbeitNr,0)))))</f>
      </c>
      <c r="V87" s="1">
        <f>IF($AM39="","",IF(OR(V$51&gt;=6,V$50=1),N(INDEX(MinFrei,MATCH(2,ArbeitNr,0))),N(INDEX(MinWerktag,MATCH(2,ArbeitNr,0)))))</f>
      </c>
      <c r="W87" s="1">
        <f>IF($AM39="","",IF(OR(W$51&gt;=6,W$50=1),N(INDEX(MinFrei,MATCH(2,ArbeitNr,0))),N(INDEX(MinWerktag,MATCH(2,ArbeitNr,0)))))</f>
      </c>
      <c r="X87" s="1">
        <f>IF($AM39="","",IF(OR(X$51&gt;=6,X$50=1),N(INDEX(MinFrei,MATCH(2,ArbeitNr,0))),N(INDEX(MinWerktag,MATCH(2,ArbeitNr,0)))))</f>
      </c>
      <c r="Y87" s="1">
        <f>IF($AM39="","",IF(OR(Y$51&gt;=6,Y$50=1),N(INDEX(MinFrei,MATCH(2,ArbeitNr,0))),N(INDEX(MinWerktag,MATCH(2,ArbeitNr,0)))))</f>
      </c>
      <c r="Z87" s="1">
        <f>IF($AM39="","",IF(OR(Z$51&gt;=6,Z$50=1),N(INDEX(MinFrei,MATCH(2,ArbeitNr,0))),N(INDEX(MinWerktag,MATCH(2,ArbeitNr,0)))))</f>
      </c>
      <c r="AA87" s="1">
        <f>IF($AM39="","",IF(OR(AA$51&gt;=6,AA$50=1),N(INDEX(MinFrei,MATCH(2,ArbeitNr,0))),N(INDEX(MinWerktag,MATCH(2,ArbeitNr,0)))))</f>
      </c>
      <c r="AB87" s="1">
        <f>IF($AM39="","",IF(OR(AB$51&gt;=6,AB$50=1),N(INDEX(MinFrei,MATCH(2,ArbeitNr,0))),N(INDEX(MinWerktag,MATCH(2,ArbeitNr,0)))))</f>
      </c>
      <c r="AC87" s="1">
        <f>IF($AM39="","",IF(OR(AC$51&gt;=6,AC$50=1),N(INDEX(MinFrei,MATCH(2,ArbeitNr,0))),N(INDEX(MinWerktag,MATCH(2,ArbeitNr,0)))))</f>
      </c>
      <c r="AD87" s="1">
        <f>IF($AM39="","",IF(OR(AD$51&gt;=6,AD$50=1),N(INDEX(MinFrei,MATCH(2,ArbeitNr,0))),N(INDEX(MinWerktag,MATCH(2,ArbeitNr,0)))))</f>
      </c>
      <c r="AE87" s="1">
        <f>IF($AM39="","",IF(OR(AE$51&gt;=6,AE$50=1),N(INDEX(MinFrei,MATCH(2,ArbeitNr,0))),N(INDEX(MinWerktag,MATCH(2,ArbeitNr,0)))))</f>
      </c>
      <c r="AF87" s="1">
        <f>IF($AM39="","",IF(OR(AF$51&gt;=6,AF$50=1),N(INDEX(MinFrei,MATCH(2,ArbeitNr,0))),N(INDEX(MinWerktag,MATCH(2,ArbeitNr,0)))))</f>
      </c>
    </row>
    <row r="88" hidden="1" spans="1:32" x14ac:dyDescent="0.25">
      <c r="A88" s="1"/>
      <c r="B88" s="1">
        <f>IF($AM40="","",IF(OR(B$51&gt;=6,B$50=1),N(INDEX(MinFrei,MATCH(3,ArbeitNr,0))),N(INDEX(MinWerktag,MATCH(3,ArbeitNr,0)))))</f>
      </c>
      <c r="C88" s="1">
        <f>IF($AM40="","",IF(OR(C$51&gt;=6,C$50=1),N(INDEX(MinFrei,MATCH(3,ArbeitNr,0))),N(INDEX(MinWerktag,MATCH(3,ArbeitNr,0)))))</f>
      </c>
      <c r="D88" s="1">
        <f>IF($AM40="","",IF(OR(D$51&gt;=6,D$50=1),N(INDEX(MinFrei,MATCH(3,ArbeitNr,0))),N(INDEX(MinWerktag,MATCH(3,ArbeitNr,0)))))</f>
      </c>
      <c r="E88" s="1">
        <f>IF($AM40="","",IF(OR(E$51&gt;=6,E$50=1),N(INDEX(MinFrei,MATCH(3,ArbeitNr,0))),N(INDEX(MinWerktag,MATCH(3,ArbeitNr,0)))))</f>
      </c>
      <c r="F88" s="1">
        <f>IF($AM40="","",IF(OR(F$51&gt;=6,F$50=1),N(INDEX(MinFrei,MATCH(3,ArbeitNr,0))),N(INDEX(MinWerktag,MATCH(3,ArbeitNr,0)))))</f>
      </c>
      <c r="G88" s="1">
        <f>IF($AM40="","",IF(OR(G$51&gt;=6,G$50=1),N(INDEX(MinFrei,MATCH(3,ArbeitNr,0))),N(INDEX(MinWerktag,MATCH(3,ArbeitNr,0)))))</f>
      </c>
      <c r="H88" s="1">
        <f>IF($AM40="","",IF(OR(H$51&gt;=6,H$50=1),N(INDEX(MinFrei,MATCH(3,ArbeitNr,0))),N(INDEX(MinWerktag,MATCH(3,ArbeitNr,0)))))</f>
      </c>
      <c r="I88" s="1">
        <f>IF($AM40="","",IF(OR(I$51&gt;=6,I$50=1),N(INDEX(MinFrei,MATCH(3,ArbeitNr,0))),N(INDEX(MinWerktag,MATCH(3,ArbeitNr,0)))))</f>
      </c>
      <c r="J88" s="1">
        <f>IF($AM40="","",IF(OR(J$51&gt;=6,J$50=1),N(INDEX(MinFrei,MATCH(3,ArbeitNr,0))),N(INDEX(MinWerktag,MATCH(3,ArbeitNr,0)))))</f>
      </c>
      <c r="K88" s="1">
        <f>IF($AM40="","",IF(OR(K$51&gt;=6,K$50=1),N(INDEX(MinFrei,MATCH(3,ArbeitNr,0))),N(INDEX(MinWerktag,MATCH(3,ArbeitNr,0)))))</f>
      </c>
      <c r="L88" s="1">
        <f>IF($AM40="","",IF(OR(L$51&gt;=6,L$50=1),N(INDEX(MinFrei,MATCH(3,ArbeitNr,0))),N(INDEX(MinWerktag,MATCH(3,ArbeitNr,0)))))</f>
      </c>
      <c r="M88" s="1">
        <f>IF($AM40="","",IF(OR(M$51&gt;=6,M$50=1),N(INDEX(MinFrei,MATCH(3,ArbeitNr,0))),N(INDEX(MinWerktag,MATCH(3,ArbeitNr,0)))))</f>
      </c>
      <c r="N88" s="1">
        <f>IF($AM40="","",IF(OR(N$51&gt;=6,N$50=1),N(INDEX(MinFrei,MATCH(3,ArbeitNr,0))),N(INDEX(MinWerktag,MATCH(3,ArbeitNr,0)))))</f>
      </c>
      <c r="O88" s="1">
        <f>IF($AM40="","",IF(OR(O$51&gt;=6,O$50=1),N(INDEX(MinFrei,MATCH(3,ArbeitNr,0))),N(INDEX(MinWerktag,MATCH(3,ArbeitNr,0)))))</f>
      </c>
      <c r="P88" s="1">
        <f>IF($AM40="","",IF(OR(P$51&gt;=6,P$50=1),N(INDEX(MinFrei,MATCH(3,ArbeitNr,0))),N(INDEX(MinWerktag,MATCH(3,ArbeitNr,0)))))</f>
      </c>
      <c r="Q88" s="1">
        <f>IF($AM40="","",IF(OR(Q$51&gt;=6,Q$50=1),N(INDEX(MinFrei,MATCH(3,ArbeitNr,0))),N(INDEX(MinWerktag,MATCH(3,ArbeitNr,0)))))</f>
      </c>
      <c r="R88" s="1">
        <f>IF($AM40="","",IF(OR(R$51&gt;=6,R$50=1),N(INDEX(MinFrei,MATCH(3,ArbeitNr,0))),N(INDEX(MinWerktag,MATCH(3,ArbeitNr,0)))))</f>
      </c>
      <c r="S88" s="1">
        <f>IF($AM40="","",IF(OR(S$51&gt;=6,S$50=1),N(INDEX(MinFrei,MATCH(3,ArbeitNr,0))),N(INDEX(MinWerktag,MATCH(3,ArbeitNr,0)))))</f>
      </c>
      <c r="T88" s="1">
        <f>IF($AM40="","",IF(OR(T$51&gt;=6,T$50=1),N(INDEX(MinFrei,MATCH(3,ArbeitNr,0))),N(INDEX(MinWerktag,MATCH(3,ArbeitNr,0)))))</f>
      </c>
      <c r="U88" s="1">
        <f>IF($AM40="","",IF(OR(U$51&gt;=6,U$50=1),N(INDEX(MinFrei,MATCH(3,ArbeitNr,0))),N(INDEX(MinWerktag,MATCH(3,ArbeitNr,0)))))</f>
      </c>
      <c r="V88" s="1">
        <f>IF($AM40="","",IF(OR(V$51&gt;=6,V$50=1),N(INDEX(MinFrei,MATCH(3,ArbeitNr,0))),N(INDEX(MinWerktag,MATCH(3,ArbeitNr,0)))))</f>
      </c>
      <c r="W88" s="1">
        <f>IF($AM40="","",IF(OR(W$51&gt;=6,W$50=1),N(INDEX(MinFrei,MATCH(3,ArbeitNr,0))),N(INDEX(MinWerktag,MATCH(3,ArbeitNr,0)))))</f>
      </c>
      <c r="X88" s="1">
        <f>IF($AM40="","",IF(OR(X$51&gt;=6,X$50=1),N(INDEX(MinFrei,MATCH(3,ArbeitNr,0))),N(INDEX(MinWerktag,MATCH(3,ArbeitNr,0)))))</f>
      </c>
      <c r="Y88" s="1">
        <f>IF($AM40="","",IF(OR(Y$51&gt;=6,Y$50=1),N(INDEX(MinFrei,MATCH(3,ArbeitNr,0))),N(INDEX(MinWerktag,MATCH(3,ArbeitNr,0)))))</f>
      </c>
      <c r="Z88" s="1">
        <f>IF($AM40="","",IF(OR(Z$51&gt;=6,Z$50=1),N(INDEX(MinFrei,MATCH(3,ArbeitNr,0))),N(INDEX(MinWerktag,MATCH(3,ArbeitNr,0)))))</f>
      </c>
      <c r="AA88" s="1">
        <f>IF($AM40="","",IF(OR(AA$51&gt;=6,AA$50=1),N(INDEX(MinFrei,MATCH(3,ArbeitNr,0))),N(INDEX(MinWerktag,MATCH(3,ArbeitNr,0)))))</f>
      </c>
      <c r="AB88" s="1">
        <f>IF($AM40="","",IF(OR(AB$51&gt;=6,AB$50=1),N(INDEX(MinFrei,MATCH(3,ArbeitNr,0))),N(INDEX(MinWerktag,MATCH(3,ArbeitNr,0)))))</f>
      </c>
      <c r="AC88" s="1">
        <f>IF($AM40="","",IF(OR(AC$51&gt;=6,AC$50=1),N(INDEX(MinFrei,MATCH(3,ArbeitNr,0))),N(INDEX(MinWerktag,MATCH(3,ArbeitNr,0)))))</f>
      </c>
      <c r="AD88" s="1">
        <f>IF($AM40="","",IF(OR(AD$51&gt;=6,AD$50=1),N(INDEX(MinFrei,MATCH(3,ArbeitNr,0))),N(INDEX(MinWerktag,MATCH(3,ArbeitNr,0)))))</f>
      </c>
      <c r="AE88" s="1">
        <f>IF($AM40="","",IF(OR(AE$51&gt;=6,AE$50=1),N(INDEX(MinFrei,MATCH(3,ArbeitNr,0))),N(INDEX(MinWerktag,MATCH(3,ArbeitNr,0)))))</f>
      </c>
      <c r="AF88" s="1">
        <f>IF($AM40="","",IF(OR(AF$51&gt;=6,AF$50=1),N(INDEX(MinFrei,MATCH(3,ArbeitNr,0))),N(INDEX(MinWerktag,MATCH(3,ArbeitNr,0)))))</f>
      </c>
    </row>
    <row r="89" hidden="1" spans="1:32" x14ac:dyDescent="0.25">
      <c r="A89" s="1"/>
      <c r="B89" s="1">
        <f>IF($AM41="","",IF(OR(B$51&gt;=6,B$50=1),N(INDEX(MinFrei,MATCH(4,ArbeitNr,0))),N(INDEX(MinWerktag,MATCH(4,ArbeitNr,0)))))</f>
      </c>
      <c r="C89" s="1">
        <f>IF($AM41="","",IF(OR(C$51&gt;=6,C$50=1),N(INDEX(MinFrei,MATCH(4,ArbeitNr,0))),N(INDEX(MinWerktag,MATCH(4,ArbeitNr,0)))))</f>
      </c>
      <c r="D89" s="1">
        <f>IF($AM41="","",IF(OR(D$51&gt;=6,D$50=1),N(INDEX(MinFrei,MATCH(4,ArbeitNr,0))),N(INDEX(MinWerktag,MATCH(4,ArbeitNr,0)))))</f>
      </c>
      <c r="E89" s="1">
        <f>IF($AM41="","",IF(OR(E$51&gt;=6,E$50=1),N(INDEX(MinFrei,MATCH(4,ArbeitNr,0))),N(INDEX(MinWerktag,MATCH(4,ArbeitNr,0)))))</f>
      </c>
      <c r="F89" s="1">
        <f>IF($AM41="","",IF(OR(F$51&gt;=6,F$50=1),N(INDEX(MinFrei,MATCH(4,ArbeitNr,0))),N(INDEX(MinWerktag,MATCH(4,ArbeitNr,0)))))</f>
      </c>
      <c r="G89" s="1">
        <f>IF($AM41="","",IF(OR(G$51&gt;=6,G$50=1),N(INDEX(MinFrei,MATCH(4,ArbeitNr,0))),N(INDEX(MinWerktag,MATCH(4,ArbeitNr,0)))))</f>
      </c>
      <c r="H89" s="1">
        <f>IF($AM41="","",IF(OR(H$51&gt;=6,H$50=1),N(INDEX(MinFrei,MATCH(4,ArbeitNr,0))),N(INDEX(MinWerktag,MATCH(4,ArbeitNr,0)))))</f>
      </c>
      <c r="I89" s="1">
        <f>IF($AM41="","",IF(OR(I$51&gt;=6,I$50=1),N(INDEX(MinFrei,MATCH(4,ArbeitNr,0))),N(INDEX(MinWerktag,MATCH(4,ArbeitNr,0)))))</f>
      </c>
      <c r="J89" s="1">
        <f>IF($AM41="","",IF(OR(J$51&gt;=6,J$50=1),N(INDEX(MinFrei,MATCH(4,ArbeitNr,0))),N(INDEX(MinWerktag,MATCH(4,ArbeitNr,0)))))</f>
      </c>
      <c r="K89" s="1">
        <f>IF($AM41="","",IF(OR(K$51&gt;=6,K$50=1),N(INDEX(MinFrei,MATCH(4,ArbeitNr,0))),N(INDEX(MinWerktag,MATCH(4,ArbeitNr,0)))))</f>
      </c>
      <c r="L89" s="1">
        <f>IF($AM41="","",IF(OR(L$51&gt;=6,L$50=1),N(INDEX(MinFrei,MATCH(4,ArbeitNr,0))),N(INDEX(MinWerktag,MATCH(4,ArbeitNr,0)))))</f>
      </c>
      <c r="M89" s="1">
        <f>IF($AM41="","",IF(OR(M$51&gt;=6,M$50=1),N(INDEX(MinFrei,MATCH(4,ArbeitNr,0))),N(INDEX(MinWerktag,MATCH(4,ArbeitNr,0)))))</f>
      </c>
      <c r="N89" s="1">
        <f>IF($AM41="","",IF(OR(N$51&gt;=6,N$50=1),N(INDEX(MinFrei,MATCH(4,ArbeitNr,0))),N(INDEX(MinWerktag,MATCH(4,ArbeitNr,0)))))</f>
      </c>
      <c r="O89" s="1">
        <f>IF($AM41="","",IF(OR(O$51&gt;=6,O$50=1),N(INDEX(MinFrei,MATCH(4,ArbeitNr,0))),N(INDEX(MinWerktag,MATCH(4,ArbeitNr,0)))))</f>
      </c>
      <c r="P89" s="1">
        <f>IF($AM41="","",IF(OR(P$51&gt;=6,P$50=1),N(INDEX(MinFrei,MATCH(4,ArbeitNr,0))),N(INDEX(MinWerktag,MATCH(4,ArbeitNr,0)))))</f>
      </c>
      <c r="Q89" s="1">
        <f>IF($AM41="","",IF(OR(Q$51&gt;=6,Q$50=1),N(INDEX(MinFrei,MATCH(4,ArbeitNr,0))),N(INDEX(MinWerktag,MATCH(4,ArbeitNr,0)))))</f>
      </c>
      <c r="R89" s="1">
        <f>IF($AM41="","",IF(OR(R$51&gt;=6,R$50=1),N(INDEX(MinFrei,MATCH(4,ArbeitNr,0))),N(INDEX(MinWerktag,MATCH(4,ArbeitNr,0)))))</f>
      </c>
      <c r="S89" s="1">
        <f>IF($AM41="","",IF(OR(S$51&gt;=6,S$50=1),N(INDEX(MinFrei,MATCH(4,ArbeitNr,0))),N(INDEX(MinWerktag,MATCH(4,ArbeitNr,0)))))</f>
      </c>
      <c r="T89" s="1">
        <f>IF($AM41="","",IF(OR(T$51&gt;=6,T$50=1),N(INDEX(MinFrei,MATCH(4,ArbeitNr,0))),N(INDEX(MinWerktag,MATCH(4,ArbeitNr,0)))))</f>
      </c>
      <c r="U89" s="1">
        <f>IF($AM41="","",IF(OR(U$51&gt;=6,U$50=1),N(INDEX(MinFrei,MATCH(4,ArbeitNr,0))),N(INDEX(MinWerktag,MATCH(4,ArbeitNr,0)))))</f>
      </c>
      <c r="V89" s="1">
        <f>IF($AM41="","",IF(OR(V$51&gt;=6,V$50=1),N(INDEX(MinFrei,MATCH(4,ArbeitNr,0))),N(INDEX(MinWerktag,MATCH(4,ArbeitNr,0)))))</f>
      </c>
      <c r="W89" s="1">
        <f>IF($AM41="","",IF(OR(W$51&gt;=6,W$50=1),N(INDEX(MinFrei,MATCH(4,ArbeitNr,0))),N(INDEX(MinWerktag,MATCH(4,ArbeitNr,0)))))</f>
      </c>
      <c r="X89" s="1">
        <f>IF($AM41="","",IF(OR(X$51&gt;=6,X$50=1),N(INDEX(MinFrei,MATCH(4,ArbeitNr,0))),N(INDEX(MinWerktag,MATCH(4,ArbeitNr,0)))))</f>
      </c>
      <c r="Y89" s="1">
        <f>IF($AM41="","",IF(OR(Y$51&gt;=6,Y$50=1),N(INDEX(MinFrei,MATCH(4,ArbeitNr,0))),N(INDEX(MinWerktag,MATCH(4,ArbeitNr,0)))))</f>
      </c>
      <c r="Z89" s="1">
        <f>IF($AM41="","",IF(OR(Z$51&gt;=6,Z$50=1),N(INDEX(MinFrei,MATCH(4,ArbeitNr,0))),N(INDEX(MinWerktag,MATCH(4,ArbeitNr,0)))))</f>
      </c>
      <c r="AA89" s="1">
        <f>IF($AM41="","",IF(OR(AA$51&gt;=6,AA$50=1),N(INDEX(MinFrei,MATCH(4,ArbeitNr,0))),N(INDEX(MinWerktag,MATCH(4,ArbeitNr,0)))))</f>
      </c>
      <c r="AB89" s="1">
        <f>IF($AM41="","",IF(OR(AB$51&gt;=6,AB$50=1),N(INDEX(MinFrei,MATCH(4,ArbeitNr,0))),N(INDEX(MinWerktag,MATCH(4,ArbeitNr,0)))))</f>
      </c>
      <c r="AC89" s="1">
        <f>IF($AM41="","",IF(OR(AC$51&gt;=6,AC$50=1),N(INDEX(MinFrei,MATCH(4,ArbeitNr,0))),N(INDEX(MinWerktag,MATCH(4,ArbeitNr,0)))))</f>
      </c>
      <c r="AD89" s="1">
        <f>IF($AM41="","",IF(OR(AD$51&gt;=6,AD$50=1),N(INDEX(MinFrei,MATCH(4,ArbeitNr,0))),N(INDEX(MinWerktag,MATCH(4,ArbeitNr,0)))))</f>
      </c>
      <c r="AE89" s="1">
        <f>IF($AM41="","",IF(OR(AE$51&gt;=6,AE$50=1),N(INDEX(MinFrei,MATCH(4,ArbeitNr,0))),N(INDEX(MinWerktag,MATCH(4,ArbeitNr,0)))))</f>
      </c>
      <c r="AF89" s="1">
        <f>IF($AM41="","",IF(OR(AF$51&gt;=6,AF$50=1),N(INDEX(MinFrei,MATCH(4,ArbeitNr,0))),N(INDEX(MinWerktag,MATCH(4,ArbeitNr,0)))))</f>
      </c>
    </row>
    <row r="90" hidden="1" spans="1:32" x14ac:dyDescent="0.25">
      <c r="A90" s="1"/>
      <c r="B90" s="1">
        <f>IF($AM42="","",IF(OR(B$51&gt;=6,B$50=1),N(INDEX(MinFrei,MATCH(5,ArbeitNr,0))),N(INDEX(MinWerktag,MATCH(5,ArbeitNr,0)))))</f>
      </c>
      <c r="C90" s="1">
        <f>IF($AM42="","",IF(OR(C$51&gt;=6,C$50=1),N(INDEX(MinFrei,MATCH(5,ArbeitNr,0))),N(INDEX(MinWerktag,MATCH(5,ArbeitNr,0)))))</f>
      </c>
      <c r="D90" s="1">
        <f>IF($AM42="","",IF(OR(D$51&gt;=6,D$50=1),N(INDEX(MinFrei,MATCH(5,ArbeitNr,0))),N(INDEX(MinWerktag,MATCH(5,ArbeitNr,0)))))</f>
      </c>
      <c r="E90" s="1">
        <f>IF($AM42="","",IF(OR(E$51&gt;=6,E$50=1),N(INDEX(MinFrei,MATCH(5,ArbeitNr,0))),N(INDEX(MinWerktag,MATCH(5,ArbeitNr,0)))))</f>
      </c>
      <c r="F90" s="1">
        <f>IF($AM42="","",IF(OR(F$51&gt;=6,F$50=1),N(INDEX(MinFrei,MATCH(5,ArbeitNr,0))),N(INDEX(MinWerktag,MATCH(5,ArbeitNr,0)))))</f>
      </c>
      <c r="G90" s="1">
        <f>IF($AM42="","",IF(OR(G$51&gt;=6,G$50=1),N(INDEX(MinFrei,MATCH(5,ArbeitNr,0))),N(INDEX(MinWerktag,MATCH(5,ArbeitNr,0)))))</f>
      </c>
      <c r="H90" s="1">
        <f>IF($AM42="","",IF(OR(H$51&gt;=6,H$50=1),N(INDEX(MinFrei,MATCH(5,ArbeitNr,0))),N(INDEX(MinWerktag,MATCH(5,ArbeitNr,0)))))</f>
      </c>
      <c r="I90" s="1">
        <f>IF($AM42="","",IF(OR(I$51&gt;=6,I$50=1),N(INDEX(MinFrei,MATCH(5,ArbeitNr,0))),N(INDEX(MinWerktag,MATCH(5,ArbeitNr,0)))))</f>
      </c>
      <c r="J90" s="1">
        <f>IF($AM42="","",IF(OR(J$51&gt;=6,J$50=1),N(INDEX(MinFrei,MATCH(5,ArbeitNr,0))),N(INDEX(MinWerktag,MATCH(5,ArbeitNr,0)))))</f>
      </c>
      <c r="K90" s="1">
        <f>IF($AM42="","",IF(OR(K$51&gt;=6,K$50=1),N(INDEX(MinFrei,MATCH(5,ArbeitNr,0))),N(INDEX(MinWerktag,MATCH(5,ArbeitNr,0)))))</f>
      </c>
      <c r="L90" s="1">
        <f>IF($AM42="","",IF(OR(L$51&gt;=6,L$50=1),N(INDEX(MinFrei,MATCH(5,ArbeitNr,0))),N(INDEX(MinWerktag,MATCH(5,ArbeitNr,0)))))</f>
      </c>
      <c r="M90" s="1">
        <f>IF($AM42="","",IF(OR(M$51&gt;=6,M$50=1),N(INDEX(MinFrei,MATCH(5,ArbeitNr,0))),N(INDEX(MinWerktag,MATCH(5,ArbeitNr,0)))))</f>
      </c>
      <c r="N90" s="1">
        <f>IF($AM42="","",IF(OR(N$51&gt;=6,N$50=1),N(INDEX(MinFrei,MATCH(5,ArbeitNr,0))),N(INDEX(MinWerktag,MATCH(5,ArbeitNr,0)))))</f>
      </c>
      <c r="O90" s="1">
        <f>IF($AM42="","",IF(OR(O$51&gt;=6,O$50=1),N(INDEX(MinFrei,MATCH(5,ArbeitNr,0))),N(INDEX(MinWerktag,MATCH(5,ArbeitNr,0)))))</f>
      </c>
      <c r="P90" s="1">
        <f>IF($AM42="","",IF(OR(P$51&gt;=6,P$50=1),N(INDEX(MinFrei,MATCH(5,ArbeitNr,0))),N(INDEX(MinWerktag,MATCH(5,ArbeitNr,0)))))</f>
      </c>
      <c r="Q90" s="1">
        <f>IF($AM42="","",IF(OR(Q$51&gt;=6,Q$50=1),N(INDEX(MinFrei,MATCH(5,ArbeitNr,0))),N(INDEX(MinWerktag,MATCH(5,ArbeitNr,0)))))</f>
      </c>
      <c r="R90" s="1">
        <f>IF($AM42="","",IF(OR(R$51&gt;=6,R$50=1),N(INDEX(MinFrei,MATCH(5,ArbeitNr,0))),N(INDEX(MinWerktag,MATCH(5,ArbeitNr,0)))))</f>
      </c>
      <c r="S90" s="1">
        <f>IF($AM42="","",IF(OR(S$51&gt;=6,S$50=1),N(INDEX(MinFrei,MATCH(5,ArbeitNr,0))),N(INDEX(MinWerktag,MATCH(5,ArbeitNr,0)))))</f>
      </c>
      <c r="T90" s="1">
        <f>IF($AM42="","",IF(OR(T$51&gt;=6,T$50=1),N(INDEX(MinFrei,MATCH(5,ArbeitNr,0))),N(INDEX(MinWerktag,MATCH(5,ArbeitNr,0)))))</f>
      </c>
      <c r="U90" s="1">
        <f>IF($AM42="","",IF(OR(U$51&gt;=6,U$50=1),N(INDEX(MinFrei,MATCH(5,ArbeitNr,0))),N(INDEX(MinWerktag,MATCH(5,ArbeitNr,0)))))</f>
      </c>
      <c r="V90" s="1">
        <f>IF($AM42="","",IF(OR(V$51&gt;=6,V$50=1),N(INDEX(MinFrei,MATCH(5,ArbeitNr,0))),N(INDEX(MinWerktag,MATCH(5,ArbeitNr,0)))))</f>
      </c>
      <c r="W90" s="1">
        <f>IF($AM42="","",IF(OR(W$51&gt;=6,W$50=1),N(INDEX(MinFrei,MATCH(5,ArbeitNr,0))),N(INDEX(MinWerktag,MATCH(5,ArbeitNr,0)))))</f>
      </c>
      <c r="X90" s="1">
        <f>IF($AM42="","",IF(OR(X$51&gt;=6,X$50=1),N(INDEX(MinFrei,MATCH(5,ArbeitNr,0))),N(INDEX(MinWerktag,MATCH(5,ArbeitNr,0)))))</f>
      </c>
      <c r="Y90" s="1">
        <f>IF($AM42="","",IF(OR(Y$51&gt;=6,Y$50=1),N(INDEX(MinFrei,MATCH(5,ArbeitNr,0))),N(INDEX(MinWerktag,MATCH(5,ArbeitNr,0)))))</f>
      </c>
      <c r="Z90" s="1">
        <f>IF($AM42="","",IF(OR(Z$51&gt;=6,Z$50=1),N(INDEX(MinFrei,MATCH(5,ArbeitNr,0))),N(INDEX(MinWerktag,MATCH(5,ArbeitNr,0)))))</f>
      </c>
      <c r="AA90" s="1">
        <f>IF($AM42="","",IF(OR(AA$51&gt;=6,AA$50=1),N(INDEX(MinFrei,MATCH(5,ArbeitNr,0))),N(INDEX(MinWerktag,MATCH(5,ArbeitNr,0)))))</f>
      </c>
      <c r="AB90" s="1">
        <f>IF($AM42="","",IF(OR(AB$51&gt;=6,AB$50=1),N(INDEX(MinFrei,MATCH(5,ArbeitNr,0))),N(INDEX(MinWerktag,MATCH(5,ArbeitNr,0)))))</f>
      </c>
      <c r="AC90" s="1">
        <f>IF($AM42="","",IF(OR(AC$51&gt;=6,AC$50=1),N(INDEX(MinFrei,MATCH(5,ArbeitNr,0))),N(INDEX(MinWerktag,MATCH(5,ArbeitNr,0)))))</f>
      </c>
      <c r="AD90" s="1">
        <f>IF($AM42="","",IF(OR(AD$51&gt;=6,AD$50=1),N(INDEX(MinFrei,MATCH(5,ArbeitNr,0))),N(INDEX(MinWerktag,MATCH(5,ArbeitNr,0)))))</f>
      </c>
      <c r="AE90" s="1">
        <f>IF($AM42="","",IF(OR(AE$51&gt;=6,AE$50=1),N(INDEX(MinFrei,MATCH(5,ArbeitNr,0))),N(INDEX(MinWerktag,MATCH(5,ArbeitNr,0)))))</f>
      </c>
      <c r="AF90" s="1">
        <f>IF($AM42="","",IF(OR(AF$51&gt;=6,AF$50=1),N(INDEX(MinFrei,MATCH(5,ArbeitNr,0))),N(INDEX(MinWerktag,MATCH(5,ArbeitNr,0)))))</f>
      </c>
    </row>
    <row r="91" hidden="1" spans="1:32" x14ac:dyDescent="0.25">
      <c r="A91" s="1"/>
      <c r="B91" s="1">
        <f>IF($AM43="","",IF(OR(B$51&gt;=6,B$50=1),N(INDEX(MinFrei,MATCH(6,ArbeitNr,0))),N(INDEX(MinWerktag,MATCH(6,ArbeitNr,0)))))</f>
      </c>
      <c r="C91" s="1">
        <f>IF($AM43="","",IF(OR(C$51&gt;=6,C$50=1),N(INDEX(MinFrei,MATCH(6,ArbeitNr,0))),N(INDEX(MinWerktag,MATCH(6,ArbeitNr,0)))))</f>
      </c>
      <c r="D91" s="1">
        <f>IF($AM43="","",IF(OR(D$51&gt;=6,D$50=1),N(INDEX(MinFrei,MATCH(6,ArbeitNr,0))),N(INDEX(MinWerktag,MATCH(6,ArbeitNr,0)))))</f>
      </c>
      <c r="E91" s="1">
        <f>IF($AM43="","",IF(OR(E$51&gt;=6,E$50=1),N(INDEX(MinFrei,MATCH(6,ArbeitNr,0))),N(INDEX(MinWerktag,MATCH(6,ArbeitNr,0)))))</f>
      </c>
      <c r="F91" s="1">
        <f>IF($AM43="","",IF(OR(F$51&gt;=6,F$50=1),N(INDEX(MinFrei,MATCH(6,ArbeitNr,0))),N(INDEX(MinWerktag,MATCH(6,ArbeitNr,0)))))</f>
      </c>
      <c r="G91" s="1">
        <f>IF($AM43="","",IF(OR(G$51&gt;=6,G$50=1),N(INDEX(MinFrei,MATCH(6,ArbeitNr,0))),N(INDEX(MinWerktag,MATCH(6,ArbeitNr,0)))))</f>
      </c>
      <c r="H91" s="1">
        <f>IF($AM43="","",IF(OR(H$51&gt;=6,H$50=1),N(INDEX(MinFrei,MATCH(6,ArbeitNr,0))),N(INDEX(MinWerktag,MATCH(6,ArbeitNr,0)))))</f>
      </c>
      <c r="I91" s="1">
        <f>IF($AM43="","",IF(OR(I$51&gt;=6,I$50=1),N(INDEX(MinFrei,MATCH(6,ArbeitNr,0))),N(INDEX(MinWerktag,MATCH(6,ArbeitNr,0)))))</f>
      </c>
      <c r="J91" s="1">
        <f>IF($AM43="","",IF(OR(J$51&gt;=6,J$50=1),N(INDEX(MinFrei,MATCH(6,ArbeitNr,0))),N(INDEX(MinWerktag,MATCH(6,ArbeitNr,0)))))</f>
      </c>
      <c r="K91" s="1">
        <f>IF($AM43="","",IF(OR(K$51&gt;=6,K$50=1),N(INDEX(MinFrei,MATCH(6,ArbeitNr,0))),N(INDEX(MinWerktag,MATCH(6,ArbeitNr,0)))))</f>
      </c>
      <c r="L91" s="1">
        <f>IF($AM43="","",IF(OR(L$51&gt;=6,L$50=1),N(INDEX(MinFrei,MATCH(6,ArbeitNr,0))),N(INDEX(MinWerktag,MATCH(6,ArbeitNr,0)))))</f>
      </c>
      <c r="M91" s="1">
        <f>IF($AM43="","",IF(OR(M$51&gt;=6,M$50=1),N(INDEX(MinFrei,MATCH(6,ArbeitNr,0))),N(INDEX(MinWerktag,MATCH(6,ArbeitNr,0)))))</f>
      </c>
      <c r="N91" s="1">
        <f>IF($AM43="","",IF(OR(N$51&gt;=6,N$50=1),N(INDEX(MinFrei,MATCH(6,ArbeitNr,0))),N(INDEX(MinWerktag,MATCH(6,ArbeitNr,0)))))</f>
      </c>
      <c r="O91" s="1">
        <f>IF($AM43="","",IF(OR(O$51&gt;=6,O$50=1),N(INDEX(MinFrei,MATCH(6,ArbeitNr,0))),N(INDEX(MinWerktag,MATCH(6,ArbeitNr,0)))))</f>
      </c>
      <c r="P91" s="1">
        <f>IF($AM43="","",IF(OR(P$51&gt;=6,P$50=1),N(INDEX(MinFrei,MATCH(6,ArbeitNr,0))),N(INDEX(MinWerktag,MATCH(6,ArbeitNr,0)))))</f>
      </c>
      <c r="Q91" s="1">
        <f>IF($AM43="","",IF(OR(Q$51&gt;=6,Q$50=1),N(INDEX(MinFrei,MATCH(6,ArbeitNr,0))),N(INDEX(MinWerktag,MATCH(6,ArbeitNr,0)))))</f>
      </c>
      <c r="R91" s="1">
        <f>IF($AM43="","",IF(OR(R$51&gt;=6,R$50=1),N(INDEX(MinFrei,MATCH(6,ArbeitNr,0))),N(INDEX(MinWerktag,MATCH(6,ArbeitNr,0)))))</f>
      </c>
      <c r="S91" s="1">
        <f>IF($AM43="","",IF(OR(S$51&gt;=6,S$50=1),N(INDEX(MinFrei,MATCH(6,ArbeitNr,0))),N(INDEX(MinWerktag,MATCH(6,ArbeitNr,0)))))</f>
      </c>
      <c r="T91" s="1">
        <f>IF($AM43="","",IF(OR(T$51&gt;=6,T$50=1),N(INDEX(MinFrei,MATCH(6,ArbeitNr,0))),N(INDEX(MinWerktag,MATCH(6,ArbeitNr,0)))))</f>
      </c>
      <c r="U91" s="1">
        <f>IF($AM43="","",IF(OR(U$51&gt;=6,U$50=1),N(INDEX(MinFrei,MATCH(6,ArbeitNr,0))),N(INDEX(MinWerktag,MATCH(6,ArbeitNr,0)))))</f>
      </c>
      <c r="V91" s="1">
        <f>IF($AM43="","",IF(OR(V$51&gt;=6,V$50=1),N(INDEX(MinFrei,MATCH(6,ArbeitNr,0))),N(INDEX(MinWerktag,MATCH(6,ArbeitNr,0)))))</f>
      </c>
      <c r="W91" s="1">
        <f>IF($AM43="","",IF(OR(W$51&gt;=6,W$50=1),N(INDEX(MinFrei,MATCH(6,ArbeitNr,0))),N(INDEX(MinWerktag,MATCH(6,ArbeitNr,0)))))</f>
      </c>
      <c r="X91" s="1">
        <f>IF($AM43="","",IF(OR(X$51&gt;=6,X$50=1),N(INDEX(MinFrei,MATCH(6,ArbeitNr,0))),N(INDEX(MinWerktag,MATCH(6,ArbeitNr,0)))))</f>
      </c>
      <c r="Y91" s="1">
        <f>IF($AM43="","",IF(OR(Y$51&gt;=6,Y$50=1),N(INDEX(MinFrei,MATCH(6,ArbeitNr,0))),N(INDEX(MinWerktag,MATCH(6,ArbeitNr,0)))))</f>
      </c>
      <c r="Z91" s="1">
        <f>IF($AM43="","",IF(OR(Z$51&gt;=6,Z$50=1),N(INDEX(MinFrei,MATCH(6,ArbeitNr,0))),N(INDEX(MinWerktag,MATCH(6,ArbeitNr,0)))))</f>
      </c>
      <c r="AA91" s="1">
        <f>IF($AM43="","",IF(OR(AA$51&gt;=6,AA$50=1),N(INDEX(MinFrei,MATCH(6,ArbeitNr,0))),N(INDEX(MinWerktag,MATCH(6,ArbeitNr,0)))))</f>
      </c>
      <c r="AB91" s="1">
        <f>IF($AM43="","",IF(OR(AB$51&gt;=6,AB$50=1),N(INDEX(MinFrei,MATCH(6,ArbeitNr,0))),N(INDEX(MinWerktag,MATCH(6,ArbeitNr,0)))))</f>
      </c>
      <c r="AC91" s="1">
        <f>IF($AM43="","",IF(OR(AC$51&gt;=6,AC$50=1),N(INDEX(MinFrei,MATCH(6,ArbeitNr,0))),N(INDEX(MinWerktag,MATCH(6,ArbeitNr,0)))))</f>
      </c>
      <c r="AD91" s="1">
        <f>IF($AM43="","",IF(OR(AD$51&gt;=6,AD$50=1),N(INDEX(MinFrei,MATCH(6,ArbeitNr,0))),N(INDEX(MinWerktag,MATCH(6,ArbeitNr,0)))))</f>
      </c>
      <c r="AE91" s="1">
        <f>IF($AM43="","",IF(OR(AE$51&gt;=6,AE$50=1),N(INDEX(MinFrei,MATCH(6,ArbeitNr,0))),N(INDEX(MinWerktag,MATCH(6,ArbeitNr,0)))))</f>
      </c>
      <c r="AF91" s="1">
        <f>IF($AM43="","",IF(OR(AF$51&gt;=6,AF$50=1),N(INDEX(MinFrei,MATCH(6,ArbeitNr,0))),N(INDEX(MinWerktag,MATCH(6,ArbeitNr,0)))))</f>
      </c>
    </row>
    <row r="92" hidden="1" spans="1:32" x14ac:dyDescent="0.25">
      <c r="A92" s="1"/>
      <c r="B92" s="1">
        <f>IF($AM44="","",IF(OR(B$51&gt;=6,B$50=1),N(INDEX(MinFrei,MATCH(7,ArbeitNr,0))),N(INDEX(MinWerktag,MATCH(7,ArbeitNr,0)))))</f>
      </c>
      <c r="C92" s="1">
        <f>IF($AM44="","",IF(OR(C$51&gt;=6,C$50=1),N(INDEX(MinFrei,MATCH(7,ArbeitNr,0))),N(INDEX(MinWerktag,MATCH(7,ArbeitNr,0)))))</f>
      </c>
      <c r="D92" s="1">
        <f>IF($AM44="","",IF(OR(D$51&gt;=6,D$50=1),N(INDEX(MinFrei,MATCH(7,ArbeitNr,0))),N(INDEX(MinWerktag,MATCH(7,ArbeitNr,0)))))</f>
      </c>
      <c r="E92" s="1">
        <f>IF($AM44="","",IF(OR(E$51&gt;=6,E$50=1),N(INDEX(MinFrei,MATCH(7,ArbeitNr,0))),N(INDEX(MinWerktag,MATCH(7,ArbeitNr,0)))))</f>
      </c>
      <c r="F92" s="1">
        <f>IF($AM44="","",IF(OR(F$51&gt;=6,F$50=1),N(INDEX(MinFrei,MATCH(7,ArbeitNr,0))),N(INDEX(MinWerktag,MATCH(7,ArbeitNr,0)))))</f>
      </c>
      <c r="G92" s="1">
        <f>IF($AM44="","",IF(OR(G$51&gt;=6,G$50=1),N(INDEX(MinFrei,MATCH(7,ArbeitNr,0))),N(INDEX(MinWerktag,MATCH(7,ArbeitNr,0)))))</f>
      </c>
      <c r="H92" s="1">
        <f>IF($AM44="","",IF(OR(H$51&gt;=6,H$50=1),N(INDEX(MinFrei,MATCH(7,ArbeitNr,0))),N(INDEX(MinWerktag,MATCH(7,ArbeitNr,0)))))</f>
      </c>
      <c r="I92" s="1">
        <f>IF($AM44="","",IF(OR(I$51&gt;=6,I$50=1),N(INDEX(MinFrei,MATCH(7,ArbeitNr,0))),N(INDEX(MinWerktag,MATCH(7,ArbeitNr,0)))))</f>
      </c>
      <c r="J92" s="1">
        <f>IF($AM44="","",IF(OR(J$51&gt;=6,J$50=1),N(INDEX(MinFrei,MATCH(7,ArbeitNr,0))),N(INDEX(MinWerktag,MATCH(7,ArbeitNr,0)))))</f>
      </c>
      <c r="K92" s="1">
        <f>IF($AM44="","",IF(OR(K$51&gt;=6,K$50=1),N(INDEX(MinFrei,MATCH(7,ArbeitNr,0))),N(INDEX(MinWerktag,MATCH(7,ArbeitNr,0)))))</f>
      </c>
      <c r="L92" s="1">
        <f>IF($AM44="","",IF(OR(L$51&gt;=6,L$50=1),N(INDEX(MinFrei,MATCH(7,ArbeitNr,0))),N(INDEX(MinWerktag,MATCH(7,ArbeitNr,0)))))</f>
      </c>
      <c r="M92" s="1">
        <f>IF($AM44="","",IF(OR(M$51&gt;=6,M$50=1),N(INDEX(MinFrei,MATCH(7,ArbeitNr,0))),N(INDEX(MinWerktag,MATCH(7,ArbeitNr,0)))))</f>
      </c>
      <c r="N92" s="1">
        <f>IF($AM44="","",IF(OR(N$51&gt;=6,N$50=1),N(INDEX(MinFrei,MATCH(7,ArbeitNr,0))),N(INDEX(MinWerktag,MATCH(7,ArbeitNr,0)))))</f>
      </c>
      <c r="O92" s="1">
        <f>IF($AM44="","",IF(OR(O$51&gt;=6,O$50=1),N(INDEX(MinFrei,MATCH(7,ArbeitNr,0))),N(INDEX(MinWerktag,MATCH(7,ArbeitNr,0)))))</f>
      </c>
      <c r="P92" s="1">
        <f>IF($AM44="","",IF(OR(P$51&gt;=6,P$50=1),N(INDEX(MinFrei,MATCH(7,ArbeitNr,0))),N(INDEX(MinWerktag,MATCH(7,ArbeitNr,0)))))</f>
      </c>
      <c r="Q92" s="1">
        <f>IF($AM44="","",IF(OR(Q$51&gt;=6,Q$50=1),N(INDEX(MinFrei,MATCH(7,ArbeitNr,0))),N(INDEX(MinWerktag,MATCH(7,ArbeitNr,0)))))</f>
      </c>
      <c r="R92" s="1">
        <f>IF($AM44="","",IF(OR(R$51&gt;=6,R$50=1),N(INDEX(MinFrei,MATCH(7,ArbeitNr,0))),N(INDEX(MinWerktag,MATCH(7,ArbeitNr,0)))))</f>
      </c>
      <c r="S92" s="1">
        <f>IF($AM44="","",IF(OR(S$51&gt;=6,S$50=1),N(INDEX(MinFrei,MATCH(7,ArbeitNr,0))),N(INDEX(MinWerktag,MATCH(7,ArbeitNr,0)))))</f>
      </c>
      <c r="T92" s="1">
        <f>IF($AM44="","",IF(OR(T$51&gt;=6,T$50=1),N(INDEX(MinFrei,MATCH(7,ArbeitNr,0))),N(INDEX(MinWerktag,MATCH(7,ArbeitNr,0)))))</f>
      </c>
      <c r="U92" s="1">
        <f>IF($AM44="","",IF(OR(U$51&gt;=6,U$50=1),N(INDEX(MinFrei,MATCH(7,ArbeitNr,0))),N(INDEX(MinWerktag,MATCH(7,ArbeitNr,0)))))</f>
      </c>
      <c r="V92" s="1">
        <f>IF($AM44="","",IF(OR(V$51&gt;=6,V$50=1),N(INDEX(MinFrei,MATCH(7,ArbeitNr,0))),N(INDEX(MinWerktag,MATCH(7,ArbeitNr,0)))))</f>
      </c>
      <c r="W92" s="1">
        <f>IF($AM44="","",IF(OR(W$51&gt;=6,W$50=1),N(INDEX(MinFrei,MATCH(7,ArbeitNr,0))),N(INDEX(MinWerktag,MATCH(7,ArbeitNr,0)))))</f>
      </c>
      <c r="X92" s="1">
        <f>IF($AM44="","",IF(OR(X$51&gt;=6,X$50=1),N(INDEX(MinFrei,MATCH(7,ArbeitNr,0))),N(INDEX(MinWerktag,MATCH(7,ArbeitNr,0)))))</f>
      </c>
      <c r="Y92" s="1">
        <f>IF($AM44="","",IF(OR(Y$51&gt;=6,Y$50=1),N(INDEX(MinFrei,MATCH(7,ArbeitNr,0))),N(INDEX(MinWerktag,MATCH(7,ArbeitNr,0)))))</f>
      </c>
      <c r="Z92" s="1">
        <f>IF($AM44="","",IF(OR(Z$51&gt;=6,Z$50=1),N(INDEX(MinFrei,MATCH(7,ArbeitNr,0))),N(INDEX(MinWerktag,MATCH(7,ArbeitNr,0)))))</f>
      </c>
      <c r="AA92" s="1">
        <f>IF($AM44="","",IF(OR(AA$51&gt;=6,AA$50=1),N(INDEX(MinFrei,MATCH(7,ArbeitNr,0))),N(INDEX(MinWerktag,MATCH(7,ArbeitNr,0)))))</f>
      </c>
      <c r="AB92" s="1">
        <f>IF($AM44="","",IF(OR(AB$51&gt;=6,AB$50=1),N(INDEX(MinFrei,MATCH(7,ArbeitNr,0))),N(INDEX(MinWerktag,MATCH(7,ArbeitNr,0)))))</f>
      </c>
      <c r="AC92" s="1">
        <f>IF($AM44="","",IF(OR(AC$51&gt;=6,AC$50=1),N(INDEX(MinFrei,MATCH(7,ArbeitNr,0))),N(INDEX(MinWerktag,MATCH(7,ArbeitNr,0)))))</f>
      </c>
      <c r="AD92" s="1">
        <f>IF($AM44="","",IF(OR(AD$51&gt;=6,AD$50=1),N(INDEX(MinFrei,MATCH(7,ArbeitNr,0))),N(INDEX(MinWerktag,MATCH(7,ArbeitNr,0)))))</f>
      </c>
      <c r="AE92" s="1">
        <f>IF($AM44="","",IF(OR(AE$51&gt;=6,AE$50=1),N(INDEX(MinFrei,MATCH(7,ArbeitNr,0))),N(INDEX(MinWerktag,MATCH(7,ArbeitNr,0)))))</f>
      </c>
      <c r="AF92" s="1">
        <f>IF($AM44="","",IF(OR(AF$51&gt;=6,AF$50=1),N(INDEX(MinFrei,MATCH(7,ArbeitNr,0))),N(INDEX(MinWerktag,MATCH(7,ArbeitNr,0)))))</f>
      </c>
    </row>
    <row r="93" hidden="1" spans="1:32" x14ac:dyDescent="0.25">
      <c r="A93" s="1"/>
      <c r="B93" s="1">
        <f>IF($AM45="","",IF(OR(B$51&gt;=6,B$50=1),N(INDEX(MinFrei,MATCH(8,ArbeitNr,0))),N(INDEX(MinWerktag,MATCH(8,ArbeitNr,0)))))</f>
      </c>
      <c r="C93" s="1">
        <f>IF($AM45="","",IF(OR(C$51&gt;=6,C$50=1),N(INDEX(MinFrei,MATCH(8,ArbeitNr,0))),N(INDEX(MinWerktag,MATCH(8,ArbeitNr,0)))))</f>
      </c>
      <c r="D93" s="1">
        <f>IF($AM45="","",IF(OR(D$51&gt;=6,D$50=1),N(INDEX(MinFrei,MATCH(8,ArbeitNr,0))),N(INDEX(MinWerktag,MATCH(8,ArbeitNr,0)))))</f>
      </c>
      <c r="E93" s="1">
        <f>IF($AM45="","",IF(OR(E$51&gt;=6,E$50=1),N(INDEX(MinFrei,MATCH(8,ArbeitNr,0))),N(INDEX(MinWerktag,MATCH(8,ArbeitNr,0)))))</f>
      </c>
      <c r="F93" s="1">
        <f>IF($AM45="","",IF(OR(F$51&gt;=6,F$50=1),N(INDEX(MinFrei,MATCH(8,ArbeitNr,0))),N(INDEX(MinWerktag,MATCH(8,ArbeitNr,0)))))</f>
      </c>
      <c r="G93" s="1">
        <f>IF($AM45="","",IF(OR(G$51&gt;=6,G$50=1),N(INDEX(MinFrei,MATCH(8,ArbeitNr,0))),N(INDEX(MinWerktag,MATCH(8,ArbeitNr,0)))))</f>
      </c>
      <c r="H93" s="1">
        <f>IF($AM45="","",IF(OR(H$51&gt;=6,H$50=1),N(INDEX(MinFrei,MATCH(8,ArbeitNr,0))),N(INDEX(MinWerktag,MATCH(8,ArbeitNr,0)))))</f>
      </c>
      <c r="I93" s="1">
        <f>IF($AM45="","",IF(OR(I$51&gt;=6,I$50=1),N(INDEX(MinFrei,MATCH(8,ArbeitNr,0))),N(INDEX(MinWerktag,MATCH(8,ArbeitNr,0)))))</f>
      </c>
      <c r="J93" s="1">
        <f>IF($AM45="","",IF(OR(J$51&gt;=6,J$50=1),N(INDEX(MinFrei,MATCH(8,ArbeitNr,0))),N(INDEX(MinWerktag,MATCH(8,ArbeitNr,0)))))</f>
      </c>
      <c r="K93" s="1">
        <f>IF($AM45="","",IF(OR(K$51&gt;=6,K$50=1),N(INDEX(MinFrei,MATCH(8,ArbeitNr,0))),N(INDEX(MinWerktag,MATCH(8,ArbeitNr,0)))))</f>
      </c>
      <c r="L93" s="1">
        <f>IF($AM45="","",IF(OR(L$51&gt;=6,L$50=1),N(INDEX(MinFrei,MATCH(8,ArbeitNr,0))),N(INDEX(MinWerktag,MATCH(8,ArbeitNr,0)))))</f>
      </c>
      <c r="M93" s="1">
        <f>IF($AM45="","",IF(OR(M$51&gt;=6,M$50=1),N(INDEX(MinFrei,MATCH(8,ArbeitNr,0))),N(INDEX(MinWerktag,MATCH(8,ArbeitNr,0)))))</f>
      </c>
      <c r="N93" s="1">
        <f>IF($AM45="","",IF(OR(N$51&gt;=6,N$50=1),N(INDEX(MinFrei,MATCH(8,ArbeitNr,0))),N(INDEX(MinWerktag,MATCH(8,ArbeitNr,0)))))</f>
      </c>
      <c r="O93" s="1">
        <f>IF($AM45="","",IF(OR(O$51&gt;=6,O$50=1),N(INDEX(MinFrei,MATCH(8,ArbeitNr,0))),N(INDEX(MinWerktag,MATCH(8,ArbeitNr,0)))))</f>
      </c>
      <c r="P93" s="1">
        <f>IF($AM45="","",IF(OR(P$51&gt;=6,P$50=1),N(INDEX(MinFrei,MATCH(8,ArbeitNr,0))),N(INDEX(MinWerktag,MATCH(8,ArbeitNr,0)))))</f>
      </c>
      <c r="Q93" s="1">
        <f>IF($AM45="","",IF(OR(Q$51&gt;=6,Q$50=1),N(INDEX(MinFrei,MATCH(8,ArbeitNr,0))),N(INDEX(MinWerktag,MATCH(8,ArbeitNr,0)))))</f>
      </c>
      <c r="R93" s="1">
        <f>IF($AM45="","",IF(OR(R$51&gt;=6,R$50=1),N(INDEX(MinFrei,MATCH(8,ArbeitNr,0))),N(INDEX(MinWerktag,MATCH(8,ArbeitNr,0)))))</f>
      </c>
      <c r="S93" s="1">
        <f>IF($AM45="","",IF(OR(S$51&gt;=6,S$50=1),N(INDEX(MinFrei,MATCH(8,ArbeitNr,0))),N(INDEX(MinWerktag,MATCH(8,ArbeitNr,0)))))</f>
      </c>
      <c r="T93" s="1">
        <f>IF($AM45="","",IF(OR(T$51&gt;=6,T$50=1),N(INDEX(MinFrei,MATCH(8,ArbeitNr,0))),N(INDEX(MinWerktag,MATCH(8,ArbeitNr,0)))))</f>
      </c>
      <c r="U93" s="1">
        <f>IF($AM45="","",IF(OR(U$51&gt;=6,U$50=1),N(INDEX(MinFrei,MATCH(8,ArbeitNr,0))),N(INDEX(MinWerktag,MATCH(8,ArbeitNr,0)))))</f>
      </c>
      <c r="V93" s="1">
        <f>IF($AM45="","",IF(OR(V$51&gt;=6,V$50=1),N(INDEX(MinFrei,MATCH(8,ArbeitNr,0))),N(INDEX(MinWerktag,MATCH(8,ArbeitNr,0)))))</f>
      </c>
      <c r="W93" s="1">
        <f>IF($AM45="","",IF(OR(W$51&gt;=6,W$50=1),N(INDEX(MinFrei,MATCH(8,ArbeitNr,0))),N(INDEX(MinWerktag,MATCH(8,ArbeitNr,0)))))</f>
      </c>
      <c r="X93" s="1">
        <f>IF($AM45="","",IF(OR(X$51&gt;=6,X$50=1),N(INDEX(MinFrei,MATCH(8,ArbeitNr,0))),N(INDEX(MinWerktag,MATCH(8,ArbeitNr,0)))))</f>
      </c>
      <c r="Y93" s="1">
        <f>IF($AM45="","",IF(OR(Y$51&gt;=6,Y$50=1),N(INDEX(MinFrei,MATCH(8,ArbeitNr,0))),N(INDEX(MinWerktag,MATCH(8,ArbeitNr,0)))))</f>
      </c>
      <c r="Z93" s="1">
        <f>IF($AM45="","",IF(OR(Z$51&gt;=6,Z$50=1),N(INDEX(MinFrei,MATCH(8,ArbeitNr,0))),N(INDEX(MinWerktag,MATCH(8,ArbeitNr,0)))))</f>
      </c>
      <c r="AA93" s="1">
        <f>IF($AM45="","",IF(OR(AA$51&gt;=6,AA$50=1),N(INDEX(MinFrei,MATCH(8,ArbeitNr,0))),N(INDEX(MinWerktag,MATCH(8,ArbeitNr,0)))))</f>
      </c>
      <c r="AB93" s="1">
        <f>IF($AM45="","",IF(OR(AB$51&gt;=6,AB$50=1),N(INDEX(MinFrei,MATCH(8,ArbeitNr,0))),N(INDEX(MinWerktag,MATCH(8,ArbeitNr,0)))))</f>
      </c>
      <c r="AC93" s="1">
        <f>IF($AM45="","",IF(OR(AC$51&gt;=6,AC$50=1),N(INDEX(MinFrei,MATCH(8,ArbeitNr,0))),N(INDEX(MinWerktag,MATCH(8,ArbeitNr,0)))))</f>
      </c>
      <c r="AD93" s="1">
        <f>IF($AM45="","",IF(OR(AD$51&gt;=6,AD$50=1),N(INDEX(MinFrei,MATCH(8,ArbeitNr,0))),N(INDEX(MinWerktag,MATCH(8,ArbeitNr,0)))))</f>
      </c>
      <c r="AE93" s="1">
        <f>IF($AM45="","",IF(OR(AE$51&gt;=6,AE$50=1),N(INDEX(MinFrei,MATCH(8,ArbeitNr,0))),N(INDEX(MinWerktag,MATCH(8,ArbeitNr,0)))))</f>
      </c>
      <c r="AF93" s="1">
        <f>IF($AM45="","",IF(OR(AF$51&gt;=6,AF$50=1),N(INDEX(MinFrei,MATCH(8,ArbeitNr,0))),N(INDEX(MinWerktag,MATCH(8,ArbeitNr,0)))))</f>
      </c>
    </row>
  </sheetData>
  <sheetProtection sheet="1" formatCells="0" formatColumns="0" formatRows="0"/>
  <mergeCells count="1">
    <mergeCell ref="B48:U48"/>
  </mergeCells>
  <conditionalFormatting sqref="B6:AF35">
    <cfRule type="expression" dxfId="0" priority="1">
      <formula>B$52=0</formula>
    </cfRule>
    <cfRule type="expression" dxfId="1" priority="2">
      <formula>B55=1</formula>
    </cfRule>
    <cfRule type="expression" dxfId="2" priority="3">
      <formula>AND(B6&lt;&gt;"",UPPER(B6)=UPPER(Einstellungen!$A$9))</formula>
    </cfRule>
    <cfRule type="expression" dxfId="3" priority="4">
      <formula>AND(B6&lt;&gt;"",UPPER(B6)=UPPER(Einstellungen!$A$10))</formula>
    </cfRule>
    <cfRule type="expression" dxfId="4" priority="5">
      <formula>AND(B6&lt;&gt;"",UPPER(B6)=UPPER(Einstellungen!$A$11))</formula>
    </cfRule>
    <cfRule type="expression" dxfId="5" priority="6">
      <formula>AND(B6&lt;&gt;"",UPPER(B6)=UPPER(Einstellungen!$A$12))</formula>
    </cfRule>
    <cfRule type="expression" dxfId="6" priority="7">
      <formula>AND(B6&lt;&gt;"",UPPER(B6)=UPPER(Einstellungen!$A$13))</formula>
    </cfRule>
    <cfRule type="expression" dxfId="7" priority="8">
      <formula>AND(B6&lt;&gt;"",UPPER(B6)=UPPER(Einstellungen!$A$14))</formula>
    </cfRule>
    <cfRule type="expression" dxfId="8" priority="9">
      <formula>AND(B6&lt;&gt;"",UPPER(B6)=UPPER(Einstellungen!$A$15))</formula>
    </cfRule>
    <cfRule type="expression" dxfId="9" priority="10">
      <formula>AND(B6&lt;&gt;"",UPPER(B6)=UPPER(Einstellungen!$A$16))</formula>
    </cfRule>
    <cfRule type="expression" dxfId="10" priority="11">
      <formula>AND(B6&lt;&gt;"",UPPER(B6)=UPPER(Einstellungen!$A$17))</formula>
    </cfRule>
    <cfRule type="expression" dxfId="11" priority="12">
      <formula>AND(B6&lt;&gt;"",UPPER(B6)=UPPER(Einstellungen!$A$18))</formula>
    </cfRule>
    <cfRule type="expression" dxfId="12" priority="13">
      <formula>AND(B6&lt;&gt;"",UPPER(B6)=UPPER(Einstellungen!$A$19))</formula>
    </cfRule>
    <cfRule type="expression" dxfId="13" priority="14">
      <formula>AND(B6&lt;&gt;"",UPPER(B6)=UPPER(Einstellungen!$A$20))</formula>
    </cfRule>
    <cfRule type="expression" dxfId="14" priority="20">
      <formula>B$50=1</formula>
    </cfRule>
    <cfRule type="expression" dxfId="15" priority="21">
      <formula>B$51&gt;=6</formula>
    </cfRule>
  </conditionalFormatting>
  <conditionalFormatting sqref="B4:AF5">
    <cfRule type="expression" dxfId="16" priority="22">
      <formula>B$52=0</formula>
    </cfRule>
    <cfRule type="expression" dxfId="17" priority="23">
      <formula>B$50=1</formula>
    </cfRule>
    <cfRule type="expression" dxfId="18" priority="24">
      <formula>B$51&gt;=6</formula>
    </cfRule>
  </conditionalFormatting>
  <conditionalFormatting sqref="B38:AF45">
    <cfRule type="expression" dxfId="19" priority="25">
      <formula>AND(B38&lt;&gt;"",N(B38)&lt;N(B86))</formula>
    </cfRule>
  </conditionalFormatting>
  <dataValidations count="4">
    <dataValidation type="list" allowBlank="1" showErrorMessage="1" errorTitle="Schicht" error="Bitte ein Kürzel aus den Einstellungen wählen (z. B. F, S, N, U, K)." sqref="AA10:AF35">
      <formula1>Codes</formula1>
    </dataValidation>
    <dataValidation type="list" allowBlank="1" showErrorMessage="1" errorTitle="Schicht" error="Bitte ein Kürzel aus den Einstellungen wählen (z. B. F, S, N, U, K)." sqref="AA6:AF35">
      <formula1>Codes</formula1>
    </dataValidation>
    <dataValidation type="list" allowBlank="1" showErrorMessage="1" errorTitle="Schicht" error="Bitte ein Kürzel aus den Einstellungen wählen (z. B. F, S, N, U, K)." sqref="B10:AF35">
      <formula1>Codes</formula1>
    </dataValidation>
    <dataValidation type="list" allowBlank="1" showErrorMessage="1" errorTitle="Schicht" error="Bitte ein Kürzel aus den Einstellungen wählen (z. B. F, S, N, U, K)." sqref="B6:AF35">
      <formula1>Codes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93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32" width="4.2" customWidth="1"/>
    <col min="36" max="37" width="7" customWidth="1"/>
    <col min="38" max="38" width="30" customWidth="1"/>
    <col min="39" max="39" width="9" hidden="1" customWidth="1"/>
  </cols>
  <sheetData>
    <row r="1" spans="1:1" x14ac:dyDescent="0.25">
      <c r="A1" s="5">
        <f>"Dienstplan Februar "&amp;Jahr&amp;IF(Team="",""," · "&amp;Team)</f>
      </c>
    </row>
    <row r="2" spans="1:1" x14ac:dyDescent="0.25">
      <c r="A2" s="7">
        <f>IF(Bundesland="","Bitte in den Einstellungen das Bundesland wählen, damit die Feiertage stimmen.","Feiertage: "&amp;Bundesland)</f>
      </c>
    </row>
    <row r="3" spans="1:1" x14ac:dyDescent="0.25">
      <c r="A3" s="30">
        <f>Legende</f>
      </c>
    </row>
    <row r="4" spans="1:32" x14ac:dyDescent="0.25">
      <c r="A4" s="1"/>
      <c r="B4" s="31">
        <f>IF(B$5="","",CHOOSE(WEEKDAY(B$5,2),"Mo","Di","Mi","Do","Fr","Sa","So"))</f>
      </c>
      <c r="C4" s="31">
        <f>IF(C$5="","",CHOOSE(WEEKDAY(C$5,2),"Mo","Di","Mi","Do","Fr","Sa","So"))</f>
      </c>
      <c r="D4" s="31">
        <f>IF(D$5="","",CHOOSE(WEEKDAY(D$5,2),"Mo","Di","Mi","Do","Fr","Sa","So"))</f>
      </c>
      <c r="E4" s="31">
        <f>IF(E$5="","",CHOOSE(WEEKDAY(E$5,2),"Mo","Di","Mi","Do","Fr","Sa","So"))</f>
      </c>
      <c r="F4" s="31">
        <f>IF(F$5="","",CHOOSE(WEEKDAY(F$5,2),"Mo","Di","Mi","Do","Fr","Sa","So"))</f>
      </c>
      <c r="G4" s="31">
        <f>IF(G$5="","",CHOOSE(WEEKDAY(G$5,2),"Mo","Di","Mi","Do","Fr","Sa","So"))</f>
      </c>
      <c r="H4" s="31">
        <f>IF(H$5="","",CHOOSE(WEEKDAY(H$5,2),"Mo","Di","Mi","Do","Fr","Sa","So"))</f>
      </c>
      <c r="I4" s="31">
        <f>IF(I$5="","",CHOOSE(WEEKDAY(I$5,2),"Mo","Di","Mi","Do","Fr","Sa","So"))</f>
      </c>
      <c r="J4" s="31">
        <f>IF(J$5="","",CHOOSE(WEEKDAY(J$5,2),"Mo","Di","Mi","Do","Fr","Sa","So"))</f>
      </c>
      <c r="K4" s="31">
        <f>IF(K$5="","",CHOOSE(WEEKDAY(K$5,2),"Mo","Di","Mi","Do","Fr","Sa","So"))</f>
      </c>
      <c r="L4" s="31">
        <f>IF(L$5="","",CHOOSE(WEEKDAY(L$5,2),"Mo","Di","Mi","Do","Fr","Sa","So"))</f>
      </c>
      <c r="M4" s="31">
        <f>IF(M$5="","",CHOOSE(WEEKDAY(M$5,2),"Mo","Di","Mi","Do","Fr","Sa","So"))</f>
      </c>
      <c r="N4" s="31">
        <f>IF(N$5="","",CHOOSE(WEEKDAY(N$5,2),"Mo","Di","Mi","Do","Fr","Sa","So"))</f>
      </c>
      <c r="O4" s="31">
        <f>IF(O$5="","",CHOOSE(WEEKDAY(O$5,2),"Mo","Di","Mi","Do","Fr","Sa","So"))</f>
      </c>
      <c r="P4" s="31">
        <f>IF(P$5="","",CHOOSE(WEEKDAY(P$5,2),"Mo","Di","Mi","Do","Fr","Sa","So"))</f>
      </c>
      <c r="Q4" s="31">
        <f>IF(Q$5="","",CHOOSE(WEEKDAY(Q$5,2),"Mo","Di","Mi","Do","Fr","Sa","So"))</f>
      </c>
      <c r="R4" s="31">
        <f>IF(R$5="","",CHOOSE(WEEKDAY(R$5,2),"Mo","Di","Mi","Do","Fr","Sa","So"))</f>
      </c>
      <c r="S4" s="31">
        <f>IF(S$5="","",CHOOSE(WEEKDAY(S$5,2),"Mo","Di","Mi","Do","Fr","Sa","So"))</f>
      </c>
      <c r="T4" s="31">
        <f>IF(T$5="","",CHOOSE(WEEKDAY(T$5,2),"Mo","Di","Mi","Do","Fr","Sa","So"))</f>
      </c>
      <c r="U4" s="31">
        <f>IF(U$5="","",CHOOSE(WEEKDAY(U$5,2),"Mo","Di","Mi","Do","Fr","Sa","So"))</f>
      </c>
      <c r="V4" s="31">
        <f>IF(V$5="","",CHOOSE(WEEKDAY(V$5,2),"Mo","Di","Mi","Do","Fr","Sa","So"))</f>
      </c>
      <c r="W4" s="31">
        <f>IF(W$5="","",CHOOSE(WEEKDAY(W$5,2),"Mo","Di","Mi","Do","Fr","Sa","So"))</f>
      </c>
      <c r="X4" s="31">
        <f>IF(X$5="","",CHOOSE(WEEKDAY(X$5,2),"Mo","Di","Mi","Do","Fr","Sa","So"))</f>
      </c>
      <c r="Y4" s="31">
        <f>IF(Y$5="","",CHOOSE(WEEKDAY(Y$5,2),"Mo","Di","Mi","Do","Fr","Sa","So"))</f>
      </c>
      <c r="Z4" s="31">
        <f>IF(Z$5="","",CHOOSE(WEEKDAY(Z$5,2),"Mo","Di","Mi","Do","Fr","Sa","So"))</f>
      </c>
      <c r="AA4" s="31">
        <f>IF(AA$5="","",CHOOSE(WEEKDAY(AA$5,2),"Mo","Di","Mi","Do","Fr","Sa","So"))</f>
      </c>
      <c r="AB4" s="31">
        <f>IF(AB$5="","",CHOOSE(WEEKDAY(AB$5,2),"Mo","Di","Mi","Do","Fr","Sa","So"))</f>
      </c>
      <c r="AC4" s="31">
        <f>IF(AC$5="","",CHOOSE(WEEKDAY(AC$5,2),"Mo","Di","Mi","Do","Fr","Sa","So"))</f>
      </c>
      <c r="AD4" s="31">
        <f>IF(AD$5="","",CHOOSE(WEEKDAY(AD$5,2),"Mo","Di","Mi","Do","Fr","Sa","So"))</f>
      </c>
      <c r="AE4" s="31">
        <f>IF(AE$5="","",CHOOSE(WEEKDAY(AE$5,2),"Mo","Di","Mi","Do","Fr","Sa","So"))</f>
      </c>
      <c r="AF4" s="31">
        <f>IF(AF$5="","",CHOOSE(WEEKDAY(AF$5,2),"Mo","Di","Mi","Do","Fr","Sa","So"))</f>
      </c>
    </row>
    <row r="5" ht="18" customHeight="1" spans="1:38" x14ac:dyDescent="0.25">
      <c r="A5" s="10" t="s">
        <v>52</v>
      </c>
      <c r="B5" s="32">
        <f>IF(MONTH(DATE(Jahr,2,1))=2,DATE(Jahr,2,1),"")</f>
      </c>
      <c r="C5" s="32">
        <f>IF(MONTH(DATE(Jahr,2,2))=2,DATE(Jahr,2,2),"")</f>
      </c>
      <c r="D5" s="32">
        <f>IF(MONTH(DATE(Jahr,2,3))=2,DATE(Jahr,2,3),"")</f>
      </c>
      <c r="E5" s="32">
        <f>IF(MONTH(DATE(Jahr,2,4))=2,DATE(Jahr,2,4),"")</f>
      </c>
      <c r="F5" s="32">
        <f>IF(MONTH(DATE(Jahr,2,5))=2,DATE(Jahr,2,5),"")</f>
      </c>
      <c r="G5" s="32">
        <f>IF(MONTH(DATE(Jahr,2,6))=2,DATE(Jahr,2,6),"")</f>
      </c>
      <c r="H5" s="32">
        <f>IF(MONTH(DATE(Jahr,2,7))=2,DATE(Jahr,2,7),"")</f>
      </c>
      <c r="I5" s="32">
        <f>IF(MONTH(DATE(Jahr,2,8))=2,DATE(Jahr,2,8),"")</f>
      </c>
      <c r="J5" s="32">
        <f>IF(MONTH(DATE(Jahr,2,9))=2,DATE(Jahr,2,9),"")</f>
      </c>
      <c r="K5" s="32">
        <f>IF(MONTH(DATE(Jahr,2,10))=2,DATE(Jahr,2,10),"")</f>
      </c>
      <c r="L5" s="32">
        <f>IF(MONTH(DATE(Jahr,2,11))=2,DATE(Jahr,2,11),"")</f>
      </c>
      <c r="M5" s="32">
        <f>IF(MONTH(DATE(Jahr,2,12))=2,DATE(Jahr,2,12),"")</f>
      </c>
      <c r="N5" s="32">
        <f>IF(MONTH(DATE(Jahr,2,13))=2,DATE(Jahr,2,13),"")</f>
      </c>
      <c r="O5" s="32">
        <f>IF(MONTH(DATE(Jahr,2,14))=2,DATE(Jahr,2,14),"")</f>
      </c>
      <c r="P5" s="32">
        <f>IF(MONTH(DATE(Jahr,2,15))=2,DATE(Jahr,2,15),"")</f>
      </c>
      <c r="Q5" s="32">
        <f>IF(MONTH(DATE(Jahr,2,16))=2,DATE(Jahr,2,16),"")</f>
      </c>
      <c r="R5" s="32">
        <f>IF(MONTH(DATE(Jahr,2,17))=2,DATE(Jahr,2,17),"")</f>
      </c>
      <c r="S5" s="32">
        <f>IF(MONTH(DATE(Jahr,2,18))=2,DATE(Jahr,2,18),"")</f>
      </c>
      <c r="T5" s="32">
        <f>IF(MONTH(DATE(Jahr,2,19))=2,DATE(Jahr,2,19),"")</f>
      </c>
      <c r="U5" s="32">
        <f>IF(MONTH(DATE(Jahr,2,20))=2,DATE(Jahr,2,20),"")</f>
      </c>
      <c r="V5" s="32">
        <f>IF(MONTH(DATE(Jahr,2,21))=2,DATE(Jahr,2,21),"")</f>
      </c>
      <c r="W5" s="32">
        <f>IF(MONTH(DATE(Jahr,2,22))=2,DATE(Jahr,2,22),"")</f>
      </c>
      <c r="X5" s="32">
        <f>IF(MONTH(DATE(Jahr,2,23))=2,DATE(Jahr,2,23),"")</f>
      </c>
      <c r="Y5" s="32">
        <f>IF(MONTH(DATE(Jahr,2,24))=2,DATE(Jahr,2,24),"")</f>
      </c>
      <c r="Z5" s="32">
        <f>IF(MONTH(DATE(Jahr,2,25))=2,DATE(Jahr,2,25),"")</f>
      </c>
      <c r="AA5" s="32">
        <f>IF(MONTH(DATE(Jahr,2,26))=2,DATE(Jahr,2,26),"")</f>
      </c>
      <c r="AB5" s="32">
        <f>IF(MONTH(DATE(Jahr,2,27))=2,DATE(Jahr,2,27),"")</f>
      </c>
      <c r="AC5" s="32">
        <f>IF(MONTH(DATE(Jahr,2,28))=2,DATE(Jahr,2,28),"")</f>
      </c>
      <c r="AD5" s="32">
        <f>IF(MONTH(DATE(Jahr,2,29))=2,DATE(Jahr,2,29),"")</f>
      </c>
      <c r="AE5" s="32">
        <f>IF(MONTH(DATE(Jahr,2,30))=2,DATE(Jahr,2,30),"")</f>
      </c>
      <c r="AF5" s="32">
        <f>IF(MONTH(DATE(Jahr,2,31))=2,DATE(Jahr,2,31),"")</f>
      </c>
      <c r="AG5" s="10" t="s">
        <v>60</v>
      </c>
      <c r="AH5" s="10" t="s">
        <v>61</v>
      </c>
      <c r="AI5" s="10" t="s">
        <v>62</v>
      </c>
      <c r="AJ5" s="10" t="s">
        <v>44</v>
      </c>
      <c r="AK5" s="10" t="s">
        <v>46</v>
      </c>
      <c r="AL5" s="10" t="s">
        <v>33</v>
      </c>
    </row>
    <row r="6" spans="1:38" x14ac:dyDescent="0.25">
      <c r="A6" s="33">
        <f>Mitarbeiter!$A$5&amp;""</f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5">
        <f>IF($A6="","",SUMPRODUCT(COUNTIFS(B6:AF6,Codes,$B$52:$AF$52,1)*(Arten="Arbeit")*Erste*NettoTage)+SUMPRODUCT(COUNTIFS(B6:AF6,Codes,$B$53:$AF$53,1)*((Arten="Urlaub")+(Arten="Krank")+(Arten="Bezahlt abwesend"))*Erste)*N(Mitarbeiter!$B$5)/5/24)</f>
      </c>
      <c r="AH6" s="35">
        <f>IF($A6="","",N(Mitarbeiter!$B$5)/5/24*SUM($B$53:$AF$53))</f>
      </c>
      <c r="AI6" s="36">
        <f>IF($A6="","",IF((AG6-AH6)&lt;0,"-","+")&amp;TEXT(ABS((AG6-AH6)),"[h]:mm"))</f>
      </c>
      <c r="AJ6" s="37">
        <f>IF($A6="","",SUMPRODUCT(COUNTIFS(B6:AF6,Codes,$B$53:$AF$53,1)*(Arten="Urlaub")*Erste))</f>
      </c>
      <c r="AK6" s="37">
        <f>IF($A6="","",SUMPRODUCT(COUNTIFS(B6:AF6,Codes,$B$53:$AF$53,1)*(Arten="Krank")*Erste))</f>
      </c>
      <c r="AL6" s="38">
        <f>IF($A6="","",IF(COUNTIF(B55:AF55,1)&gt;0,COUNTIF(B55:AF55,1)&amp;"× Ruhezeit unter 11 Std. (§ 5)","")&amp;IF((COUNTIFS(B6:AF6,"?*",$B$52:$AF$52,1)-SUMPRODUCT(COUNTIFS(B6:AF6,Codes,$B$52:$AF$52,1)*(Codes&lt;&gt;"")*Erste))&gt;0,IF(COUNTIF(B55:AF55,1)&gt;0,"; ","")&amp;(COUNTIFS(B6:AF6,"?*",$B$52:$AF$52,1)-SUMPRODUCT(COUNTIFS(B6:AF6,Codes,$B$52:$AF$52,1)*(Codes&lt;&gt;"")*Erste))&amp;"× unbekanntes Kürzel",""))</f>
      </c>
    </row>
    <row r="7" spans="1:38" x14ac:dyDescent="0.25">
      <c r="A7" s="33">
        <f>Mitarbeiter!$A$6&amp;""</f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5">
        <f>IF($A7="","",SUMPRODUCT(COUNTIFS(B7:AF7,Codes,$B$52:$AF$52,1)*(Arten="Arbeit")*Erste*NettoTage)+SUMPRODUCT(COUNTIFS(B7:AF7,Codes,$B$53:$AF$53,1)*((Arten="Urlaub")+(Arten="Krank")+(Arten="Bezahlt abwesend"))*Erste)*N(Mitarbeiter!$B$6)/5/24)</f>
      </c>
      <c r="AH7" s="35">
        <f>IF($A7="","",N(Mitarbeiter!$B$6)/5/24*SUM($B$53:$AF$53))</f>
      </c>
      <c r="AI7" s="36">
        <f>IF($A7="","",IF((AG7-AH7)&lt;0,"-","+")&amp;TEXT(ABS((AG7-AH7)),"[h]:mm"))</f>
      </c>
      <c r="AJ7" s="37">
        <f>IF($A7="","",SUMPRODUCT(COUNTIFS(B7:AF7,Codes,$B$53:$AF$53,1)*(Arten="Urlaub")*Erste))</f>
      </c>
      <c r="AK7" s="37">
        <f>IF($A7="","",SUMPRODUCT(COUNTIFS(B7:AF7,Codes,$B$53:$AF$53,1)*(Arten="Krank")*Erste))</f>
      </c>
      <c r="AL7" s="38">
        <f>IF($A7="","",IF(COUNTIF(B56:AF56,1)&gt;0,COUNTIF(B56:AF56,1)&amp;"× Ruhezeit unter 11 Std. (§ 5)","")&amp;IF((COUNTIFS(B7:AF7,"?*",$B$52:$AF$52,1)-SUMPRODUCT(COUNTIFS(B7:AF7,Codes,$B$52:$AF$52,1)*(Codes&lt;&gt;"")*Erste))&gt;0,IF(COUNTIF(B56:AF56,1)&gt;0,"; ","")&amp;(COUNTIFS(B7:AF7,"?*",$B$52:$AF$52,1)-SUMPRODUCT(COUNTIFS(B7:AF7,Codes,$B$52:$AF$52,1)*(Codes&lt;&gt;"")*Erste))&amp;"× unbekanntes Kürzel",""))</f>
      </c>
    </row>
    <row r="8" spans="1:38" x14ac:dyDescent="0.25">
      <c r="A8" s="33">
        <f>Mitarbeiter!$A$7&amp;""</f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5">
        <f>IF($A8="","",SUMPRODUCT(COUNTIFS(B8:AF8,Codes,$B$52:$AF$52,1)*(Arten="Arbeit")*Erste*NettoTage)+SUMPRODUCT(COUNTIFS(B8:AF8,Codes,$B$53:$AF$53,1)*((Arten="Urlaub")+(Arten="Krank")+(Arten="Bezahlt abwesend"))*Erste)*N(Mitarbeiter!$B$7)/5/24)</f>
      </c>
      <c r="AH8" s="35">
        <f>IF($A8="","",N(Mitarbeiter!$B$7)/5/24*SUM($B$53:$AF$53))</f>
      </c>
      <c r="AI8" s="36">
        <f>IF($A8="","",IF((AG8-AH8)&lt;0,"-","+")&amp;TEXT(ABS((AG8-AH8)),"[h]:mm"))</f>
      </c>
      <c r="AJ8" s="37">
        <f>IF($A8="","",SUMPRODUCT(COUNTIFS(B8:AF8,Codes,$B$53:$AF$53,1)*(Arten="Urlaub")*Erste))</f>
      </c>
      <c r="AK8" s="37">
        <f>IF($A8="","",SUMPRODUCT(COUNTIFS(B8:AF8,Codes,$B$53:$AF$53,1)*(Arten="Krank")*Erste))</f>
      </c>
      <c r="AL8" s="38">
        <f>IF($A8="","",IF(COUNTIF(B57:AF57,1)&gt;0,COUNTIF(B57:AF57,1)&amp;"× Ruhezeit unter 11 Std. (§ 5)","")&amp;IF((COUNTIFS(B8:AF8,"?*",$B$52:$AF$52,1)-SUMPRODUCT(COUNTIFS(B8:AF8,Codes,$B$52:$AF$52,1)*(Codes&lt;&gt;"")*Erste))&gt;0,IF(COUNTIF(B57:AF57,1)&gt;0,"; ","")&amp;(COUNTIFS(B8:AF8,"?*",$B$52:$AF$52,1)-SUMPRODUCT(COUNTIFS(B8:AF8,Codes,$B$52:$AF$52,1)*(Codes&lt;&gt;"")*Erste))&amp;"× unbekanntes Kürzel",""))</f>
      </c>
    </row>
    <row r="9" spans="1:38" x14ac:dyDescent="0.25">
      <c r="A9" s="33">
        <f>Mitarbeiter!$A$8&amp;""</f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5">
        <f>IF($A9="","",SUMPRODUCT(COUNTIFS(B9:AF9,Codes,$B$52:$AF$52,1)*(Arten="Arbeit")*Erste*NettoTage)+SUMPRODUCT(COUNTIFS(B9:AF9,Codes,$B$53:$AF$53,1)*((Arten="Urlaub")+(Arten="Krank")+(Arten="Bezahlt abwesend"))*Erste)*N(Mitarbeiter!$B$8)/5/24)</f>
      </c>
      <c r="AH9" s="35">
        <f>IF($A9="","",N(Mitarbeiter!$B$8)/5/24*SUM($B$53:$AF$53))</f>
      </c>
      <c r="AI9" s="36">
        <f>IF($A9="","",IF((AG9-AH9)&lt;0,"-","+")&amp;TEXT(ABS((AG9-AH9)),"[h]:mm"))</f>
      </c>
      <c r="AJ9" s="37">
        <f>IF($A9="","",SUMPRODUCT(COUNTIFS(B9:AF9,Codes,$B$53:$AF$53,1)*(Arten="Urlaub")*Erste))</f>
      </c>
      <c r="AK9" s="37">
        <f>IF($A9="","",SUMPRODUCT(COUNTIFS(B9:AF9,Codes,$B$53:$AF$53,1)*(Arten="Krank")*Erste))</f>
      </c>
      <c r="AL9" s="38">
        <f>IF($A9="","",IF(COUNTIF(B58:AF58,1)&gt;0,COUNTIF(B58:AF58,1)&amp;"× Ruhezeit unter 11 Std. (§ 5)","")&amp;IF((COUNTIFS(B9:AF9,"?*",$B$52:$AF$52,1)-SUMPRODUCT(COUNTIFS(B9:AF9,Codes,$B$52:$AF$52,1)*(Codes&lt;&gt;"")*Erste))&gt;0,IF(COUNTIF(B58:AF58,1)&gt;0,"; ","")&amp;(COUNTIFS(B9:AF9,"?*",$B$52:$AF$52,1)-SUMPRODUCT(COUNTIFS(B9:AF9,Codes,$B$52:$AF$52,1)*(Codes&lt;&gt;"")*Erste))&amp;"× unbekanntes Kürzel",""))</f>
      </c>
    </row>
    <row r="10" spans="1:38" x14ac:dyDescent="0.25">
      <c r="A10" s="33">
        <f>Mitarbeiter!$A$9&amp;""</f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5">
        <f>IF($A10="","",SUMPRODUCT(COUNTIFS(B10:AF10,Codes,$B$52:$AF$52,1)*(Arten="Arbeit")*Erste*NettoTage)+SUMPRODUCT(COUNTIFS(B10:AF10,Codes,$B$53:$AF$53,1)*((Arten="Urlaub")+(Arten="Krank")+(Arten="Bezahlt abwesend"))*Erste)*N(Mitarbeiter!$B$9)/5/24)</f>
      </c>
      <c r="AH10" s="35">
        <f>IF($A10="","",N(Mitarbeiter!$B$9)/5/24*SUM($B$53:$AF$53))</f>
      </c>
      <c r="AI10" s="36">
        <f>IF($A10="","",IF((AG10-AH10)&lt;0,"-","+")&amp;TEXT(ABS((AG10-AH10)),"[h]:mm"))</f>
      </c>
      <c r="AJ10" s="37">
        <f>IF($A10="","",SUMPRODUCT(COUNTIFS(B10:AF10,Codes,$B$53:$AF$53,1)*(Arten="Urlaub")*Erste))</f>
      </c>
      <c r="AK10" s="37">
        <f>IF($A10="","",SUMPRODUCT(COUNTIFS(B10:AF10,Codes,$B$53:$AF$53,1)*(Arten="Krank")*Erste))</f>
      </c>
      <c r="AL10" s="38">
        <f>IF($A10="","",IF(COUNTIF(B59:AF59,1)&gt;0,COUNTIF(B59:AF59,1)&amp;"× Ruhezeit unter 11 Std. (§ 5)","")&amp;IF((COUNTIFS(B10:AF10,"?*",$B$52:$AF$52,1)-SUMPRODUCT(COUNTIFS(B10:AF10,Codes,$B$52:$AF$52,1)*(Codes&lt;&gt;"")*Erste))&gt;0,IF(COUNTIF(B59:AF59,1)&gt;0,"; ","")&amp;(COUNTIFS(B10:AF10,"?*",$B$52:$AF$52,1)-SUMPRODUCT(COUNTIFS(B10:AF10,Codes,$B$52:$AF$52,1)*(Codes&lt;&gt;"")*Erste))&amp;"× unbekanntes Kürzel",""))</f>
      </c>
    </row>
    <row r="11" spans="1:38" x14ac:dyDescent="0.25">
      <c r="A11" s="33">
        <f>Mitarbeiter!$A$10&amp;""</f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5">
        <f>IF($A11="","",SUMPRODUCT(COUNTIFS(B11:AF11,Codes,$B$52:$AF$52,1)*(Arten="Arbeit")*Erste*NettoTage)+SUMPRODUCT(COUNTIFS(B11:AF11,Codes,$B$53:$AF$53,1)*((Arten="Urlaub")+(Arten="Krank")+(Arten="Bezahlt abwesend"))*Erste)*N(Mitarbeiter!$B$10)/5/24)</f>
      </c>
      <c r="AH11" s="35">
        <f>IF($A11="","",N(Mitarbeiter!$B$10)/5/24*SUM($B$53:$AF$53))</f>
      </c>
      <c r="AI11" s="36">
        <f>IF($A11="","",IF((AG11-AH11)&lt;0,"-","+")&amp;TEXT(ABS((AG11-AH11)),"[h]:mm"))</f>
      </c>
      <c r="AJ11" s="37">
        <f>IF($A11="","",SUMPRODUCT(COUNTIFS(B11:AF11,Codes,$B$53:$AF$53,1)*(Arten="Urlaub")*Erste))</f>
      </c>
      <c r="AK11" s="37">
        <f>IF($A11="","",SUMPRODUCT(COUNTIFS(B11:AF11,Codes,$B$53:$AF$53,1)*(Arten="Krank")*Erste))</f>
      </c>
      <c r="AL11" s="38">
        <f>IF($A11="","",IF(COUNTIF(B60:AF60,1)&gt;0,COUNTIF(B60:AF60,1)&amp;"× Ruhezeit unter 11 Std. (§ 5)","")&amp;IF((COUNTIFS(B11:AF11,"?*",$B$52:$AF$52,1)-SUMPRODUCT(COUNTIFS(B11:AF11,Codes,$B$52:$AF$52,1)*(Codes&lt;&gt;"")*Erste))&gt;0,IF(COUNTIF(B60:AF60,1)&gt;0,"; ","")&amp;(COUNTIFS(B11:AF11,"?*",$B$52:$AF$52,1)-SUMPRODUCT(COUNTIFS(B11:AF11,Codes,$B$52:$AF$52,1)*(Codes&lt;&gt;"")*Erste))&amp;"× unbekanntes Kürzel",""))</f>
      </c>
    </row>
    <row r="12" spans="1:38" x14ac:dyDescent="0.25">
      <c r="A12" s="33">
        <f>Mitarbeiter!$A$11&amp;""</f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5">
        <f>IF($A12="","",SUMPRODUCT(COUNTIFS(B12:AF12,Codes,$B$52:$AF$52,1)*(Arten="Arbeit")*Erste*NettoTage)+SUMPRODUCT(COUNTIFS(B12:AF12,Codes,$B$53:$AF$53,1)*((Arten="Urlaub")+(Arten="Krank")+(Arten="Bezahlt abwesend"))*Erste)*N(Mitarbeiter!$B$11)/5/24)</f>
      </c>
      <c r="AH12" s="35">
        <f>IF($A12="","",N(Mitarbeiter!$B$11)/5/24*SUM($B$53:$AF$53))</f>
      </c>
      <c r="AI12" s="36">
        <f>IF($A12="","",IF((AG12-AH12)&lt;0,"-","+")&amp;TEXT(ABS((AG12-AH12)),"[h]:mm"))</f>
      </c>
      <c r="AJ12" s="37">
        <f>IF($A12="","",SUMPRODUCT(COUNTIFS(B12:AF12,Codes,$B$53:$AF$53,1)*(Arten="Urlaub")*Erste))</f>
      </c>
      <c r="AK12" s="37">
        <f>IF($A12="","",SUMPRODUCT(COUNTIFS(B12:AF12,Codes,$B$53:$AF$53,1)*(Arten="Krank")*Erste))</f>
      </c>
      <c r="AL12" s="38">
        <f>IF($A12="","",IF(COUNTIF(B61:AF61,1)&gt;0,COUNTIF(B61:AF61,1)&amp;"× Ruhezeit unter 11 Std. (§ 5)","")&amp;IF((COUNTIFS(B12:AF12,"?*",$B$52:$AF$52,1)-SUMPRODUCT(COUNTIFS(B12:AF12,Codes,$B$52:$AF$52,1)*(Codes&lt;&gt;"")*Erste))&gt;0,IF(COUNTIF(B61:AF61,1)&gt;0,"; ","")&amp;(COUNTIFS(B12:AF12,"?*",$B$52:$AF$52,1)-SUMPRODUCT(COUNTIFS(B12:AF12,Codes,$B$52:$AF$52,1)*(Codes&lt;&gt;"")*Erste))&amp;"× unbekanntes Kürzel",""))</f>
      </c>
    </row>
    <row r="13" spans="1:38" x14ac:dyDescent="0.25">
      <c r="A13" s="33">
        <f>Mitarbeiter!$A$12&amp;""</f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5">
        <f>IF($A13="","",SUMPRODUCT(COUNTIFS(B13:AF13,Codes,$B$52:$AF$52,1)*(Arten="Arbeit")*Erste*NettoTage)+SUMPRODUCT(COUNTIFS(B13:AF13,Codes,$B$53:$AF$53,1)*((Arten="Urlaub")+(Arten="Krank")+(Arten="Bezahlt abwesend"))*Erste)*N(Mitarbeiter!$B$12)/5/24)</f>
      </c>
      <c r="AH13" s="35">
        <f>IF($A13="","",N(Mitarbeiter!$B$12)/5/24*SUM($B$53:$AF$53))</f>
      </c>
      <c r="AI13" s="36">
        <f>IF($A13="","",IF((AG13-AH13)&lt;0,"-","+")&amp;TEXT(ABS((AG13-AH13)),"[h]:mm"))</f>
      </c>
      <c r="AJ13" s="37">
        <f>IF($A13="","",SUMPRODUCT(COUNTIFS(B13:AF13,Codes,$B$53:$AF$53,1)*(Arten="Urlaub")*Erste))</f>
      </c>
      <c r="AK13" s="37">
        <f>IF($A13="","",SUMPRODUCT(COUNTIFS(B13:AF13,Codes,$B$53:$AF$53,1)*(Arten="Krank")*Erste))</f>
      </c>
      <c r="AL13" s="38">
        <f>IF($A13="","",IF(COUNTIF(B62:AF62,1)&gt;0,COUNTIF(B62:AF62,1)&amp;"× Ruhezeit unter 11 Std. (§ 5)","")&amp;IF((COUNTIFS(B13:AF13,"?*",$B$52:$AF$52,1)-SUMPRODUCT(COUNTIFS(B13:AF13,Codes,$B$52:$AF$52,1)*(Codes&lt;&gt;"")*Erste))&gt;0,IF(COUNTIF(B62:AF62,1)&gt;0,"; ","")&amp;(COUNTIFS(B13:AF13,"?*",$B$52:$AF$52,1)-SUMPRODUCT(COUNTIFS(B13:AF13,Codes,$B$52:$AF$52,1)*(Codes&lt;&gt;"")*Erste))&amp;"× unbekanntes Kürzel",""))</f>
      </c>
    </row>
    <row r="14" spans="1:38" x14ac:dyDescent="0.25">
      <c r="A14" s="33">
        <f>Mitarbeiter!$A$13&amp;""</f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5">
        <f>IF($A14="","",SUMPRODUCT(COUNTIFS(B14:AF14,Codes,$B$52:$AF$52,1)*(Arten="Arbeit")*Erste*NettoTage)+SUMPRODUCT(COUNTIFS(B14:AF14,Codes,$B$53:$AF$53,1)*((Arten="Urlaub")+(Arten="Krank")+(Arten="Bezahlt abwesend"))*Erste)*N(Mitarbeiter!$B$13)/5/24)</f>
      </c>
      <c r="AH14" s="35">
        <f>IF($A14="","",N(Mitarbeiter!$B$13)/5/24*SUM($B$53:$AF$53))</f>
      </c>
      <c r="AI14" s="36">
        <f>IF($A14="","",IF((AG14-AH14)&lt;0,"-","+")&amp;TEXT(ABS((AG14-AH14)),"[h]:mm"))</f>
      </c>
      <c r="AJ14" s="37">
        <f>IF($A14="","",SUMPRODUCT(COUNTIFS(B14:AF14,Codes,$B$53:$AF$53,1)*(Arten="Urlaub")*Erste))</f>
      </c>
      <c r="AK14" s="37">
        <f>IF($A14="","",SUMPRODUCT(COUNTIFS(B14:AF14,Codes,$B$53:$AF$53,1)*(Arten="Krank")*Erste))</f>
      </c>
      <c r="AL14" s="38">
        <f>IF($A14="","",IF(COUNTIF(B63:AF63,1)&gt;0,COUNTIF(B63:AF63,1)&amp;"× Ruhezeit unter 11 Std. (§ 5)","")&amp;IF((COUNTIFS(B14:AF14,"?*",$B$52:$AF$52,1)-SUMPRODUCT(COUNTIFS(B14:AF14,Codes,$B$52:$AF$52,1)*(Codes&lt;&gt;"")*Erste))&gt;0,IF(COUNTIF(B63:AF63,1)&gt;0,"; ","")&amp;(COUNTIFS(B14:AF14,"?*",$B$52:$AF$52,1)-SUMPRODUCT(COUNTIFS(B14:AF14,Codes,$B$52:$AF$52,1)*(Codes&lt;&gt;"")*Erste))&amp;"× unbekanntes Kürzel",""))</f>
      </c>
    </row>
    <row r="15" spans="1:38" x14ac:dyDescent="0.25">
      <c r="A15" s="33">
        <f>Mitarbeiter!$A$14&amp;""</f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5">
        <f>IF($A15="","",SUMPRODUCT(COUNTIFS(B15:AF15,Codes,$B$52:$AF$52,1)*(Arten="Arbeit")*Erste*NettoTage)+SUMPRODUCT(COUNTIFS(B15:AF15,Codes,$B$53:$AF$53,1)*((Arten="Urlaub")+(Arten="Krank")+(Arten="Bezahlt abwesend"))*Erste)*N(Mitarbeiter!$B$14)/5/24)</f>
      </c>
      <c r="AH15" s="35">
        <f>IF($A15="","",N(Mitarbeiter!$B$14)/5/24*SUM($B$53:$AF$53))</f>
      </c>
      <c r="AI15" s="36">
        <f>IF($A15="","",IF((AG15-AH15)&lt;0,"-","+")&amp;TEXT(ABS((AG15-AH15)),"[h]:mm"))</f>
      </c>
      <c r="AJ15" s="37">
        <f>IF($A15="","",SUMPRODUCT(COUNTIFS(B15:AF15,Codes,$B$53:$AF$53,1)*(Arten="Urlaub")*Erste))</f>
      </c>
      <c r="AK15" s="37">
        <f>IF($A15="","",SUMPRODUCT(COUNTIFS(B15:AF15,Codes,$B$53:$AF$53,1)*(Arten="Krank")*Erste))</f>
      </c>
      <c r="AL15" s="38">
        <f>IF($A15="","",IF(COUNTIF(B64:AF64,1)&gt;0,COUNTIF(B64:AF64,1)&amp;"× Ruhezeit unter 11 Std. (§ 5)","")&amp;IF((COUNTIFS(B15:AF15,"?*",$B$52:$AF$52,1)-SUMPRODUCT(COUNTIFS(B15:AF15,Codes,$B$52:$AF$52,1)*(Codes&lt;&gt;"")*Erste))&gt;0,IF(COUNTIF(B64:AF64,1)&gt;0,"; ","")&amp;(COUNTIFS(B15:AF15,"?*",$B$52:$AF$52,1)-SUMPRODUCT(COUNTIFS(B15:AF15,Codes,$B$52:$AF$52,1)*(Codes&lt;&gt;"")*Erste))&amp;"× unbekanntes Kürzel",""))</f>
      </c>
    </row>
    <row r="16" spans="1:38" x14ac:dyDescent="0.25">
      <c r="A16" s="33">
        <f>Mitarbeiter!$A$15&amp;""</f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5">
        <f>IF($A16="","",SUMPRODUCT(COUNTIFS(B16:AF16,Codes,$B$52:$AF$52,1)*(Arten="Arbeit")*Erste*NettoTage)+SUMPRODUCT(COUNTIFS(B16:AF16,Codes,$B$53:$AF$53,1)*((Arten="Urlaub")+(Arten="Krank")+(Arten="Bezahlt abwesend"))*Erste)*N(Mitarbeiter!$B$15)/5/24)</f>
      </c>
      <c r="AH16" s="35">
        <f>IF($A16="","",N(Mitarbeiter!$B$15)/5/24*SUM($B$53:$AF$53))</f>
      </c>
      <c r="AI16" s="36">
        <f>IF($A16="","",IF((AG16-AH16)&lt;0,"-","+")&amp;TEXT(ABS((AG16-AH16)),"[h]:mm"))</f>
      </c>
      <c r="AJ16" s="37">
        <f>IF($A16="","",SUMPRODUCT(COUNTIFS(B16:AF16,Codes,$B$53:$AF$53,1)*(Arten="Urlaub")*Erste))</f>
      </c>
      <c r="AK16" s="37">
        <f>IF($A16="","",SUMPRODUCT(COUNTIFS(B16:AF16,Codes,$B$53:$AF$53,1)*(Arten="Krank")*Erste))</f>
      </c>
      <c r="AL16" s="38">
        <f>IF($A16="","",IF(COUNTIF(B65:AF65,1)&gt;0,COUNTIF(B65:AF65,1)&amp;"× Ruhezeit unter 11 Std. (§ 5)","")&amp;IF((COUNTIFS(B16:AF16,"?*",$B$52:$AF$52,1)-SUMPRODUCT(COUNTIFS(B16:AF16,Codes,$B$52:$AF$52,1)*(Codes&lt;&gt;"")*Erste))&gt;0,IF(COUNTIF(B65:AF65,1)&gt;0,"; ","")&amp;(COUNTIFS(B16:AF16,"?*",$B$52:$AF$52,1)-SUMPRODUCT(COUNTIFS(B16:AF16,Codes,$B$52:$AF$52,1)*(Codes&lt;&gt;"")*Erste))&amp;"× unbekanntes Kürzel",""))</f>
      </c>
    </row>
    <row r="17" spans="1:38" x14ac:dyDescent="0.25">
      <c r="A17" s="33">
        <f>Mitarbeiter!$A$16&amp;""</f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5">
        <f>IF($A17="","",SUMPRODUCT(COUNTIFS(B17:AF17,Codes,$B$52:$AF$52,1)*(Arten="Arbeit")*Erste*NettoTage)+SUMPRODUCT(COUNTIFS(B17:AF17,Codes,$B$53:$AF$53,1)*((Arten="Urlaub")+(Arten="Krank")+(Arten="Bezahlt abwesend"))*Erste)*N(Mitarbeiter!$B$16)/5/24)</f>
      </c>
      <c r="AH17" s="35">
        <f>IF($A17="","",N(Mitarbeiter!$B$16)/5/24*SUM($B$53:$AF$53))</f>
      </c>
      <c r="AI17" s="36">
        <f>IF($A17="","",IF((AG17-AH17)&lt;0,"-","+")&amp;TEXT(ABS((AG17-AH17)),"[h]:mm"))</f>
      </c>
      <c r="AJ17" s="37">
        <f>IF($A17="","",SUMPRODUCT(COUNTIFS(B17:AF17,Codes,$B$53:$AF$53,1)*(Arten="Urlaub")*Erste))</f>
      </c>
      <c r="AK17" s="37">
        <f>IF($A17="","",SUMPRODUCT(COUNTIFS(B17:AF17,Codes,$B$53:$AF$53,1)*(Arten="Krank")*Erste))</f>
      </c>
      <c r="AL17" s="38">
        <f>IF($A17="","",IF(COUNTIF(B66:AF66,1)&gt;0,COUNTIF(B66:AF66,1)&amp;"× Ruhezeit unter 11 Std. (§ 5)","")&amp;IF((COUNTIFS(B17:AF17,"?*",$B$52:$AF$52,1)-SUMPRODUCT(COUNTIFS(B17:AF17,Codes,$B$52:$AF$52,1)*(Codes&lt;&gt;"")*Erste))&gt;0,IF(COUNTIF(B66:AF66,1)&gt;0,"; ","")&amp;(COUNTIFS(B17:AF17,"?*",$B$52:$AF$52,1)-SUMPRODUCT(COUNTIFS(B17:AF17,Codes,$B$52:$AF$52,1)*(Codes&lt;&gt;"")*Erste))&amp;"× unbekanntes Kürzel",""))</f>
      </c>
    </row>
    <row r="18" spans="1:38" x14ac:dyDescent="0.25">
      <c r="A18" s="33">
        <f>Mitarbeiter!$A$17&amp;""</f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5">
        <f>IF($A18="","",SUMPRODUCT(COUNTIFS(B18:AF18,Codes,$B$52:$AF$52,1)*(Arten="Arbeit")*Erste*NettoTage)+SUMPRODUCT(COUNTIFS(B18:AF18,Codes,$B$53:$AF$53,1)*((Arten="Urlaub")+(Arten="Krank")+(Arten="Bezahlt abwesend"))*Erste)*N(Mitarbeiter!$B$17)/5/24)</f>
      </c>
      <c r="AH18" s="35">
        <f>IF($A18="","",N(Mitarbeiter!$B$17)/5/24*SUM($B$53:$AF$53))</f>
      </c>
      <c r="AI18" s="36">
        <f>IF($A18="","",IF((AG18-AH18)&lt;0,"-","+")&amp;TEXT(ABS((AG18-AH18)),"[h]:mm"))</f>
      </c>
      <c r="AJ18" s="37">
        <f>IF($A18="","",SUMPRODUCT(COUNTIFS(B18:AF18,Codes,$B$53:$AF$53,1)*(Arten="Urlaub")*Erste))</f>
      </c>
      <c r="AK18" s="37">
        <f>IF($A18="","",SUMPRODUCT(COUNTIFS(B18:AF18,Codes,$B$53:$AF$53,1)*(Arten="Krank")*Erste))</f>
      </c>
      <c r="AL18" s="38">
        <f>IF($A18="","",IF(COUNTIF(B67:AF67,1)&gt;0,COUNTIF(B67:AF67,1)&amp;"× Ruhezeit unter 11 Std. (§ 5)","")&amp;IF((COUNTIFS(B18:AF18,"?*",$B$52:$AF$52,1)-SUMPRODUCT(COUNTIFS(B18:AF18,Codes,$B$52:$AF$52,1)*(Codes&lt;&gt;"")*Erste))&gt;0,IF(COUNTIF(B67:AF67,1)&gt;0,"; ","")&amp;(COUNTIFS(B18:AF18,"?*",$B$52:$AF$52,1)-SUMPRODUCT(COUNTIFS(B18:AF18,Codes,$B$52:$AF$52,1)*(Codes&lt;&gt;"")*Erste))&amp;"× unbekanntes Kürzel",""))</f>
      </c>
    </row>
    <row r="19" spans="1:38" x14ac:dyDescent="0.25">
      <c r="A19" s="33">
        <f>Mitarbeiter!$A$18&amp;""</f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5">
        <f>IF($A19="","",SUMPRODUCT(COUNTIFS(B19:AF19,Codes,$B$52:$AF$52,1)*(Arten="Arbeit")*Erste*NettoTage)+SUMPRODUCT(COUNTIFS(B19:AF19,Codes,$B$53:$AF$53,1)*((Arten="Urlaub")+(Arten="Krank")+(Arten="Bezahlt abwesend"))*Erste)*N(Mitarbeiter!$B$18)/5/24)</f>
      </c>
      <c r="AH19" s="35">
        <f>IF($A19="","",N(Mitarbeiter!$B$18)/5/24*SUM($B$53:$AF$53))</f>
      </c>
      <c r="AI19" s="36">
        <f>IF($A19="","",IF((AG19-AH19)&lt;0,"-","+")&amp;TEXT(ABS((AG19-AH19)),"[h]:mm"))</f>
      </c>
      <c r="AJ19" s="37">
        <f>IF($A19="","",SUMPRODUCT(COUNTIFS(B19:AF19,Codes,$B$53:$AF$53,1)*(Arten="Urlaub")*Erste))</f>
      </c>
      <c r="AK19" s="37">
        <f>IF($A19="","",SUMPRODUCT(COUNTIFS(B19:AF19,Codes,$B$53:$AF$53,1)*(Arten="Krank")*Erste))</f>
      </c>
      <c r="AL19" s="38">
        <f>IF($A19="","",IF(COUNTIF(B68:AF68,1)&gt;0,COUNTIF(B68:AF68,1)&amp;"× Ruhezeit unter 11 Std. (§ 5)","")&amp;IF((COUNTIFS(B19:AF19,"?*",$B$52:$AF$52,1)-SUMPRODUCT(COUNTIFS(B19:AF19,Codes,$B$52:$AF$52,1)*(Codes&lt;&gt;"")*Erste))&gt;0,IF(COUNTIF(B68:AF68,1)&gt;0,"; ","")&amp;(COUNTIFS(B19:AF19,"?*",$B$52:$AF$52,1)-SUMPRODUCT(COUNTIFS(B19:AF19,Codes,$B$52:$AF$52,1)*(Codes&lt;&gt;"")*Erste))&amp;"× unbekanntes Kürzel",""))</f>
      </c>
    </row>
    <row r="20" spans="1:38" x14ac:dyDescent="0.25">
      <c r="A20" s="33">
        <f>Mitarbeiter!$A$19&amp;""</f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5">
        <f>IF($A20="","",SUMPRODUCT(COUNTIFS(B20:AF20,Codes,$B$52:$AF$52,1)*(Arten="Arbeit")*Erste*NettoTage)+SUMPRODUCT(COUNTIFS(B20:AF20,Codes,$B$53:$AF$53,1)*((Arten="Urlaub")+(Arten="Krank")+(Arten="Bezahlt abwesend"))*Erste)*N(Mitarbeiter!$B$19)/5/24)</f>
      </c>
      <c r="AH20" s="35">
        <f>IF($A20="","",N(Mitarbeiter!$B$19)/5/24*SUM($B$53:$AF$53))</f>
      </c>
      <c r="AI20" s="36">
        <f>IF($A20="","",IF((AG20-AH20)&lt;0,"-","+")&amp;TEXT(ABS((AG20-AH20)),"[h]:mm"))</f>
      </c>
      <c r="AJ20" s="37">
        <f>IF($A20="","",SUMPRODUCT(COUNTIFS(B20:AF20,Codes,$B$53:$AF$53,1)*(Arten="Urlaub")*Erste))</f>
      </c>
      <c r="AK20" s="37">
        <f>IF($A20="","",SUMPRODUCT(COUNTIFS(B20:AF20,Codes,$B$53:$AF$53,1)*(Arten="Krank")*Erste))</f>
      </c>
      <c r="AL20" s="38">
        <f>IF($A20="","",IF(COUNTIF(B69:AF69,1)&gt;0,COUNTIF(B69:AF69,1)&amp;"× Ruhezeit unter 11 Std. (§ 5)","")&amp;IF((COUNTIFS(B20:AF20,"?*",$B$52:$AF$52,1)-SUMPRODUCT(COUNTIFS(B20:AF20,Codes,$B$52:$AF$52,1)*(Codes&lt;&gt;"")*Erste))&gt;0,IF(COUNTIF(B69:AF69,1)&gt;0,"; ","")&amp;(COUNTIFS(B20:AF20,"?*",$B$52:$AF$52,1)-SUMPRODUCT(COUNTIFS(B20:AF20,Codes,$B$52:$AF$52,1)*(Codes&lt;&gt;"")*Erste))&amp;"× unbekanntes Kürzel",""))</f>
      </c>
    </row>
    <row r="21" spans="1:38" x14ac:dyDescent="0.25">
      <c r="A21" s="33">
        <f>Mitarbeiter!$A$20&amp;""</f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5">
        <f>IF($A21="","",SUMPRODUCT(COUNTIFS(B21:AF21,Codes,$B$52:$AF$52,1)*(Arten="Arbeit")*Erste*NettoTage)+SUMPRODUCT(COUNTIFS(B21:AF21,Codes,$B$53:$AF$53,1)*((Arten="Urlaub")+(Arten="Krank")+(Arten="Bezahlt abwesend"))*Erste)*N(Mitarbeiter!$B$20)/5/24)</f>
      </c>
      <c r="AH21" s="35">
        <f>IF($A21="","",N(Mitarbeiter!$B$20)/5/24*SUM($B$53:$AF$53))</f>
      </c>
      <c r="AI21" s="36">
        <f>IF($A21="","",IF((AG21-AH21)&lt;0,"-","+")&amp;TEXT(ABS((AG21-AH21)),"[h]:mm"))</f>
      </c>
      <c r="AJ21" s="37">
        <f>IF($A21="","",SUMPRODUCT(COUNTIFS(B21:AF21,Codes,$B$53:$AF$53,1)*(Arten="Urlaub")*Erste))</f>
      </c>
      <c r="AK21" s="37">
        <f>IF($A21="","",SUMPRODUCT(COUNTIFS(B21:AF21,Codes,$B$53:$AF$53,1)*(Arten="Krank")*Erste))</f>
      </c>
      <c r="AL21" s="38">
        <f>IF($A21="","",IF(COUNTIF(B70:AF70,1)&gt;0,COUNTIF(B70:AF70,1)&amp;"× Ruhezeit unter 11 Std. (§ 5)","")&amp;IF((COUNTIFS(B21:AF21,"?*",$B$52:$AF$52,1)-SUMPRODUCT(COUNTIFS(B21:AF21,Codes,$B$52:$AF$52,1)*(Codes&lt;&gt;"")*Erste))&gt;0,IF(COUNTIF(B70:AF70,1)&gt;0,"; ","")&amp;(COUNTIFS(B21:AF21,"?*",$B$52:$AF$52,1)-SUMPRODUCT(COUNTIFS(B21:AF21,Codes,$B$52:$AF$52,1)*(Codes&lt;&gt;"")*Erste))&amp;"× unbekanntes Kürzel",""))</f>
      </c>
    </row>
    <row r="22" spans="1:38" x14ac:dyDescent="0.25">
      <c r="A22" s="33">
        <f>Mitarbeiter!$A$21&amp;""</f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5">
        <f>IF($A22="","",SUMPRODUCT(COUNTIFS(B22:AF22,Codes,$B$52:$AF$52,1)*(Arten="Arbeit")*Erste*NettoTage)+SUMPRODUCT(COUNTIFS(B22:AF22,Codes,$B$53:$AF$53,1)*((Arten="Urlaub")+(Arten="Krank")+(Arten="Bezahlt abwesend"))*Erste)*N(Mitarbeiter!$B$21)/5/24)</f>
      </c>
      <c r="AH22" s="35">
        <f>IF($A22="","",N(Mitarbeiter!$B$21)/5/24*SUM($B$53:$AF$53))</f>
      </c>
      <c r="AI22" s="36">
        <f>IF($A22="","",IF((AG22-AH22)&lt;0,"-","+")&amp;TEXT(ABS((AG22-AH22)),"[h]:mm"))</f>
      </c>
      <c r="AJ22" s="37">
        <f>IF($A22="","",SUMPRODUCT(COUNTIFS(B22:AF22,Codes,$B$53:$AF$53,1)*(Arten="Urlaub")*Erste))</f>
      </c>
      <c r="AK22" s="37">
        <f>IF($A22="","",SUMPRODUCT(COUNTIFS(B22:AF22,Codes,$B$53:$AF$53,1)*(Arten="Krank")*Erste))</f>
      </c>
      <c r="AL22" s="38">
        <f>IF($A22="","",IF(COUNTIF(B71:AF71,1)&gt;0,COUNTIF(B71:AF71,1)&amp;"× Ruhezeit unter 11 Std. (§ 5)","")&amp;IF((COUNTIFS(B22:AF22,"?*",$B$52:$AF$52,1)-SUMPRODUCT(COUNTIFS(B22:AF22,Codes,$B$52:$AF$52,1)*(Codes&lt;&gt;"")*Erste))&gt;0,IF(COUNTIF(B71:AF71,1)&gt;0,"; ","")&amp;(COUNTIFS(B22:AF22,"?*",$B$52:$AF$52,1)-SUMPRODUCT(COUNTIFS(B22:AF22,Codes,$B$52:$AF$52,1)*(Codes&lt;&gt;"")*Erste))&amp;"× unbekanntes Kürzel",""))</f>
      </c>
    </row>
    <row r="23" spans="1:38" x14ac:dyDescent="0.25">
      <c r="A23" s="33">
        <f>Mitarbeiter!$A$22&amp;""</f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5">
        <f>IF($A23="","",SUMPRODUCT(COUNTIFS(B23:AF23,Codes,$B$52:$AF$52,1)*(Arten="Arbeit")*Erste*NettoTage)+SUMPRODUCT(COUNTIFS(B23:AF23,Codes,$B$53:$AF$53,1)*((Arten="Urlaub")+(Arten="Krank")+(Arten="Bezahlt abwesend"))*Erste)*N(Mitarbeiter!$B$22)/5/24)</f>
      </c>
      <c r="AH23" s="35">
        <f>IF($A23="","",N(Mitarbeiter!$B$22)/5/24*SUM($B$53:$AF$53))</f>
      </c>
      <c r="AI23" s="36">
        <f>IF($A23="","",IF((AG23-AH23)&lt;0,"-","+")&amp;TEXT(ABS((AG23-AH23)),"[h]:mm"))</f>
      </c>
      <c r="AJ23" s="37">
        <f>IF($A23="","",SUMPRODUCT(COUNTIFS(B23:AF23,Codes,$B$53:$AF$53,1)*(Arten="Urlaub")*Erste))</f>
      </c>
      <c r="AK23" s="37">
        <f>IF($A23="","",SUMPRODUCT(COUNTIFS(B23:AF23,Codes,$B$53:$AF$53,1)*(Arten="Krank")*Erste))</f>
      </c>
      <c r="AL23" s="38">
        <f>IF($A23="","",IF(COUNTIF(B72:AF72,1)&gt;0,COUNTIF(B72:AF72,1)&amp;"× Ruhezeit unter 11 Std. (§ 5)","")&amp;IF((COUNTIFS(B23:AF23,"?*",$B$52:$AF$52,1)-SUMPRODUCT(COUNTIFS(B23:AF23,Codes,$B$52:$AF$52,1)*(Codes&lt;&gt;"")*Erste))&gt;0,IF(COUNTIF(B72:AF72,1)&gt;0,"; ","")&amp;(COUNTIFS(B23:AF23,"?*",$B$52:$AF$52,1)-SUMPRODUCT(COUNTIFS(B23:AF23,Codes,$B$52:$AF$52,1)*(Codes&lt;&gt;"")*Erste))&amp;"× unbekanntes Kürzel",""))</f>
      </c>
    </row>
    <row r="24" spans="1:38" x14ac:dyDescent="0.25">
      <c r="A24" s="33">
        <f>Mitarbeiter!$A$23&amp;""</f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5">
        <f>IF($A24="","",SUMPRODUCT(COUNTIFS(B24:AF24,Codes,$B$52:$AF$52,1)*(Arten="Arbeit")*Erste*NettoTage)+SUMPRODUCT(COUNTIFS(B24:AF24,Codes,$B$53:$AF$53,1)*((Arten="Urlaub")+(Arten="Krank")+(Arten="Bezahlt abwesend"))*Erste)*N(Mitarbeiter!$B$23)/5/24)</f>
      </c>
      <c r="AH24" s="35">
        <f>IF($A24="","",N(Mitarbeiter!$B$23)/5/24*SUM($B$53:$AF$53))</f>
      </c>
      <c r="AI24" s="36">
        <f>IF($A24="","",IF((AG24-AH24)&lt;0,"-","+")&amp;TEXT(ABS((AG24-AH24)),"[h]:mm"))</f>
      </c>
      <c r="AJ24" s="37">
        <f>IF($A24="","",SUMPRODUCT(COUNTIFS(B24:AF24,Codes,$B$53:$AF$53,1)*(Arten="Urlaub")*Erste))</f>
      </c>
      <c r="AK24" s="37">
        <f>IF($A24="","",SUMPRODUCT(COUNTIFS(B24:AF24,Codes,$B$53:$AF$53,1)*(Arten="Krank")*Erste))</f>
      </c>
      <c r="AL24" s="38">
        <f>IF($A24="","",IF(COUNTIF(B73:AF73,1)&gt;0,COUNTIF(B73:AF73,1)&amp;"× Ruhezeit unter 11 Std. (§ 5)","")&amp;IF((COUNTIFS(B24:AF24,"?*",$B$52:$AF$52,1)-SUMPRODUCT(COUNTIFS(B24:AF24,Codes,$B$52:$AF$52,1)*(Codes&lt;&gt;"")*Erste))&gt;0,IF(COUNTIF(B73:AF73,1)&gt;0,"; ","")&amp;(COUNTIFS(B24:AF24,"?*",$B$52:$AF$52,1)-SUMPRODUCT(COUNTIFS(B24:AF24,Codes,$B$52:$AF$52,1)*(Codes&lt;&gt;"")*Erste))&amp;"× unbekanntes Kürzel",""))</f>
      </c>
    </row>
    <row r="25" spans="1:38" x14ac:dyDescent="0.25">
      <c r="A25" s="33">
        <f>Mitarbeiter!$A$24&amp;""</f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5">
        <f>IF($A25="","",SUMPRODUCT(COUNTIFS(B25:AF25,Codes,$B$52:$AF$52,1)*(Arten="Arbeit")*Erste*NettoTage)+SUMPRODUCT(COUNTIFS(B25:AF25,Codes,$B$53:$AF$53,1)*((Arten="Urlaub")+(Arten="Krank")+(Arten="Bezahlt abwesend"))*Erste)*N(Mitarbeiter!$B$24)/5/24)</f>
      </c>
      <c r="AH25" s="35">
        <f>IF($A25="","",N(Mitarbeiter!$B$24)/5/24*SUM($B$53:$AF$53))</f>
      </c>
      <c r="AI25" s="36">
        <f>IF($A25="","",IF((AG25-AH25)&lt;0,"-","+")&amp;TEXT(ABS((AG25-AH25)),"[h]:mm"))</f>
      </c>
      <c r="AJ25" s="37">
        <f>IF($A25="","",SUMPRODUCT(COUNTIFS(B25:AF25,Codes,$B$53:$AF$53,1)*(Arten="Urlaub")*Erste))</f>
      </c>
      <c r="AK25" s="37">
        <f>IF($A25="","",SUMPRODUCT(COUNTIFS(B25:AF25,Codes,$B$53:$AF$53,1)*(Arten="Krank")*Erste))</f>
      </c>
      <c r="AL25" s="38">
        <f>IF($A25="","",IF(COUNTIF(B74:AF74,1)&gt;0,COUNTIF(B74:AF74,1)&amp;"× Ruhezeit unter 11 Std. (§ 5)","")&amp;IF((COUNTIFS(B25:AF25,"?*",$B$52:$AF$52,1)-SUMPRODUCT(COUNTIFS(B25:AF25,Codes,$B$52:$AF$52,1)*(Codes&lt;&gt;"")*Erste))&gt;0,IF(COUNTIF(B74:AF74,1)&gt;0,"; ","")&amp;(COUNTIFS(B25:AF25,"?*",$B$52:$AF$52,1)-SUMPRODUCT(COUNTIFS(B25:AF25,Codes,$B$52:$AF$52,1)*(Codes&lt;&gt;"")*Erste))&amp;"× unbekanntes Kürzel",""))</f>
      </c>
    </row>
    <row r="26" spans="1:38" x14ac:dyDescent="0.25">
      <c r="A26" s="33">
        <f>Mitarbeiter!$A$25&amp;""</f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5">
        <f>IF($A26="","",SUMPRODUCT(COUNTIFS(B26:AF26,Codes,$B$52:$AF$52,1)*(Arten="Arbeit")*Erste*NettoTage)+SUMPRODUCT(COUNTIFS(B26:AF26,Codes,$B$53:$AF$53,1)*((Arten="Urlaub")+(Arten="Krank")+(Arten="Bezahlt abwesend"))*Erste)*N(Mitarbeiter!$B$25)/5/24)</f>
      </c>
      <c r="AH26" s="35">
        <f>IF($A26="","",N(Mitarbeiter!$B$25)/5/24*SUM($B$53:$AF$53))</f>
      </c>
      <c r="AI26" s="36">
        <f>IF($A26="","",IF((AG26-AH26)&lt;0,"-","+")&amp;TEXT(ABS((AG26-AH26)),"[h]:mm"))</f>
      </c>
      <c r="AJ26" s="37">
        <f>IF($A26="","",SUMPRODUCT(COUNTIFS(B26:AF26,Codes,$B$53:$AF$53,1)*(Arten="Urlaub")*Erste))</f>
      </c>
      <c r="AK26" s="37">
        <f>IF($A26="","",SUMPRODUCT(COUNTIFS(B26:AF26,Codes,$B$53:$AF$53,1)*(Arten="Krank")*Erste))</f>
      </c>
      <c r="AL26" s="38">
        <f>IF($A26="","",IF(COUNTIF(B75:AF75,1)&gt;0,COUNTIF(B75:AF75,1)&amp;"× Ruhezeit unter 11 Std. (§ 5)","")&amp;IF((COUNTIFS(B26:AF26,"?*",$B$52:$AF$52,1)-SUMPRODUCT(COUNTIFS(B26:AF26,Codes,$B$52:$AF$52,1)*(Codes&lt;&gt;"")*Erste))&gt;0,IF(COUNTIF(B75:AF75,1)&gt;0,"; ","")&amp;(COUNTIFS(B26:AF26,"?*",$B$52:$AF$52,1)-SUMPRODUCT(COUNTIFS(B26:AF26,Codes,$B$52:$AF$52,1)*(Codes&lt;&gt;"")*Erste))&amp;"× unbekanntes Kürzel",""))</f>
      </c>
    </row>
    <row r="27" spans="1:38" x14ac:dyDescent="0.25">
      <c r="A27" s="33">
        <f>Mitarbeiter!$A$26&amp;""</f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5">
        <f>IF($A27="","",SUMPRODUCT(COUNTIFS(B27:AF27,Codes,$B$52:$AF$52,1)*(Arten="Arbeit")*Erste*NettoTage)+SUMPRODUCT(COUNTIFS(B27:AF27,Codes,$B$53:$AF$53,1)*((Arten="Urlaub")+(Arten="Krank")+(Arten="Bezahlt abwesend"))*Erste)*N(Mitarbeiter!$B$26)/5/24)</f>
      </c>
      <c r="AH27" s="35">
        <f>IF($A27="","",N(Mitarbeiter!$B$26)/5/24*SUM($B$53:$AF$53))</f>
      </c>
      <c r="AI27" s="36">
        <f>IF($A27="","",IF((AG27-AH27)&lt;0,"-","+")&amp;TEXT(ABS((AG27-AH27)),"[h]:mm"))</f>
      </c>
      <c r="AJ27" s="37">
        <f>IF($A27="","",SUMPRODUCT(COUNTIFS(B27:AF27,Codes,$B$53:$AF$53,1)*(Arten="Urlaub")*Erste))</f>
      </c>
      <c r="AK27" s="37">
        <f>IF($A27="","",SUMPRODUCT(COUNTIFS(B27:AF27,Codes,$B$53:$AF$53,1)*(Arten="Krank")*Erste))</f>
      </c>
      <c r="AL27" s="38">
        <f>IF($A27="","",IF(COUNTIF(B76:AF76,1)&gt;0,COUNTIF(B76:AF76,1)&amp;"× Ruhezeit unter 11 Std. (§ 5)","")&amp;IF((COUNTIFS(B27:AF27,"?*",$B$52:$AF$52,1)-SUMPRODUCT(COUNTIFS(B27:AF27,Codes,$B$52:$AF$52,1)*(Codes&lt;&gt;"")*Erste))&gt;0,IF(COUNTIF(B76:AF76,1)&gt;0,"; ","")&amp;(COUNTIFS(B27:AF27,"?*",$B$52:$AF$52,1)-SUMPRODUCT(COUNTIFS(B27:AF27,Codes,$B$52:$AF$52,1)*(Codes&lt;&gt;"")*Erste))&amp;"× unbekanntes Kürzel",""))</f>
      </c>
    </row>
    <row r="28" spans="1:38" x14ac:dyDescent="0.25">
      <c r="A28" s="33">
        <f>Mitarbeiter!$A$27&amp;""</f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5">
        <f>IF($A28="","",SUMPRODUCT(COUNTIFS(B28:AF28,Codes,$B$52:$AF$52,1)*(Arten="Arbeit")*Erste*NettoTage)+SUMPRODUCT(COUNTIFS(B28:AF28,Codes,$B$53:$AF$53,1)*((Arten="Urlaub")+(Arten="Krank")+(Arten="Bezahlt abwesend"))*Erste)*N(Mitarbeiter!$B$27)/5/24)</f>
      </c>
      <c r="AH28" s="35">
        <f>IF($A28="","",N(Mitarbeiter!$B$27)/5/24*SUM($B$53:$AF$53))</f>
      </c>
      <c r="AI28" s="36">
        <f>IF($A28="","",IF((AG28-AH28)&lt;0,"-","+")&amp;TEXT(ABS((AG28-AH28)),"[h]:mm"))</f>
      </c>
      <c r="AJ28" s="37">
        <f>IF($A28="","",SUMPRODUCT(COUNTIFS(B28:AF28,Codes,$B$53:$AF$53,1)*(Arten="Urlaub")*Erste))</f>
      </c>
      <c r="AK28" s="37">
        <f>IF($A28="","",SUMPRODUCT(COUNTIFS(B28:AF28,Codes,$B$53:$AF$53,1)*(Arten="Krank")*Erste))</f>
      </c>
      <c r="AL28" s="38">
        <f>IF($A28="","",IF(COUNTIF(B77:AF77,1)&gt;0,COUNTIF(B77:AF77,1)&amp;"× Ruhezeit unter 11 Std. (§ 5)","")&amp;IF((COUNTIFS(B28:AF28,"?*",$B$52:$AF$52,1)-SUMPRODUCT(COUNTIFS(B28:AF28,Codes,$B$52:$AF$52,1)*(Codes&lt;&gt;"")*Erste))&gt;0,IF(COUNTIF(B77:AF77,1)&gt;0,"; ","")&amp;(COUNTIFS(B28:AF28,"?*",$B$52:$AF$52,1)-SUMPRODUCT(COUNTIFS(B28:AF28,Codes,$B$52:$AF$52,1)*(Codes&lt;&gt;"")*Erste))&amp;"× unbekanntes Kürzel",""))</f>
      </c>
    </row>
    <row r="29" spans="1:38" x14ac:dyDescent="0.25">
      <c r="A29" s="33">
        <f>Mitarbeiter!$A$28&amp;""</f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5">
        <f>IF($A29="","",SUMPRODUCT(COUNTIFS(B29:AF29,Codes,$B$52:$AF$52,1)*(Arten="Arbeit")*Erste*NettoTage)+SUMPRODUCT(COUNTIFS(B29:AF29,Codes,$B$53:$AF$53,1)*((Arten="Urlaub")+(Arten="Krank")+(Arten="Bezahlt abwesend"))*Erste)*N(Mitarbeiter!$B$28)/5/24)</f>
      </c>
      <c r="AH29" s="35">
        <f>IF($A29="","",N(Mitarbeiter!$B$28)/5/24*SUM($B$53:$AF$53))</f>
      </c>
      <c r="AI29" s="36">
        <f>IF($A29="","",IF((AG29-AH29)&lt;0,"-","+")&amp;TEXT(ABS((AG29-AH29)),"[h]:mm"))</f>
      </c>
      <c r="AJ29" s="37">
        <f>IF($A29="","",SUMPRODUCT(COUNTIFS(B29:AF29,Codes,$B$53:$AF$53,1)*(Arten="Urlaub")*Erste))</f>
      </c>
      <c r="AK29" s="37">
        <f>IF($A29="","",SUMPRODUCT(COUNTIFS(B29:AF29,Codes,$B$53:$AF$53,1)*(Arten="Krank")*Erste))</f>
      </c>
      <c r="AL29" s="38">
        <f>IF($A29="","",IF(COUNTIF(B78:AF78,1)&gt;0,COUNTIF(B78:AF78,1)&amp;"× Ruhezeit unter 11 Std. (§ 5)","")&amp;IF((COUNTIFS(B29:AF29,"?*",$B$52:$AF$52,1)-SUMPRODUCT(COUNTIFS(B29:AF29,Codes,$B$52:$AF$52,1)*(Codes&lt;&gt;"")*Erste))&gt;0,IF(COUNTIF(B78:AF78,1)&gt;0,"; ","")&amp;(COUNTIFS(B29:AF29,"?*",$B$52:$AF$52,1)-SUMPRODUCT(COUNTIFS(B29:AF29,Codes,$B$52:$AF$52,1)*(Codes&lt;&gt;"")*Erste))&amp;"× unbekanntes Kürzel",""))</f>
      </c>
    </row>
    <row r="30" spans="1:38" x14ac:dyDescent="0.25">
      <c r="A30" s="33">
        <f>Mitarbeiter!$A$29&amp;""</f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5">
        <f>IF($A30="","",SUMPRODUCT(COUNTIFS(B30:AF30,Codes,$B$52:$AF$52,1)*(Arten="Arbeit")*Erste*NettoTage)+SUMPRODUCT(COUNTIFS(B30:AF30,Codes,$B$53:$AF$53,1)*((Arten="Urlaub")+(Arten="Krank")+(Arten="Bezahlt abwesend"))*Erste)*N(Mitarbeiter!$B$29)/5/24)</f>
      </c>
      <c r="AH30" s="35">
        <f>IF($A30="","",N(Mitarbeiter!$B$29)/5/24*SUM($B$53:$AF$53))</f>
      </c>
      <c r="AI30" s="36">
        <f>IF($A30="","",IF((AG30-AH30)&lt;0,"-","+")&amp;TEXT(ABS((AG30-AH30)),"[h]:mm"))</f>
      </c>
      <c r="AJ30" s="37">
        <f>IF($A30="","",SUMPRODUCT(COUNTIFS(B30:AF30,Codes,$B$53:$AF$53,1)*(Arten="Urlaub")*Erste))</f>
      </c>
      <c r="AK30" s="37">
        <f>IF($A30="","",SUMPRODUCT(COUNTIFS(B30:AF30,Codes,$B$53:$AF$53,1)*(Arten="Krank")*Erste))</f>
      </c>
      <c r="AL30" s="38">
        <f>IF($A30="","",IF(COUNTIF(B79:AF79,1)&gt;0,COUNTIF(B79:AF79,1)&amp;"× Ruhezeit unter 11 Std. (§ 5)","")&amp;IF((COUNTIFS(B30:AF30,"?*",$B$52:$AF$52,1)-SUMPRODUCT(COUNTIFS(B30:AF30,Codes,$B$52:$AF$52,1)*(Codes&lt;&gt;"")*Erste))&gt;0,IF(COUNTIF(B79:AF79,1)&gt;0,"; ","")&amp;(COUNTIFS(B30:AF30,"?*",$B$52:$AF$52,1)-SUMPRODUCT(COUNTIFS(B30:AF30,Codes,$B$52:$AF$52,1)*(Codes&lt;&gt;"")*Erste))&amp;"× unbekanntes Kürzel",""))</f>
      </c>
    </row>
    <row r="31" spans="1:38" x14ac:dyDescent="0.25">
      <c r="A31" s="33">
        <f>Mitarbeiter!$A$30&amp;""</f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5">
        <f>IF($A31="","",SUMPRODUCT(COUNTIFS(B31:AF31,Codes,$B$52:$AF$52,1)*(Arten="Arbeit")*Erste*NettoTage)+SUMPRODUCT(COUNTIFS(B31:AF31,Codes,$B$53:$AF$53,1)*((Arten="Urlaub")+(Arten="Krank")+(Arten="Bezahlt abwesend"))*Erste)*N(Mitarbeiter!$B$30)/5/24)</f>
      </c>
      <c r="AH31" s="35">
        <f>IF($A31="","",N(Mitarbeiter!$B$30)/5/24*SUM($B$53:$AF$53))</f>
      </c>
      <c r="AI31" s="36">
        <f>IF($A31="","",IF((AG31-AH31)&lt;0,"-","+")&amp;TEXT(ABS((AG31-AH31)),"[h]:mm"))</f>
      </c>
      <c r="AJ31" s="37">
        <f>IF($A31="","",SUMPRODUCT(COUNTIFS(B31:AF31,Codes,$B$53:$AF$53,1)*(Arten="Urlaub")*Erste))</f>
      </c>
      <c r="AK31" s="37">
        <f>IF($A31="","",SUMPRODUCT(COUNTIFS(B31:AF31,Codes,$B$53:$AF$53,1)*(Arten="Krank")*Erste))</f>
      </c>
      <c r="AL31" s="38">
        <f>IF($A31="","",IF(COUNTIF(B80:AF80,1)&gt;0,COUNTIF(B80:AF80,1)&amp;"× Ruhezeit unter 11 Std. (§ 5)","")&amp;IF((COUNTIFS(B31:AF31,"?*",$B$52:$AF$52,1)-SUMPRODUCT(COUNTIFS(B31:AF31,Codes,$B$52:$AF$52,1)*(Codes&lt;&gt;"")*Erste))&gt;0,IF(COUNTIF(B80:AF80,1)&gt;0,"; ","")&amp;(COUNTIFS(B31:AF31,"?*",$B$52:$AF$52,1)-SUMPRODUCT(COUNTIFS(B31:AF31,Codes,$B$52:$AF$52,1)*(Codes&lt;&gt;"")*Erste))&amp;"× unbekanntes Kürzel",""))</f>
      </c>
    </row>
    <row r="32" spans="1:38" x14ac:dyDescent="0.25">
      <c r="A32" s="33">
        <f>Mitarbeiter!$A$31&amp;""</f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5">
        <f>IF($A32="","",SUMPRODUCT(COUNTIFS(B32:AF32,Codes,$B$52:$AF$52,1)*(Arten="Arbeit")*Erste*NettoTage)+SUMPRODUCT(COUNTIFS(B32:AF32,Codes,$B$53:$AF$53,1)*((Arten="Urlaub")+(Arten="Krank")+(Arten="Bezahlt abwesend"))*Erste)*N(Mitarbeiter!$B$31)/5/24)</f>
      </c>
      <c r="AH32" s="35">
        <f>IF($A32="","",N(Mitarbeiter!$B$31)/5/24*SUM($B$53:$AF$53))</f>
      </c>
      <c r="AI32" s="36">
        <f>IF($A32="","",IF((AG32-AH32)&lt;0,"-","+")&amp;TEXT(ABS((AG32-AH32)),"[h]:mm"))</f>
      </c>
      <c r="AJ32" s="37">
        <f>IF($A32="","",SUMPRODUCT(COUNTIFS(B32:AF32,Codes,$B$53:$AF$53,1)*(Arten="Urlaub")*Erste))</f>
      </c>
      <c r="AK32" s="37">
        <f>IF($A32="","",SUMPRODUCT(COUNTIFS(B32:AF32,Codes,$B$53:$AF$53,1)*(Arten="Krank")*Erste))</f>
      </c>
      <c r="AL32" s="38">
        <f>IF($A32="","",IF(COUNTIF(B81:AF81,1)&gt;0,COUNTIF(B81:AF81,1)&amp;"× Ruhezeit unter 11 Std. (§ 5)","")&amp;IF((COUNTIFS(B32:AF32,"?*",$B$52:$AF$52,1)-SUMPRODUCT(COUNTIFS(B32:AF32,Codes,$B$52:$AF$52,1)*(Codes&lt;&gt;"")*Erste))&gt;0,IF(COUNTIF(B81:AF81,1)&gt;0,"; ","")&amp;(COUNTIFS(B32:AF32,"?*",$B$52:$AF$52,1)-SUMPRODUCT(COUNTIFS(B32:AF32,Codes,$B$52:$AF$52,1)*(Codes&lt;&gt;"")*Erste))&amp;"× unbekanntes Kürzel",""))</f>
      </c>
    </row>
    <row r="33" spans="1:38" x14ac:dyDescent="0.25">
      <c r="A33" s="33">
        <f>Mitarbeiter!$A$32&amp;""</f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5">
        <f>IF($A33="","",SUMPRODUCT(COUNTIFS(B33:AF33,Codes,$B$52:$AF$52,1)*(Arten="Arbeit")*Erste*NettoTage)+SUMPRODUCT(COUNTIFS(B33:AF33,Codes,$B$53:$AF$53,1)*((Arten="Urlaub")+(Arten="Krank")+(Arten="Bezahlt abwesend"))*Erste)*N(Mitarbeiter!$B$32)/5/24)</f>
      </c>
      <c r="AH33" s="35">
        <f>IF($A33="","",N(Mitarbeiter!$B$32)/5/24*SUM($B$53:$AF$53))</f>
      </c>
      <c r="AI33" s="36">
        <f>IF($A33="","",IF((AG33-AH33)&lt;0,"-","+")&amp;TEXT(ABS((AG33-AH33)),"[h]:mm"))</f>
      </c>
      <c r="AJ33" s="37">
        <f>IF($A33="","",SUMPRODUCT(COUNTIFS(B33:AF33,Codes,$B$53:$AF$53,1)*(Arten="Urlaub")*Erste))</f>
      </c>
      <c r="AK33" s="37">
        <f>IF($A33="","",SUMPRODUCT(COUNTIFS(B33:AF33,Codes,$B$53:$AF$53,1)*(Arten="Krank")*Erste))</f>
      </c>
      <c r="AL33" s="38">
        <f>IF($A33="","",IF(COUNTIF(B82:AF82,1)&gt;0,COUNTIF(B82:AF82,1)&amp;"× Ruhezeit unter 11 Std. (§ 5)","")&amp;IF((COUNTIFS(B33:AF33,"?*",$B$52:$AF$52,1)-SUMPRODUCT(COUNTIFS(B33:AF33,Codes,$B$52:$AF$52,1)*(Codes&lt;&gt;"")*Erste))&gt;0,IF(COUNTIF(B82:AF82,1)&gt;0,"; ","")&amp;(COUNTIFS(B33:AF33,"?*",$B$52:$AF$52,1)-SUMPRODUCT(COUNTIFS(B33:AF33,Codes,$B$52:$AF$52,1)*(Codes&lt;&gt;"")*Erste))&amp;"× unbekanntes Kürzel",""))</f>
      </c>
    </row>
    <row r="34" spans="1:38" x14ac:dyDescent="0.25">
      <c r="A34" s="33">
        <f>Mitarbeiter!$A$33&amp;""</f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5">
        <f>IF($A34="","",SUMPRODUCT(COUNTIFS(B34:AF34,Codes,$B$52:$AF$52,1)*(Arten="Arbeit")*Erste*NettoTage)+SUMPRODUCT(COUNTIFS(B34:AF34,Codes,$B$53:$AF$53,1)*((Arten="Urlaub")+(Arten="Krank")+(Arten="Bezahlt abwesend"))*Erste)*N(Mitarbeiter!$B$33)/5/24)</f>
      </c>
      <c r="AH34" s="35">
        <f>IF($A34="","",N(Mitarbeiter!$B$33)/5/24*SUM($B$53:$AF$53))</f>
      </c>
      <c r="AI34" s="36">
        <f>IF($A34="","",IF((AG34-AH34)&lt;0,"-","+")&amp;TEXT(ABS((AG34-AH34)),"[h]:mm"))</f>
      </c>
      <c r="AJ34" s="37">
        <f>IF($A34="","",SUMPRODUCT(COUNTIFS(B34:AF34,Codes,$B$53:$AF$53,1)*(Arten="Urlaub")*Erste))</f>
      </c>
      <c r="AK34" s="37">
        <f>IF($A34="","",SUMPRODUCT(COUNTIFS(B34:AF34,Codes,$B$53:$AF$53,1)*(Arten="Krank")*Erste))</f>
      </c>
      <c r="AL34" s="38">
        <f>IF($A34="","",IF(COUNTIF(B83:AF83,1)&gt;0,COUNTIF(B83:AF83,1)&amp;"× Ruhezeit unter 11 Std. (§ 5)","")&amp;IF((COUNTIFS(B34:AF34,"?*",$B$52:$AF$52,1)-SUMPRODUCT(COUNTIFS(B34:AF34,Codes,$B$52:$AF$52,1)*(Codes&lt;&gt;"")*Erste))&gt;0,IF(COUNTIF(B83:AF83,1)&gt;0,"; ","")&amp;(COUNTIFS(B34:AF34,"?*",$B$52:$AF$52,1)-SUMPRODUCT(COUNTIFS(B34:AF34,Codes,$B$52:$AF$52,1)*(Codes&lt;&gt;"")*Erste))&amp;"× unbekanntes Kürzel",""))</f>
      </c>
    </row>
    <row r="35" spans="1:38" x14ac:dyDescent="0.25">
      <c r="A35" s="33">
        <f>Mitarbeiter!$A$34&amp;""</f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5">
        <f>IF($A35="","",SUMPRODUCT(COUNTIFS(B35:AF35,Codes,$B$52:$AF$52,1)*(Arten="Arbeit")*Erste*NettoTage)+SUMPRODUCT(COUNTIFS(B35:AF35,Codes,$B$53:$AF$53,1)*((Arten="Urlaub")+(Arten="Krank")+(Arten="Bezahlt abwesend"))*Erste)*N(Mitarbeiter!$B$34)/5/24)</f>
      </c>
      <c r="AH35" s="35">
        <f>IF($A35="","",N(Mitarbeiter!$B$34)/5/24*SUM($B$53:$AF$53))</f>
      </c>
      <c r="AI35" s="36">
        <f>IF($A35="","",IF((AG35-AH35)&lt;0,"-","+")&amp;TEXT(ABS((AG35-AH35)),"[h]:mm"))</f>
      </c>
      <c r="AJ35" s="37">
        <f>IF($A35="","",SUMPRODUCT(COUNTIFS(B35:AF35,Codes,$B$53:$AF$53,1)*(Arten="Urlaub")*Erste))</f>
      </c>
      <c r="AK35" s="37">
        <f>IF($A35="","",SUMPRODUCT(COUNTIFS(B35:AF35,Codes,$B$53:$AF$53,1)*(Arten="Krank")*Erste))</f>
      </c>
      <c r="AL35" s="38">
        <f>IF($A35="","",IF(COUNTIF(B84:AF84,1)&gt;0,COUNTIF(B84:AF84,1)&amp;"× Ruhezeit unter 11 Std. (§ 5)","")&amp;IF((COUNTIFS(B35:AF35,"?*",$B$52:$AF$52,1)-SUMPRODUCT(COUNTIFS(B35:AF35,Codes,$B$52:$AF$52,1)*(Codes&lt;&gt;"")*Erste))&gt;0,IF(COUNTIF(B84:AF84,1)&gt;0,"; ","")&amp;(COUNTIFS(B35:AF35,"?*",$B$52:$AF$52,1)-SUMPRODUCT(COUNTIFS(B35:AF35,Codes,$B$52:$AF$52,1)*(Codes&lt;&gt;"")*Erste))&amp;"× unbekanntes Kürzel",""))</f>
      </c>
    </row>
    <row r="37" spans="1:1" x14ac:dyDescent="0.25">
      <c r="A37" s="39" t="s">
        <v>63</v>
      </c>
    </row>
    <row r="38" spans="1:39" x14ac:dyDescent="0.25">
      <c r="A38" s="40">
        <f>IFERROR(INDEX(Codes,MATCH(1,ArbeitNr,0))&amp;" "&amp;INDEX(Bezeichnungen,MATCH(1,ArbeitNr,0)),"")</f>
      </c>
      <c r="B38" s="41">
        <f>IF(OR($AM38="",B$52=0),"",COUNTIF(B$6:B$35,$AM38))</f>
      </c>
      <c r="C38" s="41">
        <f>IF(OR($AM38="",C$52=0),"",COUNTIF(C$6:C$35,$AM38))</f>
      </c>
      <c r="D38" s="41">
        <f>IF(OR($AM38="",D$52=0),"",COUNTIF(D$6:D$35,$AM38))</f>
      </c>
      <c r="E38" s="41">
        <f>IF(OR($AM38="",E$52=0),"",COUNTIF(E$6:E$35,$AM38))</f>
      </c>
      <c r="F38" s="41">
        <f>IF(OR($AM38="",F$52=0),"",COUNTIF(F$6:F$35,$AM38))</f>
      </c>
      <c r="G38" s="41">
        <f>IF(OR($AM38="",G$52=0),"",COUNTIF(G$6:G$35,$AM38))</f>
      </c>
      <c r="H38" s="41">
        <f>IF(OR($AM38="",H$52=0),"",COUNTIF(H$6:H$35,$AM38))</f>
      </c>
      <c r="I38" s="41">
        <f>IF(OR($AM38="",I$52=0),"",COUNTIF(I$6:I$35,$AM38))</f>
      </c>
      <c r="J38" s="41">
        <f>IF(OR($AM38="",J$52=0),"",COUNTIF(J$6:J$35,$AM38))</f>
      </c>
      <c r="K38" s="41">
        <f>IF(OR($AM38="",K$52=0),"",COUNTIF(K$6:K$35,$AM38))</f>
      </c>
      <c r="L38" s="41">
        <f>IF(OR($AM38="",L$52=0),"",COUNTIF(L$6:L$35,$AM38))</f>
      </c>
      <c r="M38" s="41">
        <f>IF(OR($AM38="",M$52=0),"",COUNTIF(M$6:M$35,$AM38))</f>
      </c>
      <c r="N38" s="41">
        <f>IF(OR($AM38="",N$52=0),"",COUNTIF(N$6:N$35,$AM38))</f>
      </c>
      <c r="O38" s="41">
        <f>IF(OR($AM38="",O$52=0),"",COUNTIF(O$6:O$35,$AM38))</f>
      </c>
      <c r="P38" s="41">
        <f>IF(OR($AM38="",P$52=0),"",COUNTIF(P$6:P$35,$AM38))</f>
      </c>
      <c r="Q38" s="41">
        <f>IF(OR($AM38="",Q$52=0),"",COUNTIF(Q$6:Q$35,$AM38))</f>
      </c>
      <c r="R38" s="41">
        <f>IF(OR($AM38="",R$52=0),"",COUNTIF(R$6:R$35,$AM38))</f>
      </c>
      <c r="S38" s="41">
        <f>IF(OR($AM38="",S$52=0),"",COUNTIF(S$6:S$35,$AM38))</f>
      </c>
      <c r="T38" s="41">
        <f>IF(OR($AM38="",T$52=0),"",COUNTIF(T$6:T$35,$AM38))</f>
      </c>
      <c r="U38" s="41">
        <f>IF(OR($AM38="",U$52=0),"",COUNTIF(U$6:U$35,$AM38))</f>
      </c>
      <c r="V38" s="41">
        <f>IF(OR($AM38="",V$52=0),"",COUNTIF(V$6:V$35,$AM38))</f>
      </c>
      <c r="W38" s="41">
        <f>IF(OR($AM38="",W$52=0),"",COUNTIF(W$6:W$35,$AM38))</f>
      </c>
      <c r="X38" s="41">
        <f>IF(OR($AM38="",X$52=0),"",COUNTIF(X$6:X$35,$AM38))</f>
      </c>
      <c r="Y38" s="41">
        <f>IF(OR($AM38="",Y$52=0),"",COUNTIF(Y$6:Y$35,$AM38))</f>
      </c>
      <c r="Z38" s="41">
        <f>IF(OR($AM38="",Z$52=0),"",COUNTIF(Z$6:Z$35,$AM38))</f>
      </c>
      <c r="AA38" s="41">
        <f>IF(OR($AM38="",AA$52=0),"",COUNTIF(AA$6:AA$35,$AM38))</f>
      </c>
      <c r="AB38" s="41">
        <f>IF(OR($AM38="",AB$52=0),"",COUNTIF(AB$6:AB$35,$AM38))</f>
      </c>
      <c r="AC38" s="41">
        <f>IF(OR($AM38="",AC$52=0),"",COUNTIF(AC$6:AC$35,$AM38))</f>
      </c>
      <c r="AD38" s="41">
        <f>IF(OR($AM38="",AD$52=0),"",COUNTIF(AD$6:AD$35,$AM38))</f>
      </c>
      <c r="AE38" s="41">
        <f>IF(OR($AM38="",AE$52=0),"",COUNTIF(AE$6:AE$35,$AM38))</f>
      </c>
      <c r="AF38" s="41">
        <f>IF(OR($AM38="",AF$52=0),"",COUNTIF(AF$6:AF$35,$AM38))</f>
      </c>
      <c r="AG38" s="1"/>
      <c r="AH38" s="1"/>
      <c r="AI38" s="1"/>
      <c r="AJ38" s="1"/>
      <c r="AK38" s="1"/>
      <c r="AL38" s="1"/>
      <c r="AM38" s="1">
        <f>IFERROR(INDEX(Codes,MATCH(1,ArbeitNr,0)),"")</f>
      </c>
    </row>
    <row r="39" spans="1:39" x14ac:dyDescent="0.25">
      <c r="A39" s="40">
        <f>IFERROR(INDEX(Codes,MATCH(2,ArbeitNr,0))&amp;" "&amp;INDEX(Bezeichnungen,MATCH(2,ArbeitNr,0)),"")</f>
      </c>
      <c r="B39" s="41">
        <f>IF(OR($AM39="",B$52=0),"",COUNTIF(B$6:B$35,$AM39))</f>
      </c>
      <c r="C39" s="41">
        <f>IF(OR($AM39="",C$52=0),"",COUNTIF(C$6:C$35,$AM39))</f>
      </c>
      <c r="D39" s="41">
        <f>IF(OR($AM39="",D$52=0),"",COUNTIF(D$6:D$35,$AM39))</f>
      </c>
      <c r="E39" s="41">
        <f>IF(OR($AM39="",E$52=0),"",COUNTIF(E$6:E$35,$AM39))</f>
      </c>
      <c r="F39" s="41">
        <f>IF(OR($AM39="",F$52=0),"",COUNTIF(F$6:F$35,$AM39))</f>
      </c>
      <c r="G39" s="41">
        <f>IF(OR($AM39="",G$52=0),"",COUNTIF(G$6:G$35,$AM39))</f>
      </c>
      <c r="H39" s="41">
        <f>IF(OR($AM39="",H$52=0),"",COUNTIF(H$6:H$35,$AM39))</f>
      </c>
      <c r="I39" s="41">
        <f>IF(OR($AM39="",I$52=0),"",COUNTIF(I$6:I$35,$AM39))</f>
      </c>
      <c r="J39" s="41">
        <f>IF(OR($AM39="",J$52=0),"",COUNTIF(J$6:J$35,$AM39))</f>
      </c>
      <c r="K39" s="41">
        <f>IF(OR($AM39="",K$52=0),"",COUNTIF(K$6:K$35,$AM39))</f>
      </c>
      <c r="L39" s="41">
        <f>IF(OR($AM39="",L$52=0),"",COUNTIF(L$6:L$35,$AM39))</f>
      </c>
      <c r="M39" s="41">
        <f>IF(OR($AM39="",M$52=0),"",COUNTIF(M$6:M$35,$AM39))</f>
      </c>
      <c r="N39" s="41">
        <f>IF(OR($AM39="",N$52=0),"",COUNTIF(N$6:N$35,$AM39))</f>
      </c>
      <c r="O39" s="41">
        <f>IF(OR($AM39="",O$52=0),"",COUNTIF(O$6:O$35,$AM39))</f>
      </c>
      <c r="P39" s="41">
        <f>IF(OR($AM39="",P$52=0),"",COUNTIF(P$6:P$35,$AM39))</f>
      </c>
      <c r="Q39" s="41">
        <f>IF(OR($AM39="",Q$52=0),"",COUNTIF(Q$6:Q$35,$AM39))</f>
      </c>
      <c r="R39" s="41">
        <f>IF(OR($AM39="",R$52=0),"",COUNTIF(R$6:R$35,$AM39))</f>
      </c>
      <c r="S39" s="41">
        <f>IF(OR($AM39="",S$52=0),"",COUNTIF(S$6:S$35,$AM39))</f>
      </c>
      <c r="T39" s="41">
        <f>IF(OR($AM39="",T$52=0),"",COUNTIF(T$6:T$35,$AM39))</f>
      </c>
      <c r="U39" s="41">
        <f>IF(OR($AM39="",U$52=0),"",COUNTIF(U$6:U$35,$AM39))</f>
      </c>
      <c r="V39" s="41">
        <f>IF(OR($AM39="",V$52=0),"",COUNTIF(V$6:V$35,$AM39))</f>
      </c>
      <c r="W39" s="41">
        <f>IF(OR($AM39="",W$52=0),"",COUNTIF(W$6:W$35,$AM39))</f>
      </c>
      <c r="X39" s="41">
        <f>IF(OR($AM39="",X$52=0),"",COUNTIF(X$6:X$35,$AM39))</f>
      </c>
      <c r="Y39" s="41">
        <f>IF(OR($AM39="",Y$52=0),"",COUNTIF(Y$6:Y$35,$AM39))</f>
      </c>
      <c r="Z39" s="41">
        <f>IF(OR($AM39="",Z$52=0),"",COUNTIF(Z$6:Z$35,$AM39))</f>
      </c>
      <c r="AA39" s="41">
        <f>IF(OR($AM39="",AA$52=0),"",COUNTIF(AA$6:AA$35,$AM39))</f>
      </c>
      <c r="AB39" s="41">
        <f>IF(OR($AM39="",AB$52=0),"",COUNTIF(AB$6:AB$35,$AM39))</f>
      </c>
      <c r="AC39" s="41">
        <f>IF(OR($AM39="",AC$52=0),"",COUNTIF(AC$6:AC$35,$AM39))</f>
      </c>
      <c r="AD39" s="41">
        <f>IF(OR($AM39="",AD$52=0),"",COUNTIF(AD$6:AD$35,$AM39))</f>
      </c>
      <c r="AE39" s="41">
        <f>IF(OR($AM39="",AE$52=0),"",COUNTIF(AE$6:AE$35,$AM39))</f>
      </c>
      <c r="AF39" s="41">
        <f>IF(OR($AM39="",AF$52=0),"",COUNTIF(AF$6:AF$35,$AM39))</f>
      </c>
      <c r="AG39" s="1"/>
      <c r="AH39" s="1"/>
      <c r="AI39" s="1"/>
      <c r="AJ39" s="1"/>
      <c r="AK39" s="1"/>
      <c r="AL39" s="1"/>
      <c r="AM39" s="1">
        <f>IFERROR(INDEX(Codes,MATCH(2,ArbeitNr,0)),"")</f>
      </c>
    </row>
    <row r="40" spans="1:39" x14ac:dyDescent="0.25">
      <c r="A40" s="40">
        <f>IFERROR(INDEX(Codes,MATCH(3,ArbeitNr,0))&amp;" "&amp;INDEX(Bezeichnungen,MATCH(3,ArbeitNr,0)),"")</f>
      </c>
      <c r="B40" s="41">
        <f>IF(OR($AM40="",B$52=0),"",COUNTIF(B$6:B$35,$AM40))</f>
      </c>
      <c r="C40" s="41">
        <f>IF(OR($AM40="",C$52=0),"",COUNTIF(C$6:C$35,$AM40))</f>
      </c>
      <c r="D40" s="41">
        <f>IF(OR($AM40="",D$52=0),"",COUNTIF(D$6:D$35,$AM40))</f>
      </c>
      <c r="E40" s="41">
        <f>IF(OR($AM40="",E$52=0),"",COUNTIF(E$6:E$35,$AM40))</f>
      </c>
      <c r="F40" s="41">
        <f>IF(OR($AM40="",F$52=0),"",COUNTIF(F$6:F$35,$AM40))</f>
      </c>
      <c r="G40" s="41">
        <f>IF(OR($AM40="",G$52=0),"",COUNTIF(G$6:G$35,$AM40))</f>
      </c>
      <c r="H40" s="41">
        <f>IF(OR($AM40="",H$52=0),"",COUNTIF(H$6:H$35,$AM40))</f>
      </c>
      <c r="I40" s="41">
        <f>IF(OR($AM40="",I$52=0),"",COUNTIF(I$6:I$35,$AM40))</f>
      </c>
      <c r="J40" s="41">
        <f>IF(OR($AM40="",J$52=0),"",COUNTIF(J$6:J$35,$AM40))</f>
      </c>
      <c r="K40" s="41">
        <f>IF(OR($AM40="",K$52=0),"",COUNTIF(K$6:K$35,$AM40))</f>
      </c>
      <c r="L40" s="41">
        <f>IF(OR($AM40="",L$52=0),"",COUNTIF(L$6:L$35,$AM40))</f>
      </c>
      <c r="M40" s="41">
        <f>IF(OR($AM40="",M$52=0),"",COUNTIF(M$6:M$35,$AM40))</f>
      </c>
      <c r="N40" s="41">
        <f>IF(OR($AM40="",N$52=0),"",COUNTIF(N$6:N$35,$AM40))</f>
      </c>
      <c r="O40" s="41">
        <f>IF(OR($AM40="",O$52=0),"",COUNTIF(O$6:O$35,$AM40))</f>
      </c>
      <c r="P40" s="41">
        <f>IF(OR($AM40="",P$52=0),"",COUNTIF(P$6:P$35,$AM40))</f>
      </c>
      <c r="Q40" s="41">
        <f>IF(OR($AM40="",Q$52=0),"",COUNTIF(Q$6:Q$35,$AM40))</f>
      </c>
      <c r="R40" s="41">
        <f>IF(OR($AM40="",R$52=0),"",COUNTIF(R$6:R$35,$AM40))</f>
      </c>
      <c r="S40" s="41">
        <f>IF(OR($AM40="",S$52=0),"",COUNTIF(S$6:S$35,$AM40))</f>
      </c>
      <c r="T40" s="41">
        <f>IF(OR($AM40="",T$52=0),"",COUNTIF(T$6:T$35,$AM40))</f>
      </c>
      <c r="U40" s="41">
        <f>IF(OR($AM40="",U$52=0),"",COUNTIF(U$6:U$35,$AM40))</f>
      </c>
      <c r="V40" s="41">
        <f>IF(OR($AM40="",V$52=0),"",COUNTIF(V$6:V$35,$AM40))</f>
      </c>
      <c r="W40" s="41">
        <f>IF(OR($AM40="",W$52=0),"",COUNTIF(W$6:W$35,$AM40))</f>
      </c>
      <c r="X40" s="41">
        <f>IF(OR($AM40="",X$52=0),"",COUNTIF(X$6:X$35,$AM40))</f>
      </c>
      <c r="Y40" s="41">
        <f>IF(OR($AM40="",Y$52=0),"",COUNTIF(Y$6:Y$35,$AM40))</f>
      </c>
      <c r="Z40" s="41">
        <f>IF(OR($AM40="",Z$52=0),"",COUNTIF(Z$6:Z$35,$AM40))</f>
      </c>
      <c r="AA40" s="41">
        <f>IF(OR($AM40="",AA$52=0),"",COUNTIF(AA$6:AA$35,$AM40))</f>
      </c>
      <c r="AB40" s="41">
        <f>IF(OR($AM40="",AB$52=0),"",COUNTIF(AB$6:AB$35,$AM40))</f>
      </c>
      <c r="AC40" s="41">
        <f>IF(OR($AM40="",AC$52=0),"",COUNTIF(AC$6:AC$35,$AM40))</f>
      </c>
      <c r="AD40" s="41">
        <f>IF(OR($AM40="",AD$52=0),"",COUNTIF(AD$6:AD$35,$AM40))</f>
      </c>
      <c r="AE40" s="41">
        <f>IF(OR($AM40="",AE$52=0),"",COUNTIF(AE$6:AE$35,$AM40))</f>
      </c>
      <c r="AF40" s="41">
        <f>IF(OR($AM40="",AF$52=0),"",COUNTIF(AF$6:AF$35,$AM40))</f>
      </c>
      <c r="AG40" s="1"/>
      <c r="AH40" s="1"/>
      <c r="AI40" s="1"/>
      <c r="AJ40" s="1"/>
      <c r="AK40" s="1"/>
      <c r="AL40" s="1"/>
      <c r="AM40" s="1">
        <f>IFERROR(INDEX(Codes,MATCH(3,ArbeitNr,0)),"")</f>
      </c>
    </row>
    <row r="41" spans="1:39" x14ac:dyDescent="0.25">
      <c r="A41" s="40">
        <f>IFERROR(INDEX(Codes,MATCH(4,ArbeitNr,0))&amp;" "&amp;INDEX(Bezeichnungen,MATCH(4,ArbeitNr,0)),"")</f>
      </c>
      <c r="B41" s="41">
        <f>IF(OR($AM41="",B$52=0),"",COUNTIF(B$6:B$35,$AM41))</f>
      </c>
      <c r="C41" s="41">
        <f>IF(OR($AM41="",C$52=0),"",COUNTIF(C$6:C$35,$AM41))</f>
      </c>
      <c r="D41" s="41">
        <f>IF(OR($AM41="",D$52=0),"",COUNTIF(D$6:D$35,$AM41))</f>
      </c>
      <c r="E41" s="41">
        <f>IF(OR($AM41="",E$52=0),"",COUNTIF(E$6:E$35,$AM41))</f>
      </c>
      <c r="F41" s="41">
        <f>IF(OR($AM41="",F$52=0),"",COUNTIF(F$6:F$35,$AM41))</f>
      </c>
      <c r="G41" s="41">
        <f>IF(OR($AM41="",G$52=0),"",COUNTIF(G$6:G$35,$AM41))</f>
      </c>
      <c r="H41" s="41">
        <f>IF(OR($AM41="",H$52=0),"",COUNTIF(H$6:H$35,$AM41))</f>
      </c>
      <c r="I41" s="41">
        <f>IF(OR($AM41="",I$52=0),"",COUNTIF(I$6:I$35,$AM41))</f>
      </c>
      <c r="J41" s="41">
        <f>IF(OR($AM41="",J$52=0),"",COUNTIF(J$6:J$35,$AM41))</f>
      </c>
      <c r="K41" s="41">
        <f>IF(OR($AM41="",K$52=0),"",COUNTIF(K$6:K$35,$AM41))</f>
      </c>
      <c r="L41" s="41">
        <f>IF(OR($AM41="",L$52=0),"",COUNTIF(L$6:L$35,$AM41))</f>
      </c>
      <c r="M41" s="41">
        <f>IF(OR($AM41="",M$52=0),"",COUNTIF(M$6:M$35,$AM41))</f>
      </c>
      <c r="N41" s="41">
        <f>IF(OR($AM41="",N$52=0),"",COUNTIF(N$6:N$35,$AM41))</f>
      </c>
      <c r="O41" s="41">
        <f>IF(OR($AM41="",O$52=0),"",COUNTIF(O$6:O$35,$AM41))</f>
      </c>
      <c r="P41" s="41">
        <f>IF(OR($AM41="",P$52=0),"",COUNTIF(P$6:P$35,$AM41))</f>
      </c>
      <c r="Q41" s="41">
        <f>IF(OR($AM41="",Q$52=0),"",COUNTIF(Q$6:Q$35,$AM41))</f>
      </c>
      <c r="R41" s="41">
        <f>IF(OR($AM41="",R$52=0),"",COUNTIF(R$6:R$35,$AM41))</f>
      </c>
      <c r="S41" s="41">
        <f>IF(OR($AM41="",S$52=0),"",COUNTIF(S$6:S$35,$AM41))</f>
      </c>
      <c r="T41" s="41">
        <f>IF(OR($AM41="",T$52=0),"",COUNTIF(T$6:T$35,$AM41))</f>
      </c>
      <c r="U41" s="41">
        <f>IF(OR($AM41="",U$52=0),"",COUNTIF(U$6:U$35,$AM41))</f>
      </c>
      <c r="V41" s="41">
        <f>IF(OR($AM41="",V$52=0),"",COUNTIF(V$6:V$35,$AM41))</f>
      </c>
      <c r="W41" s="41">
        <f>IF(OR($AM41="",W$52=0),"",COUNTIF(W$6:W$35,$AM41))</f>
      </c>
      <c r="X41" s="41">
        <f>IF(OR($AM41="",X$52=0),"",COUNTIF(X$6:X$35,$AM41))</f>
      </c>
      <c r="Y41" s="41">
        <f>IF(OR($AM41="",Y$52=0),"",COUNTIF(Y$6:Y$35,$AM41))</f>
      </c>
      <c r="Z41" s="41">
        <f>IF(OR($AM41="",Z$52=0),"",COUNTIF(Z$6:Z$35,$AM41))</f>
      </c>
      <c r="AA41" s="41">
        <f>IF(OR($AM41="",AA$52=0),"",COUNTIF(AA$6:AA$35,$AM41))</f>
      </c>
      <c r="AB41" s="41">
        <f>IF(OR($AM41="",AB$52=0),"",COUNTIF(AB$6:AB$35,$AM41))</f>
      </c>
      <c r="AC41" s="41">
        <f>IF(OR($AM41="",AC$52=0),"",COUNTIF(AC$6:AC$35,$AM41))</f>
      </c>
      <c r="AD41" s="41">
        <f>IF(OR($AM41="",AD$52=0),"",COUNTIF(AD$6:AD$35,$AM41))</f>
      </c>
      <c r="AE41" s="41">
        <f>IF(OR($AM41="",AE$52=0),"",COUNTIF(AE$6:AE$35,$AM41))</f>
      </c>
      <c r="AF41" s="41">
        <f>IF(OR($AM41="",AF$52=0),"",COUNTIF(AF$6:AF$35,$AM41))</f>
      </c>
      <c r="AG41" s="1"/>
      <c r="AH41" s="1"/>
      <c r="AI41" s="1"/>
      <c r="AJ41" s="1"/>
      <c r="AK41" s="1"/>
      <c r="AL41" s="1"/>
      <c r="AM41" s="1">
        <f>IFERROR(INDEX(Codes,MATCH(4,ArbeitNr,0)),"")</f>
      </c>
    </row>
    <row r="42" spans="1:39" x14ac:dyDescent="0.25">
      <c r="A42" s="40">
        <f>IFERROR(INDEX(Codes,MATCH(5,ArbeitNr,0))&amp;" "&amp;INDEX(Bezeichnungen,MATCH(5,ArbeitNr,0)),"")</f>
      </c>
      <c r="B42" s="41">
        <f>IF(OR($AM42="",B$52=0),"",COUNTIF(B$6:B$35,$AM42))</f>
      </c>
      <c r="C42" s="41">
        <f>IF(OR($AM42="",C$52=0),"",COUNTIF(C$6:C$35,$AM42))</f>
      </c>
      <c r="D42" s="41">
        <f>IF(OR($AM42="",D$52=0),"",COUNTIF(D$6:D$35,$AM42))</f>
      </c>
      <c r="E42" s="41">
        <f>IF(OR($AM42="",E$52=0),"",COUNTIF(E$6:E$35,$AM42))</f>
      </c>
      <c r="F42" s="41">
        <f>IF(OR($AM42="",F$52=0),"",COUNTIF(F$6:F$35,$AM42))</f>
      </c>
      <c r="G42" s="41">
        <f>IF(OR($AM42="",G$52=0),"",COUNTIF(G$6:G$35,$AM42))</f>
      </c>
      <c r="H42" s="41">
        <f>IF(OR($AM42="",H$52=0),"",COUNTIF(H$6:H$35,$AM42))</f>
      </c>
      <c r="I42" s="41">
        <f>IF(OR($AM42="",I$52=0),"",COUNTIF(I$6:I$35,$AM42))</f>
      </c>
      <c r="J42" s="41">
        <f>IF(OR($AM42="",J$52=0),"",COUNTIF(J$6:J$35,$AM42))</f>
      </c>
      <c r="K42" s="41">
        <f>IF(OR($AM42="",K$52=0),"",COUNTIF(K$6:K$35,$AM42))</f>
      </c>
      <c r="L42" s="41">
        <f>IF(OR($AM42="",L$52=0),"",COUNTIF(L$6:L$35,$AM42))</f>
      </c>
      <c r="M42" s="41">
        <f>IF(OR($AM42="",M$52=0),"",COUNTIF(M$6:M$35,$AM42))</f>
      </c>
      <c r="N42" s="41">
        <f>IF(OR($AM42="",N$52=0),"",COUNTIF(N$6:N$35,$AM42))</f>
      </c>
      <c r="O42" s="41">
        <f>IF(OR($AM42="",O$52=0),"",COUNTIF(O$6:O$35,$AM42))</f>
      </c>
      <c r="P42" s="41">
        <f>IF(OR($AM42="",P$52=0),"",COUNTIF(P$6:P$35,$AM42))</f>
      </c>
      <c r="Q42" s="41">
        <f>IF(OR($AM42="",Q$52=0),"",COUNTIF(Q$6:Q$35,$AM42))</f>
      </c>
      <c r="R42" s="41">
        <f>IF(OR($AM42="",R$52=0),"",COUNTIF(R$6:R$35,$AM42))</f>
      </c>
      <c r="S42" s="41">
        <f>IF(OR($AM42="",S$52=0),"",COUNTIF(S$6:S$35,$AM42))</f>
      </c>
      <c r="T42" s="41">
        <f>IF(OR($AM42="",T$52=0),"",COUNTIF(T$6:T$35,$AM42))</f>
      </c>
      <c r="U42" s="41">
        <f>IF(OR($AM42="",U$52=0),"",COUNTIF(U$6:U$35,$AM42))</f>
      </c>
      <c r="V42" s="41">
        <f>IF(OR($AM42="",V$52=0),"",COUNTIF(V$6:V$35,$AM42))</f>
      </c>
      <c r="W42" s="41">
        <f>IF(OR($AM42="",W$52=0),"",COUNTIF(W$6:W$35,$AM42))</f>
      </c>
      <c r="X42" s="41">
        <f>IF(OR($AM42="",X$52=0),"",COUNTIF(X$6:X$35,$AM42))</f>
      </c>
      <c r="Y42" s="41">
        <f>IF(OR($AM42="",Y$52=0),"",COUNTIF(Y$6:Y$35,$AM42))</f>
      </c>
      <c r="Z42" s="41">
        <f>IF(OR($AM42="",Z$52=0),"",COUNTIF(Z$6:Z$35,$AM42))</f>
      </c>
      <c r="AA42" s="41">
        <f>IF(OR($AM42="",AA$52=0),"",COUNTIF(AA$6:AA$35,$AM42))</f>
      </c>
      <c r="AB42" s="41">
        <f>IF(OR($AM42="",AB$52=0),"",COUNTIF(AB$6:AB$35,$AM42))</f>
      </c>
      <c r="AC42" s="41">
        <f>IF(OR($AM42="",AC$52=0),"",COUNTIF(AC$6:AC$35,$AM42))</f>
      </c>
      <c r="AD42" s="41">
        <f>IF(OR($AM42="",AD$52=0),"",COUNTIF(AD$6:AD$35,$AM42))</f>
      </c>
      <c r="AE42" s="41">
        <f>IF(OR($AM42="",AE$52=0),"",COUNTIF(AE$6:AE$35,$AM42))</f>
      </c>
      <c r="AF42" s="41">
        <f>IF(OR($AM42="",AF$52=0),"",COUNTIF(AF$6:AF$35,$AM42))</f>
      </c>
      <c r="AG42" s="1"/>
      <c r="AH42" s="1"/>
      <c r="AI42" s="1"/>
      <c r="AJ42" s="1"/>
      <c r="AK42" s="1"/>
      <c r="AL42" s="1"/>
      <c r="AM42" s="1">
        <f>IFERROR(INDEX(Codes,MATCH(5,ArbeitNr,0)),"")</f>
      </c>
    </row>
    <row r="43" spans="1:39" x14ac:dyDescent="0.25">
      <c r="A43" s="40">
        <f>IFERROR(INDEX(Codes,MATCH(6,ArbeitNr,0))&amp;" "&amp;INDEX(Bezeichnungen,MATCH(6,ArbeitNr,0)),"")</f>
      </c>
      <c r="B43" s="41">
        <f>IF(OR($AM43="",B$52=0),"",COUNTIF(B$6:B$35,$AM43))</f>
      </c>
      <c r="C43" s="41">
        <f>IF(OR($AM43="",C$52=0),"",COUNTIF(C$6:C$35,$AM43))</f>
      </c>
      <c r="D43" s="41">
        <f>IF(OR($AM43="",D$52=0),"",COUNTIF(D$6:D$35,$AM43))</f>
      </c>
      <c r="E43" s="41">
        <f>IF(OR($AM43="",E$52=0),"",COUNTIF(E$6:E$35,$AM43))</f>
      </c>
      <c r="F43" s="41">
        <f>IF(OR($AM43="",F$52=0),"",COUNTIF(F$6:F$35,$AM43))</f>
      </c>
      <c r="G43" s="41">
        <f>IF(OR($AM43="",G$52=0),"",COUNTIF(G$6:G$35,$AM43))</f>
      </c>
      <c r="H43" s="41">
        <f>IF(OR($AM43="",H$52=0),"",COUNTIF(H$6:H$35,$AM43))</f>
      </c>
      <c r="I43" s="41">
        <f>IF(OR($AM43="",I$52=0),"",COUNTIF(I$6:I$35,$AM43))</f>
      </c>
      <c r="J43" s="41">
        <f>IF(OR($AM43="",J$52=0),"",COUNTIF(J$6:J$35,$AM43))</f>
      </c>
      <c r="K43" s="41">
        <f>IF(OR($AM43="",K$52=0),"",COUNTIF(K$6:K$35,$AM43))</f>
      </c>
      <c r="L43" s="41">
        <f>IF(OR($AM43="",L$52=0),"",COUNTIF(L$6:L$35,$AM43))</f>
      </c>
      <c r="M43" s="41">
        <f>IF(OR($AM43="",M$52=0),"",COUNTIF(M$6:M$35,$AM43))</f>
      </c>
      <c r="N43" s="41">
        <f>IF(OR($AM43="",N$52=0),"",COUNTIF(N$6:N$35,$AM43))</f>
      </c>
      <c r="O43" s="41">
        <f>IF(OR($AM43="",O$52=0),"",COUNTIF(O$6:O$35,$AM43))</f>
      </c>
      <c r="P43" s="41">
        <f>IF(OR($AM43="",P$52=0),"",COUNTIF(P$6:P$35,$AM43))</f>
      </c>
      <c r="Q43" s="41">
        <f>IF(OR($AM43="",Q$52=0),"",COUNTIF(Q$6:Q$35,$AM43))</f>
      </c>
      <c r="R43" s="41">
        <f>IF(OR($AM43="",R$52=0),"",COUNTIF(R$6:R$35,$AM43))</f>
      </c>
      <c r="S43" s="41">
        <f>IF(OR($AM43="",S$52=0),"",COUNTIF(S$6:S$35,$AM43))</f>
      </c>
      <c r="T43" s="41">
        <f>IF(OR($AM43="",T$52=0),"",COUNTIF(T$6:T$35,$AM43))</f>
      </c>
      <c r="U43" s="41">
        <f>IF(OR($AM43="",U$52=0),"",COUNTIF(U$6:U$35,$AM43))</f>
      </c>
      <c r="V43" s="41">
        <f>IF(OR($AM43="",V$52=0),"",COUNTIF(V$6:V$35,$AM43))</f>
      </c>
      <c r="W43" s="41">
        <f>IF(OR($AM43="",W$52=0),"",COUNTIF(W$6:W$35,$AM43))</f>
      </c>
      <c r="X43" s="41">
        <f>IF(OR($AM43="",X$52=0),"",COUNTIF(X$6:X$35,$AM43))</f>
      </c>
      <c r="Y43" s="41">
        <f>IF(OR($AM43="",Y$52=0),"",COUNTIF(Y$6:Y$35,$AM43))</f>
      </c>
      <c r="Z43" s="41">
        <f>IF(OR($AM43="",Z$52=0),"",COUNTIF(Z$6:Z$35,$AM43))</f>
      </c>
      <c r="AA43" s="41">
        <f>IF(OR($AM43="",AA$52=0),"",COUNTIF(AA$6:AA$35,$AM43))</f>
      </c>
      <c r="AB43" s="41">
        <f>IF(OR($AM43="",AB$52=0),"",COUNTIF(AB$6:AB$35,$AM43))</f>
      </c>
      <c r="AC43" s="41">
        <f>IF(OR($AM43="",AC$52=0),"",COUNTIF(AC$6:AC$35,$AM43))</f>
      </c>
      <c r="AD43" s="41">
        <f>IF(OR($AM43="",AD$52=0),"",COUNTIF(AD$6:AD$35,$AM43))</f>
      </c>
      <c r="AE43" s="41">
        <f>IF(OR($AM43="",AE$52=0),"",COUNTIF(AE$6:AE$35,$AM43))</f>
      </c>
      <c r="AF43" s="41">
        <f>IF(OR($AM43="",AF$52=0),"",COUNTIF(AF$6:AF$35,$AM43))</f>
      </c>
      <c r="AG43" s="1"/>
      <c r="AH43" s="1"/>
      <c r="AI43" s="1"/>
      <c r="AJ43" s="1"/>
      <c r="AK43" s="1"/>
      <c r="AL43" s="1"/>
      <c r="AM43" s="1">
        <f>IFERROR(INDEX(Codes,MATCH(6,ArbeitNr,0)),"")</f>
      </c>
    </row>
    <row r="44" spans="1:39" x14ac:dyDescent="0.25">
      <c r="A44" s="40">
        <f>IFERROR(INDEX(Codes,MATCH(7,ArbeitNr,0))&amp;" "&amp;INDEX(Bezeichnungen,MATCH(7,ArbeitNr,0)),"")</f>
      </c>
      <c r="B44" s="41">
        <f>IF(OR($AM44="",B$52=0),"",COUNTIF(B$6:B$35,$AM44))</f>
      </c>
      <c r="C44" s="41">
        <f>IF(OR($AM44="",C$52=0),"",COUNTIF(C$6:C$35,$AM44))</f>
      </c>
      <c r="D44" s="41">
        <f>IF(OR($AM44="",D$52=0),"",COUNTIF(D$6:D$35,$AM44))</f>
      </c>
      <c r="E44" s="41">
        <f>IF(OR($AM44="",E$52=0),"",COUNTIF(E$6:E$35,$AM44))</f>
      </c>
      <c r="F44" s="41">
        <f>IF(OR($AM44="",F$52=0),"",COUNTIF(F$6:F$35,$AM44))</f>
      </c>
      <c r="G44" s="41">
        <f>IF(OR($AM44="",G$52=0),"",COUNTIF(G$6:G$35,$AM44))</f>
      </c>
      <c r="H44" s="41">
        <f>IF(OR($AM44="",H$52=0),"",COUNTIF(H$6:H$35,$AM44))</f>
      </c>
      <c r="I44" s="41">
        <f>IF(OR($AM44="",I$52=0),"",COUNTIF(I$6:I$35,$AM44))</f>
      </c>
      <c r="J44" s="41">
        <f>IF(OR($AM44="",J$52=0),"",COUNTIF(J$6:J$35,$AM44))</f>
      </c>
      <c r="K44" s="41">
        <f>IF(OR($AM44="",K$52=0),"",COUNTIF(K$6:K$35,$AM44))</f>
      </c>
      <c r="L44" s="41">
        <f>IF(OR($AM44="",L$52=0),"",COUNTIF(L$6:L$35,$AM44))</f>
      </c>
      <c r="M44" s="41">
        <f>IF(OR($AM44="",M$52=0),"",COUNTIF(M$6:M$35,$AM44))</f>
      </c>
      <c r="N44" s="41">
        <f>IF(OR($AM44="",N$52=0),"",COUNTIF(N$6:N$35,$AM44))</f>
      </c>
      <c r="O44" s="41">
        <f>IF(OR($AM44="",O$52=0),"",COUNTIF(O$6:O$35,$AM44))</f>
      </c>
      <c r="P44" s="41">
        <f>IF(OR($AM44="",P$52=0),"",COUNTIF(P$6:P$35,$AM44))</f>
      </c>
      <c r="Q44" s="41">
        <f>IF(OR($AM44="",Q$52=0),"",COUNTIF(Q$6:Q$35,$AM44))</f>
      </c>
      <c r="R44" s="41">
        <f>IF(OR($AM44="",R$52=0),"",COUNTIF(R$6:R$35,$AM44))</f>
      </c>
      <c r="S44" s="41">
        <f>IF(OR($AM44="",S$52=0),"",COUNTIF(S$6:S$35,$AM44))</f>
      </c>
      <c r="T44" s="41">
        <f>IF(OR($AM44="",T$52=0),"",COUNTIF(T$6:T$35,$AM44))</f>
      </c>
      <c r="U44" s="41">
        <f>IF(OR($AM44="",U$52=0),"",COUNTIF(U$6:U$35,$AM44))</f>
      </c>
      <c r="V44" s="41">
        <f>IF(OR($AM44="",V$52=0),"",COUNTIF(V$6:V$35,$AM44))</f>
      </c>
      <c r="W44" s="41">
        <f>IF(OR($AM44="",W$52=0),"",COUNTIF(W$6:W$35,$AM44))</f>
      </c>
      <c r="X44" s="41">
        <f>IF(OR($AM44="",X$52=0),"",COUNTIF(X$6:X$35,$AM44))</f>
      </c>
      <c r="Y44" s="41">
        <f>IF(OR($AM44="",Y$52=0),"",COUNTIF(Y$6:Y$35,$AM44))</f>
      </c>
      <c r="Z44" s="41">
        <f>IF(OR($AM44="",Z$52=0),"",COUNTIF(Z$6:Z$35,$AM44))</f>
      </c>
      <c r="AA44" s="41">
        <f>IF(OR($AM44="",AA$52=0),"",COUNTIF(AA$6:AA$35,$AM44))</f>
      </c>
      <c r="AB44" s="41">
        <f>IF(OR($AM44="",AB$52=0),"",COUNTIF(AB$6:AB$35,$AM44))</f>
      </c>
      <c r="AC44" s="41">
        <f>IF(OR($AM44="",AC$52=0),"",COUNTIF(AC$6:AC$35,$AM44))</f>
      </c>
      <c r="AD44" s="41">
        <f>IF(OR($AM44="",AD$52=0),"",COUNTIF(AD$6:AD$35,$AM44))</f>
      </c>
      <c r="AE44" s="41">
        <f>IF(OR($AM44="",AE$52=0),"",COUNTIF(AE$6:AE$35,$AM44))</f>
      </c>
      <c r="AF44" s="41">
        <f>IF(OR($AM44="",AF$52=0),"",COUNTIF(AF$6:AF$35,$AM44))</f>
      </c>
      <c r="AG44" s="1"/>
      <c r="AH44" s="1"/>
      <c r="AI44" s="1"/>
      <c r="AJ44" s="1"/>
      <c r="AK44" s="1"/>
      <c r="AL44" s="1"/>
      <c r="AM44" s="1">
        <f>IFERROR(INDEX(Codes,MATCH(7,ArbeitNr,0)),"")</f>
      </c>
    </row>
    <row r="45" spans="1:39" x14ac:dyDescent="0.25">
      <c r="A45" s="40">
        <f>IFERROR(INDEX(Codes,MATCH(8,ArbeitNr,0))&amp;" "&amp;INDEX(Bezeichnungen,MATCH(8,ArbeitNr,0)),"")</f>
      </c>
      <c r="B45" s="41">
        <f>IF(OR($AM45="",B$52=0),"",COUNTIF(B$6:B$35,$AM45))</f>
      </c>
      <c r="C45" s="41">
        <f>IF(OR($AM45="",C$52=0),"",COUNTIF(C$6:C$35,$AM45))</f>
      </c>
      <c r="D45" s="41">
        <f>IF(OR($AM45="",D$52=0),"",COUNTIF(D$6:D$35,$AM45))</f>
      </c>
      <c r="E45" s="41">
        <f>IF(OR($AM45="",E$52=0),"",COUNTIF(E$6:E$35,$AM45))</f>
      </c>
      <c r="F45" s="41">
        <f>IF(OR($AM45="",F$52=0),"",COUNTIF(F$6:F$35,$AM45))</f>
      </c>
      <c r="G45" s="41">
        <f>IF(OR($AM45="",G$52=0),"",COUNTIF(G$6:G$35,$AM45))</f>
      </c>
      <c r="H45" s="41">
        <f>IF(OR($AM45="",H$52=0),"",COUNTIF(H$6:H$35,$AM45))</f>
      </c>
      <c r="I45" s="41">
        <f>IF(OR($AM45="",I$52=0),"",COUNTIF(I$6:I$35,$AM45))</f>
      </c>
      <c r="J45" s="41">
        <f>IF(OR($AM45="",J$52=0),"",COUNTIF(J$6:J$35,$AM45))</f>
      </c>
      <c r="K45" s="41">
        <f>IF(OR($AM45="",K$52=0),"",COUNTIF(K$6:K$35,$AM45))</f>
      </c>
      <c r="L45" s="41">
        <f>IF(OR($AM45="",L$52=0),"",COUNTIF(L$6:L$35,$AM45))</f>
      </c>
      <c r="M45" s="41">
        <f>IF(OR($AM45="",M$52=0),"",COUNTIF(M$6:M$35,$AM45))</f>
      </c>
      <c r="N45" s="41">
        <f>IF(OR($AM45="",N$52=0),"",COUNTIF(N$6:N$35,$AM45))</f>
      </c>
      <c r="O45" s="41">
        <f>IF(OR($AM45="",O$52=0),"",COUNTIF(O$6:O$35,$AM45))</f>
      </c>
      <c r="P45" s="41">
        <f>IF(OR($AM45="",P$52=0),"",COUNTIF(P$6:P$35,$AM45))</f>
      </c>
      <c r="Q45" s="41">
        <f>IF(OR($AM45="",Q$52=0),"",COUNTIF(Q$6:Q$35,$AM45))</f>
      </c>
      <c r="R45" s="41">
        <f>IF(OR($AM45="",R$52=0),"",COUNTIF(R$6:R$35,$AM45))</f>
      </c>
      <c r="S45" s="41">
        <f>IF(OR($AM45="",S$52=0),"",COUNTIF(S$6:S$35,$AM45))</f>
      </c>
      <c r="T45" s="41">
        <f>IF(OR($AM45="",T$52=0),"",COUNTIF(T$6:T$35,$AM45))</f>
      </c>
      <c r="U45" s="41">
        <f>IF(OR($AM45="",U$52=0),"",COUNTIF(U$6:U$35,$AM45))</f>
      </c>
      <c r="V45" s="41">
        <f>IF(OR($AM45="",V$52=0),"",COUNTIF(V$6:V$35,$AM45))</f>
      </c>
      <c r="W45" s="41">
        <f>IF(OR($AM45="",W$52=0),"",COUNTIF(W$6:W$35,$AM45))</f>
      </c>
      <c r="X45" s="41">
        <f>IF(OR($AM45="",X$52=0),"",COUNTIF(X$6:X$35,$AM45))</f>
      </c>
      <c r="Y45" s="41">
        <f>IF(OR($AM45="",Y$52=0),"",COUNTIF(Y$6:Y$35,$AM45))</f>
      </c>
      <c r="Z45" s="41">
        <f>IF(OR($AM45="",Z$52=0),"",COUNTIF(Z$6:Z$35,$AM45))</f>
      </c>
      <c r="AA45" s="41">
        <f>IF(OR($AM45="",AA$52=0),"",COUNTIF(AA$6:AA$35,$AM45))</f>
      </c>
      <c r="AB45" s="41">
        <f>IF(OR($AM45="",AB$52=0),"",COUNTIF(AB$6:AB$35,$AM45))</f>
      </c>
      <c r="AC45" s="41">
        <f>IF(OR($AM45="",AC$52=0),"",COUNTIF(AC$6:AC$35,$AM45))</f>
      </c>
      <c r="AD45" s="41">
        <f>IF(OR($AM45="",AD$52=0),"",COUNTIF(AD$6:AD$35,$AM45))</f>
      </c>
      <c r="AE45" s="41">
        <f>IF(OR($AM45="",AE$52=0),"",COUNTIF(AE$6:AE$35,$AM45))</f>
      </c>
      <c r="AF45" s="41">
        <f>IF(OR($AM45="",AF$52=0),"",COUNTIF(AF$6:AF$35,$AM45))</f>
      </c>
      <c r="AG45" s="1"/>
      <c r="AH45" s="1"/>
      <c r="AI45" s="1"/>
      <c r="AJ45" s="1"/>
      <c r="AK45" s="1"/>
      <c r="AL45" s="1"/>
      <c r="AM45" s="1">
        <f>IFERROR(INDEX(Codes,MATCH(8,ArbeitNr,0)),"")</f>
      </c>
    </row>
    <row r="46" ht="22" customHeight="1" spans="1:32" x14ac:dyDescent="0.25">
      <c r="A46" s="42" t="s">
        <v>64</v>
      </c>
      <c r="B46" s="43">
        <f>TRIM(IF(AND(B38&lt;&gt;"",N(B38)&lt;N(B86)),$AM38&amp;" ","")&amp;IF(AND(B39&lt;&gt;"",N(B39)&lt;N(B87)),$AM39&amp;" ","")&amp;IF(AND(B40&lt;&gt;"",N(B40)&lt;N(B88)),$AM40&amp;" ","")&amp;IF(AND(B41&lt;&gt;"",N(B41)&lt;N(B89)),$AM41&amp;" ","")&amp;IF(AND(B42&lt;&gt;"",N(B42)&lt;N(B90)),$AM42&amp;" ","")&amp;IF(AND(B43&lt;&gt;"",N(B43)&lt;N(B91)),$AM43&amp;" ","")&amp;IF(AND(B44&lt;&gt;"",N(B44)&lt;N(B92)),$AM44&amp;" ","")&amp;IF(AND(B45&lt;&gt;"",N(B45)&lt;N(B93)),$AM45&amp;" ",""))</f>
      </c>
      <c r="C46" s="43">
        <f>TRIM(IF(AND(C38&lt;&gt;"",N(C38)&lt;N(C86)),$AM38&amp;" ","")&amp;IF(AND(C39&lt;&gt;"",N(C39)&lt;N(C87)),$AM39&amp;" ","")&amp;IF(AND(C40&lt;&gt;"",N(C40)&lt;N(C88)),$AM40&amp;" ","")&amp;IF(AND(C41&lt;&gt;"",N(C41)&lt;N(C89)),$AM41&amp;" ","")&amp;IF(AND(C42&lt;&gt;"",N(C42)&lt;N(C90)),$AM42&amp;" ","")&amp;IF(AND(C43&lt;&gt;"",N(C43)&lt;N(C91)),$AM43&amp;" ","")&amp;IF(AND(C44&lt;&gt;"",N(C44)&lt;N(C92)),$AM44&amp;" ","")&amp;IF(AND(C45&lt;&gt;"",N(C45)&lt;N(C93)),$AM45&amp;" ",""))</f>
      </c>
      <c r="D46" s="43">
        <f>TRIM(IF(AND(D38&lt;&gt;"",N(D38)&lt;N(D86)),$AM38&amp;" ","")&amp;IF(AND(D39&lt;&gt;"",N(D39)&lt;N(D87)),$AM39&amp;" ","")&amp;IF(AND(D40&lt;&gt;"",N(D40)&lt;N(D88)),$AM40&amp;" ","")&amp;IF(AND(D41&lt;&gt;"",N(D41)&lt;N(D89)),$AM41&amp;" ","")&amp;IF(AND(D42&lt;&gt;"",N(D42)&lt;N(D90)),$AM42&amp;" ","")&amp;IF(AND(D43&lt;&gt;"",N(D43)&lt;N(D91)),$AM43&amp;" ","")&amp;IF(AND(D44&lt;&gt;"",N(D44)&lt;N(D92)),$AM44&amp;" ","")&amp;IF(AND(D45&lt;&gt;"",N(D45)&lt;N(D93)),$AM45&amp;" ",""))</f>
      </c>
      <c r="E46" s="43">
        <f>TRIM(IF(AND(E38&lt;&gt;"",N(E38)&lt;N(E86)),$AM38&amp;" ","")&amp;IF(AND(E39&lt;&gt;"",N(E39)&lt;N(E87)),$AM39&amp;" ","")&amp;IF(AND(E40&lt;&gt;"",N(E40)&lt;N(E88)),$AM40&amp;" ","")&amp;IF(AND(E41&lt;&gt;"",N(E41)&lt;N(E89)),$AM41&amp;" ","")&amp;IF(AND(E42&lt;&gt;"",N(E42)&lt;N(E90)),$AM42&amp;" ","")&amp;IF(AND(E43&lt;&gt;"",N(E43)&lt;N(E91)),$AM43&amp;" ","")&amp;IF(AND(E44&lt;&gt;"",N(E44)&lt;N(E92)),$AM44&amp;" ","")&amp;IF(AND(E45&lt;&gt;"",N(E45)&lt;N(E93)),$AM45&amp;" ",""))</f>
      </c>
      <c r="F46" s="43">
        <f>TRIM(IF(AND(F38&lt;&gt;"",N(F38)&lt;N(F86)),$AM38&amp;" ","")&amp;IF(AND(F39&lt;&gt;"",N(F39)&lt;N(F87)),$AM39&amp;" ","")&amp;IF(AND(F40&lt;&gt;"",N(F40)&lt;N(F88)),$AM40&amp;" ","")&amp;IF(AND(F41&lt;&gt;"",N(F41)&lt;N(F89)),$AM41&amp;" ","")&amp;IF(AND(F42&lt;&gt;"",N(F42)&lt;N(F90)),$AM42&amp;" ","")&amp;IF(AND(F43&lt;&gt;"",N(F43)&lt;N(F91)),$AM43&amp;" ","")&amp;IF(AND(F44&lt;&gt;"",N(F44)&lt;N(F92)),$AM44&amp;" ","")&amp;IF(AND(F45&lt;&gt;"",N(F45)&lt;N(F93)),$AM45&amp;" ",""))</f>
      </c>
      <c r="G46" s="43">
        <f>TRIM(IF(AND(G38&lt;&gt;"",N(G38)&lt;N(G86)),$AM38&amp;" ","")&amp;IF(AND(G39&lt;&gt;"",N(G39)&lt;N(G87)),$AM39&amp;" ","")&amp;IF(AND(G40&lt;&gt;"",N(G40)&lt;N(G88)),$AM40&amp;" ","")&amp;IF(AND(G41&lt;&gt;"",N(G41)&lt;N(G89)),$AM41&amp;" ","")&amp;IF(AND(G42&lt;&gt;"",N(G42)&lt;N(G90)),$AM42&amp;" ","")&amp;IF(AND(G43&lt;&gt;"",N(G43)&lt;N(G91)),$AM43&amp;" ","")&amp;IF(AND(G44&lt;&gt;"",N(G44)&lt;N(G92)),$AM44&amp;" ","")&amp;IF(AND(G45&lt;&gt;"",N(G45)&lt;N(G93)),$AM45&amp;" ",""))</f>
      </c>
      <c r="H46" s="43">
        <f>TRIM(IF(AND(H38&lt;&gt;"",N(H38)&lt;N(H86)),$AM38&amp;" ","")&amp;IF(AND(H39&lt;&gt;"",N(H39)&lt;N(H87)),$AM39&amp;" ","")&amp;IF(AND(H40&lt;&gt;"",N(H40)&lt;N(H88)),$AM40&amp;" ","")&amp;IF(AND(H41&lt;&gt;"",N(H41)&lt;N(H89)),$AM41&amp;" ","")&amp;IF(AND(H42&lt;&gt;"",N(H42)&lt;N(H90)),$AM42&amp;" ","")&amp;IF(AND(H43&lt;&gt;"",N(H43)&lt;N(H91)),$AM43&amp;" ","")&amp;IF(AND(H44&lt;&gt;"",N(H44)&lt;N(H92)),$AM44&amp;" ","")&amp;IF(AND(H45&lt;&gt;"",N(H45)&lt;N(H93)),$AM45&amp;" ",""))</f>
      </c>
      <c r="I46" s="43">
        <f>TRIM(IF(AND(I38&lt;&gt;"",N(I38)&lt;N(I86)),$AM38&amp;" ","")&amp;IF(AND(I39&lt;&gt;"",N(I39)&lt;N(I87)),$AM39&amp;" ","")&amp;IF(AND(I40&lt;&gt;"",N(I40)&lt;N(I88)),$AM40&amp;" ","")&amp;IF(AND(I41&lt;&gt;"",N(I41)&lt;N(I89)),$AM41&amp;" ","")&amp;IF(AND(I42&lt;&gt;"",N(I42)&lt;N(I90)),$AM42&amp;" ","")&amp;IF(AND(I43&lt;&gt;"",N(I43)&lt;N(I91)),$AM43&amp;" ","")&amp;IF(AND(I44&lt;&gt;"",N(I44)&lt;N(I92)),$AM44&amp;" ","")&amp;IF(AND(I45&lt;&gt;"",N(I45)&lt;N(I93)),$AM45&amp;" ",""))</f>
      </c>
      <c r="J46" s="43">
        <f>TRIM(IF(AND(J38&lt;&gt;"",N(J38)&lt;N(J86)),$AM38&amp;" ","")&amp;IF(AND(J39&lt;&gt;"",N(J39)&lt;N(J87)),$AM39&amp;" ","")&amp;IF(AND(J40&lt;&gt;"",N(J40)&lt;N(J88)),$AM40&amp;" ","")&amp;IF(AND(J41&lt;&gt;"",N(J41)&lt;N(J89)),$AM41&amp;" ","")&amp;IF(AND(J42&lt;&gt;"",N(J42)&lt;N(J90)),$AM42&amp;" ","")&amp;IF(AND(J43&lt;&gt;"",N(J43)&lt;N(J91)),$AM43&amp;" ","")&amp;IF(AND(J44&lt;&gt;"",N(J44)&lt;N(J92)),$AM44&amp;" ","")&amp;IF(AND(J45&lt;&gt;"",N(J45)&lt;N(J93)),$AM45&amp;" ",""))</f>
      </c>
      <c r="K46" s="43">
        <f>TRIM(IF(AND(K38&lt;&gt;"",N(K38)&lt;N(K86)),$AM38&amp;" ","")&amp;IF(AND(K39&lt;&gt;"",N(K39)&lt;N(K87)),$AM39&amp;" ","")&amp;IF(AND(K40&lt;&gt;"",N(K40)&lt;N(K88)),$AM40&amp;" ","")&amp;IF(AND(K41&lt;&gt;"",N(K41)&lt;N(K89)),$AM41&amp;" ","")&amp;IF(AND(K42&lt;&gt;"",N(K42)&lt;N(K90)),$AM42&amp;" ","")&amp;IF(AND(K43&lt;&gt;"",N(K43)&lt;N(K91)),$AM43&amp;" ","")&amp;IF(AND(K44&lt;&gt;"",N(K44)&lt;N(K92)),$AM44&amp;" ","")&amp;IF(AND(K45&lt;&gt;"",N(K45)&lt;N(K93)),$AM45&amp;" ",""))</f>
      </c>
      <c r="L46" s="43">
        <f>TRIM(IF(AND(L38&lt;&gt;"",N(L38)&lt;N(L86)),$AM38&amp;" ","")&amp;IF(AND(L39&lt;&gt;"",N(L39)&lt;N(L87)),$AM39&amp;" ","")&amp;IF(AND(L40&lt;&gt;"",N(L40)&lt;N(L88)),$AM40&amp;" ","")&amp;IF(AND(L41&lt;&gt;"",N(L41)&lt;N(L89)),$AM41&amp;" ","")&amp;IF(AND(L42&lt;&gt;"",N(L42)&lt;N(L90)),$AM42&amp;" ","")&amp;IF(AND(L43&lt;&gt;"",N(L43)&lt;N(L91)),$AM43&amp;" ","")&amp;IF(AND(L44&lt;&gt;"",N(L44)&lt;N(L92)),$AM44&amp;" ","")&amp;IF(AND(L45&lt;&gt;"",N(L45)&lt;N(L93)),$AM45&amp;" ",""))</f>
      </c>
      <c r="M46" s="43">
        <f>TRIM(IF(AND(M38&lt;&gt;"",N(M38)&lt;N(M86)),$AM38&amp;" ","")&amp;IF(AND(M39&lt;&gt;"",N(M39)&lt;N(M87)),$AM39&amp;" ","")&amp;IF(AND(M40&lt;&gt;"",N(M40)&lt;N(M88)),$AM40&amp;" ","")&amp;IF(AND(M41&lt;&gt;"",N(M41)&lt;N(M89)),$AM41&amp;" ","")&amp;IF(AND(M42&lt;&gt;"",N(M42)&lt;N(M90)),$AM42&amp;" ","")&amp;IF(AND(M43&lt;&gt;"",N(M43)&lt;N(M91)),$AM43&amp;" ","")&amp;IF(AND(M44&lt;&gt;"",N(M44)&lt;N(M92)),$AM44&amp;" ","")&amp;IF(AND(M45&lt;&gt;"",N(M45)&lt;N(M93)),$AM45&amp;" ",""))</f>
      </c>
      <c r="N46" s="43">
        <f>TRIM(IF(AND(N38&lt;&gt;"",N(N38)&lt;N(N86)),$AM38&amp;" ","")&amp;IF(AND(N39&lt;&gt;"",N(N39)&lt;N(N87)),$AM39&amp;" ","")&amp;IF(AND(N40&lt;&gt;"",N(N40)&lt;N(N88)),$AM40&amp;" ","")&amp;IF(AND(N41&lt;&gt;"",N(N41)&lt;N(N89)),$AM41&amp;" ","")&amp;IF(AND(N42&lt;&gt;"",N(N42)&lt;N(N90)),$AM42&amp;" ","")&amp;IF(AND(N43&lt;&gt;"",N(N43)&lt;N(N91)),$AM43&amp;" ","")&amp;IF(AND(N44&lt;&gt;"",N(N44)&lt;N(N92)),$AM44&amp;" ","")&amp;IF(AND(N45&lt;&gt;"",N(N45)&lt;N(N93)),$AM45&amp;" ",""))</f>
      </c>
      <c r="O46" s="43">
        <f>TRIM(IF(AND(O38&lt;&gt;"",N(O38)&lt;N(O86)),$AM38&amp;" ","")&amp;IF(AND(O39&lt;&gt;"",N(O39)&lt;N(O87)),$AM39&amp;" ","")&amp;IF(AND(O40&lt;&gt;"",N(O40)&lt;N(O88)),$AM40&amp;" ","")&amp;IF(AND(O41&lt;&gt;"",N(O41)&lt;N(O89)),$AM41&amp;" ","")&amp;IF(AND(O42&lt;&gt;"",N(O42)&lt;N(O90)),$AM42&amp;" ","")&amp;IF(AND(O43&lt;&gt;"",N(O43)&lt;N(O91)),$AM43&amp;" ","")&amp;IF(AND(O44&lt;&gt;"",N(O44)&lt;N(O92)),$AM44&amp;" ","")&amp;IF(AND(O45&lt;&gt;"",N(O45)&lt;N(O93)),$AM45&amp;" ",""))</f>
      </c>
      <c r="P46" s="43">
        <f>TRIM(IF(AND(P38&lt;&gt;"",N(P38)&lt;N(P86)),$AM38&amp;" ","")&amp;IF(AND(P39&lt;&gt;"",N(P39)&lt;N(P87)),$AM39&amp;" ","")&amp;IF(AND(P40&lt;&gt;"",N(P40)&lt;N(P88)),$AM40&amp;" ","")&amp;IF(AND(P41&lt;&gt;"",N(P41)&lt;N(P89)),$AM41&amp;" ","")&amp;IF(AND(P42&lt;&gt;"",N(P42)&lt;N(P90)),$AM42&amp;" ","")&amp;IF(AND(P43&lt;&gt;"",N(P43)&lt;N(P91)),$AM43&amp;" ","")&amp;IF(AND(P44&lt;&gt;"",N(P44)&lt;N(P92)),$AM44&amp;" ","")&amp;IF(AND(P45&lt;&gt;"",N(P45)&lt;N(P93)),$AM45&amp;" ",""))</f>
      </c>
      <c r="Q46" s="43">
        <f>TRIM(IF(AND(Q38&lt;&gt;"",N(Q38)&lt;N(Q86)),$AM38&amp;" ","")&amp;IF(AND(Q39&lt;&gt;"",N(Q39)&lt;N(Q87)),$AM39&amp;" ","")&amp;IF(AND(Q40&lt;&gt;"",N(Q40)&lt;N(Q88)),$AM40&amp;" ","")&amp;IF(AND(Q41&lt;&gt;"",N(Q41)&lt;N(Q89)),$AM41&amp;" ","")&amp;IF(AND(Q42&lt;&gt;"",N(Q42)&lt;N(Q90)),$AM42&amp;" ","")&amp;IF(AND(Q43&lt;&gt;"",N(Q43)&lt;N(Q91)),$AM43&amp;" ","")&amp;IF(AND(Q44&lt;&gt;"",N(Q44)&lt;N(Q92)),$AM44&amp;" ","")&amp;IF(AND(Q45&lt;&gt;"",N(Q45)&lt;N(Q93)),$AM45&amp;" ",""))</f>
      </c>
      <c r="R46" s="43">
        <f>TRIM(IF(AND(R38&lt;&gt;"",N(R38)&lt;N(R86)),$AM38&amp;" ","")&amp;IF(AND(R39&lt;&gt;"",N(R39)&lt;N(R87)),$AM39&amp;" ","")&amp;IF(AND(R40&lt;&gt;"",N(R40)&lt;N(R88)),$AM40&amp;" ","")&amp;IF(AND(R41&lt;&gt;"",N(R41)&lt;N(R89)),$AM41&amp;" ","")&amp;IF(AND(R42&lt;&gt;"",N(R42)&lt;N(R90)),$AM42&amp;" ","")&amp;IF(AND(R43&lt;&gt;"",N(R43)&lt;N(R91)),$AM43&amp;" ","")&amp;IF(AND(R44&lt;&gt;"",N(R44)&lt;N(R92)),$AM44&amp;" ","")&amp;IF(AND(R45&lt;&gt;"",N(R45)&lt;N(R93)),$AM45&amp;" ",""))</f>
      </c>
      <c r="S46" s="43">
        <f>TRIM(IF(AND(S38&lt;&gt;"",N(S38)&lt;N(S86)),$AM38&amp;" ","")&amp;IF(AND(S39&lt;&gt;"",N(S39)&lt;N(S87)),$AM39&amp;" ","")&amp;IF(AND(S40&lt;&gt;"",N(S40)&lt;N(S88)),$AM40&amp;" ","")&amp;IF(AND(S41&lt;&gt;"",N(S41)&lt;N(S89)),$AM41&amp;" ","")&amp;IF(AND(S42&lt;&gt;"",N(S42)&lt;N(S90)),$AM42&amp;" ","")&amp;IF(AND(S43&lt;&gt;"",N(S43)&lt;N(S91)),$AM43&amp;" ","")&amp;IF(AND(S44&lt;&gt;"",N(S44)&lt;N(S92)),$AM44&amp;" ","")&amp;IF(AND(S45&lt;&gt;"",N(S45)&lt;N(S93)),$AM45&amp;" ",""))</f>
      </c>
      <c r="T46" s="43">
        <f>TRIM(IF(AND(T38&lt;&gt;"",N(T38)&lt;N(T86)),$AM38&amp;" ","")&amp;IF(AND(T39&lt;&gt;"",N(T39)&lt;N(T87)),$AM39&amp;" ","")&amp;IF(AND(T40&lt;&gt;"",N(T40)&lt;N(T88)),$AM40&amp;" ","")&amp;IF(AND(T41&lt;&gt;"",N(T41)&lt;N(T89)),$AM41&amp;" ","")&amp;IF(AND(T42&lt;&gt;"",N(T42)&lt;N(T90)),$AM42&amp;" ","")&amp;IF(AND(T43&lt;&gt;"",N(T43)&lt;N(T91)),$AM43&amp;" ","")&amp;IF(AND(T44&lt;&gt;"",N(T44)&lt;N(T92)),$AM44&amp;" ","")&amp;IF(AND(T45&lt;&gt;"",N(T45)&lt;N(T93)),$AM45&amp;" ",""))</f>
      </c>
      <c r="U46" s="43">
        <f>TRIM(IF(AND(U38&lt;&gt;"",N(U38)&lt;N(U86)),$AM38&amp;" ","")&amp;IF(AND(U39&lt;&gt;"",N(U39)&lt;N(U87)),$AM39&amp;" ","")&amp;IF(AND(U40&lt;&gt;"",N(U40)&lt;N(U88)),$AM40&amp;" ","")&amp;IF(AND(U41&lt;&gt;"",N(U41)&lt;N(U89)),$AM41&amp;" ","")&amp;IF(AND(U42&lt;&gt;"",N(U42)&lt;N(U90)),$AM42&amp;" ","")&amp;IF(AND(U43&lt;&gt;"",N(U43)&lt;N(U91)),$AM43&amp;" ","")&amp;IF(AND(U44&lt;&gt;"",N(U44)&lt;N(U92)),$AM44&amp;" ","")&amp;IF(AND(U45&lt;&gt;"",N(U45)&lt;N(U93)),$AM45&amp;" ",""))</f>
      </c>
      <c r="V46" s="43">
        <f>TRIM(IF(AND(V38&lt;&gt;"",N(V38)&lt;N(V86)),$AM38&amp;" ","")&amp;IF(AND(V39&lt;&gt;"",N(V39)&lt;N(V87)),$AM39&amp;" ","")&amp;IF(AND(V40&lt;&gt;"",N(V40)&lt;N(V88)),$AM40&amp;" ","")&amp;IF(AND(V41&lt;&gt;"",N(V41)&lt;N(V89)),$AM41&amp;" ","")&amp;IF(AND(V42&lt;&gt;"",N(V42)&lt;N(V90)),$AM42&amp;" ","")&amp;IF(AND(V43&lt;&gt;"",N(V43)&lt;N(V91)),$AM43&amp;" ","")&amp;IF(AND(V44&lt;&gt;"",N(V44)&lt;N(V92)),$AM44&amp;" ","")&amp;IF(AND(V45&lt;&gt;"",N(V45)&lt;N(V93)),$AM45&amp;" ",""))</f>
      </c>
      <c r="W46" s="43">
        <f>TRIM(IF(AND(W38&lt;&gt;"",N(W38)&lt;N(W86)),$AM38&amp;" ","")&amp;IF(AND(W39&lt;&gt;"",N(W39)&lt;N(W87)),$AM39&amp;" ","")&amp;IF(AND(W40&lt;&gt;"",N(W40)&lt;N(W88)),$AM40&amp;" ","")&amp;IF(AND(W41&lt;&gt;"",N(W41)&lt;N(W89)),$AM41&amp;" ","")&amp;IF(AND(W42&lt;&gt;"",N(W42)&lt;N(W90)),$AM42&amp;" ","")&amp;IF(AND(W43&lt;&gt;"",N(W43)&lt;N(W91)),$AM43&amp;" ","")&amp;IF(AND(W44&lt;&gt;"",N(W44)&lt;N(W92)),$AM44&amp;" ","")&amp;IF(AND(W45&lt;&gt;"",N(W45)&lt;N(W93)),$AM45&amp;" ",""))</f>
      </c>
      <c r="X46" s="43">
        <f>TRIM(IF(AND(X38&lt;&gt;"",N(X38)&lt;N(X86)),$AM38&amp;" ","")&amp;IF(AND(X39&lt;&gt;"",N(X39)&lt;N(X87)),$AM39&amp;" ","")&amp;IF(AND(X40&lt;&gt;"",N(X40)&lt;N(X88)),$AM40&amp;" ","")&amp;IF(AND(X41&lt;&gt;"",N(X41)&lt;N(X89)),$AM41&amp;" ","")&amp;IF(AND(X42&lt;&gt;"",N(X42)&lt;N(X90)),$AM42&amp;" ","")&amp;IF(AND(X43&lt;&gt;"",N(X43)&lt;N(X91)),$AM43&amp;" ","")&amp;IF(AND(X44&lt;&gt;"",N(X44)&lt;N(X92)),$AM44&amp;" ","")&amp;IF(AND(X45&lt;&gt;"",N(X45)&lt;N(X93)),$AM45&amp;" ",""))</f>
      </c>
      <c r="Y46" s="43">
        <f>TRIM(IF(AND(Y38&lt;&gt;"",N(Y38)&lt;N(Y86)),$AM38&amp;" ","")&amp;IF(AND(Y39&lt;&gt;"",N(Y39)&lt;N(Y87)),$AM39&amp;" ","")&amp;IF(AND(Y40&lt;&gt;"",N(Y40)&lt;N(Y88)),$AM40&amp;" ","")&amp;IF(AND(Y41&lt;&gt;"",N(Y41)&lt;N(Y89)),$AM41&amp;" ","")&amp;IF(AND(Y42&lt;&gt;"",N(Y42)&lt;N(Y90)),$AM42&amp;" ","")&amp;IF(AND(Y43&lt;&gt;"",N(Y43)&lt;N(Y91)),$AM43&amp;" ","")&amp;IF(AND(Y44&lt;&gt;"",N(Y44)&lt;N(Y92)),$AM44&amp;" ","")&amp;IF(AND(Y45&lt;&gt;"",N(Y45)&lt;N(Y93)),$AM45&amp;" ",""))</f>
      </c>
      <c r="Z46" s="43">
        <f>TRIM(IF(AND(Z38&lt;&gt;"",N(Z38)&lt;N(Z86)),$AM38&amp;" ","")&amp;IF(AND(Z39&lt;&gt;"",N(Z39)&lt;N(Z87)),$AM39&amp;" ","")&amp;IF(AND(Z40&lt;&gt;"",N(Z40)&lt;N(Z88)),$AM40&amp;" ","")&amp;IF(AND(Z41&lt;&gt;"",N(Z41)&lt;N(Z89)),$AM41&amp;" ","")&amp;IF(AND(Z42&lt;&gt;"",N(Z42)&lt;N(Z90)),$AM42&amp;" ","")&amp;IF(AND(Z43&lt;&gt;"",N(Z43)&lt;N(Z91)),$AM43&amp;" ","")&amp;IF(AND(Z44&lt;&gt;"",N(Z44)&lt;N(Z92)),$AM44&amp;" ","")&amp;IF(AND(Z45&lt;&gt;"",N(Z45)&lt;N(Z93)),$AM45&amp;" ",""))</f>
      </c>
      <c r="AA46" s="43">
        <f>TRIM(IF(AND(AA38&lt;&gt;"",N(AA38)&lt;N(AA86)),$AM38&amp;" ","")&amp;IF(AND(AA39&lt;&gt;"",N(AA39)&lt;N(AA87)),$AM39&amp;" ","")&amp;IF(AND(AA40&lt;&gt;"",N(AA40)&lt;N(AA88)),$AM40&amp;" ","")&amp;IF(AND(AA41&lt;&gt;"",N(AA41)&lt;N(AA89)),$AM41&amp;" ","")&amp;IF(AND(AA42&lt;&gt;"",N(AA42)&lt;N(AA90)),$AM42&amp;" ","")&amp;IF(AND(AA43&lt;&gt;"",N(AA43)&lt;N(AA91)),$AM43&amp;" ","")&amp;IF(AND(AA44&lt;&gt;"",N(AA44)&lt;N(AA92)),$AM44&amp;" ","")&amp;IF(AND(AA45&lt;&gt;"",N(AA45)&lt;N(AA93)),$AM45&amp;" ",""))</f>
      </c>
      <c r="AB46" s="43">
        <f>TRIM(IF(AND(AB38&lt;&gt;"",N(AB38)&lt;N(AB86)),$AM38&amp;" ","")&amp;IF(AND(AB39&lt;&gt;"",N(AB39)&lt;N(AB87)),$AM39&amp;" ","")&amp;IF(AND(AB40&lt;&gt;"",N(AB40)&lt;N(AB88)),$AM40&amp;" ","")&amp;IF(AND(AB41&lt;&gt;"",N(AB41)&lt;N(AB89)),$AM41&amp;" ","")&amp;IF(AND(AB42&lt;&gt;"",N(AB42)&lt;N(AB90)),$AM42&amp;" ","")&amp;IF(AND(AB43&lt;&gt;"",N(AB43)&lt;N(AB91)),$AM43&amp;" ","")&amp;IF(AND(AB44&lt;&gt;"",N(AB44)&lt;N(AB92)),$AM44&amp;" ","")&amp;IF(AND(AB45&lt;&gt;"",N(AB45)&lt;N(AB93)),$AM45&amp;" ",""))</f>
      </c>
      <c r="AC46" s="43">
        <f>TRIM(IF(AND(AC38&lt;&gt;"",N(AC38)&lt;N(AC86)),$AM38&amp;" ","")&amp;IF(AND(AC39&lt;&gt;"",N(AC39)&lt;N(AC87)),$AM39&amp;" ","")&amp;IF(AND(AC40&lt;&gt;"",N(AC40)&lt;N(AC88)),$AM40&amp;" ","")&amp;IF(AND(AC41&lt;&gt;"",N(AC41)&lt;N(AC89)),$AM41&amp;" ","")&amp;IF(AND(AC42&lt;&gt;"",N(AC42)&lt;N(AC90)),$AM42&amp;" ","")&amp;IF(AND(AC43&lt;&gt;"",N(AC43)&lt;N(AC91)),$AM43&amp;" ","")&amp;IF(AND(AC44&lt;&gt;"",N(AC44)&lt;N(AC92)),$AM44&amp;" ","")&amp;IF(AND(AC45&lt;&gt;"",N(AC45)&lt;N(AC93)),$AM45&amp;" ",""))</f>
      </c>
      <c r="AD46" s="43">
        <f>TRIM(IF(AND(AD38&lt;&gt;"",N(AD38)&lt;N(AD86)),$AM38&amp;" ","")&amp;IF(AND(AD39&lt;&gt;"",N(AD39)&lt;N(AD87)),$AM39&amp;" ","")&amp;IF(AND(AD40&lt;&gt;"",N(AD40)&lt;N(AD88)),$AM40&amp;" ","")&amp;IF(AND(AD41&lt;&gt;"",N(AD41)&lt;N(AD89)),$AM41&amp;" ","")&amp;IF(AND(AD42&lt;&gt;"",N(AD42)&lt;N(AD90)),$AM42&amp;" ","")&amp;IF(AND(AD43&lt;&gt;"",N(AD43)&lt;N(AD91)),$AM43&amp;" ","")&amp;IF(AND(AD44&lt;&gt;"",N(AD44)&lt;N(AD92)),$AM44&amp;" ","")&amp;IF(AND(AD45&lt;&gt;"",N(AD45)&lt;N(AD93)),$AM45&amp;" ",""))</f>
      </c>
      <c r="AE46" s="43">
        <f>TRIM(IF(AND(AE38&lt;&gt;"",N(AE38)&lt;N(AE86)),$AM38&amp;" ","")&amp;IF(AND(AE39&lt;&gt;"",N(AE39)&lt;N(AE87)),$AM39&amp;" ","")&amp;IF(AND(AE40&lt;&gt;"",N(AE40)&lt;N(AE88)),$AM40&amp;" ","")&amp;IF(AND(AE41&lt;&gt;"",N(AE41)&lt;N(AE89)),$AM41&amp;" ","")&amp;IF(AND(AE42&lt;&gt;"",N(AE42)&lt;N(AE90)),$AM42&amp;" ","")&amp;IF(AND(AE43&lt;&gt;"",N(AE43)&lt;N(AE91)),$AM43&amp;" ","")&amp;IF(AND(AE44&lt;&gt;"",N(AE44)&lt;N(AE92)),$AM44&amp;" ","")&amp;IF(AND(AE45&lt;&gt;"",N(AE45)&lt;N(AE93)),$AM45&amp;" ",""))</f>
      </c>
      <c r="AF46" s="43">
        <f>TRIM(IF(AND(AF38&lt;&gt;"",N(AF38)&lt;N(AF86)),$AM38&amp;" ","")&amp;IF(AND(AF39&lt;&gt;"",N(AF39)&lt;N(AF87)),$AM39&amp;" ","")&amp;IF(AND(AF40&lt;&gt;"",N(AF40)&lt;N(AF88)),$AM40&amp;" ","")&amp;IF(AND(AF41&lt;&gt;"",N(AF41)&lt;N(AF89)),$AM41&amp;" ","")&amp;IF(AND(AF42&lt;&gt;"",N(AF42)&lt;N(AF90)),$AM42&amp;" ","")&amp;IF(AND(AF43&lt;&gt;"",N(AF43)&lt;N(AF91)),$AM43&amp;" ","")&amp;IF(AND(AF44&lt;&gt;"",N(AF44)&lt;N(AF92)),$AM44&amp;" ","")&amp;IF(AND(AF45&lt;&gt;"",N(AF45)&lt;N(AF93)),$AM45&amp;" ",""))</f>
      </c>
    </row>
    <row r="48" spans="1:38" x14ac:dyDescent="0.25">
      <c r="A48" s="7" t="s">
        <v>65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1"/>
      <c r="W48" s="1"/>
      <c r="X48" s="7" t="s">
        <v>66</v>
      </c>
      <c r="Y48" s="1"/>
      <c r="Z48" s="1"/>
      <c r="AA48" s="1"/>
      <c r="AB48" s="1"/>
      <c r="AC48" s="1"/>
      <c r="AD48" s="1"/>
      <c r="AE48" s="1"/>
      <c r="AF48" s="1"/>
      <c r="AG48" s="44"/>
      <c r="AH48" s="44"/>
      <c r="AI48" s="44"/>
      <c r="AJ48" s="44"/>
      <c r="AK48" s="44"/>
      <c r="AL48" s="44"/>
    </row>
    <row r="50" hidden="1" spans="1:32" x14ac:dyDescent="0.25">
      <c r="A50" s="1"/>
      <c r="B50" s="1">
        <f>IF(B$5="",0,IF(ISNUMBER(MATCH(B$5,FeiertagDaten,0)),1,0))</f>
      </c>
      <c r="C50" s="1">
        <f>IF(C$5="",0,IF(ISNUMBER(MATCH(C$5,FeiertagDaten,0)),1,0))</f>
      </c>
      <c r="D50" s="1">
        <f>IF(D$5="",0,IF(ISNUMBER(MATCH(D$5,FeiertagDaten,0)),1,0))</f>
      </c>
      <c r="E50" s="1">
        <f>IF(E$5="",0,IF(ISNUMBER(MATCH(E$5,FeiertagDaten,0)),1,0))</f>
      </c>
      <c r="F50" s="1">
        <f>IF(F$5="",0,IF(ISNUMBER(MATCH(F$5,FeiertagDaten,0)),1,0))</f>
      </c>
      <c r="G50" s="1">
        <f>IF(G$5="",0,IF(ISNUMBER(MATCH(G$5,FeiertagDaten,0)),1,0))</f>
      </c>
      <c r="H50" s="1">
        <f>IF(H$5="",0,IF(ISNUMBER(MATCH(H$5,FeiertagDaten,0)),1,0))</f>
      </c>
      <c r="I50" s="1">
        <f>IF(I$5="",0,IF(ISNUMBER(MATCH(I$5,FeiertagDaten,0)),1,0))</f>
      </c>
      <c r="J50" s="1">
        <f>IF(J$5="",0,IF(ISNUMBER(MATCH(J$5,FeiertagDaten,0)),1,0))</f>
      </c>
      <c r="K50" s="1">
        <f>IF(K$5="",0,IF(ISNUMBER(MATCH(K$5,FeiertagDaten,0)),1,0))</f>
      </c>
      <c r="L50" s="1">
        <f>IF(L$5="",0,IF(ISNUMBER(MATCH(L$5,FeiertagDaten,0)),1,0))</f>
      </c>
      <c r="M50" s="1">
        <f>IF(M$5="",0,IF(ISNUMBER(MATCH(M$5,FeiertagDaten,0)),1,0))</f>
      </c>
      <c r="N50" s="1">
        <f>IF(N$5="",0,IF(ISNUMBER(MATCH(N$5,FeiertagDaten,0)),1,0))</f>
      </c>
      <c r="O50" s="1">
        <f>IF(O$5="",0,IF(ISNUMBER(MATCH(O$5,FeiertagDaten,0)),1,0))</f>
      </c>
      <c r="P50" s="1">
        <f>IF(P$5="",0,IF(ISNUMBER(MATCH(P$5,FeiertagDaten,0)),1,0))</f>
      </c>
      <c r="Q50" s="1">
        <f>IF(Q$5="",0,IF(ISNUMBER(MATCH(Q$5,FeiertagDaten,0)),1,0))</f>
      </c>
      <c r="R50" s="1">
        <f>IF(R$5="",0,IF(ISNUMBER(MATCH(R$5,FeiertagDaten,0)),1,0))</f>
      </c>
      <c r="S50" s="1">
        <f>IF(S$5="",0,IF(ISNUMBER(MATCH(S$5,FeiertagDaten,0)),1,0))</f>
      </c>
      <c r="T50" s="1">
        <f>IF(T$5="",0,IF(ISNUMBER(MATCH(T$5,FeiertagDaten,0)),1,0))</f>
      </c>
      <c r="U50" s="1">
        <f>IF(U$5="",0,IF(ISNUMBER(MATCH(U$5,FeiertagDaten,0)),1,0))</f>
      </c>
      <c r="V50" s="1">
        <f>IF(V$5="",0,IF(ISNUMBER(MATCH(V$5,FeiertagDaten,0)),1,0))</f>
      </c>
      <c r="W50" s="1">
        <f>IF(W$5="",0,IF(ISNUMBER(MATCH(W$5,FeiertagDaten,0)),1,0))</f>
      </c>
      <c r="X50" s="1">
        <f>IF(X$5="",0,IF(ISNUMBER(MATCH(X$5,FeiertagDaten,0)),1,0))</f>
      </c>
      <c r="Y50" s="1">
        <f>IF(Y$5="",0,IF(ISNUMBER(MATCH(Y$5,FeiertagDaten,0)),1,0))</f>
      </c>
      <c r="Z50" s="1">
        <f>IF(Z$5="",0,IF(ISNUMBER(MATCH(Z$5,FeiertagDaten,0)),1,0))</f>
      </c>
      <c r="AA50" s="1">
        <f>IF(AA$5="",0,IF(ISNUMBER(MATCH(AA$5,FeiertagDaten,0)),1,0))</f>
      </c>
      <c r="AB50" s="1">
        <f>IF(AB$5="",0,IF(ISNUMBER(MATCH(AB$5,FeiertagDaten,0)),1,0))</f>
      </c>
      <c r="AC50" s="1">
        <f>IF(AC$5="",0,IF(ISNUMBER(MATCH(AC$5,FeiertagDaten,0)),1,0))</f>
      </c>
      <c r="AD50" s="1">
        <f>IF(AD$5="",0,IF(ISNUMBER(MATCH(AD$5,FeiertagDaten,0)),1,0))</f>
      </c>
      <c r="AE50" s="1">
        <f>IF(AE$5="",0,IF(ISNUMBER(MATCH(AE$5,FeiertagDaten,0)),1,0))</f>
      </c>
      <c r="AF50" s="1">
        <f>IF(AF$5="",0,IF(ISNUMBER(MATCH(AF$5,FeiertagDaten,0)),1,0))</f>
      </c>
    </row>
    <row r="51" hidden="1" spans="1:32" x14ac:dyDescent="0.25">
      <c r="A51" s="1"/>
      <c r="B51" s="1">
        <f>IF(B$5="",0,WEEKDAY(B$5,2))</f>
      </c>
      <c r="C51" s="1">
        <f>IF(C$5="",0,WEEKDAY(C$5,2))</f>
      </c>
      <c r="D51" s="1">
        <f>IF(D$5="",0,WEEKDAY(D$5,2))</f>
      </c>
      <c r="E51" s="1">
        <f>IF(E$5="",0,WEEKDAY(E$5,2))</f>
      </c>
      <c r="F51" s="1">
        <f>IF(F$5="",0,WEEKDAY(F$5,2))</f>
      </c>
      <c r="G51" s="1">
        <f>IF(G$5="",0,WEEKDAY(G$5,2))</f>
      </c>
      <c r="H51" s="1">
        <f>IF(H$5="",0,WEEKDAY(H$5,2))</f>
      </c>
      <c r="I51" s="1">
        <f>IF(I$5="",0,WEEKDAY(I$5,2))</f>
      </c>
      <c r="J51" s="1">
        <f>IF(J$5="",0,WEEKDAY(J$5,2))</f>
      </c>
      <c r="K51" s="1">
        <f>IF(K$5="",0,WEEKDAY(K$5,2))</f>
      </c>
      <c r="L51" s="1">
        <f>IF(L$5="",0,WEEKDAY(L$5,2))</f>
      </c>
      <c r="M51" s="1">
        <f>IF(M$5="",0,WEEKDAY(M$5,2))</f>
      </c>
      <c r="N51" s="1">
        <f>IF(N$5="",0,WEEKDAY(N$5,2))</f>
      </c>
      <c r="O51" s="1">
        <f>IF(O$5="",0,WEEKDAY(O$5,2))</f>
      </c>
      <c r="P51" s="1">
        <f>IF(P$5="",0,WEEKDAY(P$5,2))</f>
      </c>
      <c r="Q51" s="1">
        <f>IF(Q$5="",0,WEEKDAY(Q$5,2))</f>
      </c>
      <c r="R51" s="1">
        <f>IF(R$5="",0,WEEKDAY(R$5,2))</f>
      </c>
      <c r="S51" s="1">
        <f>IF(S$5="",0,WEEKDAY(S$5,2))</f>
      </c>
      <c r="T51" s="1">
        <f>IF(T$5="",0,WEEKDAY(T$5,2))</f>
      </c>
      <c r="U51" s="1">
        <f>IF(U$5="",0,WEEKDAY(U$5,2))</f>
      </c>
      <c r="V51" s="1">
        <f>IF(V$5="",0,WEEKDAY(V$5,2))</f>
      </c>
      <c r="W51" s="1">
        <f>IF(W$5="",0,WEEKDAY(W$5,2))</f>
      </c>
      <c r="X51" s="1">
        <f>IF(X$5="",0,WEEKDAY(X$5,2))</f>
      </c>
      <c r="Y51" s="1">
        <f>IF(Y$5="",0,WEEKDAY(Y$5,2))</f>
      </c>
      <c r="Z51" s="1">
        <f>IF(Z$5="",0,WEEKDAY(Z$5,2))</f>
      </c>
      <c r="AA51" s="1">
        <f>IF(AA$5="",0,WEEKDAY(AA$5,2))</f>
      </c>
      <c r="AB51" s="1">
        <f>IF(AB$5="",0,WEEKDAY(AB$5,2))</f>
      </c>
      <c r="AC51" s="1">
        <f>IF(AC$5="",0,WEEKDAY(AC$5,2))</f>
      </c>
      <c r="AD51" s="1">
        <f>IF(AD$5="",0,WEEKDAY(AD$5,2))</f>
      </c>
      <c r="AE51" s="1">
        <f>IF(AE$5="",0,WEEKDAY(AE$5,2))</f>
      </c>
      <c r="AF51" s="1">
        <f>IF(AF$5="",0,WEEKDAY(AF$5,2))</f>
      </c>
    </row>
    <row r="52" hidden="1" spans="1:32" x14ac:dyDescent="0.25">
      <c r="A52" s="1"/>
      <c r="B52" s="1">
        <f>IF(B$5="",0,1)</f>
      </c>
      <c r="C52" s="1">
        <f>IF(C$5="",0,1)</f>
      </c>
      <c r="D52" s="1">
        <f>IF(D$5="",0,1)</f>
      </c>
      <c r="E52" s="1">
        <f>IF(E$5="",0,1)</f>
      </c>
      <c r="F52" s="1">
        <f>IF(F$5="",0,1)</f>
      </c>
      <c r="G52" s="1">
        <f>IF(G$5="",0,1)</f>
      </c>
      <c r="H52" s="1">
        <f>IF(H$5="",0,1)</f>
      </c>
      <c r="I52" s="1">
        <f>IF(I$5="",0,1)</f>
      </c>
      <c r="J52" s="1">
        <f>IF(J$5="",0,1)</f>
      </c>
      <c r="K52" s="1">
        <f>IF(K$5="",0,1)</f>
      </c>
      <c r="L52" s="1">
        <f>IF(L$5="",0,1)</f>
      </c>
      <c r="M52" s="1">
        <f>IF(M$5="",0,1)</f>
      </c>
      <c r="N52" s="1">
        <f>IF(N$5="",0,1)</f>
      </c>
      <c r="O52" s="1">
        <f>IF(O$5="",0,1)</f>
      </c>
      <c r="P52" s="1">
        <f>IF(P$5="",0,1)</f>
      </c>
      <c r="Q52" s="1">
        <f>IF(Q$5="",0,1)</f>
      </c>
      <c r="R52" s="1">
        <f>IF(R$5="",0,1)</f>
      </c>
      <c r="S52" s="1">
        <f>IF(S$5="",0,1)</f>
      </c>
      <c r="T52" s="1">
        <f>IF(T$5="",0,1)</f>
      </c>
      <c r="U52" s="1">
        <f>IF(U$5="",0,1)</f>
      </c>
      <c r="V52" s="1">
        <f>IF(V$5="",0,1)</f>
      </c>
      <c r="W52" s="1">
        <f>IF(W$5="",0,1)</f>
      </c>
      <c r="X52" s="1">
        <f>IF(X$5="",0,1)</f>
      </c>
      <c r="Y52" s="1">
        <f>IF(Y$5="",0,1)</f>
      </c>
      <c r="Z52" s="1">
        <f>IF(Z$5="",0,1)</f>
      </c>
      <c r="AA52" s="1">
        <f>IF(AA$5="",0,1)</f>
      </c>
      <c r="AB52" s="1">
        <f>IF(AB$5="",0,1)</f>
      </c>
      <c r="AC52" s="1">
        <f>IF(AC$5="",0,1)</f>
      </c>
      <c r="AD52" s="1">
        <f>IF(AD$5="",0,1)</f>
      </c>
      <c r="AE52" s="1">
        <f>IF(AE$5="",0,1)</f>
      </c>
      <c r="AF52" s="1">
        <f>IF(AF$5="",0,1)</f>
      </c>
    </row>
    <row r="53" hidden="1" spans="1:32" x14ac:dyDescent="0.25">
      <c r="A53" s="1"/>
      <c r="B53" s="1">
        <f>IF(AND(B51&gt;=1,B51&lt;=5,B50=0),1,0)</f>
      </c>
      <c r="C53" s="1">
        <f>IF(AND(C51&gt;=1,C51&lt;=5,C50=0),1,0)</f>
      </c>
      <c r="D53" s="1">
        <f>IF(AND(D51&gt;=1,D51&lt;=5,D50=0),1,0)</f>
      </c>
      <c r="E53" s="1">
        <f>IF(AND(E51&gt;=1,E51&lt;=5,E50=0),1,0)</f>
      </c>
      <c r="F53" s="1">
        <f>IF(AND(F51&gt;=1,F51&lt;=5,F50=0),1,0)</f>
      </c>
      <c r="G53" s="1">
        <f>IF(AND(G51&gt;=1,G51&lt;=5,G50=0),1,0)</f>
      </c>
      <c r="H53" s="1">
        <f>IF(AND(H51&gt;=1,H51&lt;=5,H50=0),1,0)</f>
      </c>
      <c r="I53" s="1">
        <f>IF(AND(I51&gt;=1,I51&lt;=5,I50=0),1,0)</f>
      </c>
      <c r="J53" s="1">
        <f>IF(AND(J51&gt;=1,J51&lt;=5,J50=0),1,0)</f>
      </c>
      <c r="K53" s="1">
        <f>IF(AND(K51&gt;=1,K51&lt;=5,K50=0),1,0)</f>
      </c>
      <c r="L53" s="1">
        <f>IF(AND(L51&gt;=1,L51&lt;=5,L50=0),1,0)</f>
      </c>
      <c r="M53" s="1">
        <f>IF(AND(M51&gt;=1,M51&lt;=5,M50=0),1,0)</f>
      </c>
      <c r="N53" s="1">
        <f>IF(AND(N51&gt;=1,N51&lt;=5,N50=0),1,0)</f>
      </c>
      <c r="O53" s="1">
        <f>IF(AND(O51&gt;=1,O51&lt;=5,O50=0),1,0)</f>
      </c>
      <c r="P53" s="1">
        <f>IF(AND(P51&gt;=1,P51&lt;=5,P50=0),1,0)</f>
      </c>
      <c r="Q53" s="1">
        <f>IF(AND(Q51&gt;=1,Q51&lt;=5,Q50=0),1,0)</f>
      </c>
      <c r="R53" s="1">
        <f>IF(AND(R51&gt;=1,R51&lt;=5,R50=0),1,0)</f>
      </c>
      <c r="S53" s="1">
        <f>IF(AND(S51&gt;=1,S51&lt;=5,S50=0),1,0)</f>
      </c>
      <c r="T53" s="1">
        <f>IF(AND(T51&gt;=1,T51&lt;=5,T50=0),1,0)</f>
      </c>
      <c r="U53" s="1">
        <f>IF(AND(U51&gt;=1,U51&lt;=5,U50=0),1,0)</f>
      </c>
      <c r="V53" s="1">
        <f>IF(AND(V51&gt;=1,V51&lt;=5,V50=0),1,0)</f>
      </c>
      <c r="W53" s="1">
        <f>IF(AND(W51&gt;=1,W51&lt;=5,W50=0),1,0)</f>
      </c>
      <c r="X53" s="1">
        <f>IF(AND(X51&gt;=1,X51&lt;=5,X50=0),1,0)</f>
      </c>
      <c r="Y53" s="1">
        <f>IF(AND(Y51&gt;=1,Y51&lt;=5,Y50=0),1,0)</f>
      </c>
      <c r="Z53" s="1">
        <f>IF(AND(Z51&gt;=1,Z51&lt;=5,Z50=0),1,0)</f>
      </c>
      <c r="AA53" s="1">
        <f>IF(AND(AA51&gt;=1,AA51&lt;=5,AA50=0),1,0)</f>
      </c>
      <c r="AB53" s="1">
        <f>IF(AND(AB51&gt;=1,AB51&lt;=5,AB50=0),1,0)</f>
      </c>
      <c r="AC53" s="1">
        <f>IF(AND(AC51&gt;=1,AC51&lt;=5,AC50=0),1,0)</f>
      </c>
      <c r="AD53" s="1">
        <f>IF(AND(AD51&gt;=1,AD51&lt;=5,AD50=0),1,0)</f>
      </c>
      <c r="AE53" s="1">
        <f>IF(AND(AE51&gt;=1,AE51&lt;=5,AE50=0),1,0)</f>
      </c>
      <c r="AF53" s="1">
        <f>IF(AND(AF51&gt;=1,AF51&lt;=5,AF50=0),1,0)</f>
      </c>
    </row>
    <row r="55" hidden="1" spans="1:32" x14ac:dyDescent="0.25">
      <c r="A55" s="1"/>
      <c r="B55" s="1">
        <f>IF(OR(B$52=0,INDEX('Januar'!$B$6:$AF$6,DAY(DATE(Jahr,2,0)))="",B6=""),0,IFERROR(IF(AND(INDEX(Arten,MATCH(INDEX('Januar'!$B$6:$AF$6,DAY(DATE(Jahr,2,0))),Codes,0))="Arbeit",INDEX(Arten,MATCH(B6,Codes,0))="Arbeit"),IF(ROUND((1+INDEX(Beginne,MATCH(B6,Codes,0))-INDEX(EndeRel,MATCH(INDEX('Januar'!$B$6:$AF$6,DAY(DATE(Jahr,2,0))),Codes,0)))*1440,0)&lt;660,1,0),0),0))</f>
      </c>
      <c r="C55" s="1">
        <f>IF(OR(C$52=0,B6="",C6=""),0,IFERROR(IF(AND(INDEX(Arten,MATCH(B6,Codes,0))="Arbeit",INDEX(Arten,MATCH(C6,Codes,0))="Arbeit"),IF(ROUND((1+INDEX(Beginne,MATCH(C6,Codes,0))-INDEX(EndeRel,MATCH(B6,Codes,0)))*1440,0)&lt;660,1,0),0),0))</f>
      </c>
      <c r="D55" s="1">
        <f>IF(OR(D$52=0,C6="",D6=""),0,IFERROR(IF(AND(INDEX(Arten,MATCH(C6,Codes,0))="Arbeit",INDEX(Arten,MATCH(D6,Codes,0))="Arbeit"),IF(ROUND((1+INDEX(Beginne,MATCH(D6,Codes,0))-INDEX(EndeRel,MATCH(C6,Codes,0)))*1440,0)&lt;660,1,0),0),0))</f>
      </c>
      <c r="E55" s="1">
        <f>IF(OR(E$52=0,D6="",E6=""),0,IFERROR(IF(AND(INDEX(Arten,MATCH(D6,Codes,0))="Arbeit",INDEX(Arten,MATCH(E6,Codes,0))="Arbeit"),IF(ROUND((1+INDEX(Beginne,MATCH(E6,Codes,0))-INDEX(EndeRel,MATCH(D6,Codes,0)))*1440,0)&lt;660,1,0),0),0))</f>
      </c>
      <c r="F55" s="1">
        <f>IF(OR(F$52=0,E6="",F6=""),0,IFERROR(IF(AND(INDEX(Arten,MATCH(E6,Codes,0))="Arbeit",INDEX(Arten,MATCH(F6,Codes,0))="Arbeit"),IF(ROUND((1+INDEX(Beginne,MATCH(F6,Codes,0))-INDEX(EndeRel,MATCH(E6,Codes,0)))*1440,0)&lt;660,1,0),0),0))</f>
      </c>
      <c r="G55" s="1">
        <f>IF(OR(G$52=0,F6="",G6=""),0,IFERROR(IF(AND(INDEX(Arten,MATCH(F6,Codes,0))="Arbeit",INDEX(Arten,MATCH(G6,Codes,0))="Arbeit"),IF(ROUND((1+INDEX(Beginne,MATCH(G6,Codes,0))-INDEX(EndeRel,MATCH(F6,Codes,0)))*1440,0)&lt;660,1,0),0),0))</f>
      </c>
      <c r="H55" s="1">
        <f>IF(OR(H$52=0,G6="",H6=""),0,IFERROR(IF(AND(INDEX(Arten,MATCH(G6,Codes,0))="Arbeit",INDEX(Arten,MATCH(H6,Codes,0))="Arbeit"),IF(ROUND((1+INDEX(Beginne,MATCH(H6,Codes,0))-INDEX(EndeRel,MATCH(G6,Codes,0)))*1440,0)&lt;660,1,0),0),0))</f>
      </c>
      <c r="I55" s="1">
        <f>IF(OR(I$52=0,H6="",I6=""),0,IFERROR(IF(AND(INDEX(Arten,MATCH(H6,Codes,0))="Arbeit",INDEX(Arten,MATCH(I6,Codes,0))="Arbeit"),IF(ROUND((1+INDEX(Beginne,MATCH(I6,Codes,0))-INDEX(EndeRel,MATCH(H6,Codes,0)))*1440,0)&lt;660,1,0),0),0))</f>
      </c>
      <c r="J55" s="1">
        <f>IF(OR(J$52=0,I6="",J6=""),0,IFERROR(IF(AND(INDEX(Arten,MATCH(I6,Codes,0))="Arbeit",INDEX(Arten,MATCH(J6,Codes,0))="Arbeit"),IF(ROUND((1+INDEX(Beginne,MATCH(J6,Codes,0))-INDEX(EndeRel,MATCH(I6,Codes,0)))*1440,0)&lt;660,1,0),0),0))</f>
      </c>
      <c r="K55" s="1">
        <f>IF(OR(K$52=0,J6="",K6=""),0,IFERROR(IF(AND(INDEX(Arten,MATCH(J6,Codes,0))="Arbeit",INDEX(Arten,MATCH(K6,Codes,0))="Arbeit"),IF(ROUND((1+INDEX(Beginne,MATCH(K6,Codes,0))-INDEX(EndeRel,MATCH(J6,Codes,0)))*1440,0)&lt;660,1,0),0),0))</f>
      </c>
      <c r="L55" s="1">
        <f>IF(OR(L$52=0,K6="",L6=""),0,IFERROR(IF(AND(INDEX(Arten,MATCH(K6,Codes,0))="Arbeit",INDEX(Arten,MATCH(L6,Codes,0))="Arbeit"),IF(ROUND((1+INDEX(Beginne,MATCH(L6,Codes,0))-INDEX(EndeRel,MATCH(K6,Codes,0)))*1440,0)&lt;660,1,0),0),0))</f>
      </c>
      <c r="M55" s="1">
        <f>IF(OR(M$52=0,L6="",M6=""),0,IFERROR(IF(AND(INDEX(Arten,MATCH(L6,Codes,0))="Arbeit",INDEX(Arten,MATCH(M6,Codes,0))="Arbeit"),IF(ROUND((1+INDEX(Beginne,MATCH(M6,Codes,0))-INDEX(EndeRel,MATCH(L6,Codes,0)))*1440,0)&lt;660,1,0),0),0))</f>
      </c>
      <c r="N55" s="1">
        <f>IF(OR(N$52=0,M6="",N6=""),0,IFERROR(IF(AND(INDEX(Arten,MATCH(M6,Codes,0))="Arbeit",INDEX(Arten,MATCH(N6,Codes,0))="Arbeit"),IF(ROUND((1+INDEX(Beginne,MATCH(N6,Codes,0))-INDEX(EndeRel,MATCH(M6,Codes,0)))*1440,0)&lt;660,1,0),0),0))</f>
      </c>
      <c r="O55" s="1">
        <f>IF(OR(O$52=0,N6="",O6=""),0,IFERROR(IF(AND(INDEX(Arten,MATCH(N6,Codes,0))="Arbeit",INDEX(Arten,MATCH(O6,Codes,0))="Arbeit"),IF(ROUND((1+INDEX(Beginne,MATCH(O6,Codes,0))-INDEX(EndeRel,MATCH(N6,Codes,0)))*1440,0)&lt;660,1,0),0),0))</f>
      </c>
      <c r="P55" s="1">
        <f>IF(OR(P$52=0,O6="",P6=""),0,IFERROR(IF(AND(INDEX(Arten,MATCH(O6,Codes,0))="Arbeit",INDEX(Arten,MATCH(P6,Codes,0))="Arbeit"),IF(ROUND((1+INDEX(Beginne,MATCH(P6,Codes,0))-INDEX(EndeRel,MATCH(O6,Codes,0)))*1440,0)&lt;660,1,0),0),0))</f>
      </c>
      <c r="Q55" s="1">
        <f>IF(OR(Q$52=0,P6="",Q6=""),0,IFERROR(IF(AND(INDEX(Arten,MATCH(P6,Codes,0))="Arbeit",INDEX(Arten,MATCH(Q6,Codes,0))="Arbeit"),IF(ROUND((1+INDEX(Beginne,MATCH(Q6,Codes,0))-INDEX(EndeRel,MATCH(P6,Codes,0)))*1440,0)&lt;660,1,0),0),0))</f>
      </c>
      <c r="R55" s="1">
        <f>IF(OR(R$52=0,Q6="",R6=""),0,IFERROR(IF(AND(INDEX(Arten,MATCH(Q6,Codes,0))="Arbeit",INDEX(Arten,MATCH(R6,Codes,0))="Arbeit"),IF(ROUND((1+INDEX(Beginne,MATCH(R6,Codes,0))-INDEX(EndeRel,MATCH(Q6,Codes,0)))*1440,0)&lt;660,1,0),0),0))</f>
      </c>
      <c r="S55" s="1">
        <f>IF(OR(S$52=0,R6="",S6=""),0,IFERROR(IF(AND(INDEX(Arten,MATCH(R6,Codes,0))="Arbeit",INDEX(Arten,MATCH(S6,Codes,0))="Arbeit"),IF(ROUND((1+INDEX(Beginne,MATCH(S6,Codes,0))-INDEX(EndeRel,MATCH(R6,Codes,0)))*1440,0)&lt;660,1,0),0),0))</f>
      </c>
      <c r="T55" s="1">
        <f>IF(OR(T$52=0,S6="",T6=""),0,IFERROR(IF(AND(INDEX(Arten,MATCH(S6,Codes,0))="Arbeit",INDEX(Arten,MATCH(T6,Codes,0))="Arbeit"),IF(ROUND((1+INDEX(Beginne,MATCH(T6,Codes,0))-INDEX(EndeRel,MATCH(S6,Codes,0)))*1440,0)&lt;660,1,0),0),0))</f>
      </c>
      <c r="U55" s="1">
        <f>IF(OR(U$52=0,T6="",U6=""),0,IFERROR(IF(AND(INDEX(Arten,MATCH(T6,Codes,0))="Arbeit",INDEX(Arten,MATCH(U6,Codes,0))="Arbeit"),IF(ROUND((1+INDEX(Beginne,MATCH(U6,Codes,0))-INDEX(EndeRel,MATCH(T6,Codes,0)))*1440,0)&lt;660,1,0),0),0))</f>
      </c>
      <c r="V55" s="1">
        <f>IF(OR(V$52=0,U6="",V6=""),0,IFERROR(IF(AND(INDEX(Arten,MATCH(U6,Codes,0))="Arbeit",INDEX(Arten,MATCH(V6,Codes,0))="Arbeit"),IF(ROUND((1+INDEX(Beginne,MATCH(V6,Codes,0))-INDEX(EndeRel,MATCH(U6,Codes,0)))*1440,0)&lt;660,1,0),0),0))</f>
      </c>
      <c r="W55" s="1">
        <f>IF(OR(W$52=0,V6="",W6=""),0,IFERROR(IF(AND(INDEX(Arten,MATCH(V6,Codes,0))="Arbeit",INDEX(Arten,MATCH(W6,Codes,0))="Arbeit"),IF(ROUND((1+INDEX(Beginne,MATCH(W6,Codes,0))-INDEX(EndeRel,MATCH(V6,Codes,0)))*1440,0)&lt;660,1,0),0),0))</f>
      </c>
      <c r="X55" s="1">
        <f>IF(OR(X$52=0,W6="",X6=""),0,IFERROR(IF(AND(INDEX(Arten,MATCH(W6,Codes,0))="Arbeit",INDEX(Arten,MATCH(X6,Codes,0))="Arbeit"),IF(ROUND((1+INDEX(Beginne,MATCH(X6,Codes,0))-INDEX(EndeRel,MATCH(W6,Codes,0)))*1440,0)&lt;660,1,0),0),0))</f>
      </c>
      <c r="Y55" s="1">
        <f>IF(OR(Y$52=0,X6="",Y6=""),0,IFERROR(IF(AND(INDEX(Arten,MATCH(X6,Codes,0))="Arbeit",INDEX(Arten,MATCH(Y6,Codes,0))="Arbeit"),IF(ROUND((1+INDEX(Beginne,MATCH(Y6,Codes,0))-INDEX(EndeRel,MATCH(X6,Codes,0)))*1440,0)&lt;660,1,0),0),0))</f>
      </c>
      <c r="Z55" s="1">
        <f>IF(OR(Z$52=0,Y6="",Z6=""),0,IFERROR(IF(AND(INDEX(Arten,MATCH(Y6,Codes,0))="Arbeit",INDEX(Arten,MATCH(Z6,Codes,0))="Arbeit"),IF(ROUND((1+INDEX(Beginne,MATCH(Z6,Codes,0))-INDEX(EndeRel,MATCH(Y6,Codes,0)))*1440,0)&lt;660,1,0),0),0))</f>
      </c>
      <c r="AA55" s="1">
        <f>IF(OR(AA$52=0,Z6="",AA6=""),0,IFERROR(IF(AND(INDEX(Arten,MATCH(Z6,Codes,0))="Arbeit",INDEX(Arten,MATCH(AA6,Codes,0))="Arbeit"),IF(ROUND((1+INDEX(Beginne,MATCH(AA6,Codes,0))-INDEX(EndeRel,MATCH(Z6,Codes,0)))*1440,0)&lt;660,1,0),0),0))</f>
      </c>
      <c r="AB55" s="1">
        <f>IF(OR(AB$52=0,AA6="",AB6=""),0,IFERROR(IF(AND(INDEX(Arten,MATCH(AA6,Codes,0))="Arbeit",INDEX(Arten,MATCH(AB6,Codes,0))="Arbeit"),IF(ROUND((1+INDEX(Beginne,MATCH(AB6,Codes,0))-INDEX(EndeRel,MATCH(AA6,Codes,0)))*1440,0)&lt;660,1,0),0),0))</f>
      </c>
      <c r="AC55" s="1">
        <f>IF(OR(AC$52=0,AB6="",AC6=""),0,IFERROR(IF(AND(INDEX(Arten,MATCH(AB6,Codes,0))="Arbeit",INDEX(Arten,MATCH(AC6,Codes,0))="Arbeit"),IF(ROUND((1+INDEX(Beginne,MATCH(AC6,Codes,0))-INDEX(EndeRel,MATCH(AB6,Codes,0)))*1440,0)&lt;660,1,0),0),0))</f>
      </c>
      <c r="AD55" s="1">
        <f>IF(OR(AD$52=0,AC6="",AD6=""),0,IFERROR(IF(AND(INDEX(Arten,MATCH(AC6,Codes,0))="Arbeit",INDEX(Arten,MATCH(AD6,Codes,0))="Arbeit"),IF(ROUND((1+INDEX(Beginne,MATCH(AD6,Codes,0))-INDEX(EndeRel,MATCH(AC6,Codes,0)))*1440,0)&lt;660,1,0),0),0))</f>
      </c>
      <c r="AE55" s="1">
        <f>IF(OR(AE$52=0,AD6="",AE6=""),0,IFERROR(IF(AND(INDEX(Arten,MATCH(AD6,Codes,0))="Arbeit",INDEX(Arten,MATCH(AE6,Codes,0))="Arbeit"),IF(ROUND((1+INDEX(Beginne,MATCH(AE6,Codes,0))-INDEX(EndeRel,MATCH(AD6,Codes,0)))*1440,0)&lt;660,1,0),0),0))</f>
      </c>
      <c r="AF55" s="1">
        <f>IF(OR(AF$52=0,AE6="",AF6=""),0,IFERROR(IF(AND(INDEX(Arten,MATCH(AE6,Codes,0))="Arbeit",INDEX(Arten,MATCH(AF6,Codes,0))="Arbeit"),IF(ROUND((1+INDEX(Beginne,MATCH(AF6,Codes,0))-INDEX(EndeRel,MATCH(AE6,Codes,0)))*1440,0)&lt;660,1,0),0),0))</f>
      </c>
    </row>
    <row r="56" hidden="1" spans="1:32" x14ac:dyDescent="0.25">
      <c r="A56" s="1"/>
      <c r="B56" s="1">
        <f>IF(OR(B$52=0,INDEX('Januar'!$B$7:$AF$7,DAY(DATE(Jahr,2,0)))="",B7=""),0,IFERROR(IF(AND(INDEX(Arten,MATCH(INDEX('Januar'!$B$7:$AF$7,DAY(DATE(Jahr,2,0))),Codes,0))="Arbeit",INDEX(Arten,MATCH(B7,Codes,0))="Arbeit"),IF(ROUND((1+INDEX(Beginne,MATCH(B7,Codes,0))-INDEX(EndeRel,MATCH(INDEX('Januar'!$B$7:$AF$7,DAY(DATE(Jahr,2,0))),Codes,0)))*1440,0)&lt;660,1,0),0),0))</f>
      </c>
      <c r="C56" s="1">
        <f>IF(OR(C$52=0,B7="",C7=""),0,IFERROR(IF(AND(INDEX(Arten,MATCH(B7,Codes,0))="Arbeit",INDEX(Arten,MATCH(C7,Codes,0))="Arbeit"),IF(ROUND((1+INDEX(Beginne,MATCH(C7,Codes,0))-INDEX(EndeRel,MATCH(B7,Codes,0)))*1440,0)&lt;660,1,0),0),0))</f>
      </c>
      <c r="D56" s="1">
        <f>IF(OR(D$52=0,C7="",D7=""),0,IFERROR(IF(AND(INDEX(Arten,MATCH(C7,Codes,0))="Arbeit",INDEX(Arten,MATCH(D7,Codes,0))="Arbeit"),IF(ROUND((1+INDEX(Beginne,MATCH(D7,Codes,0))-INDEX(EndeRel,MATCH(C7,Codes,0)))*1440,0)&lt;660,1,0),0),0))</f>
      </c>
      <c r="E56" s="1">
        <f>IF(OR(E$52=0,D7="",E7=""),0,IFERROR(IF(AND(INDEX(Arten,MATCH(D7,Codes,0))="Arbeit",INDEX(Arten,MATCH(E7,Codes,0))="Arbeit"),IF(ROUND((1+INDEX(Beginne,MATCH(E7,Codes,0))-INDEX(EndeRel,MATCH(D7,Codes,0)))*1440,0)&lt;660,1,0),0),0))</f>
      </c>
      <c r="F56" s="1">
        <f>IF(OR(F$52=0,E7="",F7=""),0,IFERROR(IF(AND(INDEX(Arten,MATCH(E7,Codes,0))="Arbeit",INDEX(Arten,MATCH(F7,Codes,0))="Arbeit"),IF(ROUND((1+INDEX(Beginne,MATCH(F7,Codes,0))-INDEX(EndeRel,MATCH(E7,Codes,0)))*1440,0)&lt;660,1,0),0),0))</f>
      </c>
      <c r="G56" s="1">
        <f>IF(OR(G$52=0,F7="",G7=""),0,IFERROR(IF(AND(INDEX(Arten,MATCH(F7,Codes,0))="Arbeit",INDEX(Arten,MATCH(G7,Codes,0))="Arbeit"),IF(ROUND((1+INDEX(Beginne,MATCH(G7,Codes,0))-INDEX(EndeRel,MATCH(F7,Codes,0)))*1440,0)&lt;660,1,0),0),0))</f>
      </c>
      <c r="H56" s="1">
        <f>IF(OR(H$52=0,G7="",H7=""),0,IFERROR(IF(AND(INDEX(Arten,MATCH(G7,Codes,0))="Arbeit",INDEX(Arten,MATCH(H7,Codes,0))="Arbeit"),IF(ROUND((1+INDEX(Beginne,MATCH(H7,Codes,0))-INDEX(EndeRel,MATCH(G7,Codes,0)))*1440,0)&lt;660,1,0),0),0))</f>
      </c>
      <c r="I56" s="1">
        <f>IF(OR(I$52=0,H7="",I7=""),0,IFERROR(IF(AND(INDEX(Arten,MATCH(H7,Codes,0))="Arbeit",INDEX(Arten,MATCH(I7,Codes,0))="Arbeit"),IF(ROUND((1+INDEX(Beginne,MATCH(I7,Codes,0))-INDEX(EndeRel,MATCH(H7,Codes,0)))*1440,0)&lt;660,1,0),0),0))</f>
      </c>
      <c r="J56" s="1">
        <f>IF(OR(J$52=0,I7="",J7=""),0,IFERROR(IF(AND(INDEX(Arten,MATCH(I7,Codes,0))="Arbeit",INDEX(Arten,MATCH(J7,Codes,0))="Arbeit"),IF(ROUND((1+INDEX(Beginne,MATCH(J7,Codes,0))-INDEX(EndeRel,MATCH(I7,Codes,0)))*1440,0)&lt;660,1,0),0),0))</f>
      </c>
      <c r="K56" s="1">
        <f>IF(OR(K$52=0,J7="",K7=""),0,IFERROR(IF(AND(INDEX(Arten,MATCH(J7,Codes,0))="Arbeit",INDEX(Arten,MATCH(K7,Codes,0))="Arbeit"),IF(ROUND((1+INDEX(Beginne,MATCH(K7,Codes,0))-INDEX(EndeRel,MATCH(J7,Codes,0)))*1440,0)&lt;660,1,0),0),0))</f>
      </c>
      <c r="L56" s="1">
        <f>IF(OR(L$52=0,K7="",L7=""),0,IFERROR(IF(AND(INDEX(Arten,MATCH(K7,Codes,0))="Arbeit",INDEX(Arten,MATCH(L7,Codes,0))="Arbeit"),IF(ROUND((1+INDEX(Beginne,MATCH(L7,Codes,0))-INDEX(EndeRel,MATCH(K7,Codes,0)))*1440,0)&lt;660,1,0),0),0))</f>
      </c>
      <c r="M56" s="1">
        <f>IF(OR(M$52=0,L7="",M7=""),0,IFERROR(IF(AND(INDEX(Arten,MATCH(L7,Codes,0))="Arbeit",INDEX(Arten,MATCH(M7,Codes,0))="Arbeit"),IF(ROUND((1+INDEX(Beginne,MATCH(M7,Codes,0))-INDEX(EndeRel,MATCH(L7,Codes,0)))*1440,0)&lt;660,1,0),0),0))</f>
      </c>
      <c r="N56" s="1">
        <f>IF(OR(N$52=0,M7="",N7=""),0,IFERROR(IF(AND(INDEX(Arten,MATCH(M7,Codes,0))="Arbeit",INDEX(Arten,MATCH(N7,Codes,0))="Arbeit"),IF(ROUND((1+INDEX(Beginne,MATCH(N7,Codes,0))-INDEX(EndeRel,MATCH(M7,Codes,0)))*1440,0)&lt;660,1,0),0),0))</f>
      </c>
      <c r="O56" s="1">
        <f>IF(OR(O$52=0,N7="",O7=""),0,IFERROR(IF(AND(INDEX(Arten,MATCH(N7,Codes,0))="Arbeit",INDEX(Arten,MATCH(O7,Codes,0))="Arbeit"),IF(ROUND((1+INDEX(Beginne,MATCH(O7,Codes,0))-INDEX(EndeRel,MATCH(N7,Codes,0)))*1440,0)&lt;660,1,0),0),0))</f>
      </c>
      <c r="P56" s="1">
        <f>IF(OR(P$52=0,O7="",P7=""),0,IFERROR(IF(AND(INDEX(Arten,MATCH(O7,Codes,0))="Arbeit",INDEX(Arten,MATCH(P7,Codes,0))="Arbeit"),IF(ROUND((1+INDEX(Beginne,MATCH(P7,Codes,0))-INDEX(EndeRel,MATCH(O7,Codes,0)))*1440,0)&lt;660,1,0),0),0))</f>
      </c>
      <c r="Q56" s="1">
        <f>IF(OR(Q$52=0,P7="",Q7=""),0,IFERROR(IF(AND(INDEX(Arten,MATCH(P7,Codes,0))="Arbeit",INDEX(Arten,MATCH(Q7,Codes,0))="Arbeit"),IF(ROUND((1+INDEX(Beginne,MATCH(Q7,Codes,0))-INDEX(EndeRel,MATCH(P7,Codes,0)))*1440,0)&lt;660,1,0),0),0))</f>
      </c>
      <c r="R56" s="1">
        <f>IF(OR(R$52=0,Q7="",R7=""),0,IFERROR(IF(AND(INDEX(Arten,MATCH(Q7,Codes,0))="Arbeit",INDEX(Arten,MATCH(R7,Codes,0))="Arbeit"),IF(ROUND((1+INDEX(Beginne,MATCH(R7,Codes,0))-INDEX(EndeRel,MATCH(Q7,Codes,0)))*1440,0)&lt;660,1,0),0),0))</f>
      </c>
      <c r="S56" s="1">
        <f>IF(OR(S$52=0,R7="",S7=""),0,IFERROR(IF(AND(INDEX(Arten,MATCH(R7,Codes,0))="Arbeit",INDEX(Arten,MATCH(S7,Codes,0))="Arbeit"),IF(ROUND((1+INDEX(Beginne,MATCH(S7,Codes,0))-INDEX(EndeRel,MATCH(R7,Codes,0)))*1440,0)&lt;660,1,0),0),0))</f>
      </c>
      <c r="T56" s="1">
        <f>IF(OR(T$52=0,S7="",T7=""),0,IFERROR(IF(AND(INDEX(Arten,MATCH(S7,Codes,0))="Arbeit",INDEX(Arten,MATCH(T7,Codes,0))="Arbeit"),IF(ROUND((1+INDEX(Beginne,MATCH(T7,Codes,0))-INDEX(EndeRel,MATCH(S7,Codes,0)))*1440,0)&lt;660,1,0),0),0))</f>
      </c>
      <c r="U56" s="1">
        <f>IF(OR(U$52=0,T7="",U7=""),0,IFERROR(IF(AND(INDEX(Arten,MATCH(T7,Codes,0))="Arbeit",INDEX(Arten,MATCH(U7,Codes,0))="Arbeit"),IF(ROUND((1+INDEX(Beginne,MATCH(U7,Codes,0))-INDEX(EndeRel,MATCH(T7,Codes,0)))*1440,0)&lt;660,1,0),0),0))</f>
      </c>
      <c r="V56" s="1">
        <f>IF(OR(V$52=0,U7="",V7=""),0,IFERROR(IF(AND(INDEX(Arten,MATCH(U7,Codes,0))="Arbeit",INDEX(Arten,MATCH(V7,Codes,0))="Arbeit"),IF(ROUND((1+INDEX(Beginne,MATCH(V7,Codes,0))-INDEX(EndeRel,MATCH(U7,Codes,0)))*1440,0)&lt;660,1,0),0),0))</f>
      </c>
      <c r="W56" s="1">
        <f>IF(OR(W$52=0,V7="",W7=""),0,IFERROR(IF(AND(INDEX(Arten,MATCH(V7,Codes,0))="Arbeit",INDEX(Arten,MATCH(W7,Codes,0))="Arbeit"),IF(ROUND((1+INDEX(Beginne,MATCH(W7,Codes,0))-INDEX(EndeRel,MATCH(V7,Codes,0)))*1440,0)&lt;660,1,0),0),0))</f>
      </c>
      <c r="X56" s="1">
        <f>IF(OR(X$52=0,W7="",X7=""),0,IFERROR(IF(AND(INDEX(Arten,MATCH(W7,Codes,0))="Arbeit",INDEX(Arten,MATCH(X7,Codes,0))="Arbeit"),IF(ROUND((1+INDEX(Beginne,MATCH(X7,Codes,0))-INDEX(EndeRel,MATCH(W7,Codes,0)))*1440,0)&lt;660,1,0),0),0))</f>
      </c>
      <c r="Y56" s="1">
        <f>IF(OR(Y$52=0,X7="",Y7=""),0,IFERROR(IF(AND(INDEX(Arten,MATCH(X7,Codes,0))="Arbeit",INDEX(Arten,MATCH(Y7,Codes,0))="Arbeit"),IF(ROUND((1+INDEX(Beginne,MATCH(Y7,Codes,0))-INDEX(EndeRel,MATCH(X7,Codes,0)))*1440,0)&lt;660,1,0),0),0))</f>
      </c>
      <c r="Z56" s="1">
        <f>IF(OR(Z$52=0,Y7="",Z7=""),0,IFERROR(IF(AND(INDEX(Arten,MATCH(Y7,Codes,0))="Arbeit",INDEX(Arten,MATCH(Z7,Codes,0))="Arbeit"),IF(ROUND((1+INDEX(Beginne,MATCH(Z7,Codes,0))-INDEX(EndeRel,MATCH(Y7,Codes,0)))*1440,0)&lt;660,1,0),0),0))</f>
      </c>
      <c r="AA56" s="1">
        <f>IF(OR(AA$52=0,Z7="",AA7=""),0,IFERROR(IF(AND(INDEX(Arten,MATCH(Z7,Codes,0))="Arbeit",INDEX(Arten,MATCH(AA7,Codes,0))="Arbeit"),IF(ROUND((1+INDEX(Beginne,MATCH(AA7,Codes,0))-INDEX(EndeRel,MATCH(Z7,Codes,0)))*1440,0)&lt;660,1,0),0),0))</f>
      </c>
      <c r="AB56" s="1">
        <f>IF(OR(AB$52=0,AA7="",AB7=""),0,IFERROR(IF(AND(INDEX(Arten,MATCH(AA7,Codes,0))="Arbeit",INDEX(Arten,MATCH(AB7,Codes,0))="Arbeit"),IF(ROUND((1+INDEX(Beginne,MATCH(AB7,Codes,0))-INDEX(EndeRel,MATCH(AA7,Codes,0)))*1440,0)&lt;660,1,0),0),0))</f>
      </c>
      <c r="AC56" s="1">
        <f>IF(OR(AC$52=0,AB7="",AC7=""),0,IFERROR(IF(AND(INDEX(Arten,MATCH(AB7,Codes,0))="Arbeit",INDEX(Arten,MATCH(AC7,Codes,0))="Arbeit"),IF(ROUND((1+INDEX(Beginne,MATCH(AC7,Codes,0))-INDEX(EndeRel,MATCH(AB7,Codes,0)))*1440,0)&lt;660,1,0),0),0))</f>
      </c>
      <c r="AD56" s="1">
        <f>IF(OR(AD$52=0,AC7="",AD7=""),0,IFERROR(IF(AND(INDEX(Arten,MATCH(AC7,Codes,0))="Arbeit",INDEX(Arten,MATCH(AD7,Codes,0))="Arbeit"),IF(ROUND((1+INDEX(Beginne,MATCH(AD7,Codes,0))-INDEX(EndeRel,MATCH(AC7,Codes,0)))*1440,0)&lt;660,1,0),0),0))</f>
      </c>
      <c r="AE56" s="1">
        <f>IF(OR(AE$52=0,AD7="",AE7=""),0,IFERROR(IF(AND(INDEX(Arten,MATCH(AD7,Codes,0))="Arbeit",INDEX(Arten,MATCH(AE7,Codes,0))="Arbeit"),IF(ROUND((1+INDEX(Beginne,MATCH(AE7,Codes,0))-INDEX(EndeRel,MATCH(AD7,Codes,0)))*1440,0)&lt;660,1,0),0),0))</f>
      </c>
      <c r="AF56" s="1">
        <f>IF(OR(AF$52=0,AE7="",AF7=""),0,IFERROR(IF(AND(INDEX(Arten,MATCH(AE7,Codes,0))="Arbeit",INDEX(Arten,MATCH(AF7,Codes,0))="Arbeit"),IF(ROUND((1+INDEX(Beginne,MATCH(AF7,Codes,0))-INDEX(EndeRel,MATCH(AE7,Codes,0)))*1440,0)&lt;660,1,0),0),0))</f>
      </c>
    </row>
    <row r="57" hidden="1" spans="1:32" x14ac:dyDescent="0.25">
      <c r="A57" s="1"/>
      <c r="B57" s="1">
        <f>IF(OR(B$52=0,INDEX('Januar'!$B$8:$AF$8,DAY(DATE(Jahr,2,0)))="",B8=""),0,IFERROR(IF(AND(INDEX(Arten,MATCH(INDEX('Januar'!$B$8:$AF$8,DAY(DATE(Jahr,2,0))),Codes,0))="Arbeit",INDEX(Arten,MATCH(B8,Codes,0))="Arbeit"),IF(ROUND((1+INDEX(Beginne,MATCH(B8,Codes,0))-INDEX(EndeRel,MATCH(INDEX('Januar'!$B$8:$AF$8,DAY(DATE(Jahr,2,0))),Codes,0)))*1440,0)&lt;660,1,0),0),0))</f>
      </c>
      <c r="C57" s="1">
        <f>IF(OR(C$52=0,B8="",C8=""),0,IFERROR(IF(AND(INDEX(Arten,MATCH(B8,Codes,0))="Arbeit",INDEX(Arten,MATCH(C8,Codes,0))="Arbeit"),IF(ROUND((1+INDEX(Beginne,MATCH(C8,Codes,0))-INDEX(EndeRel,MATCH(B8,Codes,0)))*1440,0)&lt;660,1,0),0),0))</f>
      </c>
      <c r="D57" s="1">
        <f>IF(OR(D$52=0,C8="",D8=""),0,IFERROR(IF(AND(INDEX(Arten,MATCH(C8,Codes,0))="Arbeit",INDEX(Arten,MATCH(D8,Codes,0))="Arbeit"),IF(ROUND((1+INDEX(Beginne,MATCH(D8,Codes,0))-INDEX(EndeRel,MATCH(C8,Codes,0)))*1440,0)&lt;660,1,0),0),0))</f>
      </c>
      <c r="E57" s="1">
        <f>IF(OR(E$52=0,D8="",E8=""),0,IFERROR(IF(AND(INDEX(Arten,MATCH(D8,Codes,0))="Arbeit",INDEX(Arten,MATCH(E8,Codes,0))="Arbeit"),IF(ROUND((1+INDEX(Beginne,MATCH(E8,Codes,0))-INDEX(EndeRel,MATCH(D8,Codes,0)))*1440,0)&lt;660,1,0),0),0))</f>
      </c>
      <c r="F57" s="1">
        <f>IF(OR(F$52=0,E8="",F8=""),0,IFERROR(IF(AND(INDEX(Arten,MATCH(E8,Codes,0))="Arbeit",INDEX(Arten,MATCH(F8,Codes,0))="Arbeit"),IF(ROUND((1+INDEX(Beginne,MATCH(F8,Codes,0))-INDEX(EndeRel,MATCH(E8,Codes,0)))*1440,0)&lt;660,1,0),0),0))</f>
      </c>
      <c r="G57" s="1">
        <f>IF(OR(G$52=0,F8="",G8=""),0,IFERROR(IF(AND(INDEX(Arten,MATCH(F8,Codes,0))="Arbeit",INDEX(Arten,MATCH(G8,Codes,0))="Arbeit"),IF(ROUND((1+INDEX(Beginne,MATCH(G8,Codes,0))-INDEX(EndeRel,MATCH(F8,Codes,0)))*1440,0)&lt;660,1,0),0),0))</f>
      </c>
      <c r="H57" s="1">
        <f>IF(OR(H$52=0,G8="",H8=""),0,IFERROR(IF(AND(INDEX(Arten,MATCH(G8,Codes,0))="Arbeit",INDEX(Arten,MATCH(H8,Codes,0))="Arbeit"),IF(ROUND((1+INDEX(Beginne,MATCH(H8,Codes,0))-INDEX(EndeRel,MATCH(G8,Codes,0)))*1440,0)&lt;660,1,0),0),0))</f>
      </c>
      <c r="I57" s="1">
        <f>IF(OR(I$52=0,H8="",I8=""),0,IFERROR(IF(AND(INDEX(Arten,MATCH(H8,Codes,0))="Arbeit",INDEX(Arten,MATCH(I8,Codes,0))="Arbeit"),IF(ROUND((1+INDEX(Beginne,MATCH(I8,Codes,0))-INDEX(EndeRel,MATCH(H8,Codes,0)))*1440,0)&lt;660,1,0),0),0))</f>
      </c>
      <c r="J57" s="1">
        <f>IF(OR(J$52=0,I8="",J8=""),0,IFERROR(IF(AND(INDEX(Arten,MATCH(I8,Codes,0))="Arbeit",INDEX(Arten,MATCH(J8,Codes,0))="Arbeit"),IF(ROUND((1+INDEX(Beginne,MATCH(J8,Codes,0))-INDEX(EndeRel,MATCH(I8,Codes,0)))*1440,0)&lt;660,1,0),0),0))</f>
      </c>
      <c r="K57" s="1">
        <f>IF(OR(K$52=0,J8="",K8=""),0,IFERROR(IF(AND(INDEX(Arten,MATCH(J8,Codes,0))="Arbeit",INDEX(Arten,MATCH(K8,Codes,0))="Arbeit"),IF(ROUND((1+INDEX(Beginne,MATCH(K8,Codes,0))-INDEX(EndeRel,MATCH(J8,Codes,0)))*1440,0)&lt;660,1,0),0),0))</f>
      </c>
      <c r="L57" s="1">
        <f>IF(OR(L$52=0,K8="",L8=""),0,IFERROR(IF(AND(INDEX(Arten,MATCH(K8,Codes,0))="Arbeit",INDEX(Arten,MATCH(L8,Codes,0))="Arbeit"),IF(ROUND((1+INDEX(Beginne,MATCH(L8,Codes,0))-INDEX(EndeRel,MATCH(K8,Codes,0)))*1440,0)&lt;660,1,0),0),0))</f>
      </c>
      <c r="M57" s="1">
        <f>IF(OR(M$52=0,L8="",M8=""),0,IFERROR(IF(AND(INDEX(Arten,MATCH(L8,Codes,0))="Arbeit",INDEX(Arten,MATCH(M8,Codes,0))="Arbeit"),IF(ROUND((1+INDEX(Beginne,MATCH(M8,Codes,0))-INDEX(EndeRel,MATCH(L8,Codes,0)))*1440,0)&lt;660,1,0),0),0))</f>
      </c>
      <c r="N57" s="1">
        <f>IF(OR(N$52=0,M8="",N8=""),0,IFERROR(IF(AND(INDEX(Arten,MATCH(M8,Codes,0))="Arbeit",INDEX(Arten,MATCH(N8,Codes,0))="Arbeit"),IF(ROUND((1+INDEX(Beginne,MATCH(N8,Codes,0))-INDEX(EndeRel,MATCH(M8,Codes,0)))*1440,0)&lt;660,1,0),0),0))</f>
      </c>
      <c r="O57" s="1">
        <f>IF(OR(O$52=0,N8="",O8=""),0,IFERROR(IF(AND(INDEX(Arten,MATCH(N8,Codes,0))="Arbeit",INDEX(Arten,MATCH(O8,Codes,0))="Arbeit"),IF(ROUND((1+INDEX(Beginne,MATCH(O8,Codes,0))-INDEX(EndeRel,MATCH(N8,Codes,0)))*1440,0)&lt;660,1,0),0),0))</f>
      </c>
      <c r="P57" s="1">
        <f>IF(OR(P$52=0,O8="",P8=""),0,IFERROR(IF(AND(INDEX(Arten,MATCH(O8,Codes,0))="Arbeit",INDEX(Arten,MATCH(P8,Codes,0))="Arbeit"),IF(ROUND((1+INDEX(Beginne,MATCH(P8,Codes,0))-INDEX(EndeRel,MATCH(O8,Codes,0)))*1440,0)&lt;660,1,0),0),0))</f>
      </c>
      <c r="Q57" s="1">
        <f>IF(OR(Q$52=0,P8="",Q8=""),0,IFERROR(IF(AND(INDEX(Arten,MATCH(P8,Codes,0))="Arbeit",INDEX(Arten,MATCH(Q8,Codes,0))="Arbeit"),IF(ROUND((1+INDEX(Beginne,MATCH(Q8,Codes,0))-INDEX(EndeRel,MATCH(P8,Codes,0)))*1440,0)&lt;660,1,0),0),0))</f>
      </c>
      <c r="R57" s="1">
        <f>IF(OR(R$52=0,Q8="",R8=""),0,IFERROR(IF(AND(INDEX(Arten,MATCH(Q8,Codes,0))="Arbeit",INDEX(Arten,MATCH(R8,Codes,0))="Arbeit"),IF(ROUND((1+INDEX(Beginne,MATCH(R8,Codes,0))-INDEX(EndeRel,MATCH(Q8,Codes,0)))*1440,0)&lt;660,1,0),0),0))</f>
      </c>
      <c r="S57" s="1">
        <f>IF(OR(S$52=0,R8="",S8=""),0,IFERROR(IF(AND(INDEX(Arten,MATCH(R8,Codes,0))="Arbeit",INDEX(Arten,MATCH(S8,Codes,0))="Arbeit"),IF(ROUND((1+INDEX(Beginne,MATCH(S8,Codes,0))-INDEX(EndeRel,MATCH(R8,Codes,0)))*1440,0)&lt;660,1,0),0),0))</f>
      </c>
      <c r="T57" s="1">
        <f>IF(OR(T$52=0,S8="",T8=""),0,IFERROR(IF(AND(INDEX(Arten,MATCH(S8,Codes,0))="Arbeit",INDEX(Arten,MATCH(T8,Codes,0))="Arbeit"),IF(ROUND((1+INDEX(Beginne,MATCH(T8,Codes,0))-INDEX(EndeRel,MATCH(S8,Codes,0)))*1440,0)&lt;660,1,0),0),0))</f>
      </c>
      <c r="U57" s="1">
        <f>IF(OR(U$52=0,T8="",U8=""),0,IFERROR(IF(AND(INDEX(Arten,MATCH(T8,Codes,0))="Arbeit",INDEX(Arten,MATCH(U8,Codes,0))="Arbeit"),IF(ROUND((1+INDEX(Beginne,MATCH(U8,Codes,0))-INDEX(EndeRel,MATCH(T8,Codes,0)))*1440,0)&lt;660,1,0),0),0))</f>
      </c>
      <c r="V57" s="1">
        <f>IF(OR(V$52=0,U8="",V8=""),0,IFERROR(IF(AND(INDEX(Arten,MATCH(U8,Codes,0))="Arbeit",INDEX(Arten,MATCH(V8,Codes,0))="Arbeit"),IF(ROUND((1+INDEX(Beginne,MATCH(V8,Codes,0))-INDEX(EndeRel,MATCH(U8,Codes,0)))*1440,0)&lt;660,1,0),0),0))</f>
      </c>
      <c r="W57" s="1">
        <f>IF(OR(W$52=0,V8="",W8=""),0,IFERROR(IF(AND(INDEX(Arten,MATCH(V8,Codes,0))="Arbeit",INDEX(Arten,MATCH(W8,Codes,0))="Arbeit"),IF(ROUND((1+INDEX(Beginne,MATCH(W8,Codes,0))-INDEX(EndeRel,MATCH(V8,Codes,0)))*1440,0)&lt;660,1,0),0),0))</f>
      </c>
      <c r="X57" s="1">
        <f>IF(OR(X$52=0,W8="",X8=""),0,IFERROR(IF(AND(INDEX(Arten,MATCH(W8,Codes,0))="Arbeit",INDEX(Arten,MATCH(X8,Codes,0))="Arbeit"),IF(ROUND((1+INDEX(Beginne,MATCH(X8,Codes,0))-INDEX(EndeRel,MATCH(W8,Codes,0)))*1440,0)&lt;660,1,0),0),0))</f>
      </c>
      <c r="Y57" s="1">
        <f>IF(OR(Y$52=0,X8="",Y8=""),0,IFERROR(IF(AND(INDEX(Arten,MATCH(X8,Codes,0))="Arbeit",INDEX(Arten,MATCH(Y8,Codes,0))="Arbeit"),IF(ROUND((1+INDEX(Beginne,MATCH(Y8,Codes,0))-INDEX(EndeRel,MATCH(X8,Codes,0)))*1440,0)&lt;660,1,0),0),0))</f>
      </c>
      <c r="Z57" s="1">
        <f>IF(OR(Z$52=0,Y8="",Z8=""),0,IFERROR(IF(AND(INDEX(Arten,MATCH(Y8,Codes,0))="Arbeit",INDEX(Arten,MATCH(Z8,Codes,0))="Arbeit"),IF(ROUND((1+INDEX(Beginne,MATCH(Z8,Codes,0))-INDEX(EndeRel,MATCH(Y8,Codes,0)))*1440,0)&lt;660,1,0),0),0))</f>
      </c>
      <c r="AA57" s="1">
        <f>IF(OR(AA$52=0,Z8="",AA8=""),0,IFERROR(IF(AND(INDEX(Arten,MATCH(Z8,Codes,0))="Arbeit",INDEX(Arten,MATCH(AA8,Codes,0))="Arbeit"),IF(ROUND((1+INDEX(Beginne,MATCH(AA8,Codes,0))-INDEX(EndeRel,MATCH(Z8,Codes,0)))*1440,0)&lt;660,1,0),0),0))</f>
      </c>
      <c r="AB57" s="1">
        <f>IF(OR(AB$52=0,AA8="",AB8=""),0,IFERROR(IF(AND(INDEX(Arten,MATCH(AA8,Codes,0))="Arbeit",INDEX(Arten,MATCH(AB8,Codes,0))="Arbeit"),IF(ROUND((1+INDEX(Beginne,MATCH(AB8,Codes,0))-INDEX(EndeRel,MATCH(AA8,Codes,0)))*1440,0)&lt;660,1,0),0),0))</f>
      </c>
      <c r="AC57" s="1">
        <f>IF(OR(AC$52=0,AB8="",AC8=""),0,IFERROR(IF(AND(INDEX(Arten,MATCH(AB8,Codes,0))="Arbeit",INDEX(Arten,MATCH(AC8,Codes,0))="Arbeit"),IF(ROUND((1+INDEX(Beginne,MATCH(AC8,Codes,0))-INDEX(EndeRel,MATCH(AB8,Codes,0)))*1440,0)&lt;660,1,0),0),0))</f>
      </c>
      <c r="AD57" s="1">
        <f>IF(OR(AD$52=0,AC8="",AD8=""),0,IFERROR(IF(AND(INDEX(Arten,MATCH(AC8,Codes,0))="Arbeit",INDEX(Arten,MATCH(AD8,Codes,0))="Arbeit"),IF(ROUND((1+INDEX(Beginne,MATCH(AD8,Codes,0))-INDEX(EndeRel,MATCH(AC8,Codes,0)))*1440,0)&lt;660,1,0),0),0))</f>
      </c>
      <c r="AE57" s="1">
        <f>IF(OR(AE$52=0,AD8="",AE8=""),0,IFERROR(IF(AND(INDEX(Arten,MATCH(AD8,Codes,0))="Arbeit",INDEX(Arten,MATCH(AE8,Codes,0))="Arbeit"),IF(ROUND((1+INDEX(Beginne,MATCH(AE8,Codes,0))-INDEX(EndeRel,MATCH(AD8,Codes,0)))*1440,0)&lt;660,1,0),0),0))</f>
      </c>
      <c r="AF57" s="1">
        <f>IF(OR(AF$52=0,AE8="",AF8=""),0,IFERROR(IF(AND(INDEX(Arten,MATCH(AE8,Codes,0))="Arbeit",INDEX(Arten,MATCH(AF8,Codes,0))="Arbeit"),IF(ROUND((1+INDEX(Beginne,MATCH(AF8,Codes,0))-INDEX(EndeRel,MATCH(AE8,Codes,0)))*1440,0)&lt;660,1,0),0),0))</f>
      </c>
    </row>
    <row r="58" hidden="1" spans="1:32" x14ac:dyDescent="0.25">
      <c r="A58" s="1"/>
      <c r="B58" s="1">
        <f>IF(OR(B$52=0,INDEX('Januar'!$B$9:$AF$9,DAY(DATE(Jahr,2,0)))="",B9=""),0,IFERROR(IF(AND(INDEX(Arten,MATCH(INDEX('Januar'!$B$9:$AF$9,DAY(DATE(Jahr,2,0))),Codes,0))="Arbeit",INDEX(Arten,MATCH(B9,Codes,0))="Arbeit"),IF(ROUND((1+INDEX(Beginne,MATCH(B9,Codes,0))-INDEX(EndeRel,MATCH(INDEX('Januar'!$B$9:$AF$9,DAY(DATE(Jahr,2,0))),Codes,0)))*1440,0)&lt;660,1,0),0),0))</f>
      </c>
      <c r="C58" s="1">
        <f>IF(OR(C$52=0,B9="",C9=""),0,IFERROR(IF(AND(INDEX(Arten,MATCH(B9,Codes,0))="Arbeit",INDEX(Arten,MATCH(C9,Codes,0))="Arbeit"),IF(ROUND((1+INDEX(Beginne,MATCH(C9,Codes,0))-INDEX(EndeRel,MATCH(B9,Codes,0)))*1440,0)&lt;660,1,0),0),0))</f>
      </c>
      <c r="D58" s="1">
        <f>IF(OR(D$52=0,C9="",D9=""),0,IFERROR(IF(AND(INDEX(Arten,MATCH(C9,Codes,0))="Arbeit",INDEX(Arten,MATCH(D9,Codes,0))="Arbeit"),IF(ROUND((1+INDEX(Beginne,MATCH(D9,Codes,0))-INDEX(EndeRel,MATCH(C9,Codes,0)))*1440,0)&lt;660,1,0),0),0))</f>
      </c>
      <c r="E58" s="1">
        <f>IF(OR(E$52=0,D9="",E9=""),0,IFERROR(IF(AND(INDEX(Arten,MATCH(D9,Codes,0))="Arbeit",INDEX(Arten,MATCH(E9,Codes,0))="Arbeit"),IF(ROUND((1+INDEX(Beginne,MATCH(E9,Codes,0))-INDEX(EndeRel,MATCH(D9,Codes,0)))*1440,0)&lt;660,1,0),0),0))</f>
      </c>
      <c r="F58" s="1">
        <f>IF(OR(F$52=0,E9="",F9=""),0,IFERROR(IF(AND(INDEX(Arten,MATCH(E9,Codes,0))="Arbeit",INDEX(Arten,MATCH(F9,Codes,0))="Arbeit"),IF(ROUND((1+INDEX(Beginne,MATCH(F9,Codes,0))-INDEX(EndeRel,MATCH(E9,Codes,0)))*1440,0)&lt;660,1,0),0),0))</f>
      </c>
      <c r="G58" s="1">
        <f>IF(OR(G$52=0,F9="",G9=""),0,IFERROR(IF(AND(INDEX(Arten,MATCH(F9,Codes,0))="Arbeit",INDEX(Arten,MATCH(G9,Codes,0))="Arbeit"),IF(ROUND((1+INDEX(Beginne,MATCH(G9,Codes,0))-INDEX(EndeRel,MATCH(F9,Codes,0)))*1440,0)&lt;660,1,0),0),0))</f>
      </c>
      <c r="H58" s="1">
        <f>IF(OR(H$52=0,G9="",H9=""),0,IFERROR(IF(AND(INDEX(Arten,MATCH(G9,Codes,0))="Arbeit",INDEX(Arten,MATCH(H9,Codes,0))="Arbeit"),IF(ROUND((1+INDEX(Beginne,MATCH(H9,Codes,0))-INDEX(EndeRel,MATCH(G9,Codes,0)))*1440,0)&lt;660,1,0),0),0))</f>
      </c>
      <c r="I58" s="1">
        <f>IF(OR(I$52=0,H9="",I9=""),0,IFERROR(IF(AND(INDEX(Arten,MATCH(H9,Codes,0))="Arbeit",INDEX(Arten,MATCH(I9,Codes,0))="Arbeit"),IF(ROUND((1+INDEX(Beginne,MATCH(I9,Codes,0))-INDEX(EndeRel,MATCH(H9,Codes,0)))*1440,0)&lt;660,1,0),0),0))</f>
      </c>
      <c r="J58" s="1">
        <f>IF(OR(J$52=0,I9="",J9=""),0,IFERROR(IF(AND(INDEX(Arten,MATCH(I9,Codes,0))="Arbeit",INDEX(Arten,MATCH(J9,Codes,0))="Arbeit"),IF(ROUND((1+INDEX(Beginne,MATCH(J9,Codes,0))-INDEX(EndeRel,MATCH(I9,Codes,0)))*1440,0)&lt;660,1,0),0),0))</f>
      </c>
      <c r="K58" s="1">
        <f>IF(OR(K$52=0,J9="",K9=""),0,IFERROR(IF(AND(INDEX(Arten,MATCH(J9,Codes,0))="Arbeit",INDEX(Arten,MATCH(K9,Codes,0))="Arbeit"),IF(ROUND((1+INDEX(Beginne,MATCH(K9,Codes,0))-INDEX(EndeRel,MATCH(J9,Codes,0)))*1440,0)&lt;660,1,0),0),0))</f>
      </c>
      <c r="L58" s="1">
        <f>IF(OR(L$52=0,K9="",L9=""),0,IFERROR(IF(AND(INDEX(Arten,MATCH(K9,Codes,0))="Arbeit",INDEX(Arten,MATCH(L9,Codes,0))="Arbeit"),IF(ROUND((1+INDEX(Beginne,MATCH(L9,Codes,0))-INDEX(EndeRel,MATCH(K9,Codes,0)))*1440,0)&lt;660,1,0),0),0))</f>
      </c>
      <c r="M58" s="1">
        <f>IF(OR(M$52=0,L9="",M9=""),0,IFERROR(IF(AND(INDEX(Arten,MATCH(L9,Codes,0))="Arbeit",INDEX(Arten,MATCH(M9,Codes,0))="Arbeit"),IF(ROUND((1+INDEX(Beginne,MATCH(M9,Codes,0))-INDEX(EndeRel,MATCH(L9,Codes,0)))*1440,0)&lt;660,1,0),0),0))</f>
      </c>
      <c r="N58" s="1">
        <f>IF(OR(N$52=0,M9="",N9=""),0,IFERROR(IF(AND(INDEX(Arten,MATCH(M9,Codes,0))="Arbeit",INDEX(Arten,MATCH(N9,Codes,0))="Arbeit"),IF(ROUND((1+INDEX(Beginne,MATCH(N9,Codes,0))-INDEX(EndeRel,MATCH(M9,Codes,0)))*1440,0)&lt;660,1,0),0),0))</f>
      </c>
      <c r="O58" s="1">
        <f>IF(OR(O$52=0,N9="",O9=""),0,IFERROR(IF(AND(INDEX(Arten,MATCH(N9,Codes,0))="Arbeit",INDEX(Arten,MATCH(O9,Codes,0))="Arbeit"),IF(ROUND((1+INDEX(Beginne,MATCH(O9,Codes,0))-INDEX(EndeRel,MATCH(N9,Codes,0)))*1440,0)&lt;660,1,0),0),0))</f>
      </c>
      <c r="P58" s="1">
        <f>IF(OR(P$52=0,O9="",P9=""),0,IFERROR(IF(AND(INDEX(Arten,MATCH(O9,Codes,0))="Arbeit",INDEX(Arten,MATCH(P9,Codes,0))="Arbeit"),IF(ROUND((1+INDEX(Beginne,MATCH(P9,Codes,0))-INDEX(EndeRel,MATCH(O9,Codes,0)))*1440,0)&lt;660,1,0),0),0))</f>
      </c>
      <c r="Q58" s="1">
        <f>IF(OR(Q$52=0,P9="",Q9=""),0,IFERROR(IF(AND(INDEX(Arten,MATCH(P9,Codes,0))="Arbeit",INDEX(Arten,MATCH(Q9,Codes,0))="Arbeit"),IF(ROUND((1+INDEX(Beginne,MATCH(Q9,Codes,0))-INDEX(EndeRel,MATCH(P9,Codes,0)))*1440,0)&lt;660,1,0),0),0))</f>
      </c>
      <c r="R58" s="1">
        <f>IF(OR(R$52=0,Q9="",R9=""),0,IFERROR(IF(AND(INDEX(Arten,MATCH(Q9,Codes,0))="Arbeit",INDEX(Arten,MATCH(R9,Codes,0))="Arbeit"),IF(ROUND((1+INDEX(Beginne,MATCH(R9,Codes,0))-INDEX(EndeRel,MATCH(Q9,Codes,0)))*1440,0)&lt;660,1,0),0),0))</f>
      </c>
      <c r="S58" s="1">
        <f>IF(OR(S$52=0,R9="",S9=""),0,IFERROR(IF(AND(INDEX(Arten,MATCH(R9,Codes,0))="Arbeit",INDEX(Arten,MATCH(S9,Codes,0))="Arbeit"),IF(ROUND((1+INDEX(Beginne,MATCH(S9,Codes,0))-INDEX(EndeRel,MATCH(R9,Codes,0)))*1440,0)&lt;660,1,0),0),0))</f>
      </c>
      <c r="T58" s="1">
        <f>IF(OR(T$52=0,S9="",T9=""),0,IFERROR(IF(AND(INDEX(Arten,MATCH(S9,Codes,0))="Arbeit",INDEX(Arten,MATCH(T9,Codes,0))="Arbeit"),IF(ROUND((1+INDEX(Beginne,MATCH(T9,Codes,0))-INDEX(EndeRel,MATCH(S9,Codes,0)))*1440,0)&lt;660,1,0),0),0))</f>
      </c>
      <c r="U58" s="1">
        <f>IF(OR(U$52=0,T9="",U9=""),0,IFERROR(IF(AND(INDEX(Arten,MATCH(T9,Codes,0))="Arbeit",INDEX(Arten,MATCH(U9,Codes,0))="Arbeit"),IF(ROUND((1+INDEX(Beginne,MATCH(U9,Codes,0))-INDEX(EndeRel,MATCH(T9,Codes,0)))*1440,0)&lt;660,1,0),0),0))</f>
      </c>
      <c r="V58" s="1">
        <f>IF(OR(V$52=0,U9="",V9=""),0,IFERROR(IF(AND(INDEX(Arten,MATCH(U9,Codes,0))="Arbeit",INDEX(Arten,MATCH(V9,Codes,0))="Arbeit"),IF(ROUND((1+INDEX(Beginne,MATCH(V9,Codes,0))-INDEX(EndeRel,MATCH(U9,Codes,0)))*1440,0)&lt;660,1,0),0),0))</f>
      </c>
      <c r="W58" s="1">
        <f>IF(OR(W$52=0,V9="",W9=""),0,IFERROR(IF(AND(INDEX(Arten,MATCH(V9,Codes,0))="Arbeit",INDEX(Arten,MATCH(W9,Codes,0))="Arbeit"),IF(ROUND((1+INDEX(Beginne,MATCH(W9,Codes,0))-INDEX(EndeRel,MATCH(V9,Codes,0)))*1440,0)&lt;660,1,0),0),0))</f>
      </c>
      <c r="X58" s="1">
        <f>IF(OR(X$52=0,W9="",X9=""),0,IFERROR(IF(AND(INDEX(Arten,MATCH(W9,Codes,0))="Arbeit",INDEX(Arten,MATCH(X9,Codes,0))="Arbeit"),IF(ROUND((1+INDEX(Beginne,MATCH(X9,Codes,0))-INDEX(EndeRel,MATCH(W9,Codes,0)))*1440,0)&lt;660,1,0),0),0))</f>
      </c>
      <c r="Y58" s="1">
        <f>IF(OR(Y$52=0,X9="",Y9=""),0,IFERROR(IF(AND(INDEX(Arten,MATCH(X9,Codes,0))="Arbeit",INDEX(Arten,MATCH(Y9,Codes,0))="Arbeit"),IF(ROUND((1+INDEX(Beginne,MATCH(Y9,Codes,0))-INDEX(EndeRel,MATCH(X9,Codes,0)))*1440,0)&lt;660,1,0),0),0))</f>
      </c>
      <c r="Z58" s="1">
        <f>IF(OR(Z$52=0,Y9="",Z9=""),0,IFERROR(IF(AND(INDEX(Arten,MATCH(Y9,Codes,0))="Arbeit",INDEX(Arten,MATCH(Z9,Codes,0))="Arbeit"),IF(ROUND((1+INDEX(Beginne,MATCH(Z9,Codes,0))-INDEX(EndeRel,MATCH(Y9,Codes,0)))*1440,0)&lt;660,1,0),0),0))</f>
      </c>
      <c r="AA58" s="1">
        <f>IF(OR(AA$52=0,Z9="",AA9=""),0,IFERROR(IF(AND(INDEX(Arten,MATCH(Z9,Codes,0))="Arbeit",INDEX(Arten,MATCH(AA9,Codes,0))="Arbeit"),IF(ROUND((1+INDEX(Beginne,MATCH(AA9,Codes,0))-INDEX(EndeRel,MATCH(Z9,Codes,0)))*1440,0)&lt;660,1,0),0),0))</f>
      </c>
      <c r="AB58" s="1">
        <f>IF(OR(AB$52=0,AA9="",AB9=""),0,IFERROR(IF(AND(INDEX(Arten,MATCH(AA9,Codes,0))="Arbeit",INDEX(Arten,MATCH(AB9,Codes,0))="Arbeit"),IF(ROUND((1+INDEX(Beginne,MATCH(AB9,Codes,0))-INDEX(EndeRel,MATCH(AA9,Codes,0)))*1440,0)&lt;660,1,0),0),0))</f>
      </c>
      <c r="AC58" s="1">
        <f>IF(OR(AC$52=0,AB9="",AC9=""),0,IFERROR(IF(AND(INDEX(Arten,MATCH(AB9,Codes,0))="Arbeit",INDEX(Arten,MATCH(AC9,Codes,0))="Arbeit"),IF(ROUND((1+INDEX(Beginne,MATCH(AC9,Codes,0))-INDEX(EndeRel,MATCH(AB9,Codes,0)))*1440,0)&lt;660,1,0),0),0))</f>
      </c>
      <c r="AD58" s="1">
        <f>IF(OR(AD$52=0,AC9="",AD9=""),0,IFERROR(IF(AND(INDEX(Arten,MATCH(AC9,Codes,0))="Arbeit",INDEX(Arten,MATCH(AD9,Codes,0))="Arbeit"),IF(ROUND((1+INDEX(Beginne,MATCH(AD9,Codes,0))-INDEX(EndeRel,MATCH(AC9,Codes,0)))*1440,0)&lt;660,1,0),0),0))</f>
      </c>
      <c r="AE58" s="1">
        <f>IF(OR(AE$52=0,AD9="",AE9=""),0,IFERROR(IF(AND(INDEX(Arten,MATCH(AD9,Codes,0))="Arbeit",INDEX(Arten,MATCH(AE9,Codes,0))="Arbeit"),IF(ROUND((1+INDEX(Beginne,MATCH(AE9,Codes,0))-INDEX(EndeRel,MATCH(AD9,Codes,0)))*1440,0)&lt;660,1,0),0),0))</f>
      </c>
      <c r="AF58" s="1">
        <f>IF(OR(AF$52=0,AE9="",AF9=""),0,IFERROR(IF(AND(INDEX(Arten,MATCH(AE9,Codes,0))="Arbeit",INDEX(Arten,MATCH(AF9,Codes,0))="Arbeit"),IF(ROUND((1+INDEX(Beginne,MATCH(AF9,Codes,0))-INDEX(EndeRel,MATCH(AE9,Codes,0)))*1440,0)&lt;660,1,0),0),0))</f>
      </c>
    </row>
    <row r="59" hidden="1" spans="1:32" x14ac:dyDescent="0.25">
      <c r="A59" s="1"/>
      <c r="B59" s="1">
        <f>IF(OR(B$52=0,INDEX('Januar'!$B$10:$AF$10,DAY(DATE(Jahr,2,0)))="",B10=""),0,IFERROR(IF(AND(INDEX(Arten,MATCH(INDEX('Januar'!$B$10:$AF$10,DAY(DATE(Jahr,2,0))),Codes,0))="Arbeit",INDEX(Arten,MATCH(B10,Codes,0))="Arbeit"),IF(ROUND((1+INDEX(Beginne,MATCH(B10,Codes,0))-INDEX(EndeRel,MATCH(INDEX('Januar'!$B$10:$AF$10,DAY(DATE(Jahr,2,0))),Codes,0)))*1440,0)&lt;660,1,0),0),0))</f>
      </c>
      <c r="C59" s="1">
        <f>IF(OR(C$52=0,B10="",C10=""),0,IFERROR(IF(AND(INDEX(Arten,MATCH(B10,Codes,0))="Arbeit",INDEX(Arten,MATCH(C10,Codes,0))="Arbeit"),IF(ROUND((1+INDEX(Beginne,MATCH(C10,Codes,0))-INDEX(EndeRel,MATCH(B10,Codes,0)))*1440,0)&lt;660,1,0),0),0))</f>
      </c>
      <c r="D59" s="1">
        <f>IF(OR(D$52=0,C10="",D10=""),0,IFERROR(IF(AND(INDEX(Arten,MATCH(C10,Codes,0))="Arbeit",INDEX(Arten,MATCH(D10,Codes,0))="Arbeit"),IF(ROUND((1+INDEX(Beginne,MATCH(D10,Codes,0))-INDEX(EndeRel,MATCH(C10,Codes,0)))*1440,0)&lt;660,1,0),0),0))</f>
      </c>
      <c r="E59" s="1">
        <f>IF(OR(E$52=0,D10="",E10=""),0,IFERROR(IF(AND(INDEX(Arten,MATCH(D10,Codes,0))="Arbeit",INDEX(Arten,MATCH(E10,Codes,0))="Arbeit"),IF(ROUND((1+INDEX(Beginne,MATCH(E10,Codes,0))-INDEX(EndeRel,MATCH(D10,Codes,0)))*1440,0)&lt;660,1,0),0),0))</f>
      </c>
      <c r="F59" s="1">
        <f>IF(OR(F$52=0,E10="",F10=""),0,IFERROR(IF(AND(INDEX(Arten,MATCH(E10,Codes,0))="Arbeit",INDEX(Arten,MATCH(F10,Codes,0))="Arbeit"),IF(ROUND((1+INDEX(Beginne,MATCH(F10,Codes,0))-INDEX(EndeRel,MATCH(E10,Codes,0)))*1440,0)&lt;660,1,0),0),0))</f>
      </c>
      <c r="G59" s="1">
        <f>IF(OR(G$52=0,F10="",G10=""),0,IFERROR(IF(AND(INDEX(Arten,MATCH(F10,Codes,0))="Arbeit",INDEX(Arten,MATCH(G10,Codes,0))="Arbeit"),IF(ROUND((1+INDEX(Beginne,MATCH(G10,Codes,0))-INDEX(EndeRel,MATCH(F10,Codes,0)))*1440,0)&lt;660,1,0),0),0))</f>
      </c>
      <c r="H59" s="1">
        <f>IF(OR(H$52=0,G10="",H10=""),0,IFERROR(IF(AND(INDEX(Arten,MATCH(G10,Codes,0))="Arbeit",INDEX(Arten,MATCH(H10,Codes,0))="Arbeit"),IF(ROUND((1+INDEX(Beginne,MATCH(H10,Codes,0))-INDEX(EndeRel,MATCH(G10,Codes,0)))*1440,0)&lt;660,1,0),0),0))</f>
      </c>
      <c r="I59" s="1">
        <f>IF(OR(I$52=0,H10="",I10=""),0,IFERROR(IF(AND(INDEX(Arten,MATCH(H10,Codes,0))="Arbeit",INDEX(Arten,MATCH(I10,Codes,0))="Arbeit"),IF(ROUND((1+INDEX(Beginne,MATCH(I10,Codes,0))-INDEX(EndeRel,MATCH(H10,Codes,0)))*1440,0)&lt;660,1,0),0),0))</f>
      </c>
      <c r="J59" s="1">
        <f>IF(OR(J$52=0,I10="",J10=""),0,IFERROR(IF(AND(INDEX(Arten,MATCH(I10,Codes,0))="Arbeit",INDEX(Arten,MATCH(J10,Codes,0))="Arbeit"),IF(ROUND((1+INDEX(Beginne,MATCH(J10,Codes,0))-INDEX(EndeRel,MATCH(I10,Codes,0)))*1440,0)&lt;660,1,0),0),0))</f>
      </c>
      <c r="K59" s="1">
        <f>IF(OR(K$52=0,J10="",K10=""),0,IFERROR(IF(AND(INDEX(Arten,MATCH(J10,Codes,0))="Arbeit",INDEX(Arten,MATCH(K10,Codes,0))="Arbeit"),IF(ROUND((1+INDEX(Beginne,MATCH(K10,Codes,0))-INDEX(EndeRel,MATCH(J10,Codes,0)))*1440,0)&lt;660,1,0),0),0))</f>
      </c>
      <c r="L59" s="1">
        <f>IF(OR(L$52=0,K10="",L10=""),0,IFERROR(IF(AND(INDEX(Arten,MATCH(K10,Codes,0))="Arbeit",INDEX(Arten,MATCH(L10,Codes,0))="Arbeit"),IF(ROUND((1+INDEX(Beginne,MATCH(L10,Codes,0))-INDEX(EndeRel,MATCH(K10,Codes,0)))*1440,0)&lt;660,1,0),0),0))</f>
      </c>
      <c r="M59" s="1">
        <f>IF(OR(M$52=0,L10="",M10=""),0,IFERROR(IF(AND(INDEX(Arten,MATCH(L10,Codes,0))="Arbeit",INDEX(Arten,MATCH(M10,Codes,0))="Arbeit"),IF(ROUND((1+INDEX(Beginne,MATCH(M10,Codes,0))-INDEX(EndeRel,MATCH(L10,Codes,0)))*1440,0)&lt;660,1,0),0),0))</f>
      </c>
      <c r="N59" s="1">
        <f>IF(OR(N$52=0,M10="",N10=""),0,IFERROR(IF(AND(INDEX(Arten,MATCH(M10,Codes,0))="Arbeit",INDEX(Arten,MATCH(N10,Codes,0))="Arbeit"),IF(ROUND((1+INDEX(Beginne,MATCH(N10,Codes,0))-INDEX(EndeRel,MATCH(M10,Codes,0)))*1440,0)&lt;660,1,0),0),0))</f>
      </c>
      <c r="O59" s="1">
        <f>IF(OR(O$52=0,N10="",O10=""),0,IFERROR(IF(AND(INDEX(Arten,MATCH(N10,Codes,0))="Arbeit",INDEX(Arten,MATCH(O10,Codes,0))="Arbeit"),IF(ROUND((1+INDEX(Beginne,MATCH(O10,Codes,0))-INDEX(EndeRel,MATCH(N10,Codes,0)))*1440,0)&lt;660,1,0),0),0))</f>
      </c>
      <c r="P59" s="1">
        <f>IF(OR(P$52=0,O10="",P10=""),0,IFERROR(IF(AND(INDEX(Arten,MATCH(O10,Codes,0))="Arbeit",INDEX(Arten,MATCH(P10,Codes,0))="Arbeit"),IF(ROUND((1+INDEX(Beginne,MATCH(P10,Codes,0))-INDEX(EndeRel,MATCH(O10,Codes,0)))*1440,0)&lt;660,1,0),0),0))</f>
      </c>
      <c r="Q59" s="1">
        <f>IF(OR(Q$52=0,P10="",Q10=""),0,IFERROR(IF(AND(INDEX(Arten,MATCH(P10,Codes,0))="Arbeit",INDEX(Arten,MATCH(Q10,Codes,0))="Arbeit"),IF(ROUND((1+INDEX(Beginne,MATCH(Q10,Codes,0))-INDEX(EndeRel,MATCH(P10,Codes,0)))*1440,0)&lt;660,1,0),0),0))</f>
      </c>
      <c r="R59" s="1">
        <f>IF(OR(R$52=0,Q10="",R10=""),0,IFERROR(IF(AND(INDEX(Arten,MATCH(Q10,Codes,0))="Arbeit",INDEX(Arten,MATCH(R10,Codes,0))="Arbeit"),IF(ROUND((1+INDEX(Beginne,MATCH(R10,Codes,0))-INDEX(EndeRel,MATCH(Q10,Codes,0)))*1440,0)&lt;660,1,0),0),0))</f>
      </c>
      <c r="S59" s="1">
        <f>IF(OR(S$52=0,R10="",S10=""),0,IFERROR(IF(AND(INDEX(Arten,MATCH(R10,Codes,0))="Arbeit",INDEX(Arten,MATCH(S10,Codes,0))="Arbeit"),IF(ROUND((1+INDEX(Beginne,MATCH(S10,Codes,0))-INDEX(EndeRel,MATCH(R10,Codes,0)))*1440,0)&lt;660,1,0),0),0))</f>
      </c>
      <c r="T59" s="1">
        <f>IF(OR(T$52=0,S10="",T10=""),0,IFERROR(IF(AND(INDEX(Arten,MATCH(S10,Codes,0))="Arbeit",INDEX(Arten,MATCH(T10,Codes,0))="Arbeit"),IF(ROUND((1+INDEX(Beginne,MATCH(T10,Codes,0))-INDEX(EndeRel,MATCH(S10,Codes,0)))*1440,0)&lt;660,1,0),0),0))</f>
      </c>
      <c r="U59" s="1">
        <f>IF(OR(U$52=0,T10="",U10=""),0,IFERROR(IF(AND(INDEX(Arten,MATCH(T10,Codes,0))="Arbeit",INDEX(Arten,MATCH(U10,Codes,0))="Arbeit"),IF(ROUND((1+INDEX(Beginne,MATCH(U10,Codes,0))-INDEX(EndeRel,MATCH(T10,Codes,0)))*1440,0)&lt;660,1,0),0),0))</f>
      </c>
      <c r="V59" s="1">
        <f>IF(OR(V$52=0,U10="",V10=""),0,IFERROR(IF(AND(INDEX(Arten,MATCH(U10,Codes,0))="Arbeit",INDEX(Arten,MATCH(V10,Codes,0))="Arbeit"),IF(ROUND((1+INDEX(Beginne,MATCH(V10,Codes,0))-INDEX(EndeRel,MATCH(U10,Codes,0)))*1440,0)&lt;660,1,0),0),0))</f>
      </c>
      <c r="W59" s="1">
        <f>IF(OR(W$52=0,V10="",W10=""),0,IFERROR(IF(AND(INDEX(Arten,MATCH(V10,Codes,0))="Arbeit",INDEX(Arten,MATCH(W10,Codes,0))="Arbeit"),IF(ROUND((1+INDEX(Beginne,MATCH(W10,Codes,0))-INDEX(EndeRel,MATCH(V10,Codes,0)))*1440,0)&lt;660,1,0),0),0))</f>
      </c>
      <c r="X59" s="1">
        <f>IF(OR(X$52=0,W10="",X10=""),0,IFERROR(IF(AND(INDEX(Arten,MATCH(W10,Codes,0))="Arbeit",INDEX(Arten,MATCH(X10,Codes,0))="Arbeit"),IF(ROUND((1+INDEX(Beginne,MATCH(X10,Codes,0))-INDEX(EndeRel,MATCH(W10,Codes,0)))*1440,0)&lt;660,1,0),0),0))</f>
      </c>
      <c r="Y59" s="1">
        <f>IF(OR(Y$52=0,X10="",Y10=""),0,IFERROR(IF(AND(INDEX(Arten,MATCH(X10,Codes,0))="Arbeit",INDEX(Arten,MATCH(Y10,Codes,0))="Arbeit"),IF(ROUND((1+INDEX(Beginne,MATCH(Y10,Codes,0))-INDEX(EndeRel,MATCH(X10,Codes,0)))*1440,0)&lt;660,1,0),0),0))</f>
      </c>
      <c r="Z59" s="1">
        <f>IF(OR(Z$52=0,Y10="",Z10=""),0,IFERROR(IF(AND(INDEX(Arten,MATCH(Y10,Codes,0))="Arbeit",INDEX(Arten,MATCH(Z10,Codes,0))="Arbeit"),IF(ROUND((1+INDEX(Beginne,MATCH(Z10,Codes,0))-INDEX(EndeRel,MATCH(Y10,Codes,0)))*1440,0)&lt;660,1,0),0),0))</f>
      </c>
      <c r="AA59" s="1">
        <f>IF(OR(AA$52=0,Z10="",AA10=""),0,IFERROR(IF(AND(INDEX(Arten,MATCH(Z10,Codes,0))="Arbeit",INDEX(Arten,MATCH(AA10,Codes,0))="Arbeit"),IF(ROUND((1+INDEX(Beginne,MATCH(AA10,Codes,0))-INDEX(EndeRel,MATCH(Z10,Codes,0)))*1440,0)&lt;660,1,0),0),0))</f>
      </c>
      <c r="AB59" s="1">
        <f>IF(OR(AB$52=0,AA10="",AB10=""),0,IFERROR(IF(AND(INDEX(Arten,MATCH(AA10,Codes,0))="Arbeit",INDEX(Arten,MATCH(AB10,Codes,0))="Arbeit"),IF(ROUND((1+INDEX(Beginne,MATCH(AB10,Codes,0))-INDEX(EndeRel,MATCH(AA10,Codes,0)))*1440,0)&lt;660,1,0),0),0))</f>
      </c>
      <c r="AC59" s="1">
        <f>IF(OR(AC$52=0,AB10="",AC10=""),0,IFERROR(IF(AND(INDEX(Arten,MATCH(AB10,Codes,0))="Arbeit",INDEX(Arten,MATCH(AC10,Codes,0))="Arbeit"),IF(ROUND((1+INDEX(Beginne,MATCH(AC10,Codes,0))-INDEX(EndeRel,MATCH(AB10,Codes,0)))*1440,0)&lt;660,1,0),0),0))</f>
      </c>
      <c r="AD59" s="1">
        <f>IF(OR(AD$52=0,AC10="",AD10=""),0,IFERROR(IF(AND(INDEX(Arten,MATCH(AC10,Codes,0))="Arbeit",INDEX(Arten,MATCH(AD10,Codes,0))="Arbeit"),IF(ROUND((1+INDEX(Beginne,MATCH(AD10,Codes,0))-INDEX(EndeRel,MATCH(AC10,Codes,0)))*1440,0)&lt;660,1,0),0),0))</f>
      </c>
      <c r="AE59" s="1">
        <f>IF(OR(AE$52=0,AD10="",AE10=""),0,IFERROR(IF(AND(INDEX(Arten,MATCH(AD10,Codes,0))="Arbeit",INDEX(Arten,MATCH(AE10,Codes,0))="Arbeit"),IF(ROUND((1+INDEX(Beginne,MATCH(AE10,Codes,0))-INDEX(EndeRel,MATCH(AD10,Codes,0)))*1440,0)&lt;660,1,0),0),0))</f>
      </c>
      <c r="AF59" s="1">
        <f>IF(OR(AF$52=0,AE10="",AF10=""),0,IFERROR(IF(AND(INDEX(Arten,MATCH(AE10,Codes,0))="Arbeit",INDEX(Arten,MATCH(AF10,Codes,0))="Arbeit"),IF(ROUND((1+INDEX(Beginne,MATCH(AF10,Codes,0))-INDEX(EndeRel,MATCH(AE10,Codes,0)))*1440,0)&lt;660,1,0),0),0))</f>
      </c>
    </row>
    <row r="60" hidden="1" spans="1:32" x14ac:dyDescent="0.25">
      <c r="A60" s="1"/>
      <c r="B60" s="1">
        <f>IF(OR(B$52=0,INDEX('Januar'!$B$11:$AF$11,DAY(DATE(Jahr,2,0)))="",B11=""),0,IFERROR(IF(AND(INDEX(Arten,MATCH(INDEX('Januar'!$B$11:$AF$11,DAY(DATE(Jahr,2,0))),Codes,0))="Arbeit",INDEX(Arten,MATCH(B11,Codes,0))="Arbeit"),IF(ROUND((1+INDEX(Beginne,MATCH(B11,Codes,0))-INDEX(EndeRel,MATCH(INDEX('Januar'!$B$11:$AF$11,DAY(DATE(Jahr,2,0))),Codes,0)))*1440,0)&lt;660,1,0),0),0))</f>
      </c>
      <c r="C60" s="1">
        <f>IF(OR(C$52=0,B11="",C11=""),0,IFERROR(IF(AND(INDEX(Arten,MATCH(B11,Codes,0))="Arbeit",INDEX(Arten,MATCH(C11,Codes,0))="Arbeit"),IF(ROUND((1+INDEX(Beginne,MATCH(C11,Codes,0))-INDEX(EndeRel,MATCH(B11,Codes,0)))*1440,0)&lt;660,1,0),0),0))</f>
      </c>
      <c r="D60" s="1">
        <f>IF(OR(D$52=0,C11="",D11=""),0,IFERROR(IF(AND(INDEX(Arten,MATCH(C11,Codes,0))="Arbeit",INDEX(Arten,MATCH(D11,Codes,0))="Arbeit"),IF(ROUND((1+INDEX(Beginne,MATCH(D11,Codes,0))-INDEX(EndeRel,MATCH(C11,Codes,0)))*1440,0)&lt;660,1,0),0),0))</f>
      </c>
      <c r="E60" s="1">
        <f>IF(OR(E$52=0,D11="",E11=""),0,IFERROR(IF(AND(INDEX(Arten,MATCH(D11,Codes,0))="Arbeit",INDEX(Arten,MATCH(E11,Codes,0))="Arbeit"),IF(ROUND((1+INDEX(Beginne,MATCH(E11,Codes,0))-INDEX(EndeRel,MATCH(D11,Codes,0)))*1440,0)&lt;660,1,0),0),0))</f>
      </c>
      <c r="F60" s="1">
        <f>IF(OR(F$52=0,E11="",F11=""),0,IFERROR(IF(AND(INDEX(Arten,MATCH(E11,Codes,0))="Arbeit",INDEX(Arten,MATCH(F11,Codes,0))="Arbeit"),IF(ROUND((1+INDEX(Beginne,MATCH(F11,Codes,0))-INDEX(EndeRel,MATCH(E11,Codes,0)))*1440,0)&lt;660,1,0),0),0))</f>
      </c>
      <c r="G60" s="1">
        <f>IF(OR(G$52=0,F11="",G11=""),0,IFERROR(IF(AND(INDEX(Arten,MATCH(F11,Codes,0))="Arbeit",INDEX(Arten,MATCH(G11,Codes,0))="Arbeit"),IF(ROUND((1+INDEX(Beginne,MATCH(G11,Codes,0))-INDEX(EndeRel,MATCH(F11,Codes,0)))*1440,0)&lt;660,1,0),0),0))</f>
      </c>
      <c r="H60" s="1">
        <f>IF(OR(H$52=0,G11="",H11=""),0,IFERROR(IF(AND(INDEX(Arten,MATCH(G11,Codes,0))="Arbeit",INDEX(Arten,MATCH(H11,Codes,0))="Arbeit"),IF(ROUND((1+INDEX(Beginne,MATCH(H11,Codes,0))-INDEX(EndeRel,MATCH(G11,Codes,0)))*1440,0)&lt;660,1,0),0),0))</f>
      </c>
      <c r="I60" s="1">
        <f>IF(OR(I$52=0,H11="",I11=""),0,IFERROR(IF(AND(INDEX(Arten,MATCH(H11,Codes,0))="Arbeit",INDEX(Arten,MATCH(I11,Codes,0))="Arbeit"),IF(ROUND((1+INDEX(Beginne,MATCH(I11,Codes,0))-INDEX(EndeRel,MATCH(H11,Codes,0)))*1440,0)&lt;660,1,0),0),0))</f>
      </c>
      <c r="J60" s="1">
        <f>IF(OR(J$52=0,I11="",J11=""),0,IFERROR(IF(AND(INDEX(Arten,MATCH(I11,Codes,0))="Arbeit",INDEX(Arten,MATCH(J11,Codes,0))="Arbeit"),IF(ROUND((1+INDEX(Beginne,MATCH(J11,Codes,0))-INDEX(EndeRel,MATCH(I11,Codes,0)))*1440,0)&lt;660,1,0),0),0))</f>
      </c>
      <c r="K60" s="1">
        <f>IF(OR(K$52=0,J11="",K11=""),0,IFERROR(IF(AND(INDEX(Arten,MATCH(J11,Codes,0))="Arbeit",INDEX(Arten,MATCH(K11,Codes,0))="Arbeit"),IF(ROUND((1+INDEX(Beginne,MATCH(K11,Codes,0))-INDEX(EndeRel,MATCH(J11,Codes,0)))*1440,0)&lt;660,1,0),0),0))</f>
      </c>
      <c r="L60" s="1">
        <f>IF(OR(L$52=0,K11="",L11=""),0,IFERROR(IF(AND(INDEX(Arten,MATCH(K11,Codes,0))="Arbeit",INDEX(Arten,MATCH(L11,Codes,0))="Arbeit"),IF(ROUND((1+INDEX(Beginne,MATCH(L11,Codes,0))-INDEX(EndeRel,MATCH(K11,Codes,0)))*1440,0)&lt;660,1,0),0),0))</f>
      </c>
      <c r="M60" s="1">
        <f>IF(OR(M$52=0,L11="",M11=""),0,IFERROR(IF(AND(INDEX(Arten,MATCH(L11,Codes,0))="Arbeit",INDEX(Arten,MATCH(M11,Codes,0))="Arbeit"),IF(ROUND((1+INDEX(Beginne,MATCH(M11,Codes,0))-INDEX(EndeRel,MATCH(L11,Codes,0)))*1440,0)&lt;660,1,0),0),0))</f>
      </c>
      <c r="N60" s="1">
        <f>IF(OR(N$52=0,M11="",N11=""),0,IFERROR(IF(AND(INDEX(Arten,MATCH(M11,Codes,0))="Arbeit",INDEX(Arten,MATCH(N11,Codes,0))="Arbeit"),IF(ROUND((1+INDEX(Beginne,MATCH(N11,Codes,0))-INDEX(EndeRel,MATCH(M11,Codes,0)))*1440,0)&lt;660,1,0),0),0))</f>
      </c>
      <c r="O60" s="1">
        <f>IF(OR(O$52=0,N11="",O11=""),0,IFERROR(IF(AND(INDEX(Arten,MATCH(N11,Codes,0))="Arbeit",INDEX(Arten,MATCH(O11,Codes,0))="Arbeit"),IF(ROUND((1+INDEX(Beginne,MATCH(O11,Codes,0))-INDEX(EndeRel,MATCH(N11,Codes,0)))*1440,0)&lt;660,1,0),0),0))</f>
      </c>
      <c r="P60" s="1">
        <f>IF(OR(P$52=0,O11="",P11=""),0,IFERROR(IF(AND(INDEX(Arten,MATCH(O11,Codes,0))="Arbeit",INDEX(Arten,MATCH(P11,Codes,0))="Arbeit"),IF(ROUND((1+INDEX(Beginne,MATCH(P11,Codes,0))-INDEX(EndeRel,MATCH(O11,Codes,0)))*1440,0)&lt;660,1,0),0),0))</f>
      </c>
      <c r="Q60" s="1">
        <f>IF(OR(Q$52=0,P11="",Q11=""),0,IFERROR(IF(AND(INDEX(Arten,MATCH(P11,Codes,0))="Arbeit",INDEX(Arten,MATCH(Q11,Codes,0))="Arbeit"),IF(ROUND((1+INDEX(Beginne,MATCH(Q11,Codes,0))-INDEX(EndeRel,MATCH(P11,Codes,0)))*1440,0)&lt;660,1,0),0),0))</f>
      </c>
      <c r="R60" s="1">
        <f>IF(OR(R$52=0,Q11="",R11=""),0,IFERROR(IF(AND(INDEX(Arten,MATCH(Q11,Codes,0))="Arbeit",INDEX(Arten,MATCH(R11,Codes,0))="Arbeit"),IF(ROUND((1+INDEX(Beginne,MATCH(R11,Codes,0))-INDEX(EndeRel,MATCH(Q11,Codes,0)))*1440,0)&lt;660,1,0),0),0))</f>
      </c>
      <c r="S60" s="1">
        <f>IF(OR(S$52=0,R11="",S11=""),0,IFERROR(IF(AND(INDEX(Arten,MATCH(R11,Codes,0))="Arbeit",INDEX(Arten,MATCH(S11,Codes,0))="Arbeit"),IF(ROUND((1+INDEX(Beginne,MATCH(S11,Codes,0))-INDEX(EndeRel,MATCH(R11,Codes,0)))*1440,0)&lt;660,1,0),0),0))</f>
      </c>
      <c r="T60" s="1">
        <f>IF(OR(T$52=0,S11="",T11=""),0,IFERROR(IF(AND(INDEX(Arten,MATCH(S11,Codes,0))="Arbeit",INDEX(Arten,MATCH(T11,Codes,0))="Arbeit"),IF(ROUND((1+INDEX(Beginne,MATCH(T11,Codes,0))-INDEX(EndeRel,MATCH(S11,Codes,0)))*1440,0)&lt;660,1,0),0),0))</f>
      </c>
      <c r="U60" s="1">
        <f>IF(OR(U$52=0,T11="",U11=""),0,IFERROR(IF(AND(INDEX(Arten,MATCH(T11,Codes,0))="Arbeit",INDEX(Arten,MATCH(U11,Codes,0))="Arbeit"),IF(ROUND((1+INDEX(Beginne,MATCH(U11,Codes,0))-INDEX(EndeRel,MATCH(T11,Codes,0)))*1440,0)&lt;660,1,0),0),0))</f>
      </c>
      <c r="V60" s="1">
        <f>IF(OR(V$52=0,U11="",V11=""),0,IFERROR(IF(AND(INDEX(Arten,MATCH(U11,Codes,0))="Arbeit",INDEX(Arten,MATCH(V11,Codes,0))="Arbeit"),IF(ROUND((1+INDEX(Beginne,MATCH(V11,Codes,0))-INDEX(EndeRel,MATCH(U11,Codes,0)))*1440,0)&lt;660,1,0),0),0))</f>
      </c>
      <c r="W60" s="1">
        <f>IF(OR(W$52=0,V11="",W11=""),0,IFERROR(IF(AND(INDEX(Arten,MATCH(V11,Codes,0))="Arbeit",INDEX(Arten,MATCH(W11,Codes,0))="Arbeit"),IF(ROUND((1+INDEX(Beginne,MATCH(W11,Codes,0))-INDEX(EndeRel,MATCH(V11,Codes,0)))*1440,0)&lt;660,1,0),0),0))</f>
      </c>
      <c r="X60" s="1">
        <f>IF(OR(X$52=0,W11="",X11=""),0,IFERROR(IF(AND(INDEX(Arten,MATCH(W11,Codes,0))="Arbeit",INDEX(Arten,MATCH(X11,Codes,0))="Arbeit"),IF(ROUND((1+INDEX(Beginne,MATCH(X11,Codes,0))-INDEX(EndeRel,MATCH(W11,Codes,0)))*1440,0)&lt;660,1,0),0),0))</f>
      </c>
      <c r="Y60" s="1">
        <f>IF(OR(Y$52=0,X11="",Y11=""),0,IFERROR(IF(AND(INDEX(Arten,MATCH(X11,Codes,0))="Arbeit",INDEX(Arten,MATCH(Y11,Codes,0))="Arbeit"),IF(ROUND((1+INDEX(Beginne,MATCH(Y11,Codes,0))-INDEX(EndeRel,MATCH(X11,Codes,0)))*1440,0)&lt;660,1,0),0),0))</f>
      </c>
      <c r="Z60" s="1">
        <f>IF(OR(Z$52=0,Y11="",Z11=""),0,IFERROR(IF(AND(INDEX(Arten,MATCH(Y11,Codes,0))="Arbeit",INDEX(Arten,MATCH(Z11,Codes,0))="Arbeit"),IF(ROUND((1+INDEX(Beginne,MATCH(Z11,Codes,0))-INDEX(EndeRel,MATCH(Y11,Codes,0)))*1440,0)&lt;660,1,0),0),0))</f>
      </c>
      <c r="AA60" s="1">
        <f>IF(OR(AA$52=0,Z11="",AA11=""),0,IFERROR(IF(AND(INDEX(Arten,MATCH(Z11,Codes,0))="Arbeit",INDEX(Arten,MATCH(AA11,Codes,0))="Arbeit"),IF(ROUND((1+INDEX(Beginne,MATCH(AA11,Codes,0))-INDEX(EndeRel,MATCH(Z11,Codes,0)))*1440,0)&lt;660,1,0),0),0))</f>
      </c>
      <c r="AB60" s="1">
        <f>IF(OR(AB$52=0,AA11="",AB11=""),0,IFERROR(IF(AND(INDEX(Arten,MATCH(AA11,Codes,0))="Arbeit",INDEX(Arten,MATCH(AB11,Codes,0))="Arbeit"),IF(ROUND((1+INDEX(Beginne,MATCH(AB11,Codes,0))-INDEX(EndeRel,MATCH(AA11,Codes,0)))*1440,0)&lt;660,1,0),0),0))</f>
      </c>
      <c r="AC60" s="1">
        <f>IF(OR(AC$52=0,AB11="",AC11=""),0,IFERROR(IF(AND(INDEX(Arten,MATCH(AB11,Codes,0))="Arbeit",INDEX(Arten,MATCH(AC11,Codes,0))="Arbeit"),IF(ROUND((1+INDEX(Beginne,MATCH(AC11,Codes,0))-INDEX(EndeRel,MATCH(AB11,Codes,0)))*1440,0)&lt;660,1,0),0),0))</f>
      </c>
      <c r="AD60" s="1">
        <f>IF(OR(AD$52=0,AC11="",AD11=""),0,IFERROR(IF(AND(INDEX(Arten,MATCH(AC11,Codes,0))="Arbeit",INDEX(Arten,MATCH(AD11,Codes,0))="Arbeit"),IF(ROUND((1+INDEX(Beginne,MATCH(AD11,Codes,0))-INDEX(EndeRel,MATCH(AC11,Codes,0)))*1440,0)&lt;660,1,0),0),0))</f>
      </c>
      <c r="AE60" s="1">
        <f>IF(OR(AE$52=0,AD11="",AE11=""),0,IFERROR(IF(AND(INDEX(Arten,MATCH(AD11,Codes,0))="Arbeit",INDEX(Arten,MATCH(AE11,Codes,0))="Arbeit"),IF(ROUND((1+INDEX(Beginne,MATCH(AE11,Codes,0))-INDEX(EndeRel,MATCH(AD11,Codes,0)))*1440,0)&lt;660,1,0),0),0))</f>
      </c>
      <c r="AF60" s="1">
        <f>IF(OR(AF$52=0,AE11="",AF11=""),0,IFERROR(IF(AND(INDEX(Arten,MATCH(AE11,Codes,0))="Arbeit",INDEX(Arten,MATCH(AF11,Codes,0))="Arbeit"),IF(ROUND((1+INDEX(Beginne,MATCH(AF11,Codes,0))-INDEX(EndeRel,MATCH(AE11,Codes,0)))*1440,0)&lt;660,1,0),0),0))</f>
      </c>
    </row>
    <row r="61" hidden="1" spans="1:32" x14ac:dyDescent="0.25">
      <c r="A61" s="1"/>
      <c r="B61" s="1">
        <f>IF(OR(B$52=0,INDEX('Januar'!$B$12:$AF$12,DAY(DATE(Jahr,2,0)))="",B12=""),0,IFERROR(IF(AND(INDEX(Arten,MATCH(INDEX('Januar'!$B$12:$AF$12,DAY(DATE(Jahr,2,0))),Codes,0))="Arbeit",INDEX(Arten,MATCH(B12,Codes,0))="Arbeit"),IF(ROUND((1+INDEX(Beginne,MATCH(B12,Codes,0))-INDEX(EndeRel,MATCH(INDEX('Januar'!$B$12:$AF$12,DAY(DATE(Jahr,2,0))),Codes,0)))*1440,0)&lt;660,1,0),0),0))</f>
      </c>
      <c r="C61" s="1">
        <f>IF(OR(C$52=0,B12="",C12=""),0,IFERROR(IF(AND(INDEX(Arten,MATCH(B12,Codes,0))="Arbeit",INDEX(Arten,MATCH(C12,Codes,0))="Arbeit"),IF(ROUND((1+INDEX(Beginne,MATCH(C12,Codes,0))-INDEX(EndeRel,MATCH(B12,Codes,0)))*1440,0)&lt;660,1,0),0),0))</f>
      </c>
      <c r="D61" s="1">
        <f>IF(OR(D$52=0,C12="",D12=""),0,IFERROR(IF(AND(INDEX(Arten,MATCH(C12,Codes,0))="Arbeit",INDEX(Arten,MATCH(D12,Codes,0))="Arbeit"),IF(ROUND((1+INDEX(Beginne,MATCH(D12,Codes,0))-INDEX(EndeRel,MATCH(C12,Codes,0)))*1440,0)&lt;660,1,0),0),0))</f>
      </c>
      <c r="E61" s="1">
        <f>IF(OR(E$52=0,D12="",E12=""),0,IFERROR(IF(AND(INDEX(Arten,MATCH(D12,Codes,0))="Arbeit",INDEX(Arten,MATCH(E12,Codes,0))="Arbeit"),IF(ROUND((1+INDEX(Beginne,MATCH(E12,Codes,0))-INDEX(EndeRel,MATCH(D12,Codes,0)))*1440,0)&lt;660,1,0),0),0))</f>
      </c>
      <c r="F61" s="1">
        <f>IF(OR(F$52=0,E12="",F12=""),0,IFERROR(IF(AND(INDEX(Arten,MATCH(E12,Codes,0))="Arbeit",INDEX(Arten,MATCH(F12,Codes,0))="Arbeit"),IF(ROUND((1+INDEX(Beginne,MATCH(F12,Codes,0))-INDEX(EndeRel,MATCH(E12,Codes,0)))*1440,0)&lt;660,1,0),0),0))</f>
      </c>
      <c r="G61" s="1">
        <f>IF(OR(G$52=0,F12="",G12=""),0,IFERROR(IF(AND(INDEX(Arten,MATCH(F12,Codes,0))="Arbeit",INDEX(Arten,MATCH(G12,Codes,0))="Arbeit"),IF(ROUND((1+INDEX(Beginne,MATCH(G12,Codes,0))-INDEX(EndeRel,MATCH(F12,Codes,0)))*1440,0)&lt;660,1,0),0),0))</f>
      </c>
      <c r="H61" s="1">
        <f>IF(OR(H$52=0,G12="",H12=""),0,IFERROR(IF(AND(INDEX(Arten,MATCH(G12,Codes,0))="Arbeit",INDEX(Arten,MATCH(H12,Codes,0))="Arbeit"),IF(ROUND((1+INDEX(Beginne,MATCH(H12,Codes,0))-INDEX(EndeRel,MATCH(G12,Codes,0)))*1440,0)&lt;660,1,0),0),0))</f>
      </c>
      <c r="I61" s="1">
        <f>IF(OR(I$52=0,H12="",I12=""),0,IFERROR(IF(AND(INDEX(Arten,MATCH(H12,Codes,0))="Arbeit",INDEX(Arten,MATCH(I12,Codes,0))="Arbeit"),IF(ROUND((1+INDEX(Beginne,MATCH(I12,Codes,0))-INDEX(EndeRel,MATCH(H12,Codes,0)))*1440,0)&lt;660,1,0),0),0))</f>
      </c>
      <c r="J61" s="1">
        <f>IF(OR(J$52=0,I12="",J12=""),0,IFERROR(IF(AND(INDEX(Arten,MATCH(I12,Codes,0))="Arbeit",INDEX(Arten,MATCH(J12,Codes,0))="Arbeit"),IF(ROUND((1+INDEX(Beginne,MATCH(J12,Codes,0))-INDEX(EndeRel,MATCH(I12,Codes,0)))*1440,0)&lt;660,1,0),0),0))</f>
      </c>
      <c r="K61" s="1">
        <f>IF(OR(K$52=0,J12="",K12=""),0,IFERROR(IF(AND(INDEX(Arten,MATCH(J12,Codes,0))="Arbeit",INDEX(Arten,MATCH(K12,Codes,0))="Arbeit"),IF(ROUND((1+INDEX(Beginne,MATCH(K12,Codes,0))-INDEX(EndeRel,MATCH(J12,Codes,0)))*1440,0)&lt;660,1,0),0),0))</f>
      </c>
      <c r="L61" s="1">
        <f>IF(OR(L$52=0,K12="",L12=""),0,IFERROR(IF(AND(INDEX(Arten,MATCH(K12,Codes,0))="Arbeit",INDEX(Arten,MATCH(L12,Codes,0))="Arbeit"),IF(ROUND((1+INDEX(Beginne,MATCH(L12,Codes,0))-INDEX(EndeRel,MATCH(K12,Codes,0)))*1440,0)&lt;660,1,0),0),0))</f>
      </c>
      <c r="M61" s="1">
        <f>IF(OR(M$52=0,L12="",M12=""),0,IFERROR(IF(AND(INDEX(Arten,MATCH(L12,Codes,0))="Arbeit",INDEX(Arten,MATCH(M12,Codes,0))="Arbeit"),IF(ROUND((1+INDEX(Beginne,MATCH(M12,Codes,0))-INDEX(EndeRel,MATCH(L12,Codes,0)))*1440,0)&lt;660,1,0),0),0))</f>
      </c>
      <c r="N61" s="1">
        <f>IF(OR(N$52=0,M12="",N12=""),0,IFERROR(IF(AND(INDEX(Arten,MATCH(M12,Codes,0))="Arbeit",INDEX(Arten,MATCH(N12,Codes,0))="Arbeit"),IF(ROUND((1+INDEX(Beginne,MATCH(N12,Codes,0))-INDEX(EndeRel,MATCH(M12,Codes,0)))*1440,0)&lt;660,1,0),0),0))</f>
      </c>
      <c r="O61" s="1">
        <f>IF(OR(O$52=0,N12="",O12=""),0,IFERROR(IF(AND(INDEX(Arten,MATCH(N12,Codes,0))="Arbeit",INDEX(Arten,MATCH(O12,Codes,0))="Arbeit"),IF(ROUND((1+INDEX(Beginne,MATCH(O12,Codes,0))-INDEX(EndeRel,MATCH(N12,Codes,0)))*1440,0)&lt;660,1,0),0),0))</f>
      </c>
      <c r="P61" s="1">
        <f>IF(OR(P$52=0,O12="",P12=""),0,IFERROR(IF(AND(INDEX(Arten,MATCH(O12,Codes,0))="Arbeit",INDEX(Arten,MATCH(P12,Codes,0))="Arbeit"),IF(ROUND((1+INDEX(Beginne,MATCH(P12,Codes,0))-INDEX(EndeRel,MATCH(O12,Codes,0)))*1440,0)&lt;660,1,0),0),0))</f>
      </c>
      <c r="Q61" s="1">
        <f>IF(OR(Q$52=0,P12="",Q12=""),0,IFERROR(IF(AND(INDEX(Arten,MATCH(P12,Codes,0))="Arbeit",INDEX(Arten,MATCH(Q12,Codes,0))="Arbeit"),IF(ROUND((1+INDEX(Beginne,MATCH(Q12,Codes,0))-INDEX(EndeRel,MATCH(P12,Codes,0)))*1440,0)&lt;660,1,0),0),0))</f>
      </c>
      <c r="R61" s="1">
        <f>IF(OR(R$52=0,Q12="",R12=""),0,IFERROR(IF(AND(INDEX(Arten,MATCH(Q12,Codes,0))="Arbeit",INDEX(Arten,MATCH(R12,Codes,0))="Arbeit"),IF(ROUND((1+INDEX(Beginne,MATCH(R12,Codes,0))-INDEX(EndeRel,MATCH(Q12,Codes,0)))*1440,0)&lt;660,1,0),0),0))</f>
      </c>
      <c r="S61" s="1">
        <f>IF(OR(S$52=0,R12="",S12=""),0,IFERROR(IF(AND(INDEX(Arten,MATCH(R12,Codes,0))="Arbeit",INDEX(Arten,MATCH(S12,Codes,0))="Arbeit"),IF(ROUND((1+INDEX(Beginne,MATCH(S12,Codes,0))-INDEX(EndeRel,MATCH(R12,Codes,0)))*1440,0)&lt;660,1,0),0),0))</f>
      </c>
      <c r="T61" s="1">
        <f>IF(OR(T$52=0,S12="",T12=""),0,IFERROR(IF(AND(INDEX(Arten,MATCH(S12,Codes,0))="Arbeit",INDEX(Arten,MATCH(T12,Codes,0))="Arbeit"),IF(ROUND((1+INDEX(Beginne,MATCH(T12,Codes,0))-INDEX(EndeRel,MATCH(S12,Codes,0)))*1440,0)&lt;660,1,0),0),0))</f>
      </c>
      <c r="U61" s="1">
        <f>IF(OR(U$52=0,T12="",U12=""),0,IFERROR(IF(AND(INDEX(Arten,MATCH(T12,Codes,0))="Arbeit",INDEX(Arten,MATCH(U12,Codes,0))="Arbeit"),IF(ROUND((1+INDEX(Beginne,MATCH(U12,Codes,0))-INDEX(EndeRel,MATCH(T12,Codes,0)))*1440,0)&lt;660,1,0),0),0))</f>
      </c>
      <c r="V61" s="1">
        <f>IF(OR(V$52=0,U12="",V12=""),0,IFERROR(IF(AND(INDEX(Arten,MATCH(U12,Codes,0))="Arbeit",INDEX(Arten,MATCH(V12,Codes,0))="Arbeit"),IF(ROUND((1+INDEX(Beginne,MATCH(V12,Codes,0))-INDEX(EndeRel,MATCH(U12,Codes,0)))*1440,0)&lt;660,1,0),0),0))</f>
      </c>
      <c r="W61" s="1">
        <f>IF(OR(W$52=0,V12="",W12=""),0,IFERROR(IF(AND(INDEX(Arten,MATCH(V12,Codes,0))="Arbeit",INDEX(Arten,MATCH(W12,Codes,0))="Arbeit"),IF(ROUND((1+INDEX(Beginne,MATCH(W12,Codes,0))-INDEX(EndeRel,MATCH(V12,Codes,0)))*1440,0)&lt;660,1,0),0),0))</f>
      </c>
      <c r="X61" s="1">
        <f>IF(OR(X$52=0,W12="",X12=""),0,IFERROR(IF(AND(INDEX(Arten,MATCH(W12,Codes,0))="Arbeit",INDEX(Arten,MATCH(X12,Codes,0))="Arbeit"),IF(ROUND((1+INDEX(Beginne,MATCH(X12,Codes,0))-INDEX(EndeRel,MATCH(W12,Codes,0)))*1440,0)&lt;660,1,0),0),0))</f>
      </c>
      <c r="Y61" s="1">
        <f>IF(OR(Y$52=0,X12="",Y12=""),0,IFERROR(IF(AND(INDEX(Arten,MATCH(X12,Codes,0))="Arbeit",INDEX(Arten,MATCH(Y12,Codes,0))="Arbeit"),IF(ROUND((1+INDEX(Beginne,MATCH(Y12,Codes,0))-INDEX(EndeRel,MATCH(X12,Codes,0)))*1440,0)&lt;660,1,0),0),0))</f>
      </c>
      <c r="Z61" s="1">
        <f>IF(OR(Z$52=0,Y12="",Z12=""),0,IFERROR(IF(AND(INDEX(Arten,MATCH(Y12,Codes,0))="Arbeit",INDEX(Arten,MATCH(Z12,Codes,0))="Arbeit"),IF(ROUND((1+INDEX(Beginne,MATCH(Z12,Codes,0))-INDEX(EndeRel,MATCH(Y12,Codes,0)))*1440,0)&lt;660,1,0),0),0))</f>
      </c>
      <c r="AA61" s="1">
        <f>IF(OR(AA$52=0,Z12="",AA12=""),0,IFERROR(IF(AND(INDEX(Arten,MATCH(Z12,Codes,0))="Arbeit",INDEX(Arten,MATCH(AA12,Codes,0))="Arbeit"),IF(ROUND((1+INDEX(Beginne,MATCH(AA12,Codes,0))-INDEX(EndeRel,MATCH(Z12,Codes,0)))*1440,0)&lt;660,1,0),0),0))</f>
      </c>
      <c r="AB61" s="1">
        <f>IF(OR(AB$52=0,AA12="",AB12=""),0,IFERROR(IF(AND(INDEX(Arten,MATCH(AA12,Codes,0))="Arbeit",INDEX(Arten,MATCH(AB12,Codes,0))="Arbeit"),IF(ROUND((1+INDEX(Beginne,MATCH(AB12,Codes,0))-INDEX(EndeRel,MATCH(AA12,Codes,0)))*1440,0)&lt;660,1,0),0),0))</f>
      </c>
      <c r="AC61" s="1">
        <f>IF(OR(AC$52=0,AB12="",AC12=""),0,IFERROR(IF(AND(INDEX(Arten,MATCH(AB12,Codes,0))="Arbeit",INDEX(Arten,MATCH(AC12,Codes,0))="Arbeit"),IF(ROUND((1+INDEX(Beginne,MATCH(AC12,Codes,0))-INDEX(EndeRel,MATCH(AB12,Codes,0)))*1440,0)&lt;660,1,0),0),0))</f>
      </c>
      <c r="AD61" s="1">
        <f>IF(OR(AD$52=0,AC12="",AD12=""),0,IFERROR(IF(AND(INDEX(Arten,MATCH(AC12,Codes,0))="Arbeit",INDEX(Arten,MATCH(AD12,Codes,0))="Arbeit"),IF(ROUND((1+INDEX(Beginne,MATCH(AD12,Codes,0))-INDEX(EndeRel,MATCH(AC12,Codes,0)))*1440,0)&lt;660,1,0),0),0))</f>
      </c>
      <c r="AE61" s="1">
        <f>IF(OR(AE$52=0,AD12="",AE12=""),0,IFERROR(IF(AND(INDEX(Arten,MATCH(AD12,Codes,0))="Arbeit",INDEX(Arten,MATCH(AE12,Codes,0))="Arbeit"),IF(ROUND((1+INDEX(Beginne,MATCH(AE12,Codes,0))-INDEX(EndeRel,MATCH(AD12,Codes,0)))*1440,0)&lt;660,1,0),0),0))</f>
      </c>
      <c r="AF61" s="1">
        <f>IF(OR(AF$52=0,AE12="",AF12=""),0,IFERROR(IF(AND(INDEX(Arten,MATCH(AE12,Codes,0))="Arbeit",INDEX(Arten,MATCH(AF12,Codes,0))="Arbeit"),IF(ROUND((1+INDEX(Beginne,MATCH(AF12,Codes,0))-INDEX(EndeRel,MATCH(AE12,Codes,0)))*1440,0)&lt;660,1,0),0),0))</f>
      </c>
    </row>
    <row r="62" hidden="1" spans="1:32" x14ac:dyDescent="0.25">
      <c r="A62" s="1"/>
      <c r="B62" s="1">
        <f>IF(OR(B$52=0,INDEX('Januar'!$B$13:$AF$13,DAY(DATE(Jahr,2,0)))="",B13=""),0,IFERROR(IF(AND(INDEX(Arten,MATCH(INDEX('Januar'!$B$13:$AF$13,DAY(DATE(Jahr,2,0))),Codes,0))="Arbeit",INDEX(Arten,MATCH(B13,Codes,0))="Arbeit"),IF(ROUND((1+INDEX(Beginne,MATCH(B13,Codes,0))-INDEX(EndeRel,MATCH(INDEX('Januar'!$B$13:$AF$13,DAY(DATE(Jahr,2,0))),Codes,0)))*1440,0)&lt;660,1,0),0),0))</f>
      </c>
      <c r="C62" s="1">
        <f>IF(OR(C$52=0,B13="",C13=""),0,IFERROR(IF(AND(INDEX(Arten,MATCH(B13,Codes,0))="Arbeit",INDEX(Arten,MATCH(C13,Codes,0))="Arbeit"),IF(ROUND((1+INDEX(Beginne,MATCH(C13,Codes,0))-INDEX(EndeRel,MATCH(B13,Codes,0)))*1440,0)&lt;660,1,0),0),0))</f>
      </c>
      <c r="D62" s="1">
        <f>IF(OR(D$52=0,C13="",D13=""),0,IFERROR(IF(AND(INDEX(Arten,MATCH(C13,Codes,0))="Arbeit",INDEX(Arten,MATCH(D13,Codes,0))="Arbeit"),IF(ROUND((1+INDEX(Beginne,MATCH(D13,Codes,0))-INDEX(EndeRel,MATCH(C13,Codes,0)))*1440,0)&lt;660,1,0),0),0))</f>
      </c>
      <c r="E62" s="1">
        <f>IF(OR(E$52=0,D13="",E13=""),0,IFERROR(IF(AND(INDEX(Arten,MATCH(D13,Codes,0))="Arbeit",INDEX(Arten,MATCH(E13,Codes,0))="Arbeit"),IF(ROUND((1+INDEX(Beginne,MATCH(E13,Codes,0))-INDEX(EndeRel,MATCH(D13,Codes,0)))*1440,0)&lt;660,1,0),0),0))</f>
      </c>
      <c r="F62" s="1">
        <f>IF(OR(F$52=0,E13="",F13=""),0,IFERROR(IF(AND(INDEX(Arten,MATCH(E13,Codes,0))="Arbeit",INDEX(Arten,MATCH(F13,Codes,0))="Arbeit"),IF(ROUND((1+INDEX(Beginne,MATCH(F13,Codes,0))-INDEX(EndeRel,MATCH(E13,Codes,0)))*1440,0)&lt;660,1,0),0),0))</f>
      </c>
      <c r="G62" s="1">
        <f>IF(OR(G$52=0,F13="",G13=""),0,IFERROR(IF(AND(INDEX(Arten,MATCH(F13,Codes,0))="Arbeit",INDEX(Arten,MATCH(G13,Codes,0))="Arbeit"),IF(ROUND((1+INDEX(Beginne,MATCH(G13,Codes,0))-INDEX(EndeRel,MATCH(F13,Codes,0)))*1440,0)&lt;660,1,0),0),0))</f>
      </c>
      <c r="H62" s="1">
        <f>IF(OR(H$52=0,G13="",H13=""),0,IFERROR(IF(AND(INDEX(Arten,MATCH(G13,Codes,0))="Arbeit",INDEX(Arten,MATCH(H13,Codes,0))="Arbeit"),IF(ROUND((1+INDEX(Beginne,MATCH(H13,Codes,0))-INDEX(EndeRel,MATCH(G13,Codes,0)))*1440,0)&lt;660,1,0),0),0))</f>
      </c>
      <c r="I62" s="1">
        <f>IF(OR(I$52=0,H13="",I13=""),0,IFERROR(IF(AND(INDEX(Arten,MATCH(H13,Codes,0))="Arbeit",INDEX(Arten,MATCH(I13,Codes,0))="Arbeit"),IF(ROUND((1+INDEX(Beginne,MATCH(I13,Codes,0))-INDEX(EndeRel,MATCH(H13,Codes,0)))*1440,0)&lt;660,1,0),0),0))</f>
      </c>
      <c r="J62" s="1">
        <f>IF(OR(J$52=0,I13="",J13=""),0,IFERROR(IF(AND(INDEX(Arten,MATCH(I13,Codes,0))="Arbeit",INDEX(Arten,MATCH(J13,Codes,0))="Arbeit"),IF(ROUND((1+INDEX(Beginne,MATCH(J13,Codes,0))-INDEX(EndeRel,MATCH(I13,Codes,0)))*1440,0)&lt;660,1,0),0),0))</f>
      </c>
      <c r="K62" s="1">
        <f>IF(OR(K$52=0,J13="",K13=""),0,IFERROR(IF(AND(INDEX(Arten,MATCH(J13,Codes,0))="Arbeit",INDEX(Arten,MATCH(K13,Codes,0))="Arbeit"),IF(ROUND((1+INDEX(Beginne,MATCH(K13,Codes,0))-INDEX(EndeRel,MATCH(J13,Codes,0)))*1440,0)&lt;660,1,0),0),0))</f>
      </c>
      <c r="L62" s="1">
        <f>IF(OR(L$52=0,K13="",L13=""),0,IFERROR(IF(AND(INDEX(Arten,MATCH(K13,Codes,0))="Arbeit",INDEX(Arten,MATCH(L13,Codes,0))="Arbeit"),IF(ROUND((1+INDEX(Beginne,MATCH(L13,Codes,0))-INDEX(EndeRel,MATCH(K13,Codes,0)))*1440,0)&lt;660,1,0),0),0))</f>
      </c>
      <c r="M62" s="1">
        <f>IF(OR(M$52=0,L13="",M13=""),0,IFERROR(IF(AND(INDEX(Arten,MATCH(L13,Codes,0))="Arbeit",INDEX(Arten,MATCH(M13,Codes,0))="Arbeit"),IF(ROUND((1+INDEX(Beginne,MATCH(M13,Codes,0))-INDEX(EndeRel,MATCH(L13,Codes,0)))*1440,0)&lt;660,1,0),0),0))</f>
      </c>
      <c r="N62" s="1">
        <f>IF(OR(N$52=0,M13="",N13=""),0,IFERROR(IF(AND(INDEX(Arten,MATCH(M13,Codes,0))="Arbeit",INDEX(Arten,MATCH(N13,Codes,0))="Arbeit"),IF(ROUND((1+INDEX(Beginne,MATCH(N13,Codes,0))-INDEX(EndeRel,MATCH(M13,Codes,0)))*1440,0)&lt;660,1,0),0),0))</f>
      </c>
      <c r="O62" s="1">
        <f>IF(OR(O$52=0,N13="",O13=""),0,IFERROR(IF(AND(INDEX(Arten,MATCH(N13,Codes,0))="Arbeit",INDEX(Arten,MATCH(O13,Codes,0))="Arbeit"),IF(ROUND((1+INDEX(Beginne,MATCH(O13,Codes,0))-INDEX(EndeRel,MATCH(N13,Codes,0)))*1440,0)&lt;660,1,0),0),0))</f>
      </c>
      <c r="P62" s="1">
        <f>IF(OR(P$52=0,O13="",P13=""),0,IFERROR(IF(AND(INDEX(Arten,MATCH(O13,Codes,0))="Arbeit",INDEX(Arten,MATCH(P13,Codes,0))="Arbeit"),IF(ROUND((1+INDEX(Beginne,MATCH(P13,Codes,0))-INDEX(EndeRel,MATCH(O13,Codes,0)))*1440,0)&lt;660,1,0),0),0))</f>
      </c>
      <c r="Q62" s="1">
        <f>IF(OR(Q$52=0,P13="",Q13=""),0,IFERROR(IF(AND(INDEX(Arten,MATCH(P13,Codes,0))="Arbeit",INDEX(Arten,MATCH(Q13,Codes,0))="Arbeit"),IF(ROUND((1+INDEX(Beginne,MATCH(Q13,Codes,0))-INDEX(EndeRel,MATCH(P13,Codes,0)))*1440,0)&lt;660,1,0),0),0))</f>
      </c>
      <c r="R62" s="1">
        <f>IF(OR(R$52=0,Q13="",R13=""),0,IFERROR(IF(AND(INDEX(Arten,MATCH(Q13,Codes,0))="Arbeit",INDEX(Arten,MATCH(R13,Codes,0))="Arbeit"),IF(ROUND((1+INDEX(Beginne,MATCH(R13,Codes,0))-INDEX(EndeRel,MATCH(Q13,Codes,0)))*1440,0)&lt;660,1,0),0),0))</f>
      </c>
      <c r="S62" s="1">
        <f>IF(OR(S$52=0,R13="",S13=""),0,IFERROR(IF(AND(INDEX(Arten,MATCH(R13,Codes,0))="Arbeit",INDEX(Arten,MATCH(S13,Codes,0))="Arbeit"),IF(ROUND((1+INDEX(Beginne,MATCH(S13,Codes,0))-INDEX(EndeRel,MATCH(R13,Codes,0)))*1440,0)&lt;660,1,0),0),0))</f>
      </c>
      <c r="T62" s="1">
        <f>IF(OR(T$52=0,S13="",T13=""),0,IFERROR(IF(AND(INDEX(Arten,MATCH(S13,Codes,0))="Arbeit",INDEX(Arten,MATCH(T13,Codes,0))="Arbeit"),IF(ROUND((1+INDEX(Beginne,MATCH(T13,Codes,0))-INDEX(EndeRel,MATCH(S13,Codes,0)))*1440,0)&lt;660,1,0),0),0))</f>
      </c>
      <c r="U62" s="1">
        <f>IF(OR(U$52=0,T13="",U13=""),0,IFERROR(IF(AND(INDEX(Arten,MATCH(T13,Codes,0))="Arbeit",INDEX(Arten,MATCH(U13,Codes,0))="Arbeit"),IF(ROUND((1+INDEX(Beginne,MATCH(U13,Codes,0))-INDEX(EndeRel,MATCH(T13,Codes,0)))*1440,0)&lt;660,1,0),0),0))</f>
      </c>
      <c r="V62" s="1">
        <f>IF(OR(V$52=0,U13="",V13=""),0,IFERROR(IF(AND(INDEX(Arten,MATCH(U13,Codes,0))="Arbeit",INDEX(Arten,MATCH(V13,Codes,0))="Arbeit"),IF(ROUND((1+INDEX(Beginne,MATCH(V13,Codes,0))-INDEX(EndeRel,MATCH(U13,Codes,0)))*1440,0)&lt;660,1,0),0),0))</f>
      </c>
      <c r="W62" s="1">
        <f>IF(OR(W$52=0,V13="",W13=""),0,IFERROR(IF(AND(INDEX(Arten,MATCH(V13,Codes,0))="Arbeit",INDEX(Arten,MATCH(W13,Codes,0))="Arbeit"),IF(ROUND((1+INDEX(Beginne,MATCH(W13,Codes,0))-INDEX(EndeRel,MATCH(V13,Codes,0)))*1440,0)&lt;660,1,0),0),0))</f>
      </c>
      <c r="X62" s="1">
        <f>IF(OR(X$52=0,W13="",X13=""),0,IFERROR(IF(AND(INDEX(Arten,MATCH(W13,Codes,0))="Arbeit",INDEX(Arten,MATCH(X13,Codes,0))="Arbeit"),IF(ROUND((1+INDEX(Beginne,MATCH(X13,Codes,0))-INDEX(EndeRel,MATCH(W13,Codes,0)))*1440,0)&lt;660,1,0),0),0))</f>
      </c>
      <c r="Y62" s="1">
        <f>IF(OR(Y$52=0,X13="",Y13=""),0,IFERROR(IF(AND(INDEX(Arten,MATCH(X13,Codes,0))="Arbeit",INDEX(Arten,MATCH(Y13,Codes,0))="Arbeit"),IF(ROUND((1+INDEX(Beginne,MATCH(Y13,Codes,0))-INDEX(EndeRel,MATCH(X13,Codes,0)))*1440,0)&lt;660,1,0),0),0))</f>
      </c>
      <c r="Z62" s="1">
        <f>IF(OR(Z$52=0,Y13="",Z13=""),0,IFERROR(IF(AND(INDEX(Arten,MATCH(Y13,Codes,0))="Arbeit",INDEX(Arten,MATCH(Z13,Codes,0))="Arbeit"),IF(ROUND((1+INDEX(Beginne,MATCH(Z13,Codes,0))-INDEX(EndeRel,MATCH(Y13,Codes,0)))*1440,0)&lt;660,1,0),0),0))</f>
      </c>
      <c r="AA62" s="1">
        <f>IF(OR(AA$52=0,Z13="",AA13=""),0,IFERROR(IF(AND(INDEX(Arten,MATCH(Z13,Codes,0))="Arbeit",INDEX(Arten,MATCH(AA13,Codes,0))="Arbeit"),IF(ROUND((1+INDEX(Beginne,MATCH(AA13,Codes,0))-INDEX(EndeRel,MATCH(Z13,Codes,0)))*1440,0)&lt;660,1,0),0),0))</f>
      </c>
      <c r="AB62" s="1">
        <f>IF(OR(AB$52=0,AA13="",AB13=""),0,IFERROR(IF(AND(INDEX(Arten,MATCH(AA13,Codes,0))="Arbeit",INDEX(Arten,MATCH(AB13,Codes,0))="Arbeit"),IF(ROUND((1+INDEX(Beginne,MATCH(AB13,Codes,0))-INDEX(EndeRel,MATCH(AA13,Codes,0)))*1440,0)&lt;660,1,0),0),0))</f>
      </c>
      <c r="AC62" s="1">
        <f>IF(OR(AC$52=0,AB13="",AC13=""),0,IFERROR(IF(AND(INDEX(Arten,MATCH(AB13,Codes,0))="Arbeit",INDEX(Arten,MATCH(AC13,Codes,0))="Arbeit"),IF(ROUND((1+INDEX(Beginne,MATCH(AC13,Codes,0))-INDEX(EndeRel,MATCH(AB13,Codes,0)))*1440,0)&lt;660,1,0),0),0))</f>
      </c>
      <c r="AD62" s="1">
        <f>IF(OR(AD$52=0,AC13="",AD13=""),0,IFERROR(IF(AND(INDEX(Arten,MATCH(AC13,Codes,0))="Arbeit",INDEX(Arten,MATCH(AD13,Codes,0))="Arbeit"),IF(ROUND((1+INDEX(Beginne,MATCH(AD13,Codes,0))-INDEX(EndeRel,MATCH(AC13,Codes,0)))*1440,0)&lt;660,1,0),0),0))</f>
      </c>
      <c r="AE62" s="1">
        <f>IF(OR(AE$52=0,AD13="",AE13=""),0,IFERROR(IF(AND(INDEX(Arten,MATCH(AD13,Codes,0))="Arbeit",INDEX(Arten,MATCH(AE13,Codes,0))="Arbeit"),IF(ROUND((1+INDEX(Beginne,MATCH(AE13,Codes,0))-INDEX(EndeRel,MATCH(AD13,Codes,0)))*1440,0)&lt;660,1,0),0),0))</f>
      </c>
      <c r="AF62" s="1">
        <f>IF(OR(AF$52=0,AE13="",AF13=""),0,IFERROR(IF(AND(INDEX(Arten,MATCH(AE13,Codes,0))="Arbeit",INDEX(Arten,MATCH(AF13,Codes,0))="Arbeit"),IF(ROUND((1+INDEX(Beginne,MATCH(AF13,Codes,0))-INDEX(EndeRel,MATCH(AE13,Codes,0)))*1440,0)&lt;660,1,0),0),0))</f>
      </c>
    </row>
    <row r="63" hidden="1" spans="1:32" x14ac:dyDescent="0.25">
      <c r="A63" s="1"/>
      <c r="B63" s="1">
        <f>IF(OR(B$52=0,INDEX('Januar'!$B$14:$AF$14,DAY(DATE(Jahr,2,0)))="",B14=""),0,IFERROR(IF(AND(INDEX(Arten,MATCH(INDEX('Januar'!$B$14:$AF$14,DAY(DATE(Jahr,2,0))),Codes,0))="Arbeit",INDEX(Arten,MATCH(B14,Codes,0))="Arbeit"),IF(ROUND((1+INDEX(Beginne,MATCH(B14,Codes,0))-INDEX(EndeRel,MATCH(INDEX('Januar'!$B$14:$AF$14,DAY(DATE(Jahr,2,0))),Codes,0)))*1440,0)&lt;660,1,0),0),0))</f>
      </c>
      <c r="C63" s="1">
        <f>IF(OR(C$52=0,B14="",C14=""),0,IFERROR(IF(AND(INDEX(Arten,MATCH(B14,Codes,0))="Arbeit",INDEX(Arten,MATCH(C14,Codes,0))="Arbeit"),IF(ROUND((1+INDEX(Beginne,MATCH(C14,Codes,0))-INDEX(EndeRel,MATCH(B14,Codes,0)))*1440,0)&lt;660,1,0),0),0))</f>
      </c>
      <c r="D63" s="1">
        <f>IF(OR(D$52=0,C14="",D14=""),0,IFERROR(IF(AND(INDEX(Arten,MATCH(C14,Codes,0))="Arbeit",INDEX(Arten,MATCH(D14,Codes,0))="Arbeit"),IF(ROUND((1+INDEX(Beginne,MATCH(D14,Codes,0))-INDEX(EndeRel,MATCH(C14,Codes,0)))*1440,0)&lt;660,1,0),0),0))</f>
      </c>
      <c r="E63" s="1">
        <f>IF(OR(E$52=0,D14="",E14=""),0,IFERROR(IF(AND(INDEX(Arten,MATCH(D14,Codes,0))="Arbeit",INDEX(Arten,MATCH(E14,Codes,0))="Arbeit"),IF(ROUND((1+INDEX(Beginne,MATCH(E14,Codes,0))-INDEX(EndeRel,MATCH(D14,Codes,0)))*1440,0)&lt;660,1,0),0),0))</f>
      </c>
      <c r="F63" s="1">
        <f>IF(OR(F$52=0,E14="",F14=""),0,IFERROR(IF(AND(INDEX(Arten,MATCH(E14,Codes,0))="Arbeit",INDEX(Arten,MATCH(F14,Codes,0))="Arbeit"),IF(ROUND((1+INDEX(Beginne,MATCH(F14,Codes,0))-INDEX(EndeRel,MATCH(E14,Codes,0)))*1440,0)&lt;660,1,0),0),0))</f>
      </c>
      <c r="G63" s="1">
        <f>IF(OR(G$52=0,F14="",G14=""),0,IFERROR(IF(AND(INDEX(Arten,MATCH(F14,Codes,0))="Arbeit",INDEX(Arten,MATCH(G14,Codes,0))="Arbeit"),IF(ROUND((1+INDEX(Beginne,MATCH(G14,Codes,0))-INDEX(EndeRel,MATCH(F14,Codes,0)))*1440,0)&lt;660,1,0),0),0))</f>
      </c>
      <c r="H63" s="1">
        <f>IF(OR(H$52=0,G14="",H14=""),0,IFERROR(IF(AND(INDEX(Arten,MATCH(G14,Codes,0))="Arbeit",INDEX(Arten,MATCH(H14,Codes,0))="Arbeit"),IF(ROUND((1+INDEX(Beginne,MATCH(H14,Codes,0))-INDEX(EndeRel,MATCH(G14,Codes,0)))*1440,0)&lt;660,1,0),0),0))</f>
      </c>
      <c r="I63" s="1">
        <f>IF(OR(I$52=0,H14="",I14=""),0,IFERROR(IF(AND(INDEX(Arten,MATCH(H14,Codes,0))="Arbeit",INDEX(Arten,MATCH(I14,Codes,0))="Arbeit"),IF(ROUND((1+INDEX(Beginne,MATCH(I14,Codes,0))-INDEX(EndeRel,MATCH(H14,Codes,0)))*1440,0)&lt;660,1,0),0),0))</f>
      </c>
      <c r="J63" s="1">
        <f>IF(OR(J$52=0,I14="",J14=""),0,IFERROR(IF(AND(INDEX(Arten,MATCH(I14,Codes,0))="Arbeit",INDEX(Arten,MATCH(J14,Codes,0))="Arbeit"),IF(ROUND((1+INDEX(Beginne,MATCH(J14,Codes,0))-INDEX(EndeRel,MATCH(I14,Codes,0)))*1440,0)&lt;660,1,0),0),0))</f>
      </c>
      <c r="K63" s="1">
        <f>IF(OR(K$52=0,J14="",K14=""),0,IFERROR(IF(AND(INDEX(Arten,MATCH(J14,Codes,0))="Arbeit",INDEX(Arten,MATCH(K14,Codes,0))="Arbeit"),IF(ROUND((1+INDEX(Beginne,MATCH(K14,Codes,0))-INDEX(EndeRel,MATCH(J14,Codes,0)))*1440,0)&lt;660,1,0),0),0))</f>
      </c>
      <c r="L63" s="1">
        <f>IF(OR(L$52=0,K14="",L14=""),0,IFERROR(IF(AND(INDEX(Arten,MATCH(K14,Codes,0))="Arbeit",INDEX(Arten,MATCH(L14,Codes,0))="Arbeit"),IF(ROUND((1+INDEX(Beginne,MATCH(L14,Codes,0))-INDEX(EndeRel,MATCH(K14,Codes,0)))*1440,0)&lt;660,1,0),0),0))</f>
      </c>
      <c r="M63" s="1">
        <f>IF(OR(M$52=0,L14="",M14=""),0,IFERROR(IF(AND(INDEX(Arten,MATCH(L14,Codes,0))="Arbeit",INDEX(Arten,MATCH(M14,Codes,0))="Arbeit"),IF(ROUND((1+INDEX(Beginne,MATCH(M14,Codes,0))-INDEX(EndeRel,MATCH(L14,Codes,0)))*1440,0)&lt;660,1,0),0),0))</f>
      </c>
      <c r="N63" s="1">
        <f>IF(OR(N$52=0,M14="",N14=""),0,IFERROR(IF(AND(INDEX(Arten,MATCH(M14,Codes,0))="Arbeit",INDEX(Arten,MATCH(N14,Codes,0))="Arbeit"),IF(ROUND((1+INDEX(Beginne,MATCH(N14,Codes,0))-INDEX(EndeRel,MATCH(M14,Codes,0)))*1440,0)&lt;660,1,0),0),0))</f>
      </c>
      <c r="O63" s="1">
        <f>IF(OR(O$52=0,N14="",O14=""),0,IFERROR(IF(AND(INDEX(Arten,MATCH(N14,Codes,0))="Arbeit",INDEX(Arten,MATCH(O14,Codes,0))="Arbeit"),IF(ROUND((1+INDEX(Beginne,MATCH(O14,Codes,0))-INDEX(EndeRel,MATCH(N14,Codes,0)))*1440,0)&lt;660,1,0),0),0))</f>
      </c>
      <c r="P63" s="1">
        <f>IF(OR(P$52=0,O14="",P14=""),0,IFERROR(IF(AND(INDEX(Arten,MATCH(O14,Codes,0))="Arbeit",INDEX(Arten,MATCH(P14,Codes,0))="Arbeit"),IF(ROUND((1+INDEX(Beginne,MATCH(P14,Codes,0))-INDEX(EndeRel,MATCH(O14,Codes,0)))*1440,0)&lt;660,1,0),0),0))</f>
      </c>
      <c r="Q63" s="1">
        <f>IF(OR(Q$52=0,P14="",Q14=""),0,IFERROR(IF(AND(INDEX(Arten,MATCH(P14,Codes,0))="Arbeit",INDEX(Arten,MATCH(Q14,Codes,0))="Arbeit"),IF(ROUND((1+INDEX(Beginne,MATCH(Q14,Codes,0))-INDEX(EndeRel,MATCH(P14,Codes,0)))*1440,0)&lt;660,1,0),0),0))</f>
      </c>
      <c r="R63" s="1">
        <f>IF(OR(R$52=0,Q14="",R14=""),0,IFERROR(IF(AND(INDEX(Arten,MATCH(Q14,Codes,0))="Arbeit",INDEX(Arten,MATCH(R14,Codes,0))="Arbeit"),IF(ROUND((1+INDEX(Beginne,MATCH(R14,Codes,0))-INDEX(EndeRel,MATCH(Q14,Codes,0)))*1440,0)&lt;660,1,0),0),0))</f>
      </c>
      <c r="S63" s="1">
        <f>IF(OR(S$52=0,R14="",S14=""),0,IFERROR(IF(AND(INDEX(Arten,MATCH(R14,Codes,0))="Arbeit",INDEX(Arten,MATCH(S14,Codes,0))="Arbeit"),IF(ROUND((1+INDEX(Beginne,MATCH(S14,Codes,0))-INDEX(EndeRel,MATCH(R14,Codes,0)))*1440,0)&lt;660,1,0),0),0))</f>
      </c>
      <c r="T63" s="1">
        <f>IF(OR(T$52=0,S14="",T14=""),0,IFERROR(IF(AND(INDEX(Arten,MATCH(S14,Codes,0))="Arbeit",INDEX(Arten,MATCH(T14,Codes,0))="Arbeit"),IF(ROUND((1+INDEX(Beginne,MATCH(T14,Codes,0))-INDEX(EndeRel,MATCH(S14,Codes,0)))*1440,0)&lt;660,1,0),0),0))</f>
      </c>
      <c r="U63" s="1">
        <f>IF(OR(U$52=0,T14="",U14=""),0,IFERROR(IF(AND(INDEX(Arten,MATCH(T14,Codes,0))="Arbeit",INDEX(Arten,MATCH(U14,Codes,0))="Arbeit"),IF(ROUND((1+INDEX(Beginne,MATCH(U14,Codes,0))-INDEX(EndeRel,MATCH(T14,Codes,0)))*1440,0)&lt;660,1,0),0),0))</f>
      </c>
      <c r="V63" s="1">
        <f>IF(OR(V$52=0,U14="",V14=""),0,IFERROR(IF(AND(INDEX(Arten,MATCH(U14,Codes,0))="Arbeit",INDEX(Arten,MATCH(V14,Codes,0))="Arbeit"),IF(ROUND((1+INDEX(Beginne,MATCH(V14,Codes,0))-INDEX(EndeRel,MATCH(U14,Codes,0)))*1440,0)&lt;660,1,0),0),0))</f>
      </c>
      <c r="W63" s="1">
        <f>IF(OR(W$52=0,V14="",W14=""),0,IFERROR(IF(AND(INDEX(Arten,MATCH(V14,Codes,0))="Arbeit",INDEX(Arten,MATCH(W14,Codes,0))="Arbeit"),IF(ROUND((1+INDEX(Beginne,MATCH(W14,Codes,0))-INDEX(EndeRel,MATCH(V14,Codes,0)))*1440,0)&lt;660,1,0),0),0))</f>
      </c>
      <c r="X63" s="1">
        <f>IF(OR(X$52=0,W14="",X14=""),0,IFERROR(IF(AND(INDEX(Arten,MATCH(W14,Codes,0))="Arbeit",INDEX(Arten,MATCH(X14,Codes,0))="Arbeit"),IF(ROUND((1+INDEX(Beginne,MATCH(X14,Codes,0))-INDEX(EndeRel,MATCH(W14,Codes,0)))*1440,0)&lt;660,1,0),0),0))</f>
      </c>
      <c r="Y63" s="1">
        <f>IF(OR(Y$52=0,X14="",Y14=""),0,IFERROR(IF(AND(INDEX(Arten,MATCH(X14,Codes,0))="Arbeit",INDEX(Arten,MATCH(Y14,Codes,0))="Arbeit"),IF(ROUND((1+INDEX(Beginne,MATCH(Y14,Codes,0))-INDEX(EndeRel,MATCH(X14,Codes,0)))*1440,0)&lt;660,1,0),0),0))</f>
      </c>
      <c r="Z63" s="1">
        <f>IF(OR(Z$52=0,Y14="",Z14=""),0,IFERROR(IF(AND(INDEX(Arten,MATCH(Y14,Codes,0))="Arbeit",INDEX(Arten,MATCH(Z14,Codes,0))="Arbeit"),IF(ROUND((1+INDEX(Beginne,MATCH(Z14,Codes,0))-INDEX(EndeRel,MATCH(Y14,Codes,0)))*1440,0)&lt;660,1,0),0),0))</f>
      </c>
      <c r="AA63" s="1">
        <f>IF(OR(AA$52=0,Z14="",AA14=""),0,IFERROR(IF(AND(INDEX(Arten,MATCH(Z14,Codes,0))="Arbeit",INDEX(Arten,MATCH(AA14,Codes,0))="Arbeit"),IF(ROUND((1+INDEX(Beginne,MATCH(AA14,Codes,0))-INDEX(EndeRel,MATCH(Z14,Codes,0)))*1440,0)&lt;660,1,0),0),0))</f>
      </c>
      <c r="AB63" s="1">
        <f>IF(OR(AB$52=0,AA14="",AB14=""),0,IFERROR(IF(AND(INDEX(Arten,MATCH(AA14,Codes,0))="Arbeit",INDEX(Arten,MATCH(AB14,Codes,0))="Arbeit"),IF(ROUND((1+INDEX(Beginne,MATCH(AB14,Codes,0))-INDEX(EndeRel,MATCH(AA14,Codes,0)))*1440,0)&lt;660,1,0),0),0))</f>
      </c>
      <c r="AC63" s="1">
        <f>IF(OR(AC$52=0,AB14="",AC14=""),0,IFERROR(IF(AND(INDEX(Arten,MATCH(AB14,Codes,0))="Arbeit",INDEX(Arten,MATCH(AC14,Codes,0))="Arbeit"),IF(ROUND((1+INDEX(Beginne,MATCH(AC14,Codes,0))-INDEX(EndeRel,MATCH(AB14,Codes,0)))*1440,0)&lt;660,1,0),0),0))</f>
      </c>
      <c r="AD63" s="1">
        <f>IF(OR(AD$52=0,AC14="",AD14=""),0,IFERROR(IF(AND(INDEX(Arten,MATCH(AC14,Codes,0))="Arbeit",INDEX(Arten,MATCH(AD14,Codes,0))="Arbeit"),IF(ROUND((1+INDEX(Beginne,MATCH(AD14,Codes,0))-INDEX(EndeRel,MATCH(AC14,Codes,0)))*1440,0)&lt;660,1,0),0),0))</f>
      </c>
      <c r="AE63" s="1">
        <f>IF(OR(AE$52=0,AD14="",AE14=""),0,IFERROR(IF(AND(INDEX(Arten,MATCH(AD14,Codes,0))="Arbeit",INDEX(Arten,MATCH(AE14,Codes,0))="Arbeit"),IF(ROUND((1+INDEX(Beginne,MATCH(AE14,Codes,0))-INDEX(EndeRel,MATCH(AD14,Codes,0)))*1440,0)&lt;660,1,0),0),0))</f>
      </c>
      <c r="AF63" s="1">
        <f>IF(OR(AF$52=0,AE14="",AF14=""),0,IFERROR(IF(AND(INDEX(Arten,MATCH(AE14,Codes,0))="Arbeit",INDEX(Arten,MATCH(AF14,Codes,0))="Arbeit"),IF(ROUND((1+INDEX(Beginne,MATCH(AF14,Codes,0))-INDEX(EndeRel,MATCH(AE14,Codes,0)))*1440,0)&lt;660,1,0),0),0))</f>
      </c>
    </row>
    <row r="64" hidden="1" spans="1:32" x14ac:dyDescent="0.25">
      <c r="A64" s="1"/>
      <c r="B64" s="1">
        <f>IF(OR(B$52=0,INDEX('Januar'!$B$15:$AF$15,DAY(DATE(Jahr,2,0)))="",B15=""),0,IFERROR(IF(AND(INDEX(Arten,MATCH(INDEX('Januar'!$B$15:$AF$15,DAY(DATE(Jahr,2,0))),Codes,0))="Arbeit",INDEX(Arten,MATCH(B15,Codes,0))="Arbeit"),IF(ROUND((1+INDEX(Beginne,MATCH(B15,Codes,0))-INDEX(EndeRel,MATCH(INDEX('Januar'!$B$15:$AF$15,DAY(DATE(Jahr,2,0))),Codes,0)))*1440,0)&lt;660,1,0),0),0))</f>
      </c>
      <c r="C64" s="1">
        <f>IF(OR(C$52=0,B15="",C15=""),0,IFERROR(IF(AND(INDEX(Arten,MATCH(B15,Codes,0))="Arbeit",INDEX(Arten,MATCH(C15,Codes,0))="Arbeit"),IF(ROUND((1+INDEX(Beginne,MATCH(C15,Codes,0))-INDEX(EndeRel,MATCH(B15,Codes,0)))*1440,0)&lt;660,1,0),0),0))</f>
      </c>
      <c r="D64" s="1">
        <f>IF(OR(D$52=0,C15="",D15=""),0,IFERROR(IF(AND(INDEX(Arten,MATCH(C15,Codes,0))="Arbeit",INDEX(Arten,MATCH(D15,Codes,0))="Arbeit"),IF(ROUND((1+INDEX(Beginne,MATCH(D15,Codes,0))-INDEX(EndeRel,MATCH(C15,Codes,0)))*1440,0)&lt;660,1,0),0),0))</f>
      </c>
      <c r="E64" s="1">
        <f>IF(OR(E$52=0,D15="",E15=""),0,IFERROR(IF(AND(INDEX(Arten,MATCH(D15,Codes,0))="Arbeit",INDEX(Arten,MATCH(E15,Codes,0))="Arbeit"),IF(ROUND((1+INDEX(Beginne,MATCH(E15,Codes,0))-INDEX(EndeRel,MATCH(D15,Codes,0)))*1440,0)&lt;660,1,0),0),0))</f>
      </c>
      <c r="F64" s="1">
        <f>IF(OR(F$52=0,E15="",F15=""),0,IFERROR(IF(AND(INDEX(Arten,MATCH(E15,Codes,0))="Arbeit",INDEX(Arten,MATCH(F15,Codes,0))="Arbeit"),IF(ROUND((1+INDEX(Beginne,MATCH(F15,Codes,0))-INDEX(EndeRel,MATCH(E15,Codes,0)))*1440,0)&lt;660,1,0),0),0))</f>
      </c>
      <c r="G64" s="1">
        <f>IF(OR(G$52=0,F15="",G15=""),0,IFERROR(IF(AND(INDEX(Arten,MATCH(F15,Codes,0))="Arbeit",INDEX(Arten,MATCH(G15,Codes,0))="Arbeit"),IF(ROUND((1+INDEX(Beginne,MATCH(G15,Codes,0))-INDEX(EndeRel,MATCH(F15,Codes,0)))*1440,0)&lt;660,1,0),0),0))</f>
      </c>
      <c r="H64" s="1">
        <f>IF(OR(H$52=0,G15="",H15=""),0,IFERROR(IF(AND(INDEX(Arten,MATCH(G15,Codes,0))="Arbeit",INDEX(Arten,MATCH(H15,Codes,0))="Arbeit"),IF(ROUND((1+INDEX(Beginne,MATCH(H15,Codes,0))-INDEX(EndeRel,MATCH(G15,Codes,0)))*1440,0)&lt;660,1,0),0),0))</f>
      </c>
      <c r="I64" s="1">
        <f>IF(OR(I$52=0,H15="",I15=""),0,IFERROR(IF(AND(INDEX(Arten,MATCH(H15,Codes,0))="Arbeit",INDEX(Arten,MATCH(I15,Codes,0))="Arbeit"),IF(ROUND((1+INDEX(Beginne,MATCH(I15,Codes,0))-INDEX(EndeRel,MATCH(H15,Codes,0)))*1440,0)&lt;660,1,0),0),0))</f>
      </c>
      <c r="J64" s="1">
        <f>IF(OR(J$52=0,I15="",J15=""),0,IFERROR(IF(AND(INDEX(Arten,MATCH(I15,Codes,0))="Arbeit",INDEX(Arten,MATCH(J15,Codes,0))="Arbeit"),IF(ROUND((1+INDEX(Beginne,MATCH(J15,Codes,0))-INDEX(EndeRel,MATCH(I15,Codes,0)))*1440,0)&lt;660,1,0),0),0))</f>
      </c>
      <c r="K64" s="1">
        <f>IF(OR(K$52=0,J15="",K15=""),0,IFERROR(IF(AND(INDEX(Arten,MATCH(J15,Codes,0))="Arbeit",INDEX(Arten,MATCH(K15,Codes,0))="Arbeit"),IF(ROUND((1+INDEX(Beginne,MATCH(K15,Codes,0))-INDEX(EndeRel,MATCH(J15,Codes,0)))*1440,0)&lt;660,1,0),0),0))</f>
      </c>
      <c r="L64" s="1">
        <f>IF(OR(L$52=0,K15="",L15=""),0,IFERROR(IF(AND(INDEX(Arten,MATCH(K15,Codes,0))="Arbeit",INDEX(Arten,MATCH(L15,Codes,0))="Arbeit"),IF(ROUND((1+INDEX(Beginne,MATCH(L15,Codes,0))-INDEX(EndeRel,MATCH(K15,Codes,0)))*1440,0)&lt;660,1,0),0),0))</f>
      </c>
      <c r="M64" s="1">
        <f>IF(OR(M$52=0,L15="",M15=""),0,IFERROR(IF(AND(INDEX(Arten,MATCH(L15,Codes,0))="Arbeit",INDEX(Arten,MATCH(M15,Codes,0))="Arbeit"),IF(ROUND((1+INDEX(Beginne,MATCH(M15,Codes,0))-INDEX(EndeRel,MATCH(L15,Codes,0)))*1440,0)&lt;660,1,0),0),0))</f>
      </c>
      <c r="N64" s="1">
        <f>IF(OR(N$52=0,M15="",N15=""),0,IFERROR(IF(AND(INDEX(Arten,MATCH(M15,Codes,0))="Arbeit",INDEX(Arten,MATCH(N15,Codes,0))="Arbeit"),IF(ROUND((1+INDEX(Beginne,MATCH(N15,Codes,0))-INDEX(EndeRel,MATCH(M15,Codes,0)))*1440,0)&lt;660,1,0),0),0))</f>
      </c>
      <c r="O64" s="1">
        <f>IF(OR(O$52=0,N15="",O15=""),0,IFERROR(IF(AND(INDEX(Arten,MATCH(N15,Codes,0))="Arbeit",INDEX(Arten,MATCH(O15,Codes,0))="Arbeit"),IF(ROUND((1+INDEX(Beginne,MATCH(O15,Codes,0))-INDEX(EndeRel,MATCH(N15,Codes,0)))*1440,0)&lt;660,1,0),0),0))</f>
      </c>
      <c r="P64" s="1">
        <f>IF(OR(P$52=0,O15="",P15=""),0,IFERROR(IF(AND(INDEX(Arten,MATCH(O15,Codes,0))="Arbeit",INDEX(Arten,MATCH(P15,Codes,0))="Arbeit"),IF(ROUND((1+INDEX(Beginne,MATCH(P15,Codes,0))-INDEX(EndeRel,MATCH(O15,Codes,0)))*1440,0)&lt;660,1,0),0),0))</f>
      </c>
      <c r="Q64" s="1">
        <f>IF(OR(Q$52=0,P15="",Q15=""),0,IFERROR(IF(AND(INDEX(Arten,MATCH(P15,Codes,0))="Arbeit",INDEX(Arten,MATCH(Q15,Codes,0))="Arbeit"),IF(ROUND((1+INDEX(Beginne,MATCH(Q15,Codes,0))-INDEX(EndeRel,MATCH(P15,Codes,0)))*1440,0)&lt;660,1,0),0),0))</f>
      </c>
      <c r="R64" s="1">
        <f>IF(OR(R$52=0,Q15="",R15=""),0,IFERROR(IF(AND(INDEX(Arten,MATCH(Q15,Codes,0))="Arbeit",INDEX(Arten,MATCH(R15,Codes,0))="Arbeit"),IF(ROUND((1+INDEX(Beginne,MATCH(R15,Codes,0))-INDEX(EndeRel,MATCH(Q15,Codes,0)))*1440,0)&lt;660,1,0),0),0))</f>
      </c>
      <c r="S64" s="1">
        <f>IF(OR(S$52=0,R15="",S15=""),0,IFERROR(IF(AND(INDEX(Arten,MATCH(R15,Codes,0))="Arbeit",INDEX(Arten,MATCH(S15,Codes,0))="Arbeit"),IF(ROUND((1+INDEX(Beginne,MATCH(S15,Codes,0))-INDEX(EndeRel,MATCH(R15,Codes,0)))*1440,0)&lt;660,1,0),0),0))</f>
      </c>
      <c r="T64" s="1">
        <f>IF(OR(T$52=0,S15="",T15=""),0,IFERROR(IF(AND(INDEX(Arten,MATCH(S15,Codes,0))="Arbeit",INDEX(Arten,MATCH(T15,Codes,0))="Arbeit"),IF(ROUND((1+INDEX(Beginne,MATCH(T15,Codes,0))-INDEX(EndeRel,MATCH(S15,Codes,0)))*1440,0)&lt;660,1,0),0),0))</f>
      </c>
      <c r="U64" s="1">
        <f>IF(OR(U$52=0,T15="",U15=""),0,IFERROR(IF(AND(INDEX(Arten,MATCH(T15,Codes,0))="Arbeit",INDEX(Arten,MATCH(U15,Codes,0))="Arbeit"),IF(ROUND((1+INDEX(Beginne,MATCH(U15,Codes,0))-INDEX(EndeRel,MATCH(T15,Codes,0)))*1440,0)&lt;660,1,0),0),0))</f>
      </c>
      <c r="V64" s="1">
        <f>IF(OR(V$52=0,U15="",V15=""),0,IFERROR(IF(AND(INDEX(Arten,MATCH(U15,Codes,0))="Arbeit",INDEX(Arten,MATCH(V15,Codes,0))="Arbeit"),IF(ROUND((1+INDEX(Beginne,MATCH(V15,Codes,0))-INDEX(EndeRel,MATCH(U15,Codes,0)))*1440,0)&lt;660,1,0),0),0))</f>
      </c>
      <c r="W64" s="1">
        <f>IF(OR(W$52=0,V15="",W15=""),0,IFERROR(IF(AND(INDEX(Arten,MATCH(V15,Codes,0))="Arbeit",INDEX(Arten,MATCH(W15,Codes,0))="Arbeit"),IF(ROUND((1+INDEX(Beginne,MATCH(W15,Codes,0))-INDEX(EndeRel,MATCH(V15,Codes,0)))*1440,0)&lt;660,1,0),0),0))</f>
      </c>
      <c r="X64" s="1">
        <f>IF(OR(X$52=0,W15="",X15=""),0,IFERROR(IF(AND(INDEX(Arten,MATCH(W15,Codes,0))="Arbeit",INDEX(Arten,MATCH(X15,Codes,0))="Arbeit"),IF(ROUND((1+INDEX(Beginne,MATCH(X15,Codes,0))-INDEX(EndeRel,MATCH(W15,Codes,0)))*1440,0)&lt;660,1,0),0),0))</f>
      </c>
      <c r="Y64" s="1">
        <f>IF(OR(Y$52=0,X15="",Y15=""),0,IFERROR(IF(AND(INDEX(Arten,MATCH(X15,Codes,0))="Arbeit",INDEX(Arten,MATCH(Y15,Codes,0))="Arbeit"),IF(ROUND((1+INDEX(Beginne,MATCH(Y15,Codes,0))-INDEX(EndeRel,MATCH(X15,Codes,0)))*1440,0)&lt;660,1,0),0),0))</f>
      </c>
      <c r="Z64" s="1">
        <f>IF(OR(Z$52=0,Y15="",Z15=""),0,IFERROR(IF(AND(INDEX(Arten,MATCH(Y15,Codes,0))="Arbeit",INDEX(Arten,MATCH(Z15,Codes,0))="Arbeit"),IF(ROUND((1+INDEX(Beginne,MATCH(Z15,Codes,0))-INDEX(EndeRel,MATCH(Y15,Codes,0)))*1440,0)&lt;660,1,0),0),0))</f>
      </c>
      <c r="AA64" s="1">
        <f>IF(OR(AA$52=0,Z15="",AA15=""),0,IFERROR(IF(AND(INDEX(Arten,MATCH(Z15,Codes,0))="Arbeit",INDEX(Arten,MATCH(AA15,Codes,0))="Arbeit"),IF(ROUND((1+INDEX(Beginne,MATCH(AA15,Codes,0))-INDEX(EndeRel,MATCH(Z15,Codes,0)))*1440,0)&lt;660,1,0),0),0))</f>
      </c>
      <c r="AB64" s="1">
        <f>IF(OR(AB$52=0,AA15="",AB15=""),0,IFERROR(IF(AND(INDEX(Arten,MATCH(AA15,Codes,0))="Arbeit",INDEX(Arten,MATCH(AB15,Codes,0))="Arbeit"),IF(ROUND((1+INDEX(Beginne,MATCH(AB15,Codes,0))-INDEX(EndeRel,MATCH(AA15,Codes,0)))*1440,0)&lt;660,1,0),0),0))</f>
      </c>
      <c r="AC64" s="1">
        <f>IF(OR(AC$52=0,AB15="",AC15=""),0,IFERROR(IF(AND(INDEX(Arten,MATCH(AB15,Codes,0))="Arbeit",INDEX(Arten,MATCH(AC15,Codes,0))="Arbeit"),IF(ROUND((1+INDEX(Beginne,MATCH(AC15,Codes,0))-INDEX(EndeRel,MATCH(AB15,Codes,0)))*1440,0)&lt;660,1,0),0),0))</f>
      </c>
      <c r="AD64" s="1">
        <f>IF(OR(AD$52=0,AC15="",AD15=""),0,IFERROR(IF(AND(INDEX(Arten,MATCH(AC15,Codes,0))="Arbeit",INDEX(Arten,MATCH(AD15,Codes,0))="Arbeit"),IF(ROUND((1+INDEX(Beginne,MATCH(AD15,Codes,0))-INDEX(EndeRel,MATCH(AC15,Codes,0)))*1440,0)&lt;660,1,0),0),0))</f>
      </c>
      <c r="AE64" s="1">
        <f>IF(OR(AE$52=0,AD15="",AE15=""),0,IFERROR(IF(AND(INDEX(Arten,MATCH(AD15,Codes,0))="Arbeit",INDEX(Arten,MATCH(AE15,Codes,0))="Arbeit"),IF(ROUND((1+INDEX(Beginne,MATCH(AE15,Codes,0))-INDEX(EndeRel,MATCH(AD15,Codes,0)))*1440,0)&lt;660,1,0),0),0))</f>
      </c>
      <c r="AF64" s="1">
        <f>IF(OR(AF$52=0,AE15="",AF15=""),0,IFERROR(IF(AND(INDEX(Arten,MATCH(AE15,Codes,0))="Arbeit",INDEX(Arten,MATCH(AF15,Codes,0))="Arbeit"),IF(ROUND((1+INDEX(Beginne,MATCH(AF15,Codes,0))-INDEX(EndeRel,MATCH(AE15,Codes,0)))*1440,0)&lt;660,1,0),0),0))</f>
      </c>
    </row>
    <row r="65" hidden="1" spans="1:32" x14ac:dyDescent="0.25">
      <c r="A65" s="1"/>
      <c r="B65" s="1">
        <f>IF(OR(B$52=0,INDEX('Januar'!$B$16:$AF$16,DAY(DATE(Jahr,2,0)))="",B16=""),0,IFERROR(IF(AND(INDEX(Arten,MATCH(INDEX('Januar'!$B$16:$AF$16,DAY(DATE(Jahr,2,0))),Codes,0))="Arbeit",INDEX(Arten,MATCH(B16,Codes,0))="Arbeit"),IF(ROUND((1+INDEX(Beginne,MATCH(B16,Codes,0))-INDEX(EndeRel,MATCH(INDEX('Januar'!$B$16:$AF$16,DAY(DATE(Jahr,2,0))),Codes,0)))*1440,0)&lt;660,1,0),0),0))</f>
      </c>
      <c r="C65" s="1">
        <f>IF(OR(C$52=0,B16="",C16=""),0,IFERROR(IF(AND(INDEX(Arten,MATCH(B16,Codes,0))="Arbeit",INDEX(Arten,MATCH(C16,Codes,0))="Arbeit"),IF(ROUND((1+INDEX(Beginne,MATCH(C16,Codes,0))-INDEX(EndeRel,MATCH(B16,Codes,0)))*1440,0)&lt;660,1,0),0),0))</f>
      </c>
      <c r="D65" s="1">
        <f>IF(OR(D$52=0,C16="",D16=""),0,IFERROR(IF(AND(INDEX(Arten,MATCH(C16,Codes,0))="Arbeit",INDEX(Arten,MATCH(D16,Codes,0))="Arbeit"),IF(ROUND((1+INDEX(Beginne,MATCH(D16,Codes,0))-INDEX(EndeRel,MATCH(C16,Codes,0)))*1440,0)&lt;660,1,0),0),0))</f>
      </c>
      <c r="E65" s="1">
        <f>IF(OR(E$52=0,D16="",E16=""),0,IFERROR(IF(AND(INDEX(Arten,MATCH(D16,Codes,0))="Arbeit",INDEX(Arten,MATCH(E16,Codes,0))="Arbeit"),IF(ROUND((1+INDEX(Beginne,MATCH(E16,Codes,0))-INDEX(EndeRel,MATCH(D16,Codes,0)))*1440,0)&lt;660,1,0),0),0))</f>
      </c>
      <c r="F65" s="1">
        <f>IF(OR(F$52=0,E16="",F16=""),0,IFERROR(IF(AND(INDEX(Arten,MATCH(E16,Codes,0))="Arbeit",INDEX(Arten,MATCH(F16,Codes,0))="Arbeit"),IF(ROUND((1+INDEX(Beginne,MATCH(F16,Codes,0))-INDEX(EndeRel,MATCH(E16,Codes,0)))*1440,0)&lt;660,1,0),0),0))</f>
      </c>
      <c r="G65" s="1">
        <f>IF(OR(G$52=0,F16="",G16=""),0,IFERROR(IF(AND(INDEX(Arten,MATCH(F16,Codes,0))="Arbeit",INDEX(Arten,MATCH(G16,Codes,0))="Arbeit"),IF(ROUND((1+INDEX(Beginne,MATCH(G16,Codes,0))-INDEX(EndeRel,MATCH(F16,Codes,0)))*1440,0)&lt;660,1,0),0),0))</f>
      </c>
      <c r="H65" s="1">
        <f>IF(OR(H$52=0,G16="",H16=""),0,IFERROR(IF(AND(INDEX(Arten,MATCH(G16,Codes,0))="Arbeit",INDEX(Arten,MATCH(H16,Codes,0))="Arbeit"),IF(ROUND((1+INDEX(Beginne,MATCH(H16,Codes,0))-INDEX(EndeRel,MATCH(G16,Codes,0)))*1440,0)&lt;660,1,0),0),0))</f>
      </c>
      <c r="I65" s="1">
        <f>IF(OR(I$52=0,H16="",I16=""),0,IFERROR(IF(AND(INDEX(Arten,MATCH(H16,Codes,0))="Arbeit",INDEX(Arten,MATCH(I16,Codes,0))="Arbeit"),IF(ROUND((1+INDEX(Beginne,MATCH(I16,Codes,0))-INDEX(EndeRel,MATCH(H16,Codes,0)))*1440,0)&lt;660,1,0),0),0))</f>
      </c>
      <c r="J65" s="1">
        <f>IF(OR(J$52=0,I16="",J16=""),0,IFERROR(IF(AND(INDEX(Arten,MATCH(I16,Codes,0))="Arbeit",INDEX(Arten,MATCH(J16,Codes,0))="Arbeit"),IF(ROUND((1+INDEX(Beginne,MATCH(J16,Codes,0))-INDEX(EndeRel,MATCH(I16,Codes,0)))*1440,0)&lt;660,1,0),0),0))</f>
      </c>
      <c r="K65" s="1">
        <f>IF(OR(K$52=0,J16="",K16=""),0,IFERROR(IF(AND(INDEX(Arten,MATCH(J16,Codes,0))="Arbeit",INDEX(Arten,MATCH(K16,Codes,0))="Arbeit"),IF(ROUND((1+INDEX(Beginne,MATCH(K16,Codes,0))-INDEX(EndeRel,MATCH(J16,Codes,0)))*1440,0)&lt;660,1,0),0),0))</f>
      </c>
      <c r="L65" s="1">
        <f>IF(OR(L$52=0,K16="",L16=""),0,IFERROR(IF(AND(INDEX(Arten,MATCH(K16,Codes,0))="Arbeit",INDEX(Arten,MATCH(L16,Codes,0))="Arbeit"),IF(ROUND((1+INDEX(Beginne,MATCH(L16,Codes,0))-INDEX(EndeRel,MATCH(K16,Codes,0)))*1440,0)&lt;660,1,0),0),0))</f>
      </c>
      <c r="M65" s="1">
        <f>IF(OR(M$52=0,L16="",M16=""),0,IFERROR(IF(AND(INDEX(Arten,MATCH(L16,Codes,0))="Arbeit",INDEX(Arten,MATCH(M16,Codes,0))="Arbeit"),IF(ROUND((1+INDEX(Beginne,MATCH(M16,Codes,0))-INDEX(EndeRel,MATCH(L16,Codes,0)))*1440,0)&lt;660,1,0),0),0))</f>
      </c>
      <c r="N65" s="1">
        <f>IF(OR(N$52=0,M16="",N16=""),0,IFERROR(IF(AND(INDEX(Arten,MATCH(M16,Codes,0))="Arbeit",INDEX(Arten,MATCH(N16,Codes,0))="Arbeit"),IF(ROUND((1+INDEX(Beginne,MATCH(N16,Codes,0))-INDEX(EndeRel,MATCH(M16,Codes,0)))*1440,0)&lt;660,1,0),0),0))</f>
      </c>
      <c r="O65" s="1">
        <f>IF(OR(O$52=0,N16="",O16=""),0,IFERROR(IF(AND(INDEX(Arten,MATCH(N16,Codes,0))="Arbeit",INDEX(Arten,MATCH(O16,Codes,0))="Arbeit"),IF(ROUND((1+INDEX(Beginne,MATCH(O16,Codes,0))-INDEX(EndeRel,MATCH(N16,Codes,0)))*1440,0)&lt;660,1,0),0),0))</f>
      </c>
      <c r="P65" s="1">
        <f>IF(OR(P$52=0,O16="",P16=""),0,IFERROR(IF(AND(INDEX(Arten,MATCH(O16,Codes,0))="Arbeit",INDEX(Arten,MATCH(P16,Codes,0))="Arbeit"),IF(ROUND((1+INDEX(Beginne,MATCH(P16,Codes,0))-INDEX(EndeRel,MATCH(O16,Codes,0)))*1440,0)&lt;660,1,0),0),0))</f>
      </c>
      <c r="Q65" s="1">
        <f>IF(OR(Q$52=0,P16="",Q16=""),0,IFERROR(IF(AND(INDEX(Arten,MATCH(P16,Codes,0))="Arbeit",INDEX(Arten,MATCH(Q16,Codes,0))="Arbeit"),IF(ROUND((1+INDEX(Beginne,MATCH(Q16,Codes,0))-INDEX(EndeRel,MATCH(P16,Codes,0)))*1440,0)&lt;660,1,0),0),0))</f>
      </c>
      <c r="R65" s="1">
        <f>IF(OR(R$52=0,Q16="",R16=""),0,IFERROR(IF(AND(INDEX(Arten,MATCH(Q16,Codes,0))="Arbeit",INDEX(Arten,MATCH(R16,Codes,0))="Arbeit"),IF(ROUND((1+INDEX(Beginne,MATCH(R16,Codes,0))-INDEX(EndeRel,MATCH(Q16,Codes,0)))*1440,0)&lt;660,1,0),0),0))</f>
      </c>
      <c r="S65" s="1">
        <f>IF(OR(S$52=0,R16="",S16=""),0,IFERROR(IF(AND(INDEX(Arten,MATCH(R16,Codes,0))="Arbeit",INDEX(Arten,MATCH(S16,Codes,0))="Arbeit"),IF(ROUND((1+INDEX(Beginne,MATCH(S16,Codes,0))-INDEX(EndeRel,MATCH(R16,Codes,0)))*1440,0)&lt;660,1,0),0),0))</f>
      </c>
      <c r="T65" s="1">
        <f>IF(OR(T$52=0,S16="",T16=""),0,IFERROR(IF(AND(INDEX(Arten,MATCH(S16,Codes,0))="Arbeit",INDEX(Arten,MATCH(T16,Codes,0))="Arbeit"),IF(ROUND((1+INDEX(Beginne,MATCH(T16,Codes,0))-INDEX(EndeRel,MATCH(S16,Codes,0)))*1440,0)&lt;660,1,0),0),0))</f>
      </c>
      <c r="U65" s="1">
        <f>IF(OR(U$52=0,T16="",U16=""),0,IFERROR(IF(AND(INDEX(Arten,MATCH(T16,Codes,0))="Arbeit",INDEX(Arten,MATCH(U16,Codes,0))="Arbeit"),IF(ROUND((1+INDEX(Beginne,MATCH(U16,Codes,0))-INDEX(EndeRel,MATCH(T16,Codes,0)))*1440,0)&lt;660,1,0),0),0))</f>
      </c>
      <c r="V65" s="1">
        <f>IF(OR(V$52=0,U16="",V16=""),0,IFERROR(IF(AND(INDEX(Arten,MATCH(U16,Codes,0))="Arbeit",INDEX(Arten,MATCH(V16,Codes,0))="Arbeit"),IF(ROUND((1+INDEX(Beginne,MATCH(V16,Codes,0))-INDEX(EndeRel,MATCH(U16,Codes,0)))*1440,0)&lt;660,1,0),0),0))</f>
      </c>
      <c r="W65" s="1">
        <f>IF(OR(W$52=0,V16="",W16=""),0,IFERROR(IF(AND(INDEX(Arten,MATCH(V16,Codes,0))="Arbeit",INDEX(Arten,MATCH(W16,Codes,0))="Arbeit"),IF(ROUND((1+INDEX(Beginne,MATCH(W16,Codes,0))-INDEX(EndeRel,MATCH(V16,Codes,0)))*1440,0)&lt;660,1,0),0),0))</f>
      </c>
      <c r="X65" s="1">
        <f>IF(OR(X$52=0,W16="",X16=""),0,IFERROR(IF(AND(INDEX(Arten,MATCH(W16,Codes,0))="Arbeit",INDEX(Arten,MATCH(X16,Codes,0))="Arbeit"),IF(ROUND((1+INDEX(Beginne,MATCH(X16,Codes,0))-INDEX(EndeRel,MATCH(W16,Codes,0)))*1440,0)&lt;660,1,0),0),0))</f>
      </c>
      <c r="Y65" s="1">
        <f>IF(OR(Y$52=0,X16="",Y16=""),0,IFERROR(IF(AND(INDEX(Arten,MATCH(X16,Codes,0))="Arbeit",INDEX(Arten,MATCH(Y16,Codes,0))="Arbeit"),IF(ROUND((1+INDEX(Beginne,MATCH(Y16,Codes,0))-INDEX(EndeRel,MATCH(X16,Codes,0)))*1440,0)&lt;660,1,0),0),0))</f>
      </c>
      <c r="Z65" s="1">
        <f>IF(OR(Z$52=0,Y16="",Z16=""),0,IFERROR(IF(AND(INDEX(Arten,MATCH(Y16,Codes,0))="Arbeit",INDEX(Arten,MATCH(Z16,Codes,0))="Arbeit"),IF(ROUND((1+INDEX(Beginne,MATCH(Z16,Codes,0))-INDEX(EndeRel,MATCH(Y16,Codes,0)))*1440,0)&lt;660,1,0),0),0))</f>
      </c>
      <c r="AA65" s="1">
        <f>IF(OR(AA$52=0,Z16="",AA16=""),0,IFERROR(IF(AND(INDEX(Arten,MATCH(Z16,Codes,0))="Arbeit",INDEX(Arten,MATCH(AA16,Codes,0))="Arbeit"),IF(ROUND((1+INDEX(Beginne,MATCH(AA16,Codes,0))-INDEX(EndeRel,MATCH(Z16,Codes,0)))*1440,0)&lt;660,1,0),0),0))</f>
      </c>
      <c r="AB65" s="1">
        <f>IF(OR(AB$52=0,AA16="",AB16=""),0,IFERROR(IF(AND(INDEX(Arten,MATCH(AA16,Codes,0))="Arbeit",INDEX(Arten,MATCH(AB16,Codes,0))="Arbeit"),IF(ROUND((1+INDEX(Beginne,MATCH(AB16,Codes,0))-INDEX(EndeRel,MATCH(AA16,Codes,0)))*1440,0)&lt;660,1,0),0),0))</f>
      </c>
      <c r="AC65" s="1">
        <f>IF(OR(AC$52=0,AB16="",AC16=""),0,IFERROR(IF(AND(INDEX(Arten,MATCH(AB16,Codes,0))="Arbeit",INDEX(Arten,MATCH(AC16,Codes,0))="Arbeit"),IF(ROUND((1+INDEX(Beginne,MATCH(AC16,Codes,0))-INDEX(EndeRel,MATCH(AB16,Codes,0)))*1440,0)&lt;660,1,0),0),0))</f>
      </c>
      <c r="AD65" s="1">
        <f>IF(OR(AD$52=0,AC16="",AD16=""),0,IFERROR(IF(AND(INDEX(Arten,MATCH(AC16,Codes,0))="Arbeit",INDEX(Arten,MATCH(AD16,Codes,0))="Arbeit"),IF(ROUND((1+INDEX(Beginne,MATCH(AD16,Codes,0))-INDEX(EndeRel,MATCH(AC16,Codes,0)))*1440,0)&lt;660,1,0),0),0))</f>
      </c>
      <c r="AE65" s="1">
        <f>IF(OR(AE$52=0,AD16="",AE16=""),0,IFERROR(IF(AND(INDEX(Arten,MATCH(AD16,Codes,0))="Arbeit",INDEX(Arten,MATCH(AE16,Codes,0))="Arbeit"),IF(ROUND((1+INDEX(Beginne,MATCH(AE16,Codes,0))-INDEX(EndeRel,MATCH(AD16,Codes,0)))*1440,0)&lt;660,1,0),0),0))</f>
      </c>
      <c r="AF65" s="1">
        <f>IF(OR(AF$52=0,AE16="",AF16=""),0,IFERROR(IF(AND(INDEX(Arten,MATCH(AE16,Codes,0))="Arbeit",INDEX(Arten,MATCH(AF16,Codes,0))="Arbeit"),IF(ROUND((1+INDEX(Beginne,MATCH(AF16,Codes,0))-INDEX(EndeRel,MATCH(AE16,Codes,0)))*1440,0)&lt;660,1,0),0),0))</f>
      </c>
    </row>
    <row r="66" hidden="1" spans="1:32" x14ac:dyDescent="0.25">
      <c r="A66" s="1"/>
      <c r="B66" s="1">
        <f>IF(OR(B$52=0,INDEX('Januar'!$B$17:$AF$17,DAY(DATE(Jahr,2,0)))="",B17=""),0,IFERROR(IF(AND(INDEX(Arten,MATCH(INDEX('Januar'!$B$17:$AF$17,DAY(DATE(Jahr,2,0))),Codes,0))="Arbeit",INDEX(Arten,MATCH(B17,Codes,0))="Arbeit"),IF(ROUND((1+INDEX(Beginne,MATCH(B17,Codes,0))-INDEX(EndeRel,MATCH(INDEX('Januar'!$B$17:$AF$17,DAY(DATE(Jahr,2,0))),Codes,0)))*1440,0)&lt;660,1,0),0),0))</f>
      </c>
      <c r="C66" s="1">
        <f>IF(OR(C$52=0,B17="",C17=""),0,IFERROR(IF(AND(INDEX(Arten,MATCH(B17,Codes,0))="Arbeit",INDEX(Arten,MATCH(C17,Codes,0))="Arbeit"),IF(ROUND((1+INDEX(Beginne,MATCH(C17,Codes,0))-INDEX(EndeRel,MATCH(B17,Codes,0)))*1440,0)&lt;660,1,0),0),0))</f>
      </c>
      <c r="D66" s="1">
        <f>IF(OR(D$52=0,C17="",D17=""),0,IFERROR(IF(AND(INDEX(Arten,MATCH(C17,Codes,0))="Arbeit",INDEX(Arten,MATCH(D17,Codes,0))="Arbeit"),IF(ROUND((1+INDEX(Beginne,MATCH(D17,Codes,0))-INDEX(EndeRel,MATCH(C17,Codes,0)))*1440,0)&lt;660,1,0),0),0))</f>
      </c>
      <c r="E66" s="1">
        <f>IF(OR(E$52=0,D17="",E17=""),0,IFERROR(IF(AND(INDEX(Arten,MATCH(D17,Codes,0))="Arbeit",INDEX(Arten,MATCH(E17,Codes,0))="Arbeit"),IF(ROUND((1+INDEX(Beginne,MATCH(E17,Codes,0))-INDEX(EndeRel,MATCH(D17,Codes,0)))*1440,0)&lt;660,1,0),0),0))</f>
      </c>
      <c r="F66" s="1">
        <f>IF(OR(F$52=0,E17="",F17=""),0,IFERROR(IF(AND(INDEX(Arten,MATCH(E17,Codes,0))="Arbeit",INDEX(Arten,MATCH(F17,Codes,0))="Arbeit"),IF(ROUND((1+INDEX(Beginne,MATCH(F17,Codes,0))-INDEX(EndeRel,MATCH(E17,Codes,0)))*1440,0)&lt;660,1,0),0),0))</f>
      </c>
      <c r="G66" s="1">
        <f>IF(OR(G$52=0,F17="",G17=""),0,IFERROR(IF(AND(INDEX(Arten,MATCH(F17,Codes,0))="Arbeit",INDEX(Arten,MATCH(G17,Codes,0))="Arbeit"),IF(ROUND((1+INDEX(Beginne,MATCH(G17,Codes,0))-INDEX(EndeRel,MATCH(F17,Codes,0)))*1440,0)&lt;660,1,0),0),0))</f>
      </c>
      <c r="H66" s="1">
        <f>IF(OR(H$52=0,G17="",H17=""),0,IFERROR(IF(AND(INDEX(Arten,MATCH(G17,Codes,0))="Arbeit",INDEX(Arten,MATCH(H17,Codes,0))="Arbeit"),IF(ROUND((1+INDEX(Beginne,MATCH(H17,Codes,0))-INDEX(EndeRel,MATCH(G17,Codes,0)))*1440,0)&lt;660,1,0),0),0))</f>
      </c>
      <c r="I66" s="1">
        <f>IF(OR(I$52=0,H17="",I17=""),0,IFERROR(IF(AND(INDEX(Arten,MATCH(H17,Codes,0))="Arbeit",INDEX(Arten,MATCH(I17,Codes,0))="Arbeit"),IF(ROUND((1+INDEX(Beginne,MATCH(I17,Codes,0))-INDEX(EndeRel,MATCH(H17,Codes,0)))*1440,0)&lt;660,1,0),0),0))</f>
      </c>
      <c r="J66" s="1">
        <f>IF(OR(J$52=0,I17="",J17=""),0,IFERROR(IF(AND(INDEX(Arten,MATCH(I17,Codes,0))="Arbeit",INDEX(Arten,MATCH(J17,Codes,0))="Arbeit"),IF(ROUND((1+INDEX(Beginne,MATCH(J17,Codes,0))-INDEX(EndeRel,MATCH(I17,Codes,0)))*1440,0)&lt;660,1,0),0),0))</f>
      </c>
      <c r="K66" s="1">
        <f>IF(OR(K$52=0,J17="",K17=""),0,IFERROR(IF(AND(INDEX(Arten,MATCH(J17,Codes,0))="Arbeit",INDEX(Arten,MATCH(K17,Codes,0))="Arbeit"),IF(ROUND((1+INDEX(Beginne,MATCH(K17,Codes,0))-INDEX(EndeRel,MATCH(J17,Codes,0)))*1440,0)&lt;660,1,0),0),0))</f>
      </c>
      <c r="L66" s="1">
        <f>IF(OR(L$52=0,K17="",L17=""),0,IFERROR(IF(AND(INDEX(Arten,MATCH(K17,Codes,0))="Arbeit",INDEX(Arten,MATCH(L17,Codes,0))="Arbeit"),IF(ROUND((1+INDEX(Beginne,MATCH(L17,Codes,0))-INDEX(EndeRel,MATCH(K17,Codes,0)))*1440,0)&lt;660,1,0),0),0))</f>
      </c>
      <c r="M66" s="1">
        <f>IF(OR(M$52=0,L17="",M17=""),0,IFERROR(IF(AND(INDEX(Arten,MATCH(L17,Codes,0))="Arbeit",INDEX(Arten,MATCH(M17,Codes,0))="Arbeit"),IF(ROUND((1+INDEX(Beginne,MATCH(M17,Codes,0))-INDEX(EndeRel,MATCH(L17,Codes,0)))*1440,0)&lt;660,1,0),0),0))</f>
      </c>
      <c r="N66" s="1">
        <f>IF(OR(N$52=0,M17="",N17=""),0,IFERROR(IF(AND(INDEX(Arten,MATCH(M17,Codes,0))="Arbeit",INDEX(Arten,MATCH(N17,Codes,0))="Arbeit"),IF(ROUND((1+INDEX(Beginne,MATCH(N17,Codes,0))-INDEX(EndeRel,MATCH(M17,Codes,0)))*1440,0)&lt;660,1,0),0),0))</f>
      </c>
      <c r="O66" s="1">
        <f>IF(OR(O$52=0,N17="",O17=""),0,IFERROR(IF(AND(INDEX(Arten,MATCH(N17,Codes,0))="Arbeit",INDEX(Arten,MATCH(O17,Codes,0))="Arbeit"),IF(ROUND((1+INDEX(Beginne,MATCH(O17,Codes,0))-INDEX(EndeRel,MATCH(N17,Codes,0)))*1440,0)&lt;660,1,0),0),0))</f>
      </c>
      <c r="P66" s="1">
        <f>IF(OR(P$52=0,O17="",P17=""),0,IFERROR(IF(AND(INDEX(Arten,MATCH(O17,Codes,0))="Arbeit",INDEX(Arten,MATCH(P17,Codes,0))="Arbeit"),IF(ROUND((1+INDEX(Beginne,MATCH(P17,Codes,0))-INDEX(EndeRel,MATCH(O17,Codes,0)))*1440,0)&lt;660,1,0),0),0))</f>
      </c>
      <c r="Q66" s="1">
        <f>IF(OR(Q$52=0,P17="",Q17=""),0,IFERROR(IF(AND(INDEX(Arten,MATCH(P17,Codes,0))="Arbeit",INDEX(Arten,MATCH(Q17,Codes,0))="Arbeit"),IF(ROUND((1+INDEX(Beginne,MATCH(Q17,Codes,0))-INDEX(EndeRel,MATCH(P17,Codes,0)))*1440,0)&lt;660,1,0),0),0))</f>
      </c>
      <c r="R66" s="1">
        <f>IF(OR(R$52=0,Q17="",R17=""),0,IFERROR(IF(AND(INDEX(Arten,MATCH(Q17,Codes,0))="Arbeit",INDEX(Arten,MATCH(R17,Codes,0))="Arbeit"),IF(ROUND((1+INDEX(Beginne,MATCH(R17,Codes,0))-INDEX(EndeRel,MATCH(Q17,Codes,0)))*1440,0)&lt;660,1,0),0),0))</f>
      </c>
      <c r="S66" s="1">
        <f>IF(OR(S$52=0,R17="",S17=""),0,IFERROR(IF(AND(INDEX(Arten,MATCH(R17,Codes,0))="Arbeit",INDEX(Arten,MATCH(S17,Codes,0))="Arbeit"),IF(ROUND((1+INDEX(Beginne,MATCH(S17,Codes,0))-INDEX(EndeRel,MATCH(R17,Codes,0)))*1440,0)&lt;660,1,0),0),0))</f>
      </c>
      <c r="T66" s="1">
        <f>IF(OR(T$52=0,S17="",T17=""),0,IFERROR(IF(AND(INDEX(Arten,MATCH(S17,Codes,0))="Arbeit",INDEX(Arten,MATCH(T17,Codes,0))="Arbeit"),IF(ROUND((1+INDEX(Beginne,MATCH(T17,Codes,0))-INDEX(EndeRel,MATCH(S17,Codes,0)))*1440,0)&lt;660,1,0),0),0))</f>
      </c>
      <c r="U66" s="1">
        <f>IF(OR(U$52=0,T17="",U17=""),0,IFERROR(IF(AND(INDEX(Arten,MATCH(T17,Codes,0))="Arbeit",INDEX(Arten,MATCH(U17,Codes,0))="Arbeit"),IF(ROUND((1+INDEX(Beginne,MATCH(U17,Codes,0))-INDEX(EndeRel,MATCH(T17,Codes,0)))*1440,0)&lt;660,1,0),0),0))</f>
      </c>
      <c r="V66" s="1">
        <f>IF(OR(V$52=0,U17="",V17=""),0,IFERROR(IF(AND(INDEX(Arten,MATCH(U17,Codes,0))="Arbeit",INDEX(Arten,MATCH(V17,Codes,0))="Arbeit"),IF(ROUND((1+INDEX(Beginne,MATCH(V17,Codes,0))-INDEX(EndeRel,MATCH(U17,Codes,0)))*1440,0)&lt;660,1,0),0),0))</f>
      </c>
      <c r="W66" s="1">
        <f>IF(OR(W$52=0,V17="",W17=""),0,IFERROR(IF(AND(INDEX(Arten,MATCH(V17,Codes,0))="Arbeit",INDEX(Arten,MATCH(W17,Codes,0))="Arbeit"),IF(ROUND((1+INDEX(Beginne,MATCH(W17,Codes,0))-INDEX(EndeRel,MATCH(V17,Codes,0)))*1440,0)&lt;660,1,0),0),0))</f>
      </c>
      <c r="X66" s="1">
        <f>IF(OR(X$52=0,W17="",X17=""),0,IFERROR(IF(AND(INDEX(Arten,MATCH(W17,Codes,0))="Arbeit",INDEX(Arten,MATCH(X17,Codes,0))="Arbeit"),IF(ROUND((1+INDEX(Beginne,MATCH(X17,Codes,0))-INDEX(EndeRel,MATCH(W17,Codes,0)))*1440,0)&lt;660,1,0),0),0))</f>
      </c>
      <c r="Y66" s="1">
        <f>IF(OR(Y$52=0,X17="",Y17=""),0,IFERROR(IF(AND(INDEX(Arten,MATCH(X17,Codes,0))="Arbeit",INDEX(Arten,MATCH(Y17,Codes,0))="Arbeit"),IF(ROUND((1+INDEX(Beginne,MATCH(Y17,Codes,0))-INDEX(EndeRel,MATCH(X17,Codes,0)))*1440,0)&lt;660,1,0),0),0))</f>
      </c>
      <c r="Z66" s="1">
        <f>IF(OR(Z$52=0,Y17="",Z17=""),0,IFERROR(IF(AND(INDEX(Arten,MATCH(Y17,Codes,0))="Arbeit",INDEX(Arten,MATCH(Z17,Codes,0))="Arbeit"),IF(ROUND((1+INDEX(Beginne,MATCH(Z17,Codes,0))-INDEX(EndeRel,MATCH(Y17,Codes,0)))*1440,0)&lt;660,1,0),0),0))</f>
      </c>
      <c r="AA66" s="1">
        <f>IF(OR(AA$52=0,Z17="",AA17=""),0,IFERROR(IF(AND(INDEX(Arten,MATCH(Z17,Codes,0))="Arbeit",INDEX(Arten,MATCH(AA17,Codes,0))="Arbeit"),IF(ROUND((1+INDEX(Beginne,MATCH(AA17,Codes,0))-INDEX(EndeRel,MATCH(Z17,Codes,0)))*1440,0)&lt;660,1,0),0),0))</f>
      </c>
      <c r="AB66" s="1">
        <f>IF(OR(AB$52=0,AA17="",AB17=""),0,IFERROR(IF(AND(INDEX(Arten,MATCH(AA17,Codes,0))="Arbeit",INDEX(Arten,MATCH(AB17,Codes,0))="Arbeit"),IF(ROUND((1+INDEX(Beginne,MATCH(AB17,Codes,0))-INDEX(EndeRel,MATCH(AA17,Codes,0)))*1440,0)&lt;660,1,0),0),0))</f>
      </c>
      <c r="AC66" s="1">
        <f>IF(OR(AC$52=0,AB17="",AC17=""),0,IFERROR(IF(AND(INDEX(Arten,MATCH(AB17,Codes,0))="Arbeit",INDEX(Arten,MATCH(AC17,Codes,0))="Arbeit"),IF(ROUND((1+INDEX(Beginne,MATCH(AC17,Codes,0))-INDEX(EndeRel,MATCH(AB17,Codes,0)))*1440,0)&lt;660,1,0),0),0))</f>
      </c>
      <c r="AD66" s="1">
        <f>IF(OR(AD$52=0,AC17="",AD17=""),0,IFERROR(IF(AND(INDEX(Arten,MATCH(AC17,Codes,0))="Arbeit",INDEX(Arten,MATCH(AD17,Codes,0))="Arbeit"),IF(ROUND((1+INDEX(Beginne,MATCH(AD17,Codes,0))-INDEX(EndeRel,MATCH(AC17,Codes,0)))*1440,0)&lt;660,1,0),0),0))</f>
      </c>
      <c r="AE66" s="1">
        <f>IF(OR(AE$52=0,AD17="",AE17=""),0,IFERROR(IF(AND(INDEX(Arten,MATCH(AD17,Codes,0))="Arbeit",INDEX(Arten,MATCH(AE17,Codes,0))="Arbeit"),IF(ROUND((1+INDEX(Beginne,MATCH(AE17,Codes,0))-INDEX(EndeRel,MATCH(AD17,Codes,0)))*1440,0)&lt;660,1,0),0),0))</f>
      </c>
      <c r="AF66" s="1">
        <f>IF(OR(AF$52=0,AE17="",AF17=""),0,IFERROR(IF(AND(INDEX(Arten,MATCH(AE17,Codes,0))="Arbeit",INDEX(Arten,MATCH(AF17,Codes,0))="Arbeit"),IF(ROUND((1+INDEX(Beginne,MATCH(AF17,Codes,0))-INDEX(EndeRel,MATCH(AE17,Codes,0)))*1440,0)&lt;660,1,0),0),0))</f>
      </c>
    </row>
    <row r="67" hidden="1" spans="1:32" x14ac:dyDescent="0.25">
      <c r="A67" s="1"/>
      <c r="B67" s="1">
        <f>IF(OR(B$52=0,INDEX('Januar'!$B$18:$AF$18,DAY(DATE(Jahr,2,0)))="",B18=""),0,IFERROR(IF(AND(INDEX(Arten,MATCH(INDEX('Januar'!$B$18:$AF$18,DAY(DATE(Jahr,2,0))),Codes,0))="Arbeit",INDEX(Arten,MATCH(B18,Codes,0))="Arbeit"),IF(ROUND((1+INDEX(Beginne,MATCH(B18,Codes,0))-INDEX(EndeRel,MATCH(INDEX('Januar'!$B$18:$AF$18,DAY(DATE(Jahr,2,0))),Codes,0)))*1440,0)&lt;660,1,0),0),0))</f>
      </c>
      <c r="C67" s="1">
        <f>IF(OR(C$52=0,B18="",C18=""),0,IFERROR(IF(AND(INDEX(Arten,MATCH(B18,Codes,0))="Arbeit",INDEX(Arten,MATCH(C18,Codes,0))="Arbeit"),IF(ROUND((1+INDEX(Beginne,MATCH(C18,Codes,0))-INDEX(EndeRel,MATCH(B18,Codes,0)))*1440,0)&lt;660,1,0),0),0))</f>
      </c>
      <c r="D67" s="1">
        <f>IF(OR(D$52=0,C18="",D18=""),0,IFERROR(IF(AND(INDEX(Arten,MATCH(C18,Codes,0))="Arbeit",INDEX(Arten,MATCH(D18,Codes,0))="Arbeit"),IF(ROUND((1+INDEX(Beginne,MATCH(D18,Codes,0))-INDEX(EndeRel,MATCH(C18,Codes,0)))*1440,0)&lt;660,1,0),0),0))</f>
      </c>
      <c r="E67" s="1">
        <f>IF(OR(E$52=0,D18="",E18=""),0,IFERROR(IF(AND(INDEX(Arten,MATCH(D18,Codes,0))="Arbeit",INDEX(Arten,MATCH(E18,Codes,0))="Arbeit"),IF(ROUND((1+INDEX(Beginne,MATCH(E18,Codes,0))-INDEX(EndeRel,MATCH(D18,Codes,0)))*1440,0)&lt;660,1,0),0),0))</f>
      </c>
      <c r="F67" s="1">
        <f>IF(OR(F$52=0,E18="",F18=""),0,IFERROR(IF(AND(INDEX(Arten,MATCH(E18,Codes,0))="Arbeit",INDEX(Arten,MATCH(F18,Codes,0))="Arbeit"),IF(ROUND((1+INDEX(Beginne,MATCH(F18,Codes,0))-INDEX(EndeRel,MATCH(E18,Codes,0)))*1440,0)&lt;660,1,0),0),0))</f>
      </c>
      <c r="G67" s="1">
        <f>IF(OR(G$52=0,F18="",G18=""),0,IFERROR(IF(AND(INDEX(Arten,MATCH(F18,Codes,0))="Arbeit",INDEX(Arten,MATCH(G18,Codes,0))="Arbeit"),IF(ROUND((1+INDEX(Beginne,MATCH(G18,Codes,0))-INDEX(EndeRel,MATCH(F18,Codes,0)))*1440,0)&lt;660,1,0),0),0))</f>
      </c>
      <c r="H67" s="1">
        <f>IF(OR(H$52=0,G18="",H18=""),0,IFERROR(IF(AND(INDEX(Arten,MATCH(G18,Codes,0))="Arbeit",INDEX(Arten,MATCH(H18,Codes,0))="Arbeit"),IF(ROUND((1+INDEX(Beginne,MATCH(H18,Codes,0))-INDEX(EndeRel,MATCH(G18,Codes,0)))*1440,0)&lt;660,1,0),0),0))</f>
      </c>
      <c r="I67" s="1">
        <f>IF(OR(I$52=0,H18="",I18=""),0,IFERROR(IF(AND(INDEX(Arten,MATCH(H18,Codes,0))="Arbeit",INDEX(Arten,MATCH(I18,Codes,0))="Arbeit"),IF(ROUND((1+INDEX(Beginne,MATCH(I18,Codes,0))-INDEX(EndeRel,MATCH(H18,Codes,0)))*1440,0)&lt;660,1,0),0),0))</f>
      </c>
      <c r="J67" s="1">
        <f>IF(OR(J$52=0,I18="",J18=""),0,IFERROR(IF(AND(INDEX(Arten,MATCH(I18,Codes,0))="Arbeit",INDEX(Arten,MATCH(J18,Codes,0))="Arbeit"),IF(ROUND((1+INDEX(Beginne,MATCH(J18,Codes,0))-INDEX(EndeRel,MATCH(I18,Codes,0)))*1440,0)&lt;660,1,0),0),0))</f>
      </c>
      <c r="K67" s="1">
        <f>IF(OR(K$52=0,J18="",K18=""),0,IFERROR(IF(AND(INDEX(Arten,MATCH(J18,Codes,0))="Arbeit",INDEX(Arten,MATCH(K18,Codes,0))="Arbeit"),IF(ROUND((1+INDEX(Beginne,MATCH(K18,Codes,0))-INDEX(EndeRel,MATCH(J18,Codes,0)))*1440,0)&lt;660,1,0),0),0))</f>
      </c>
      <c r="L67" s="1">
        <f>IF(OR(L$52=0,K18="",L18=""),0,IFERROR(IF(AND(INDEX(Arten,MATCH(K18,Codes,0))="Arbeit",INDEX(Arten,MATCH(L18,Codes,0))="Arbeit"),IF(ROUND((1+INDEX(Beginne,MATCH(L18,Codes,0))-INDEX(EndeRel,MATCH(K18,Codes,0)))*1440,0)&lt;660,1,0),0),0))</f>
      </c>
      <c r="M67" s="1">
        <f>IF(OR(M$52=0,L18="",M18=""),0,IFERROR(IF(AND(INDEX(Arten,MATCH(L18,Codes,0))="Arbeit",INDEX(Arten,MATCH(M18,Codes,0))="Arbeit"),IF(ROUND((1+INDEX(Beginne,MATCH(M18,Codes,0))-INDEX(EndeRel,MATCH(L18,Codes,0)))*1440,0)&lt;660,1,0),0),0))</f>
      </c>
      <c r="N67" s="1">
        <f>IF(OR(N$52=0,M18="",N18=""),0,IFERROR(IF(AND(INDEX(Arten,MATCH(M18,Codes,0))="Arbeit",INDEX(Arten,MATCH(N18,Codes,0))="Arbeit"),IF(ROUND((1+INDEX(Beginne,MATCH(N18,Codes,0))-INDEX(EndeRel,MATCH(M18,Codes,0)))*1440,0)&lt;660,1,0),0),0))</f>
      </c>
      <c r="O67" s="1">
        <f>IF(OR(O$52=0,N18="",O18=""),0,IFERROR(IF(AND(INDEX(Arten,MATCH(N18,Codes,0))="Arbeit",INDEX(Arten,MATCH(O18,Codes,0))="Arbeit"),IF(ROUND((1+INDEX(Beginne,MATCH(O18,Codes,0))-INDEX(EndeRel,MATCH(N18,Codes,0)))*1440,0)&lt;660,1,0),0),0))</f>
      </c>
      <c r="P67" s="1">
        <f>IF(OR(P$52=0,O18="",P18=""),0,IFERROR(IF(AND(INDEX(Arten,MATCH(O18,Codes,0))="Arbeit",INDEX(Arten,MATCH(P18,Codes,0))="Arbeit"),IF(ROUND((1+INDEX(Beginne,MATCH(P18,Codes,0))-INDEX(EndeRel,MATCH(O18,Codes,0)))*1440,0)&lt;660,1,0),0),0))</f>
      </c>
      <c r="Q67" s="1">
        <f>IF(OR(Q$52=0,P18="",Q18=""),0,IFERROR(IF(AND(INDEX(Arten,MATCH(P18,Codes,0))="Arbeit",INDEX(Arten,MATCH(Q18,Codes,0))="Arbeit"),IF(ROUND((1+INDEX(Beginne,MATCH(Q18,Codes,0))-INDEX(EndeRel,MATCH(P18,Codes,0)))*1440,0)&lt;660,1,0),0),0))</f>
      </c>
      <c r="R67" s="1">
        <f>IF(OR(R$52=0,Q18="",R18=""),0,IFERROR(IF(AND(INDEX(Arten,MATCH(Q18,Codes,0))="Arbeit",INDEX(Arten,MATCH(R18,Codes,0))="Arbeit"),IF(ROUND((1+INDEX(Beginne,MATCH(R18,Codes,0))-INDEX(EndeRel,MATCH(Q18,Codes,0)))*1440,0)&lt;660,1,0),0),0))</f>
      </c>
      <c r="S67" s="1">
        <f>IF(OR(S$52=0,R18="",S18=""),0,IFERROR(IF(AND(INDEX(Arten,MATCH(R18,Codes,0))="Arbeit",INDEX(Arten,MATCH(S18,Codes,0))="Arbeit"),IF(ROUND((1+INDEX(Beginne,MATCH(S18,Codes,0))-INDEX(EndeRel,MATCH(R18,Codes,0)))*1440,0)&lt;660,1,0),0),0))</f>
      </c>
      <c r="T67" s="1">
        <f>IF(OR(T$52=0,S18="",T18=""),0,IFERROR(IF(AND(INDEX(Arten,MATCH(S18,Codes,0))="Arbeit",INDEX(Arten,MATCH(T18,Codes,0))="Arbeit"),IF(ROUND((1+INDEX(Beginne,MATCH(T18,Codes,0))-INDEX(EndeRel,MATCH(S18,Codes,0)))*1440,0)&lt;660,1,0),0),0))</f>
      </c>
      <c r="U67" s="1">
        <f>IF(OR(U$52=0,T18="",U18=""),0,IFERROR(IF(AND(INDEX(Arten,MATCH(T18,Codes,0))="Arbeit",INDEX(Arten,MATCH(U18,Codes,0))="Arbeit"),IF(ROUND((1+INDEX(Beginne,MATCH(U18,Codes,0))-INDEX(EndeRel,MATCH(T18,Codes,0)))*1440,0)&lt;660,1,0),0),0))</f>
      </c>
      <c r="V67" s="1">
        <f>IF(OR(V$52=0,U18="",V18=""),0,IFERROR(IF(AND(INDEX(Arten,MATCH(U18,Codes,0))="Arbeit",INDEX(Arten,MATCH(V18,Codes,0))="Arbeit"),IF(ROUND((1+INDEX(Beginne,MATCH(V18,Codes,0))-INDEX(EndeRel,MATCH(U18,Codes,0)))*1440,0)&lt;660,1,0),0),0))</f>
      </c>
      <c r="W67" s="1">
        <f>IF(OR(W$52=0,V18="",W18=""),0,IFERROR(IF(AND(INDEX(Arten,MATCH(V18,Codes,0))="Arbeit",INDEX(Arten,MATCH(W18,Codes,0))="Arbeit"),IF(ROUND((1+INDEX(Beginne,MATCH(W18,Codes,0))-INDEX(EndeRel,MATCH(V18,Codes,0)))*1440,0)&lt;660,1,0),0),0))</f>
      </c>
      <c r="X67" s="1">
        <f>IF(OR(X$52=0,W18="",X18=""),0,IFERROR(IF(AND(INDEX(Arten,MATCH(W18,Codes,0))="Arbeit",INDEX(Arten,MATCH(X18,Codes,0))="Arbeit"),IF(ROUND((1+INDEX(Beginne,MATCH(X18,Codes,0))-INDEX(EndeRel,MATCH(W18,Codes,0)))*1440,0)&lt;660,1,0),0),0))</f>
      </c>
      <c r="Y67" s="1">
        <f>IF(OR(Y$52=0,X18="",Y18=""),0,IFERROR(IF(AND(INDEX(Arten,MATCH(X18,Codes,0))="Arbeit",INDEX(Arten,MATCH(Y18,Codes,0))="Arbeit"),IF(ROUND((1+INDEX(Beginne,MATCH(Y18,Codes,0))-INDEX(EndeRel,MATCH(X18,Codes,0)))*1440,0)&lt;660,1,0),0),0))</f>
      </c>
      <c r="Z67" s="1">
        <f>IF(OR(Z$52=0,Y18="",Z18=""),0,IFERROR(IF(AND(INDEX(Arten,MATCH(Y18,Codes,0))="Arbeit",INDEX(Arten,MATCH(Z18,Codes,0))="Arbeit"),IF(ROUND((1+INDEX(Beginne,MATCH(Z18,Codes,0))-INDEX(EndeRel,MATCH(Y18,Codes,0)))*1440,0)&lt;660,1,0),0),0))</f>
      </c>
      <c r="AA67" s="1">
        <f>IF(OR(AA$52=0,Z18="",AA18=""),0,IFERROR(IF(AND(INDEX(Arten,MATCH(Z18,Codes,0))="Arbeit",INDEX(Arten,MATCH(AA18,Codes,0))="Arbeit"),IF(ROUND((1+INDEX(Beginne,MATCH(AA18,Codes,0))-INDEX(EndeRel,MATCH(Z18,Codes,0)))*1440,0)&lt;660,1,0),0),0))</f>
      </c>
      <c r="AB67" s="1">
        <f>IF(OR(AB$52=0,AA18="",AB18=""),0,IFERROR(IF(AND(INDEX(Arten,MATCH(AA18,Codes,0))="Arbeit",INDEX(Arten,MATCH(AB18,Codes,0))="Arbeit"),IF(ROUND((1+INDEX(Beginne,MATCH(AB18,Codes,0))-INDEX(EndeRel,MATCH(AA18,Codes,0)))*1440,0)&lt;660,1,0),0),0))</f>
      </c>
      <c r="AC67" s="1">
        <f>IF(OR(AC$52=0,AB18="",AC18=""),0,IFERROR(IF(AND(INDEX(Arten,MATCH(AB18,Codes,0))="Arbeit",INDEX(Arten,MATCH(AC18,Codes,0))="Arbeit"),IF(ROUND((1+INDEX(Beginne,MATCH(AC18,Codes,0))-INDEX(EndeRel,MATCH(AB18,Codes,0)))*1440,0)&lt;660,1,0),0),0))</f>
      </c>
      <c r="AD67" s="1">
        <f>IF(OR(AD$52=0,AC18="",AD18=""),0,IFERROR(IF(AND(INDEX(Arten,MATCH(AC18,Codes,0))="Arbeit",INDEX(Arten,MATCH(AD18,Codes,0))="Arbeit"),IF(ROUND((1+INDEX(Beginne,MATCH(AD18,Codes,0))-INDEX(EndeRel,MATCH(AC18,Codes,0)))*1440,0)&lt;660,1,0),0),0))</f>
      </c>
      <c r="AE67" s="1">
        <f>IF(OR(AE$52=0,AD18="",AE18=""),0,IFERROR(IF(AND(INDEX(Arten,MATCH(AD18,Codes,0))="Arbeit",INDEX(Arten,MATCH(AE18,Codes,0))="Arbeit"),IF(ROUND((1+INDEX(Beginne,MATCH(AE18,Codes,0))-INDEX(EndeRel,MATCH(AD18,Codes,0)))*1440,0)&lt;660,1,0),0),0))</f>
      </c>
      <c r="AF67" s="1">
        <f>IF(OR(AF$52=0,AE18="",AF18=""),0,IFERROR(IF(AND(INDEX(Arten,MATCH(AE18,Codes,0))="Arbeit",INDEX(Arten,MATCH(AF18,Codes,0))="Arbeit"),IF(ROUND((1+INDEX(Beginne,MATCH(AF18,Codes,0))-INDEX(EndeRel,MATCH(AE18,Codes,0)))*1440,0)&lt;660,1,0),0),0))</f>
      </c>
    </row>
    <row r="68" hidden="1" spans="1:32" x14ac:dyDescent="0.25">
      <c r="A68" s="1"/>
      <c r="B68" s="1">
        <f>IF(OR(B$52=0,INDEX('Januar'!$B$19:$AF$19,DAY(DATE(Jahr,2,0)))="",B19=""),0,IFERROR(IF(AND(INDEX(Arten,MATCH(INDEX('Januar'!$B$19:$AF$19,DAY(DATE(Jahr,2,0))),Codes,0))="Arbeit",INDEX(Arten,MATCH(B19,Codes,0))="Arbeit"),IF(ROUND((1+INDEX(Beginne,MATCH(B19,Codes,0))-INDEX(EndeRel,MATCH(INDEX('Januar'!$B$19:$AF$19,DAY(DATE(Jahr,2,0))),Codes,0)))*1440,0)&lt;660,1,0),0),0))</f>
      </c>
      <c r="C68" s="1">
        <f>IF(OR(C$52=0,B19="",C19=""),0,IFERROR(IF(AND(INDEX(Arten,MATCH(B19,Codes,0))="Arbeit",INDEX(Arten,MATCH(C19,Codes,0))="Arbeit"),IF(ROUND((1+INDEX(Beginne,MATCH(C19,Codes,0))-INDEX(EndeRel,MATCH(B19,Codes,0)))*1440,0)&lt;660,1,0),0),0))</f>
      </c>
      <c r="D68" s="1">
        <f>IF(OR(D$52=0,C19="",D19=""),0,IFERROR(IF(AND(INDEX(Arten,MATCH(C19,Codes,0))="Arbeit",INDEX(Arten,MATCH(D19,Codes,0))="Arbeit"),IF(ROUND((1+INDEX(Beginne,MATCH(D19,Codes,0))-INDEX(EndeRel,MATCH(C19,Codes,0)))*1440,0)&lt;660,1,0),0),0))</f>
      </c>
      <c r="E68" s="1">
        <f>IF(OR(E$52=0,D19="",E19=""),0,IFERROR(IF(AND(INDEX(Arten,MATCH(D19,Codes,0))="Arbeit",INDEX(Arten,MATCH(E19,Codes,0))="Arbeit"),IF(ROUND((1+INDEX(Beginne,MATCH(E19,Codes,0))-INDEX(EndeRel,MATCH(D19,Codes,0)))*1440,0)&lt;660,1,0),0),0))</f>
      </c>
      <c r="F68" s="1">
        <f>IF(OR(F$52=0,E19="",F19=""),0,IFERROR(IF(AND(INDEX(Arten,MATCH(E19,Codes,0))="Arbeit",INDEX(Arten,MATCH(F19,Codes,0))="Arbeit"),IF(ROUND((1+INDEX(Beginne,MATCH(F19,Codes,0))-INDEX(EndeRel,MATCH(E19,Codes,0)))*1440,0)&lt;660,1,0),0),0))</f>
      </c>
      <c r="G68" s="1">
        <f>IF(OR(G$52=0,F19="",G19=""),0,IFERROR(IF(AND(INDEX(Arten,MATCH(F19,Codes,0))="Arbeit",INDEX(Arten,MATCH(G19,Codes,0))="Arbeit"),IF(ROUND((1+INDEX(Beginne,MATCH(G19,Codes,0))-INDEX(EndeRel,MATCH(F19,Codes,0)))*1440,0)&lt;660,1,0),0),0))</f>
      </c>
      <c r="H68" s="1">
        <f>IF(OR(H$52=0,G19="",H19=""),0,IFERROR(IF(AND(INDEX(Arten,MATCH(G19,Codes,0))="Arbeit",INDEX(Arten,MATCH(H19,Codes,0))="Arbeit"),IF(ROUND((1+INDEX(Beginne,MATCH(H19,Codes,0))-INDEX(EndeRel,MATCH(G19,Codes,0)))*1440,0)&lt;660,1,0),0),0))</f>
      </c>
      <c r="I68" s="1">
        <f>IF(OR(I$52=0,H19="",I19=""),0,IFERROR(IF(AND(INDEX(Arten,MATCH(H19,Codes,0))="Arbeit",INDEX(Arten,MATCH(I19,Codes,0))="Arbeit"),IF(ROUND((1+INDEX(Beginne,MATCH(I19,Codes,0))-INDEX(EndeRel,MATCH(H19,Codes,0)))*1440,0)&lt;660,1,0),0),0))</f>
      </c>
      <c r="J68" s="1">
        <f>IF(OR(J$52=0,I19="",J19=""),0,IFERROR(IF(AND(INDEX(Arten,MATCH(I19,Codes,0))="Arbeit",INDEX(Arten,MATCH(J19,Codes,0))="Arbeit"),IF(ROUND((1+INDEX(Beginne,MATCH(J19,Codes,0))-INDEX(EndeRel,MATCH(I19,Codes,0)))*1440,0)&lt;660,1,0),0),0))</f>
      </c>
      <c r="K68" s="1">
        <f>IF(OR(K$52=0,J19="",K19=""),0,IFERROR(IF(AND(INDEX(Arten,MATCH(J19,Codes,0))="Arbeit",INDEX(Arten,MATCH(K19,Codes,0))="Arbeit"),IF(ROUND((1+INDEX(Beginne,MATCH(K19,Codes,0))-INDEX(EndeRel,MATCH(J19,Codes,0)))*1440,0)&lt;660,1,0),0),0))</f>
      </c>
      <c r="L68" s="1">
        <f>IF(OR(L$52=0,K19="",L19=""),0,IFERROR(IF(AND(INDEX(Arten,MATCH(K19,Codes,0))="Arbeit",INDEX(Arten,MATCH(L19,Codes,0))="Arbeit"),IF(ROUND((1+INDEX(Beginne,MATCH(L19,Codes,0))-INDEX(EndeRel,MATCH(K19,Codes,0)))*1440,0)&lt;660,1,0),0),0))</f>
      </c>
      <c r="M68" s="1">
        <f>IF(OR(M$52=0,L19="",M19=""),0,IFERROR(IF(AND(INDEX(Arten,MATCH(L19,Codes,0))="Arbeit",INDEX(Arten,MATCH(M19,Codes,0))="Arbeit"),IF(ROUND((1+INDEX(Beginne,MATCH(M19,Codes,0))-INDEX(EndeRel,MATCH(L19,Codes,0)))*1440,0)&lt;660,1,0),0),0))</f>
      </c>
      <c r="N68" s="1">
        <f>IF(OR(N$52=0,M19="",N19=""),0,IFERROR(IF(AND(INDEX(Arten,MATCH(M19,Codes,0))="Arbeit",INDEX(Arten,MATCH(N19,Codes,0))="Arbeit"),IF(ROUND((1+INDEX(Beginne,MATCH(N19,Codes,0))-INDEX(EndeRel,MATCH(M19,Codes,0)))*1440,0)&lt;660,1,0),0),0))</f>
      </c>
      <c r="O68" s="1">
        <f>IF(OR(O$52=0,N19="",O19=""),0,IFERROR(IF(AND(INDEX(Arten,MATCH(N19,Codes,0))="Arbeit",INDEX(Arten,MATCH(O19,Codes,0))="Arbeit"),IF(ROUND((1+INDEX(Beginne,MATCH(O19,Codes,0))-INDEX(EndeRel,MATCH(N19,Codes,0)))*1440,0)&lt;660,1,0),0),0))</f>
      </c>
      <c r="P68" s="1">
        <f>IF(OR(P$52=0,O19="",P19=""),0,IFERROR(IF(AND(INDEX(Arten,MATCH(O19,Codes,0))="Arbeit",INDEX(Arten,MATCH(P19,Codes,0))="Arbeit"),IF(ROUND((1+INDEX(Beginne,MATCH(P19,Codes,0))-INDEX(EndeRel,MATCH(O19,Codes,0)))*1440,0)&lt;660,1,0),0),0))</f>
      </c>
      <c r="Q68" s="1">
        <f>IF(OR(Q$52=0,P19="",Q19=""),0,IFERROR(IF(AND(INDEX(Arten,MATCH(P19,Codes,0))="Arbeit",INDEX(Arten,MATCH(Q19,Codes,0))="Arbeit"),IF(ROUND((1+INDEX(Beginne,MATCH(Q19,Codes,0))-INDEX(EndeRel,MATCH(P19,Codes,0)))*1440,0)&lt;660,1,0),0),0))</f>
      </c>
      <c r="R68" s="1">
        <f>IF(OR(R$52=0,Q19="",R19=""),0,IFERROR(IF(AND(INDEX(Arten,MATCH(Q19,Codes,0))="Arbeit",INDEX(Arten,MATCH(R19,Codes,0))="Arbeit"),IF(ROUND((1+INDEX(Beginne,MATCH(R19,Codes,0))-INDEX(EndeRel,MATCH(Q19,Codes,0)))*1440,0)&lt;660,1,0),0),0))</f>
      </c>
      <c r="S68" s="1">
        <f>IF(OR(S$52=0,R19="",S19=""),0,IFERROR(IF(AND(INDEX(Arten,MATCH(R19,Codes,0))="Arbeit",INDEX(Arten,MATCH(S19,Codes,0))="Arbeit"),IF(ROUND((1+INDEX(Beginne,MATCH(S19,Codes,0))-INDEX(EndeRel,MATCH(R19,Codes,0)))*1440,0)&lt;660,1,0),0),0))</f>
      </c>
      <c r="T68" s="1">
        <f>IF(OR(T$52=0,S19="",T19=""),0,IFERROR(IF(AND(INDEX(Arten,MATCH(S19,Codes,0))="Arbeit",INDEX(Arten,MATCH(T19,Codes,0))="Arbeit"),IF(ROUND((1+INDEX(Beginne,MATCH(T19,Codes,0))-INDEX(EndeRel,MATCH(S19,Codes,0)))*1440,0)&lt;660,1,0),0),0))</f>
      </c>
      <c r="U68" s="1">
        <f>IF(OR(U$52=0,T19="",U19=""),0,IFERROR(IF(AND(INDEX(Arten,MATCH(T19,Codes,0))="Arbeit",INDEX(Arten,MATCH(U19,Codes,0))="Arbeit"),IF(ROUND((1+INDEX(Beginne,MATCH(U19,Codes,0))-INDEX(EndeRel,MATCH(T19,Codes,0)))*1440,0)&lt;660,1,0),0),0))</f>
      </c>
      <c r="V68" s="1">
        <f>IF(OR(V$52=0,U19="",V19=""),0,IFERROR(IF(AND(INDEX(Arten,MATCH(U19,Codes,0))="Arbeit",INDEX(Arten,MATCH(V19,Codes,0))="Arbeit"),IF(ROUND((1+INDEX(Beginne,MATCH(V19,Codes,0))-INDEX(EndeRel,MATCH(U19,Codes,0)))*1440,0)&lt;660,1,0),0),0))</f>
      </c>
      <c r="W68" s="1">
        <f>IF(OR(W$52=0,V19="",W19=""),0,IFERROR(IF(AND(INDEX(Arten,MATCH(V19,Codes,0))="Arbeit",INDEX(Arten,MATCH(W19,Codes,0))="Arbeit"),IF(ROUND((1+INDEX(Beginne,MATCH(W19,Codes,0))-INDEX(EndeRel,MATCH(V19,Codes,0)))*1440,0)&lt;660,1,0),0),0))</f>
      </c>
      <c r="X68" s="1">
        <f>IF(OR(X$52=0,W19="",X19=""),0,IFERROR(IF(AND(INDEX(Arten,MATCH(W19,Codes,0))="Arbeit",INDEX(Arten,MATCH(X19,Codes,0))="Arbeit"),IF(ROUND((1+INDEX(Beginne,MATCH(X19,Codes,0))-INDEX(EndeRel,MATCH(W19,Codes,0)))*1440,0)&lt;660,1,0),0),0))</f>
      </c>
      <c r="Y68" s="1">
        <f>IF(OR(Y$52=0,X19="",Y19=""),0,IFERROR(IF(AND(INDEX(Arten,MATCH(X19,Codes,0))="Arbeit",INDEX(Arten,MATCH(Y19,Codes,0))="Arbeit"),IF(ROUND((1+INDEX(Beginne,MATCH(Y19,Codes,0))-INDEX(EndeRel,MATCH(X19,Codes,0)))*1440,0)&lt;660,1,0),0),0))</f>
      </c>
      <c r="Z68" s="1">
        <f>IF(OR(Z$52=0,Y19="",Z19=""),0,IFERROR(IF(AND(INDEX(Arten,MATCH(Y19,Codes,0))="Arbeit",INDEX(Arten,MATCH(Z19,Codes,0))="Arbeit"),IF(ROUND((1+INDEX(Beginne,MATCH(Z19,Codes,0))-INDEX(EndeRel,MATCH(Y19,Codes,0)))*1440,0)&lt;660,1,0),0),0))</f>
      </c>
      <c r="AA68" s="1">
        <f>IF(OR(AA$52=0,Z19="",AA19=""),0,IFERROR(IF(AND(INDEX(Arten,MATCH(Z19,Codes,0))="Arbeit",INDEX(Arten,MATCH(AA19,Codes,0))="Arbeit"),IF(ROUND((1+INDEX(Beginne,MATCH(AA19,Codes,0))-INDEX(EndeRel,MATCH(Z19,Codes,0)))*1440,0)&lt;660,1,0),0),0))</f>
      </c>
      <c r="AB68" s="1">
        <f>IF(OR(AB$52=0,AA19="",AB19=""),0,IFERROR(IF(AND(INDEX(Arten,MATCH(AA19,Codes,0))="Arbeit",INDEX(Arten,MATCH(AB19,Codes,0))="Arbeit"),IF(ROUND((1+INDEX(Beginne,MATCH(AB19,Codes,0))-INDEX(EndeRel,MATCH(AA19,Codes,0)))*1440,0)&lt;660,1,0),0),0))</f>
      </c>
      <c r="AC68" s="1">
        <f>IF(OR(AC$52=0,AB19="",AC19=""),0,IFERROR(IF(AND(INDEX(Arten,MATCH(AB19,Codes,0))="Arbeit",INDEX(Arten,MATCH(AC19,Codes,0))="Arbeit"),IF(ROUND((1+INDEX(Beginne,MATCH(AC19,Codes,0))-INDEX(EndeRel,MATCH(AB19,Codes,0)))*1440,0)&lt;660,1,0),0),0))</f>
      </c>
      <c r="AD68" s="1">
        <f>IF(OR(AD$52=0,AC19="",AD19=""),0,IFERROR(IF(AND(INDEX(Arten,MATCH(AC19,Codes,0))="Arbeit",INDEX(Arten,MATCH(AD19,Codes,0))="Arbeit"),IF(ROUND((1+INDEX(Beginne,MATCH(AD19,Codes,0))-INDEX(EndeRel,MATCH(AC19,Codes,0)))*1440,0)&lt;660,1,0),0),0))</f>
      </c>
      <c r="AE68" s="1">
        <f>IF(OR(AE$52=0,AD19="",AE19=""),0,IFERROR(IF(AND(INDEX(Arten,MATCH(AD19,Codes,0))="Arbeit",INDEX(Arten,MATCH(AE19,Codes,0))="Arbeit"),IF(ROUND((1+INDEX(Beginne,MATCH(AE19,Codes,0))-INDEX(EndeRel,MATCH(AD19,Codes,0)))*1440,0)&lt;660,1,0),0),0))</f>
      </c>
      <c r="AF68" s="1">
        <f>IF(OR(AF$52=0,AE19="",AF19=""),0,IFERROR(IF(AND(INDEX(Arten,MATCH(AE19,Codes,0))="Arbeit",INDEX(Arten,MATCH(AF19,Codes,0))="Arbeit"),IF(ROUND((1+INDEX(Beginne,MATCH(AF19,Codes,0))-INDEX(EndeRel,MATCH(AE19,Codes,0)))*1440,0)&lt;660,1,0),0),0))</f>
      </c>
    </row>
    <row r="69" hidden="1" spans="1:32" x14ac:dyDescent="0.25">
      <c r="A69" s="1"/>
      <c r="B69" s="1">
        <f>IF(OR(B$52=0,INDEX('Januar'!$B$20:$AF$20,DAY(DATE(Jahr,2,0)))="",B20=""),0,IFERROR(IF(AND(INDEX(Arten,MATCH(INDEX('Januar'!$B$20:$AF$20,DAY(DATE(Jahr,2,0))),Codes,0))="Arbeit",INDEX(Arten,MATCH(B20,Codes,0))="Arbeit"),IF(ROUND((1+INDEX(Beginne,MATCH(B20,Codes,0))-INDEX(EndeRel,MATCH(INDEX('Januar'!$B$20:$AF$20,DAY(DATE(Jahr,2,0))),Codes,0)))*1440,0)&lt;660,1,0),0),0))</f>
      </c>
      <c r="C69" s="1">
        <f>IF(OR(C$52=0,B20="",C20=""),0,IFERROR(IF(AND(INDEX(Arten,MATCH(B20,Codes,0))="Arbeit",INDEX(Arten,MATCH(C20,Codes,0))="Arbeit"),IF(ROUND((1+INDEX(Beginne,MATCH(C20,Codes,0))-INDEX(EndeRel,MATCH(B20,Codes,0)))*1440,0)&lt;660,1,0),0),0))</f>
      </c>
      <c r="D69" s="1">
        <f>IF(OR(D$52=0,C20="",D20=""),0,IFERROR(IF(AND(INDEX(Arten,MATCH(C20,Codes,0))="Arbeit",INDEX(Arten,MATCH(D20,Codes,0))="Arbeit"),IF(ROUND((1+INDEX(Beginne,MATCH(D20,Codes,0))-INDEX(EndeRel,MATCH(C20,Codes,0)))*1440,0)&lt;660,1,0),0),0))</f>
      </c>
      <c r="E69" s="1">
        <f>IF(OR(E$52=0,D20="",E20=""),0,IFERROR(IF(AND(INDEX(Arten,MATCH(D20,Codes,0))="Arbeit",INDEX(Arten,MATCH(E20,Codes,0))="Arbeit"),IF(ROUND((1+INDEX(Beginne,MATCH(E20,Codes,0))-INDEX(EndeRel,MATCH(D20,Codes,0)))*1440,0)&lt;660,1,0),0),0))</f>
      </c>
      <c r="F69" s="1">
        <f>IF(OR(F$52=0,E20="",F20=""),0,IFERROR(IF(AND(INDEX(Arten,MATCH(E20,Codes,0))="Arbeit",INDEX(Arten,MATCH(F20,Codes,0))="Arbeit"),IF(ROUND((1+INDEX(Beginne,MATCH(F20,Codes,0))-INDEX(EndeRel,MATCH(E20,Codes,0)))*1440,0)&lt;660,1,0),0),0))</f>
      </c>
      <c r="G69" s="1">
        <f>IF(OR(G$52=0,F20="",G20=""),0,IFERROR(IF(AND(INDEX(Arten,MATCH(F20,Codes,0))="Arbeit",INDEX(Arten,MATCH(G20,Codes,0))="Arbeit"),IF(ROUND((1+INDEX(Beginne,MATCH(G20,Codes,0))-INDEX(EndeRel,MATCH(F20,Codes,0)))*1440,0)&lt;660,1,0),0),0))</f>
      </c>
      <c r="H69" s="1">
        <f>IF(OR(H$52=0,G20="",H20=""),0,IFERROR(IF(AND(INDEX(Arten,MATCH(G20,Codes,0))="Arbeit",INDEX(Arten,MATCH(H20,Codes,0))="Arbeit"),IF(ROUND((1+INDEX(Beginne,MATCH(H20,Codes,0))-INDEX(EndeRel,MATCH(G20,Codes,0)))*1440,0)&lt;660,1,0),0),0))</f>
      </c>
      <c r="I69" s="1">
        <f>IF(OR(I$52=0,H20="",I20=""),0,IFERROR(IF(AND(INDEX(Arten,MATCH(H20,Codes,0))="Arbeit",INDEX(Arten,MATCH(I20,Codes,0))="Arbeit"),IF(ROUND((1+INDEX(Beginne,MATCH(I20,Codes,0))-INDEX(EndeRel,MATCH(H20,Codes,0)))*1440,0)&lt;660,1,0),0),0))</f>
      </c>
      <c r="J69" s="1">
        <f>IF(OR(J$52=0,I20="",J20=""),0,IFERROR(IF(AND(INDEX(Arten,MATCH(I20,Codes,0))="Arbeit",INDEX(Arten,MATCH(J20,Codes,0))="Arbeit"),IF(ROUND((1+INDEX(Beginne,MATCH(J20,Codes,0))-INDEX(EndeRel,MATCH(I20,Codes,0)))*1440,0)&lt;660,1,0),0),0))</f>
      </c>
      <c r="K69" s="1">
        <f>IF(OR(K$52=0,J20="",K20=""),0,IFERROR(IF(AND(INDEX(Arten,MATCH(J20,Codes,0))="Arbeit",INDEX(Arten,MATCH(K20,Codes,0))="Arbeit"),IF(ROUND((1+INDEX(Beginne,MATCH(K20,Codes,0))-INDEX(EndeRel,MATCH(J20,Codes,0)))*1440,0)&lt;660,1,0),0),0))</f>
      </c>
      <c r="L69" s="1">
        <f>IF(OR(L$52=0,K20="",L20=""),0,IFERROR(IF(AND(INDEX(Arten,MATCH(K20,Codes,0))="Arbeit",INDEX(Arten,MATCH(L20,Codes,0))="Arbeit"),IF(ROUND((1+INDEX(Beginne,MATCH(L20,Codes,0))-INDEX(EndeRel,MATCH(K20,Codes,0)))*1440,0)&lt;660,1,0),0),0))</f>
      </c>
      <c r="M69" s="1">
        <f>IF(OR(M$52=0,L20="",M20=""),0,IFERROR(IF(AND(INDEX(Arten,MATCH(L20,Codes,0))="Arbeit",INDEX(Arten,MATCH(M20,Codes,0))="Arbeit"),IF(ROUND((1+INDEX(Beginne,MATCH(M20,Codes,0))-INDEX(EndeRel,MATCH(L20,Codes,0)))*1440,0)&lt;660,1,0),0),0))</f>
      </c>
      <c r="N69" s="1">
        <f>IF(OR(N$52=0,M20="",N20=""),0,IFERROR(IF(AND(INDEX(Arten,MATCH(M20,Codes,0))="Arbeit",INDEX(Arten,MATCH(N20,Codes,0))="Arbeit"),IF(ROUND((1+INDEX(Beginne,MATCH(N20,Codes,0))-INDEX(EndeRel,MATCH(M20,Codes,0)))*1440,0)&lt;660,1,0),0),0))</f>
      </c>
      <c r="O69" s="1">
        <f>IF(OR(O$52=0,N20="",O20=""),0,IFERROR(IF(AND(INDEX(Arten,MATCH(N20,Codes,0))="Arbeit",INDEX(Arten,MATCH(O20,Codes,0))="Arbeit"),IF(ROUND((1+INDEX(Beginne,MATCH(O20,Codes,0))-INDEX(EndeRel,MATCH(N20,Codes,0)))*1440,0)&lt;660,1,0),0),0))</f>
      </c>
      <c r="P69" s="1">
        <f>IF(OR(P$52=0,O20="",P20=""),0,IFERROR(IF(AND(INDEX(Arten,MATCH(O20,Codes,0))="Arbeit",INDEX(Arten,MATCH(P20,Codes,0))="Arbeit"),IF(ROUND((1+INDEX(Beginne,MATCH(P20,Codes,0))-INDEX(EndeRel,MATCH(O20,Codes,0)))*1440,0)&lt;660,1,0),0),0))</f>
      </c>
      <c r="Q69" s="1">
        <f>IF(OR(Q$52=0,P20="",Q20=""),0,IFERROR(IF(AND(INDEX(Arten,MATCH(P20,Codes,0))="Arbeit",INDEX(Arten,MATCH(Q20,Codes,0))="Arbeit"),IF(ROUND((1+INDEX(Beginne,MATCH(Q20,Codes,0))-INDEX(EndeRel,MATCH(P20,Codes,0)))*1440,0)&lt;660,1,0),0),0))</f>
      </c>
      <c r="R69" s="1">
        <f>IF(OR(R$52=0,Q20="",R20=""),0,IFERROR(IF(AND(INDEX(Arten,MATCH(Q20,Codes,0))="Arbeit",INDEX(Arten,MATCH(R20,Codes,0))="Arbeit"),IF(ROUND((1+INDEX(Beginne,MATCH(R20,Codes,0))-INDEX(EndeRel,MATCH(Q20,Codes,0)))*1440,0)&lt;660,1,0),0),0))</f>
      </c>
      <c r="S69" s="1">
        <f>IF(OR(S$52=0,R20="",S20=""),0,IFERROR(IF(AND(INDEX(Arten,MATCH(R20,Codes,0))="Arbeit",INDEX(Arten,MATCH(S20,Codes,0))="Arbeit"),IF(ROUND((1+INDEX(Beginne,MATCH(S20,Codes,0))-INDEX(EndeRel,MATCH(R20,Codes,0)))*1440,0)&lt;660,1,0),0),0))</f>
      </c>
      <c r="T69" s="1">
        <f>IF(OR(T$52=0,S20="",T20=""),0,IFERROR(IF(AND(INDEX(Arten,MATCH(S20,Codes,0))="Arbeit",INDEX(Arten,MATCH(T20,Codes,0))="Arbeit"),IF(ROUND((1+INDEX(Beginne,MATCH(T20,Codes,0))-INDEX(EndeRel,MATCH(S20,Codes,0)))*1440,0)&lt;660,1,0),0),0))</f>
      </c>
      <c r="U69" s="1">
        <f>IF(OR(U$52=0,T20="",U20=""),0,IFERROR(IF(AND(INDEX(Arten,MATCH(T20,Codes,0))="Arbeit",INDEX(Arten,MATCH(U20,Codes,0))="Arbeit"),IF(ROUND((1+INDEX(Beginne,MATCH(U20,Codes,0))-INDEX(EndeRel,MATCH(T20,Codes,0)))*1440,0)&lt;660,1,0),0),0))</f>
      </c>
      <c r="V69" s="1">
        <f>IF(OR(V$52=0,U20="",V20=""),0,IFERROR(IF(AND(INDEX(Arten,MATCH(U20,Codes,0))="Arbeit",INDEX(Arten,MATCH(V20,Codes,0))="Arbeit"),IF(ROUND((1+INDEX(Beginne,MATCH(V20,Codes,0))-INDEX(EndeRel,MATCH(U20,Codes,0)))*1440,0)&lt;660,1,0),0),0))</f>
      </c>
      <c r="W69" s="1">
        <f>IF(OR(W$52=0,V20="",W20=""),0,IFERROR(IF(AND(INDEX(Arten,MATCH(V20,Codes,0))="Arbeit",INDEX(Arten,MATCH(W20,Codes,0))="Arbeit"),IF(ROUND((1+INDEX(Beginne,MATCH(W20,Codes,0))-INDEX(EndeRel,MATCH(V20,Codes,0)))*1440,0)&lt;660,1,0),0),0))</f>
      </c>
      <c r="X69" s="1">
        <f>IF(OR(X$52=0,W20="",X20=""),0,IFERROR(IF(AND(INDEX(Arten,MATCH(W20,Codes,0))="Arbeit",INDEX(Arten,MATCH(X20,Codes,0))="Arbeit"),IF(ROUND((1+INDEX(Beginne,MATCH(X20,Codes,0))-INDEX(EndeRel,MATCH(W20,Codes,0)))*1440,0)&lt;660,1,0),0),0))</f>
      </c>
      <c r="Y69" s="1">
        <f>IF(OR(Y$52=0,X20="",Y20=""),0,IFERROR(IF(AND(INDEX(Arten,MATCH(X20,Codes,0))="Arbeit",INDEX(Arten,MATCH(Y20,Codes,0))="Arbeit"),IF(ROUND((1+INDEX(Beginne,MATCH(Y20,Codes,0))-INDEX(EndeRel,MATCH(X20,Codes,0)))*1440,0)&lt;660,1,0),0),0))</f>
      </c>
      <c r="Z69" s="1">
        <f>IF(OR(Z$52=0,Y20="",Z20=""),0,IFERROR(IF(AND(INDEX(Arten,MATCH(Y20,Codes,0))="Arbeit",INDEX(Arten,MATCH(Z20,Codes,0))="Arbeit"),IF(ROUND((1+INDEX(Beginne,MATCH(Z20,Codes,0))-INDEX(EndeRel,MATCH(Y20,Codes,0)))*1440,0)&lt;660,1,0),0),0))</f>
      </c>
      <c r="AA69" s="1">
        <f>IF(OR(AA$52=0,Z20="",AA20=""),0,IFERROR(IF(AND(INDEX(Arten,MATCH(Z20,Codes,0))="Arbeit",INDEX(Arten,MATCH(AA20,Codes,0))="Arbeit"),IF(ROUND((1+INDEX(Beginne,MATCH(AA20,Codes,0))-INDEX(EndeRel,MATCH(Z20,Codes,0)))*1440,0)&lt;660,1,0),0),0))</f>
      </c>
      <c r="AB69" s="1">
        <f>IF(OR(AB$52=0,AA20="",AB20=""),0,IFERROR(IF(AND(INDEX(Arten,MATCH(AA20,Codes,0))="Arbeit",INDEX(Arten,MATCH(AB20,Codes,0))="Arbeit"),IF(ROUND((1+INDEX(Beginne,MATCH(AB20,Codes,0))-INDEX(EndeRel,MATCH(AA20,Codes,0)))*1440,0)&lt;660,1,0),0),0))</f>
      </c>
      <c r="AC69" s="1">
        <f>IF(OR(AC$52=0,AB20="",AC20=""),0,IFERROR(IF(AND(INDEX(Arten,MATCH(AB20,Codes,0))="Arbeit",INDEX(Arten,MATCH(AC20,Codes,0))="Arbeit"),IF(ROUND((1+INDEX(Beginne,MATCH(AC20,Codes,0))-INDEX(EndeRel,MATCH(AB20,Codes,0)))*1440,0)&lt;660,1,0),0),0))</f>
      </c>
      <c r="AD69" s="1">
        <f>IF(OR(AD$52=0,AC20="",AD20=""),0,IFERROR(IF(AND(INDEX(Arten,MATCH(AC20,Codes,0))="Arbeit",INDEX(Arten,MATCH(AD20,Codes,0))="Arbeit"),IF(ROUND((1+INDEX(Beginne,MATCH(AD20,Codes,0))-INDEX(EndeRel,MATCH(AC20,Codes,0)))*1440,0)&lt;660,1,0),0),0))</f>
      </c>
      <c r="AE69" s="1">
        <f>IF(OR(AE$52=0,AD20="",AE20=""),0,IFERROR(IF(AND(INDEX(Arten,MATCH(AD20,Codes,0))="Arbeit",INDEX(Arten,MATCH(AE20,Codes,0))="Arbeit"),IF(ROUND((1+INDEX(Beginne,MATCH(AE20,Codes,0))-INDEX(EndeRel,MATCH(AD20,Codes,0)))*1440,0)&lt;660,1,0),0),0))</f>
      </c>
      <c r="AF69" s="1">
        <f>IF(OR(AF$52=0,AE20="",AF20=""),0,IFERROR(IF(AND(INDEX(Arten,MATCH(AE20,Codes,0))="Arbeit",INDEX(Arten,MATCH(AF20,Codes,0))="Arbeit"),IF(ROUND((1+INDEX(Beginne,MATCH(AF20,Codes,0))-INDEX(EndeRel,MATCH(AE20,Codes,0)))*1440,0)&lt;660,1,0),0),0))</f>
      </c>
    </row>
    <row r="70" hidden="1" spans="1:32" x14ac:dyDescent="0.25">
      <c r="A70" s="1"/>
      <c r="B70" s="1">
        <f>IF(OR(B$52=0,INDEX('Januar'!$B$21:$AF$21,DAY(DATE(Jahr,2,0)))="",B21=""),0,IFERROR(IF(AND(INDEX(Arten,MATCH(INDEX('Januar'!$B$21:$AF$21,DAY(DATE(Jahr,2,0))),Codes,0))="Arbeit",INDEX(Arten,MATCH(B21,Codes,0))="Arbeit"),IF(ROUND((1+INDEX(Beginne,MATCH(B21,Codes,0))-INDEX(EndeRel,MATCH(INDEX('Januar'!$B$21:$AF$21,DAY(DATE(Jahr,2,0))),Codes,0)))*1440,0)&lt;660,1,0),0),0))</f>
      </c>
      <c r="C70" s="1">
        <f>IF(OR(C$52=0,B21="",C21=""),0,IFERROR(IF(AND(INDEX(Arten,MATCH(B21,Codes,0))="Arbeit",INDEX(Arten,MATCH(C21,Codes,0))="Arbeit"),IF(ROUND((1+INDEX(Beginne,MATCH(C21,Codes,0))-INDEX(EndeRel,MATCH(B21,Codes,0)))*1440,0)&lt;660,1,0),0),0))</f>
      </c>
      <c r="D70" s="1">
        <f>IF(OR(D$52=0,C21="",D21=""),0,IFERROR(IF(AND(INDEX(Arten,MATCH(C21,Codes,0))="Arbeit",INDEX(Arten,MATCH(D21,Codes,0))="Arbeit"),IF(ROUND((1+INDEX(Beginne,MATCH(D21,Codes,0))-INDEX(EndeRel,MATCH(C21,Codes,0)))*1440,0)&lt;660,1,0),0),0))</f>
      </c>
      <c r="E70" s="1">
        <f>IF(OR(E$52=0,D21="",E21=""),0,IFERROR(IF(AND(INDEX(Arten,MATCH(D21,Codes,0))="Arbeit",INDEX(Arten,MATCH(E21,Codes,0))="Arbeit"),IF(ROUND((1+INDEX(Beginne,MATCH(E21,Codes,0))-INDEX(EndeRel,MATCH(D21,Codes,0)))*1440,0)&lt;660,1,0),0),0))</f>
      </c>
      <c r="F70" s="1">
        <f>IF(OR(F$52=0,E21="",F21=""),0,IFERROR(IF(AND(INDEX(Arten,MATCH(E21,Codes,0))="Arbeit",INDEX(Arten,MATCH(F21,Codes,0))="Arbeit"),IF(ROUND((1+INDEX(Beginne,MATCH(F21,Codes,0))-INDEX(EndeRel,MATCH(E21,Codes,0)))*1440,0)&lt;660,1,0),0),0))</f>
      </c>
      <c r="G70" s="1">
        <f>IF(OR(G$52=0,F21="",G21=""),0,IFERROR(IF(AND(INDEX(Arten,MATCH(F21,Codes,0))="Arbeit",INDEX(Arten,MATCH(G21,Codes,0))="Arbeit"),IF(ROUND((1+INDEX(Beginne,MATCH(G21,Codes,0))-INDEX(EndeRel,MATCH(F21,Codes,0)))*1440,0)&lt;660,1,0),0),0))</f>
      </c>
      <c r="H70" s="1">
        <f>IF(OR(H$52=0,G21="",H21=""),0,IFERROR(IF(AND(INDEX(Arten,MATCH(G21,Codes,0))="Arbeit",INDEX(Arten,MATCH(H21,Codes,0))="Arbeit"),IF(ROUND((1+INDEX(Beginne,MATCH(H21,Codes,0))-INDEX(EndeRel,MATCH(G21,Codes,0)))*1440,0)&lt;660,1,0),0),0))</f>
      </c>
      <c r="I70" s="1">
        <f>IF(OR(I$52=0,H21="",I21=""),0,IFERROR(IF(AND(INDEX(Arten,MATCH(H21,Codes,0))="Arbeit",INDEX(Arten,MATCH(I21,Codes,0))="Arbeit"),IF(ROUND((1+INDEX(Beginne,MATCH(I21,Codes,0))-INDEX(EndeRel,MATCH(H21,Codes,0)))*1440,0)&lt;660,1,0),0),0))</f>
      </c>
      <c r="J70" s="1">
        <f>IF(OR(J$52=0,I21="",J21=""),0,IFERROR(IF(AND(INDEX(Arten,MATCH(I21,Codes,0))="Arbeit",INDEX(Arten,MATCH(J21,Codes,0))="Arbeit"),IF(ROUND((1+INDEX(Beginne,MATCH(J21,Codes,0))-INDEX(EndeRel,MATCH(I21,Codes,0)))*1440,0)&lt;660,1,0),0),0))</f>
      </c>
      <c r="K70" s="1">
        <f>IF(OR(K$52=0,J21="",K21=""),0,IFERROR(IF(AND(INDEX(Arten,MATCH(J21,Codes,0))="Arbeit",INDEX(Arten,MATCH(K21,Codes,0))="Arbeit"),IF(ROUND((1+INDEX(Beginne,MATCH(K21,Codes,0))-INDEX(EndeRel,MATCH(J21,Codes,0)))*1440,0)&lt;660,1,0),0),0))</f>
      </c>
      <c r="L70" s="1">
        <f>IF(OR(L$52=0,K21="",L21=""),0,IFERROR(IF(AND(INDEX(Arten,MATCH(K21,Codes,0))="Arbeit",INDEX(Arten,MATCH(L21,Codes,0))="Arbeit"),IF(ROUND((1+INDEX(Beginne,MATCH(L21,Codes,0))-INDEX(EndeRel,MATCH(K21,Codes,0)))*1440,0)&lt;660,1,0),0),0))</f>
      </c>
      <c r="M70" s="1">
        <f>IF(OR(M$52=0,L21="",M21=""),0,IFERROR(IF(AND(INDEX(Arten,MATCH(L21,Codes,0))="Arbeit",INDEX(Arten,MATCH(M21,Codes,0))="Arbeit"),IF(ROUND((1+INDEX(Beginne,MATCH(M21,Codes,0))-INDEX(EndeRel,MATCH(L21,Codes,0)))*1440,0)&lt;660,1,0),0),0))</f>
      </c>
      <c r="N70" s="1">
        <f>IF(OR(N$52=0,M21="",N21=""),0,IFERROR(IF(AND(INDEX(Arten,MATCH(M21,Codes,0))="Arbeit",INDEX(Arten,MATCH(N21,Codes,0))="Arbeit"),IF(ROUND((1+INDEX(Beginne,MATCH(N21,Codes,0))-INDEX(EndeRel,MATCH(M21,Codes,0)))*1440,0)&lt;660,1,0),0),0))</f>
      </c>
      <c r="O70" s="1">
        <f>IF(OR(O$52=0,N21="",O21=""),0,IFERROR(IF(AND(INDEX(Arten,MATCH(N21,Codes,0))="Arbeit",INDEX(Arten,MATCH(O21,Codes,0))="Arbeit"),IF(ROUND((1+INDEX(Beginne,MATCH(O21,Codes,0))-INDEX(EndeRel,MATCH(N21,Codes,0)))*1440,0)&lt;660,1,0),0),0))</f>
      </c>
      <c r="P70" s="1">
        <f>IF(OR(P$52=0,O21="",P21=""),0,IFERROR(IF(AND(INDEX(Arten,MATCH(O21,Codes,0))="Arbeit",INDEX(Arten,MATCH(P21,Codes,0))="Arbeit"),IF(ROUND((1+INDEX(Beginne,MATCH(P21,Codes,0))-INDEX(EndeRel,MATCH(O21,Codes,0)))*1440,0)&lt;660,1,0),0),0))</f>
      </c>
      <c r="Q70" s="1">
        <f>IF(OR(Q$52=0,P21="",Q21=""),0,IFERROR(IF(AND(INDEX(Arten,MATCH(P21,Codes,0))="Arbeit",INDEX(Arten,MATCH(Q21,Codes,0))="Arbeit"),IF(ROUND((1+INDEX(Beginne,MATCH(Q21,Codes,0))-INDEX(EndeRel,MATCH(P21,Codes,0)))*1440,0)&lt;660,1,0),0),0))</f>
      </c>
      <c r="R70" s="1">
        <f>IF(OR(R$52=0,Q21="",R21=""),0,IFERROR(IF(AND(INDEX(Arten,MATCH(Q21,Codes,0))="Arbeit",INDEX(Arten,MATCH(R21,Codes,0))="Arbeit"),IF(ROUND((1+INDEX(Beginne,MATCH(R21,Codes,0))-INDEX(EndeRel,MATCH(Q21,Codes,0)))*1440,0)&lt;660,1,0),0),0))</f>
      </c>
      <c r="S70" s="1">
        <f>IF(OR(S$52=0,R21="",S21=""),0,IFERROR(IF(AND(INDEX(Arten,MATCH(R21,Codes,0))="Arbeit",INDEX(Arten,MATCH(S21,Codes,0))="Arbeit"),IF(ROUND((1+INDEX(Beginne,MATCH(S21,Codes,0))-INDEX(EndeRel,MATCH(R21,Codes,0)))*1440,0)&lt;660,1,0),0),0))</f>
      </c>
      <c r="T70" s="1">
        <f>IF(OR(T$52=0,S21="",T21=""),0,IFERROR(IF(AND(INDEX(Arten,MATCH(S21,Codes,0))="Arbeit",INDEX(Arten,MATCH(T21,Codes,0))="Arbeit"),IF(ROUND((1+INDEX(Beginne,MATCH(T21,Codes,0))-INDEX(EndeRel,MATCH(S21,Codes,0)))*1440,0)&lt;660,1,0),0),0))</f>
      </c>
      <c r="U70" s="1">
        <f>IF(OR(U$52=0,T21="",U21=""),0,IFERROR(IF(AND(INDEX(Arten,MATCH(T21,Codes,0))="Arbeit",INDEX(Arten,MATCH(U21,Codes,0))="Arbeit"),IF(ROUND((1+INDEX(Beginne,MATCH(U21,Codes,0))-INDEX(EndeRel,MATCH(T21,Codes,0)))*1440,0)&lt;660,1,0),0),0))</f>
      </c>
      <c r="V70" s="1">
        <f>IF(OR(V$52=0,U21="",V21=""),0,IFERROR(IF(AND(INDEX(Arten,MATCH(U21,Codes,0))="Arbeit",INDEX(Arten,MATCH(V21,Codes,0))="Arbeit"),IF(ROUND((1+INDEX(Beginne,MATCH(V21,Codes,0))-INDEX(EndeRel,MATCH(U21,Codes,0)))*1440,0)&lt;660,1,0),0),0))</f>
      </c>
      <c r="W70" s="1">
        <f>IF(OR(W$52=0,V21="",W21=""),0,IFERROR(IF(AND(INDEX(Arten,MATCH(V21,Codes,0))="Arbeit",INDEX(Arten,MATCH(W21,Codes,0))="Arbeit"),IF(ROUND((1+INDEX(Beginne,MATCH(W21,Codes,0))-INDEX(EndeRel,MATCH(V21,Codes,0)))*1440,0)&lt;660,1,0),0),0))</f>
      </c>
      <c r="X70" s="1">
        <f>IF(OR(X$52=0,W21="",X21=""),0,IFERROR(IF(AND(INDEX(Arten,MATCH(W21,Codes,0))="Arbeit",INDEX(Arten,MATCH(X21,Codes,0))="Arbeit"),IF(ROUND((1+INDEX(Beginne,MATCH(X21,Codes,0))-INDEX(EndeRel,MATCH(W21,Codes,0)))*1440,0)&lt;660,1,0),0),0))</f>
      </c>
      <c r="Y70" s="1">
        <f>IF(OR(Y$52=0,X21="",Y21=""),0,IFERROR(IF(AND(INDEX(Arten,MATCH(X21,Codes,0))="Arbeit",INDEX(Arten,MATCH(Y21,Codes,0))="Arbeit"),IF(ROUND((1+INDEX(Beginne,MATCH(Y21,Codes,0))-INDEX(EndeRel,MATCH(X21,Codes,0)))*1440,0)&lt;660,1,0),0),0))</f>
      </c>
      <c r="Z70" s="1">
        <f>IF(OR(Z$52=0,Y21="",Z21=""),0,IFERROR(IF(AND(INDEX(Arten,MATCH(Y21,Codes,0))="Arbeit",INDEX(Arten,MATCH(Z21,Codes,0))="Arbeit"),IF(ROUND((1+INDEX(Beginne,MATCH(Z21,Codes,0))-INDEX(EndeRel,MATCH(Y21,Codes,0)))*1440,0)&lt;660,1,0),0),0))</f>
      </c>
      <c r="AA70" s="1">
        <f>IF(OR(AA$52=0,Z21="",AA21=""),0,IFERROR(IF(AND(INDEX(Arten,MATCH(Z21,Codes,0))="Arbeit",INDEX(Arten,MATCH(AA21,Codes,0))="Arbeit"),IF(ROUND((1+INDEX(Beginne,MATCH(AA21,Codes,0))-INDEX(EndeRel,MATCH(Z21,Codes,0)))*1440,0)&lt;660,1,0),0),0))</f>
      </c>
      <c r="AB70" s="1">
        <f>IF(OR(AB$52=0,AA21="",AB21=""),0,IFERROR(IF(AND(INDEX(Arten,MATCH(AA21,Codes,0))="Arbeit",INDEX(Arten,MATCH(AB21,Codes,0))="Arbeit"),IF(ROUND((1+INDEX(Beginne,MATCH(AB21,Codes,0))-INDEX(EndeRel,MATCH(AA21,Codes,0)))*1440,0)&lt;660,1,0),0),0))</f>
      </c>
      <c r="AC70" s="1">
        <f>IF(OR(AC$52=0,AB21="",AC21=""),0,IFERROR(IF(AND(INDEX(Arten,MATCH(AB21,Codes,0))="Arbeit",INDEX(Arten,MATCH(AC21,Codes,0))="Arbeit"),IF(ROUND((1+INDEX(Beginne,MATCH(AC21,Codes,0))-INDEX(EndeRel,MATCH(AB21,Codes,0)))*1440,0)&lt;660,1,0),0),0))</f>
      </c>
      <c r="AD70" s="1">
        <f>IF(OR(AD$52=0,AC21="",AD21=""),0,IFERROR(IF(AND(INDEX(Arten,MATCH(AC21,Codes,0))="Arbeit",INDEX(Arten,MATCH(AD21,Codes,0))="Arbeit"),IF(ROUND((1+INDEX(Beginne,MATCH(AD21,Codes,0))-INDEX(EndeRel,MATCH(AC21,Codes,0)))*1440,0)&lt;660,1,0),0),0))</f>
      </c>
      <c r="AE70" s="1">
        <f>IF(OR(AE$52=0,AD21="",AE21=""),0,IFERROR(IF(AND(INDEX(Arten,MATCH(AD21,Codes,0))="Arbeit",INDEX(Arten,MATCH(AE21,Codes,0))="Arbeit"),IF(ROUND((1+INDEX(Beginne,MATCH(AE21,Codes,0))-INDEX(EndeRel,MATCH(AD21,Codes,0)))*1440,0)&lt;660,1,0),0),0))</f>
      </c>
      <c r="AF70" s="1">
        <f>IF(OR(AF$52=0,AE21="",AF21=""),0,IFERROR(IF(AND(INDEX(Arten,MATCH(AE21,Codes,0))="Arbeit",INDEX(Arten,MATCH(AF21,Codes,0))="Arbeit"),IF(ROUND((1+INDEX(Beginne,MATCH(AF21,Codes,0))-INDEX(EndeRel,MATCH(AE21,Codes,0)))*1440,0)&lt;660,1,0),0),0))</f>
      </c>
    </row>
    <row r="71" hidden="1" spans="1:32" x14ac:dyDescent="0.25">
      <c r="A71" s="1"/>
      <c r="B71" s="1">
        <f>IF(OR(B$52=0,INDEX('Januar'!$B$22:$AF$22,DAY(DATE(Jahr,2,0)))="",B22=""),0,IFERROR(IF(AND(INDEX(Arten,MATCH(INDEX('Januar'!$B$22:$AF$22,DAY(DATE(Jahr,2,0))),Codes,0))="Arbeit",INDEX(Arten,MATCH(B22,Codes,0))="Arbeit"),IF(ROUND((1+INDEX(Beginne,MATCH(B22,Codes,0))-INDEX(EndeRel,MATCH(INDEX('Januar'!$B$22:$AF$22,DAY(DATE(Jahr,2,0))),Codes,0)))*1440,0)&lt;660,1,0),0),0))</f>
      </c>
      <c r="C71" s="1">
        <f>IF(OR(C$52=0,B22="",C22=""),0,IFERROR(IF(AND(INDEX(Arten,MATCH(B22,Codes,0))="Arbeit",INDEX(Arten,MATCH(C22,Codes,0))="Arbeit"),IF(ROUND((1+INDEX(Beginne,MATCH(C22,Codes,0))-INDEX(EndeRel,MATCH(B22,Codes,0)))*1440,0)&lt;660,1,0),0),0))</f>
      </c>
      <c r="D71" s="1">
        <f>IF(OR(D$52=0,C22="",D22=""),0,IFERROR(IF(AND(INDEX(Arten,MATCH(C22,Codes,0))="Arbeit",INDEX(Arten,MATCH(D22,Codes,0))="Arbeit"),IF(ROUND((1+INDEX(Beginne,MATCH(D22,Codes,0))-INDEX(EndeRel,MATCH(C22,Codes,0)))*1440,0)&lt;660,1,0),0),0))</f>
      </c>
      <c r="E71" s="1">
        <f>IF(OR(E$52=0,D22="",E22=""),0,IFERROR(IF(AND(INDEX(Arten,MATCH(D22,Codes,0))="Arbeit",INDEX(Arten,MATCH(E22,Codes,0))="Arbeit"),IF(ROUND((1+INDEX(Beginne,MATCH(E22,Codes,0))-INDEX(EndeRel,MATCH(D22,Codes,0)))*1440,0)&lt;660,1,0),0),0))</f>
      </c>
      <c r="F71" s="1">
        <f>IF(OR(F$52=0,E22="",F22=""),0,IFERROR(IF(AND(INDEX(Arten,MATCH(E22,Codes,0))="Arbeit",INDEX(Arten,MATCH(F22,Codes,0))="Arbeit"),IF(ROUND((1+INDEX(Beginne,MATCH(F22,Codes,0))-INDEX(EndeRel,MATCH(E22,Codes,0)))*1440,0)&lt;660,1,0),0),0))</f>
      </c>
      <c r="G71" s="1">
        <f>IF(OR(G$52=0,F22="",G22=""),0,IFERROR(IF(AND(INDEX(Arten,MATCH(F22,Codes,0))="Arbeit",INDEX(Arten,MATCH(G22,Codes,0))="Arbeit"),IF(ROUND((1+INDEX(Beginne,MATCH(G22,Codes,0))-INDEX(EndeRel,MATCH(F22,Codes,0)))*1440,0)&lt;660,1,0),0),0))</f>
      </c>
      <c r="H71" s="1">
        <f>IF(OR(H$52=0,G22="",H22=""),0,IFERROR(IF(AND(INDEX(Arten,MATCH(G22,Codes,0))="Arbeit",INDEX(Arten,MATCH(H22,Codes,0))="Arbeit"),IF(ROUND((1+INDEX(Beginne,MATCH(H22,Codes,0))-INDEX(EndeRel,MATCH(G22,Codes,0)))*1440,0)&lt;660,1,0),0),0))</f>
      </c>
      <c r="I71" s="1">
        <f>IF(OR(I$52=0,H22="",I22=""),0,IFERROR(IF(AND(INDEX(Arten,MATCH(H22,Codes,0))="Arbeit",INDEX(Arten,MATCH(I22,Codes,0))="Arbeit"),IF(ROUND((1+INDEX(Beginne,MATCH(I22,Codes,0))-INDEX(EndeRel,MATCH(H22,Codes,0)))*1440,0)&lt;660,1,0),0),0))</f>
      </c>
      <c r="J71" s="1">
        <f>IF(OR(J$52=0,I22="",J22=""),0,IFERROR(IF(AND(INDEX(Arten,MATCH(I22,Codes,0))="Arbeit",INDEX(Arten,MATCH(J22,Codes,0))="Arbeit"),IF(ROUND((1+INDEX(Beginne,MATCH(J22,Codes,0))-INDEX(EndeRel,MATCH(I22,Codes,0)))*1440,0)&lt;660,1,0),0),0))</f>
      </c>
      <c r="K71" s="1">
        <f>IF(OR(K$52=0,J22="",K22=""),0,IFERROR(IF(AND(INDEX(Arten,MATCH(J22,Codes,0))="Arbeit",INDEX(Arten,MATCH(K22,Codes,0))="Arbeit"),IF(ROUND((1+INDEX(Beginne,MATCH(K22,Codes,0))-INDEX(EndeRel,MATCH(J22,Codes,0)))*1440,0)&lt;660,1,0),0),0))</f>
      </c>
      <c r="L71" s="1">
        <f>IF(OR(L$52=0,K22="",L22=""),0,IFERROR(IF(AND(INDEX(Arten,MATCH(K22,Codes,0))="Arbeit",INDEX(Arten,MATCH(L22,Codes,0))="Arbeit"),IF(ROUND((1+INDEX(Beginne,MATCH(L22,Codes,0))-INDEX(EndeRel,MATCH(K22,Codes,0)))*1440,0)&lt;660,1,0),0),0))</f>
      </c>
      <c r="M71" s="1">
        <f>IF(OR(M$52=0,L22="",M22=""),0,IFERROR(IF(AND(INDEX(Arten,MATCH(L22,Codes,0))="Arbeit",INDEX(Arten,MATCH(M22,Codes,0))="Arbeit"),IF(ROUND((1+INDEX(Beginne,MATCH(M22,Codes,0))-INDEX(EndeRel,MATCH(L22,Codes,0)))*1440,0)&lt;660,1,0),0),0))</f>
      </c>
      <c r="N71" s="1">
        <f>IF(OR(N$52=0,M22="",N22=""),0,IFERROR(IF(AND(INDEX(Arten,MATCH(M22,Codes,0))="Arbeit",INDEX(Arten,MATCH(N22,Codes,0))="Arbeit"),IF(ROUND((1+INDEX(Beginne,MATCH(N22,Codes,0))-INDEX(EndeRel,MATCH(M22,Codes,0)))*1440,0)&lt;660,1,0),0),0))</f>
      </c>
      <c r="O71" s="1">
        <f>IF(OR(O$52=0,N22="",O22=""),0,IFERROR(IF(AND(INDEX(Arten,MATCH(N22,Codes,0))="Arbeit",INDEX(Arten,MATCH(O22,Codes,0))="Arbeit"),IF(ROUND((1+INDEX(Beginne,MATCH(O22,Codes,0))-INDEX(EndeRel,MATCH(N22,Codes,0)))*1440,0)&lt;660,1,0),0),0))</f>
      </c>
      <c r="P71" s="1">
        <f>IF(OR(P$52=0,O22="",P22=""),0,IFERROR(IF(AND(INDEX(Arten,MATCH(O22,Codes,0))="Arbeit",INDEX(Arten,MATCH(P22,Codes,0))="Arbeit"),IF(ROUND((1+INDEX(Beginne,MATCH(P22,Codes,0))-INDEX(EndeRel,MATCH(O22,Codes,0)))*1440,0)&lt;660,1,0),0),0))</f>
      </c>
      <c r="Q71" s="1">
        <f>IF(OR(Q$52=0,P22="",Q22=""),0,IFERROR(IF(AND(INDEX(Arten,MATCH(P22,Codes,0))="Arbeit",INDEX(Arten,MATCH(Q22,Codes,0))="Arbeit"),IF(ROUND((1+INDEX(Beginne,MATCH(Q22,Codes,0))-INDEX(EndeRel,MATCH(P22,Codes,0)))*1440,0)&lt;660,1,0),0),0))</f>
      </c>
      <c r="R71" s="1">
        <f>IF(OR(R$52=0,Q22="",R22=""),0,IFERROR(IF(AND(INDEX(Arten,MATCH(Q22,Codes,0))="Arbeit",INDEX(Arten,MATCH(R22,Codes,0))="Arbeit"),IF(ROUND((1+INDEX(Beginne,MATCH(R22,Codes,0))-INDEX(EndeRel,MATCH(Q22,Codes,0)))*1440,0)&lt;660,1,0),0),0))</f>
      </c>
      <c r="S71" s="1">
        <f>IF(OR(S$52=0,R22="",S22=""),0,IFERROR(IF(AND(INDEX(Arten,MATCH(R22,Codes,0))="Arbeit",INDEX(Arten,MATCH(S22,Codes,0))="Arbeit"),IF(ROUND((1+INDEX(Beginne,MATCH(S22,Codes,0))-INDEX(EndeRel,MATCH(R22,Codes,0)))*1440,0)&lt;660,1,0),0),0))</f>
      </c>
      <c r="T71" s="1">
        <f>IF(OR(T$52=0,S22="",T22=""),0,IFERROR(IF(AND(INDEX(Arten,MATCH(S22,Codes,0))="Arbeit",INDEX(Arten,MATCH(T22,Codes,0))="Arbeit"),IF(ROUND((1+INDEX(Beginne,MATCH(T22,Codes,0))-INDEX(EndeRel,MATCH(S22,Codes,0)))*1440,0)&lt;660,1,0),0),0))</f>
      </c>
      <c r="U71" s="1">
        <f>IF(OR(U$52=0,T22="",U22=""),0,IFERROR(IF(AND(INDEX(Arten,MATCH(T22,Codes,0))="Arbeit",INDEX(Arten,MATCH(U22,Codes,0))="Arbeit"),IF(ROUND((1+INDEX(Beginne,MATCH(U22,Codes,0))-INDEX(EndeRel,MATCH(T22,Codes,0)))*1440,0)&lt;660,1,0),0),0))</f>
      </c>
      <c r="V71" s="1">
        <f>IF(OR(V$52=0,U22="",V22=""),0,IFERROR(IF(AND(INDEX(Arten,MATCH(U22,Codes,0))="Arbeit",INDEX(Arten,MATCH(V22,Codes,0))="Arbeit"),IF(ROUND((1+INDEX(Beginne,MATCH(V22,Codes,0))-INDEX(EndeRel,MATCH(U22,Codes,0)))*1440,0)&lt;660,1,0),0),0))</f>
      </c>
      <c r="W71" s="1">
        <f>IF(OR(W$52=0,V22="",W22=""),0,IFERROR(IF(AND(INDEX(Arten,MATCH(V22,Codes,0))="Arbeit",INDEX(Arten,MATCH(W22,Codes,0))="Arbeit"),IF(ROUND((1+INDEX(Beginne,MATCH(W22,Codes,0))-INDEX(EndeRel,MATCH(V22,Codes,0)))*1440,0)&lt;660,1,0),0),0))</f>
      </c>
      <c r="X71" s="1">
        <f>IF(OR(X$52=0,W22="",X22=""),0,IFERROR(IF(AND(INDEX(Arten,MATCH(W22,Codes,0))="Arbeit",INDEX(Arten,MATCH(X22,Codes,0))="Arbeit"),IF(ROUND((1+INDEX(Beginne,MATCH(X22,Codes,0))-INDEX(EndeRel,MATCH(W22,Codes,0)))*1440,0)&lt;660,1,0),0),0))</f>
      </c>
      <c r="Y71" s="1">
        <f>IF(OR(Y$52=0,X22="",Y22=""),0,IFERROR(IF(AND(INDEX(Arten,MATCH(X22,Codes,0))="Arbeit",INDEX(Arten,MATCH(Y22,Codes,0))="Arbeit"),IF(ROUND((1+INDEX(Beginne,MATCH(Y22,Codes,0))-INDEX(EndeRel,MATCH(X22,Codes,0)))*1440,0)&lt;660,1,0),0),0))</f>
      </c>
      <c r="Z71" s="1">
        <f>IF(OR(Z$52=0,Y22="",Z22=""),0,IFERROR(IF(AND(INDEX(Arten,MATCH(Y22,Codes,0))="Arbeit",INDEX(Arten,MATCH(Z22,Codes,0))="Arbeit"),IF(ROUND((1+INDEX(Beginne,MATCH(Z22,Codes,0))-INDEX(EndeRel,MATCH(Y22,Codes,0)))*1440,0)&lt;660,1,0),0),0))</f>
      </c>
      <c r="AA71" s="1">
        <f>IF(OR(AA$52=0,Z22="",AA22=""),0,IFERROR(IF(AND(INDEX(Arten,MATCH(Z22,Codes,0))="Arbeit",INDEX(Arten,MATCH(AA22,Codes,0))="Arbeit"),IF(ROUND((1+INDEX(Beginne,MATCH(AA22,Codes,0))-INDEX(EndeRel,MATCH(Z22,Codes,0)))*1440,0)&lt;660,1,0),0),0))</f>
      </c>
      <c r="AB71" s="1">
        <f>IF(OR(AB$52=0,AA22="",AB22=""),0,IFERROR(IF(AND(INDEX(Arten,MATCH(AA22,Codes,0))="Arbeit",INDEX(Arten,MATCH(AB22,Codes,0))="Arbeit"),IF(ROUND((1+INDEX(Beginne,MATCH(AB22,Codes,0))-INDEX(EndeRel,MATCH(AA22,Codes,0)))*1440,0)&lt;660,1,0),0),0))</f>
      </c>
      <c r="AC71" s="1">
        <f>IF(OR(AC$52=0,AB22="",AC22=""),0,IFERROR(IF(AND(INDEX(Arten,MATCH(AB22,Codes,0))="Arbeit",INDEX(Arten,MATCH(AC22,Codes,0))="Arbeit"),IF(ROUND((1+INDEX(Beginne,MATCH(AC22,Codes,0))-INDEX(EndeRel,MATCH(AB22,Codes,0)))*1440,0)&lt;660,1,0),0),0))</f>
      </c>
      <c r="AD71" s="1">
        <f>IF(OR(AD$52=0,AC22="",AD22=""),0,IFERROR(IF(AND(INDEX(Arten,MATCH(AC22,Codes,0))="Arbeit",INDEX(Arten,MATCH(AD22,Codes,0))="Arbeit"),IF(ROUND((1+INDEX(Beginne,MATCH(AD22,Codes,0))-INDEX(EndeRel,MATCH(AC22,Codes,0)))*1440,0)&lt;660,1,0),0),0))</f>
      </c>
      <c r="AE71" s="1">
        <f>IF(OR(AE$52=0,AD22="",AE22=""),0,IFERROR(IF(AND(INDEX(Arten,MATCH(AD22,Codes,0))="Arbeit",INDEX(Arten,MATCH(AE22,Codes,0))="Arbeit"),IF(ROUND((1+INDEX(Beginne,MATCH(AE22,Codes,0))-INDEX(EndeRel,MATCH(AD22,Codes,0)))*1440,0)&lt;660,1,0),0),0))</f>
      </c>
      <c r="AF71" s="1">
        <f>IF(OR(AF$52=0,AE22="",AF22=""),0,IFERROR(IF(AND(INDEX(Arten,MATCH(AE22,Codes,0))="Arbeit",INDEX(Arten,MATCH(AF22,Codes,0))="Arbeit"),IF(ROUND((1+INDEX(Beginne,MATCH(AF22,Codes,0))-INDEX(EndeRel,MATCH(AE22,Codes,0)))*1440,0)&lt;660,1,0),0),0))</f>
      </c>
    </row>
    <row r="72" hidden="1" spans="1:32" x14ac:dyDescent="0.25">
      <c r="A72" s="1"/>
      <c r="B72" s="1">
        <f>IF(OR(B$52=0,INDEX('Januar'!$B$23:$AF$23,DAY(DATE(Jahr,2,0)))="",B23=""),0,IFERROR(IF(AND(INDEX(Arten,MATCH(INDEX('Januar'!$B$23:$AF$23,DAY(DATE(Jahr,2,0))),Codes,0))="Arbeit",INDEX(Arten,MATCH(B23,Codes,0))="Arbeit"),IF(ROUND((1+INDEX(Beginne,MATCH(B23,Codes,0))-INDEX(EndeRel,MATCH(INDEX('Januar'!$B$23:$AF$23,DAY(DATE(Jahr,2,0))),Codes,0)))*1440,0)&lt;660,1,0),0),0))</f>
      </c>
      <c r="C72" s="1">
        <f>IF(OR(C$52=0,B23="",C23=""),0,IFERROR(IF(AND(INDEX(Arten,MATCH(B23,Codes,0))="Arbeit",INDEX(Arten,MATCH(C23,Codes,0))="Arbeit"),IF(ROUND((1+INDEX(Beginne,MATCH(C23,Codes,0))-INDEX(EndeRel,MATCH(B23,Codes,0)))*1440,0)&lt;660,1,0),0),0))</f>
      </c>
      <c r="D72" s="1">
        <f>IF(OR(D$52=0,C23="",D23=""),0,IFERROR(IF(AND(INDEX(Arten,MATCH(C23,Codes,0))="Arbeit",INDEX(Arten,MATCH(D23,Codes,0))="Arbeit"),IF(ROUND((1+INDEX(Beginne,MATCH(D23,Codes,0))-INDEX(EndeRel,MATCH(C23,Codes,0)))*1440,0)&lt;660,1,0),0),0))</f>
      </c>
      <c r="E72" s="1">
        <f>IF(OR(E$52=0,D23="",E23=""),0,IFERROR(IF(AND(INDEX(Arten,MATCH(D23,Codes,0))="Arbeit",INDEX(Arten,MATCH(E23,Codes,0))="Arbeit"),IF(ROUND((1+INDEX(Beginne,MATCH(E23,Codes,0))-INDEX(EndeRel,MATCH(D23,Codes,0)))*1440,0)&lt;660,1,0),0),0))</f>
      </c>
      <c r="F72" s="1">
        <f>IF(OR(F$52=0,E23="",F23=""),0,IFERROR(IF(AND(INDEX(Arten,MATCH(E23,Codes,0))="Arbeit",INDEX(Arten,MATCH(F23,Codes,0))="Arbeit"),IF(ROUND((1+INDEX(Beginne,MATCH(F23,Codes,0))-INDEX(EndeRel,MATCH(E23,Codes,0)))*1440,0)&lt;660,1,0),0),0))</f>
      </c>
      <c r="G72" s="1">
        <f>IF(OR(G$52=0,F23="",G23=""),0,IFERROR(IF(AND(INDEX(Arten,MATCH(F23,Codes,0))="Arbeit",INDEX(Arten,MATCH(G23,Codes,0))="Arbeit"),IF(ROUND((1+INDEX(Beginne,MATCH(G23,Codes,0))-INDEX(EndeRel,MATCH(F23,Codes,0)))*1440,0)&lt;660,1,0),0),0))</f>
      </c>
      <c r="H72" s="1">
        <f>IF(OR(H$52=0,G23="",H23=""),0,IFERROR(IF(AND(INDEX(Arten,MATCH(G23,Codes,0))="Arbeit",INDEX(Arten,MATCH(H23,Codes,0))="Arbeit"),IF(ROUND((1+INDEX(Beginne,MATCH(H23,Codes,0))-INDEX(EndeRel,MATCH(G23,Codes,0)))*1440,0)&lt;660,1,0),0),0))</f>
      </c>
      <c r="I72" s="1">
        <f>IF(OR(I$52=0,H23="",I23=""),0,IFERROR(IF(AND(INDEX(Arten,MATCH(H23,Codes,0))="Arbeit",INDEX(Arten,MATCH(I23,Codes,0))="Arbeit"),IF(ROUND((1+INDEX(Beginne,MATCH(I23,Codes,0))-INDEX(EndeRel,MATCH(H23,Codes,0)))*1440,0)&lt;660,1,0),0),0))</f>
      </c>
      <c r="J72" s="1">
        <f>IF(OR(J$52=0,I23="",J23=""),0,IFERROR(IF(AND(INDEX(Arten,MATCH(I23,Codes,0))="Arbeit",INDEX(Arten,MATCH(J23,Codes,0))="Arbeit"),IF(ROUND((1+INDEX(Beginne,MATCH(J23,Codes,0))-INDEX(EndeRel,MATCH(I23,Codes,0)))*1440,0)&lt;660,1,0),0),0))</f>
      </c>
      <c r="K72" s="1">
        <f>IF(OR(K$52=0,J23="",K23=""),0,IFERROR(IF(AND(INDEX(Arten,MATCH(J23,Codes,0))="Arbeit",INDEX(Arten,MATCH(K23,Codes,0))="Arbeit"),IF(ROUND((1+INDEX(Beginne,MATCH(K23,Codes,0))-INDEX(EndeRel,MATCH(J23,Codes,0)))*1440,0)&lt;660,1,0),0),0))</f>
      </c>
      <c r="L72" s="1">
        <f>IF(OR(L$52=0,K23="",L23=""),0,IFERROR(IF(AND(INDEX(Arten,MATCH(K23,Codes,0))="Arbeit",INDEX(Arten,MATCH(L23,Codes,0))="Arbeit"),IF(ROUND((1+INDEX(Beginne,MATCH(L23,Codes,0))-INDEX(EndeRel,MATCH(K23,Codes,0)))*1440,0)&lt;660,1,0),0),0))</f>
      </c>
      <c r="M72" s="1">
        <f>IF(OR(M$52=0,L23="",M23=""),0,IFERROR(IF(AND(INDEX(Arten,MATCH(L23,Codes,0))="Arbeit",INDEX(Arten,MATCH(M23,Codes,0))="Arbeit"),IF(ROUND((1+INDEX(Beginne,MATCH(M23,Codes,0))-INDEX(EndeRel,MATCH(L23,Codes,0)))*1440,0)&lt;660,1,0),0),0))</f>
      </c>
      <c r="N72" s="1">
        <f>IF(OR(N$52=0,M23="",N23=""),0,IFERROR(IF(AND(INDEX(Arten,MATCH(M23,Codes,0))="Arbeit",INDEX(Arten,MATCH(N23,Codes,0))="Arbeit"),IF(ROUND((1+INDEX(Beginne,MATCH(N23,Codes,0))-INDEX(EndeRel,MATCH(M23,Codes,0)))*1440,0)&lt;660,1,0),0),0))</f>
      </c>
      <c r="O72" s="1">
        <f>IF(OR(O$52=0,N23="",O23=""),0,IFERROR(IF(AND(INDEX(Arten,MATCH(N23,Codes,0))="Arbeit",INDEX(Arten,MATCH(O23,Codes,0))="Arbeit"),IF(ROUND((1+INDEX(Beginne,MATCH(O23,Codes,0))-INDEX(EndeRel,MATCH(N23,Codes,0)))*1440,0)&lt;660,1,0),0),0))</f>
      </c>
      <c r="P72" s="1">
        <f>IF(OR(P$52=0,O23="",P23=""),0,IFERROR(IF(AND(INDEX(Arten,MATCH(O23,Codes,0))="Arbeit",INDEX(Arten,MATCH(P23,Codes,0))="Arbeit"),IF(ROUND((1+INDEX(Beginne,MATCH(P23,Codes,0))-INDEX(EndeRel,MATCH(O23,Codes,0)))*1440,0)&lt;660,1,0),0),0))</f>
      </c>
      <c r="Q72" s="1">
        <f>IF(OR(Q$52=0,P23="",Q23=""),0,IFERROR(IF(AND(INDEX(Arten,MATCH(P23,Codes,0))="Arbeit",INDEX(Arten,MATCH(Q23,Codes,0))="Arbeit"),IF(ROUND((1+INDEX(Beginne,MATCH(Q23,Codes,0))-INDEX(EndeRel,MATCH(P23,Codes,0)))*1440,0)&lt;660,1,0),0),0))</f>
      </c>
      <c r="R72" s="1">
        <f>IF(OR(R$52=0,Q23="",R23=""),0,IFERROR(IF(AND(INDEX(Arten,MATCH(Q23,Codes,0))="Arbeit",INDEX(Arten,MATCH(R23,Codes,0))="Arbeit"),IF(ROUND((1+INDEX(Beginne,MATCH(R23,Codes,0))-INDEX(EndeRel,MATCH(Q23,Codes,0)))*1440,0)&lt;660,1,0),0),0))</f>
      </c>
      <c r="S72" s="1">
        <f>IF(OR(S$52=0,R23="",S23=""),0,IFERROR(IF(AND(INDEX(Arten,MATCH(R23,Codes,0))="Arbeit",INDEX(Arten,MATCH(S23,Codes,0))="Arbeit"),IF(ROUND((1+INDEX(Beginne,MATCH(S23,Codes,0))-INDEX(EndeRel,MATCH(R23,Codes,0)))*1440,0)&lt;660,1,0),0),0))</f>
      </c>
      <c r="T72" s="1">
        <f>IF(OR(T$52=0,S23="",T23=""),0,IFERROR(IF(AND(INDEX(Arten,MATCH(S23,Codes,0))="Arbeit",INDEX(Arten,MATCH(T23,Codes,0))="Arbeit"),IF(ROUND((1+INDEX(Beginne,MATCH(T23,Codes,0))-INDEX(EndeRel,MATCH(S23,Codes,0)))*1440,0)&lt;660,1,0),0),0))</f>
      </c>
      <c r="U72" s="1">
        <f>IF(OR(U$52=0,T23="",U23=""),0,IFERROR(IF(AND(INDEX(Arten,MATCH(T23,Codes,0))="Arbeit",INDEX(Arten,MATCH(U23,Codes,0))="Arbeit"),IF(ROUND((1+INDEX(Beginne,MATCH(U23,Codes,0))-INDEX(EndeRel,MATCH(T23,Codes,0)))*1440,0)&lt;660,1,0),0),0))</f>
      </c>
      <c r="V72" s="1">
        <f>IF(OR(V$52=0,U23="",V23=""),0,IFERROR(IF(AND(INDEX(Arten,MATCH(U23,Codes,0))="Arbeit",INDEX(Arten,MATCH(V23,Codes,0))="Arbeit"),IF(ROUND((1+INDEX(Beginne,MATCH(V23,Codes,0))-INDEX(EndeRel,MATCH(U23,Codes,0)))*1440,0)&lt;660,1,0),0),0))</f>
      </c>
      <c r="W72" s="1">
        <f>IF(OR(W$52=0,V23="",W23=""),0,IFERROR(IF(AND(INDEX(Arten,MATCH(V23,Codes,0))="Arbeit",INDEX(Arten,MATCH(W23,Codes,0))="Arbeit"),IF(ROUND((1+INDEX(Beginne,MATCH(W23,Codes,0))-INDEX(EndeRel,MATCH(V23,Codes,0)))*1440,0)&lt;660,1,0),0),0))</f>
      </c>
      <c r="X72" s="1">
        <f>IF(OR(X$52=0,W23="",X23=""),0,IFERROR(IF(AND(INDEX(Arten,MATCH(W23,Codes,0))="Arbeit",INDEX(Arten,MATCH(X23,Codes,0))="Arbeit"),IF(ROUND((1+INDEX(Beginne,MATCH(X23,Codes,0))-INDEX(EndeRel,MATCH(W23,Codes,0)))*1440,0)&lt;660,1,0),0),0))</f>
      </c>
      <c r="Y72" s="1">
        <f>IF(OR(Y$52=0,X23="",Y23=""),0,IFERROR(IF(AND(INDEX(Arten,MATCH(X23,Codes,0))="Arbeit",INDEX(Arten,MATCH(Y23,Codes,0))="Arbeit"),IF(ROUND((1+INDEX(Beginne,MATCH(Y23,Codes,0))-INDEX(EndeRel,MATCH(X23,Codes,0)))*1440,0)&lt;660,1,0),0),0))</f>
      </c>
      <c r="Z72" s="1">
        <f>IF(OR(Z$52=0,Y23="",Z23=""),0,IFERROR(IF(AND(INDEX(Arten,MATCH(Y23,Codes,0))="Arbeit",INDEX(Arten,MATCH(Z23,Codes,0))="Arbeit"),IF(ROUND((1+INDEX(Beginne,MATCH(Z23,Codes,0))-INDEX(EndeRel,MATCH(Y23,Codes,0)))*1440,0)&lt;660,1,0),0),0))</f>
      </c>
      <c r="AA72" s="1">
        <f>IF(OR(AA$52=0,Z23="",AA23=""),0,IFERROR(IF(AND(INDEX(Arten,MATCH(Z23,Codes,0))="Arbeit",INDEX(Arten,MATCH(AA23,Codes,0))="Arbeit"),IF(ROUND((1+INDEX(Beginne,MATCH(AA23,Codes,0))-INDEX(EndeRel,MATCH(Z23,Codes,0)))*1440,0)&lt;660,1,0),0),0))</f>
      </c>
      <c r="AB72" s="1">
        <f>IF(OR(AB$52=0,AA23="",AB23=""),0,IFERROR(IF(AND(INDEX(Arten,MATCH(AA23,Codes,0))="Arbeit",INDEX(Arten,MATCH(AB23,Codes,0))="Arbeit"),IF(ROUND((1+INDEX(Beginne,MATCH(AB23,Codes,0))-INDEX(EndeRel,MATCH(AA23,Codes,0)))*1440,0)&lt;660,1,0),0),0))</f>
      </c>
      <c r="AC72" s="1">
        <f>IF(OR(AC$52=0,AB23="",AC23=""),0,IFERROR(IF(AND(INDEX(Arten,MATCH(AB23,Codes,0))="Arbeit",INDEX(Arten,MATCH(AC23,Codes,0))="Arbeit"),IF(ROUND((1+INDEX(Beginne,MATCH(AC23,Codes,0))-INDEX(EndeRel,MATCH(AB23,Codes,0)))*1440,0)&lt;660,1,0),0),0))</f>
      </c>
      <c r="AD72" s="1">
        <f>IF(OR(AD$52=0,AC23="",AD23=""),0,IFERROR(IF(AND(INDEX(Arten,MATCH(AC23,Codes,0))="Arbeit",INDEX(Arten,MATCH(AD23,Codes,0))="Arbeit"),IF(ROUND((1+INDEX(Beginne,MATCH(AD23,Codes,0))-INDEX(EndeRel,MATCH(AC23,Codes,0)))*1440,0)&lt;660,1,0),0),0))</f>
      </c>
      <c r="AE72" s="1">
        <f>IF(OR(AE$52=0,AD23="",AE23=""),0,IFERROR(IF(AND(INDEX(Arten,MATCH(AD23,Codes,0))="Arbeit",INDEX(Arten,MATCH(AE23,Codes,0))="Arbeit"),IF(ROUND((1+INDEX(Beginne,MATCH(AE23,Codes,0))-INDEX(EndeRel,MATCH(AD23,Codes,0)))*1440,0)&lt;660,1,0),0),0))</f>
      </c>
      <c r="AF72" s="1">
        <f>IF(OR(AF$52=0,AE23="",AF23=""),0,IFERROR(IF(AND(INDEX(Arten,MATCH(AE23,Codes,0))="Arbeit",INDEX(Arten,MATCH(AF23,Codes,0))="Arbeit"),IF(ROUND((1+INDEX(Beginne,MATCH(AF23,Codes,0))-INDEX(EndeRel,MATCH(AE23,Codes,0)))*1440,0)&lt;660,1,0),0),0))</f>
      </c>
    </row>
    <row r="73" hidden="1" spans="1:32" x14ac:dyDescent="0.25">
      <c r="A73" s="1"/>
      <c r="B73" s="1">
        <f>IF(OR(B$52=0,INDEX('Januar'!$B$24:$AF$24,DAY(DATE(Jahr,2,0)))="",B24=""),0,IFERROR(IF(AND(INDEX(Arten,MATCH(INDEX('Januar'!$B$24:$AF$24,DAY(DATE(Jahr,2,0))),Codes,0))="Arbeit",INDEX(Arten,MATCH(B24,Codes,0))="Arbeit"),IF(ROUND((1+INDEX(Beginne,MATCH(B24,Codes,0))-INDEX(EndeRel,MATCH(INDEX('Januar'!$B$24:$AF$24,DAY(DATE(Jahr,2,0))),Codes,0)))*1440,0)&lt;660,1,0),0),0))</f>
      </c>
      <c r="C73" s="1">
        <f>IF(OR(C$52=0,B24="",C24=""),0,IFERROR(IF(AND(INDEX(Arten,MATCH(B24,Codes,0))="Arbeit",INDEX(Arten,MATCH(C24,Codes,0))="Arbeit"),IF(ROUND((1+INDEX(Beginne,MATCH(C24,Codes,0))-INDEX(EndeRel,MATCH(B24,Codes,0)))*1440,0)&lt;660,1,0),0),0))</f>
      </c>
      <c r="D73" s="1">
        <f>IF(OR(D$52=0,C24="",D24=""),0,IFERROR(IF(AND(INDEX(Arten,MATCH(C24,Codes,0))="Arbeit",INDEX(Arten,MATCH(D24,Codes,0))="Arbeit"),IF(ROUND((1+INDEX(Beginne,MATCH(D24,Codes,0))-INDEX(EndeRel,MATCH(C24,Codes,0)))*1440,0)&lt;660,1,0),0),0))</f>
      </c>
      <c r="E73" s="1">
        <f>IF(OR(E$52=0,D24="",E24=""),0,IFERROR(IF(AND(INDEX(Arten,MATCH(D24,Codes,0))="Arbeit",INDEX(Arten,MATCH(E24,Codes,0))="Arbeit"),IF(ROUND((1+INDEX(Beginne,MATCH(E24,Codes,0))-INDEX(EndeRel,MATCH(D24,Codes,0)))*1440,0)&lt;660,1,0),0),0))</f>
      </c>
      <c r="F73" s="1">
        <f>IF(OR(F$52=0,E24="",F24=""),0,IFERROR(IF(AND(INDEX(Arten,MATCH(E24,Codes,0))="Arbeit",INDEX(Arten,MATCH(F24,Codes,0))="Arbeit"),IF(ROUND((1+INDEX(Beginne,MATCH(F24,Codes,0))-INDEX(EndeRel,MATCH(E24,Codes,0)))*1440,0)&lt;660,1,0),0),0))</f>
      </c>
      <c r="G73" s="1">
        <f>IF(OR(G$52=0,F24="",G24=""),0,IFERROR(IF(AND(INDEX(Arten,MATCH(F24,Codes,0))="Arbeit",INDEX(Arten,MATCH(G24,Codes,0))="Arbeit"),IF(ROUND((1+INDEX(Beginne,MATCH(G24,Codes,0))-INDEX(EndeRel,MATCH(F24,Codes,0)))*1440,0)&lt;660,1,0),0),0))</f>
      </c>
      <c r="H73" s="1">
        <f>IF(OR(H$52=0,G24="",H24=""),0,IFERROR(IF(AND(INDEX(Arten,MATCH(G24,Codes,0))="Arbeit",INDEX(Arten,MATCH(H24,Codes,0))="Arbeit"),IF(ROUND((1+INDEX(Beginne,MATCH(H24,Codes,0))-INDEX(EndeRel,MATCH(G24,Codes,0)))*1440,0)&lt;660,1,0),0),0))</f>
      </c>
      <c r="I73" s="1">
        <f>IF(OR(I$52=0,H24="",I24=""),0,IFERROR(IF(AND(INDEX(Arten,MATCH(H24,Codes,0))="Arbeit",INDEX(Arten,MATCH(I24,Codes,0))="Arbeit"),IF(ROUND((1+INDEX(Beginne,MATCH(I24,Codes,0))-INDEX(EndeRel,MATCH(H24,Codes,0)))*1440,0)&lt;660,1,0),0),0))</f>
      </c>
      <c r="J73" s="1">
        <f>IF(OR(J$52=0,I24="",J24=""),0,IFERROR(IF(AND(INDEX(Arten,MATCH(I24,Codes,0))="Arbeit",INDEX(Arten,MATCH(J24,Codes,0))="Arbeit"),IF(ROUND((1+INDEX(Beginne,MATCH(J24,Codes,0))-INDEX(EndeRel,MATCH(I24,Codes,0)))*1440,0)&lt;660,1,0),0),0))</f>
      </c>
      <c r="K73" s="1">
        <f>IF(OR(K$52=0,J24="",K24=""),0,IFERROR(IF(AND(INDEX(Arten,MATCH(J24,Codes,0))="Arbeit",INDEX(Arten,MATCH(K24,Codes,0))="Arbeit"),IF(ROUND((1+INDEX(Beginne,MATCH(K24,Codes,0))-INDEX(EndeRel,MATCH(J24,Codes,0)))*1440,0)&lt;660,1,0),0),0))</f>
      </c>
      <c r="L73" s="1">
        <f>IF(OR(L$52=0,K24="",L24=""),0,IFERROR(IF(AND(INDEX(Arten,MATCH(K24,Codes,0))="Arbeit",INDEX(Arten,MATCH(L24,Codes,0))="Arbeit"),IF(ROUND((1+INDEX(Beginne,MATCH(L24,Codes,0))-INDEX(EndeRel,MATCH(K24,Codes,0)))*1440,0)&lt;660,1,0),0),0))</f>
      </c>
      <c r="M73" s="1">
        <f>IF(OR(M$52=0,L24="",M24=""),0,IFERROR(IF(AND(INDEX(Arten,MATCH(L24,Codes,0))="Arbeit",INDEX(Arten,MATCH(M24,Codes,0))="Arbeit"),IF(ROUND((1+INDEX(Beginne,MATCH(M24,Codes,0))-INDEX(EndeRel,MATCH(L24,Codes,0)))*1440,0)&lt;660,1,0),0),0))</f>
      </c>
      <c r="N73" s="1">
        <f>IF(OR(N$52=0,M24="",N24=""),0,IFERROR(IF(AND(INDEX(Arten,MATCH(M24,Codes,0))="Arbeit",INDEX(Arten,MATCH(N24,Codes,0))="Arbeit"),IF(ROUND((1+INDEX(Beginne,MATCH(N24,Codes,0))-INDEX(EndeRel,MATCH(M24,Codes,0)))*1440,0)&lt;660,1,0),0),0))</f>
      </c>
      <c r="O73" s="1">
        <f>IF(OR(O$52=0,N24="",O24=""),0,IFERROR(IF(AND(INDEX(Arten,MATCH(N24,Codes,0))="Arbeit",INDEX(Arten,MATCH(O24,Codes,0))="Arbeit"),IF(ROUND((1+INDEX(Beginne,MATCH(O24,Codes,0))-INDEX(EndeRel,MATCH(N24,Codes,0)))*1440,0)&lt;660,1,0),0),0))</f>
      </c>
      <c r="P73" s="1">
        <f>IF(OR(P$52=0,O24="",P24=""),0,IFERROR(IF(AND(INDEX(Arten,MATCH(O24,Codes,0))="Arbeit",INDEX(Arten,MATCH(P24,Codes,0))="Arbeit"),IF(ROUND((1+INDEX(Beginne,MATCH(P24,Codes,0))-INDEX(EndeRel,MATCH(O24,Codes,0)))*1440,0)&lt;660,1,0),0),0))</f>
      </c>
      <c r="Q73" s="1">
        <f>IF(OR(Q$52=0,P24="",Q24=""),0,IFERROR(IF(AND(INDEX(Arten,MATCH(P24,Codes,0))="Arbeit",INDEX(Arten,MATCH(Q24,Codes,0))="Arbeit"),IF(ROUND((1+INDEX(Beginne,MATCH(Q24,Codes,0))-INDEX(EndeRel,MATCH(P24,Codes,0)))*1440,0)&lt;660,1,0),0),0))</f>
      </c>
      <c r="R73" s="1">
        <f>IF(OR(R$52=0,Q24="",R24=""),0,IFERROR(IF(AND(INDEX(Arten,MATCH(Q24,Codes,0))="Arbeit",INDEX(Arten,MATCH(R24,Codes,0))="Arbeit"),IF(ROUND((1+INDEX(Beginne,MATCH(R24,Codes,0))-INDEX(EndeRel,MATCH(Q24,Codes,0)))*1440,0)&lt;660,1,0),0),0))</f>
      </c>
      <c r="S73" s="1">
        <f>IF(OR(S$52=0,R24="",S24=""),0,IFERROR(IF(AND(INDEX(Arten,MATCH(R24,Codes,0))="Arbeit",INDEX(Arten,MATCH(S24,Codes,0))="Arbeit"),IF(ROUND((1+INDEX(Beginne,MATCH(S24,Codes,0))-INDEX(EndeRel,MATCH(R24,Codes,0)))*1440,0)&lt;660,1,0),0),0))</f>
      </c>
      <c r="T73" s="1">
        <f>IF(OR(T$52=0,S24="",T24=""),0,IFERROR(IF(AND(INDEX(Arten,MATCH(S24,Codes,0))="Arbeit",INDEX(Arten,MATCH(T24,Codes,0))="Arbeit"),IF(ROUND((1+INDEX(Beginne,MATCH(T24,Codes,0))-INDEX(EndeRel,MATCH(S24,Codes,0)))*1440,0)&lt;660,1,0),0),0))</f>
      </c>
      <c r="U73" s="1">
        <f>IF(OR(U$52=0,T24="",U24=""),0,IFERROR(IF(AND(INDEX(Arten,MATCH(T24,Codes,0))="Arbeit",INDEX(Arten,MATCH(U24,Codes,0))="Arbeit"),IF(ROUND((1+INDEX(Beginne,MATCH(U24,Codes,0))-INDEX(EndeRel,MATCH(T24,Codes,0)))*1440,0)&lt;660,1,0),0),0))</f>
      </c>
      <c r="V73" s="1">
        <f>IF(OR(V$52=0,U24="",V24=""),0,IFERROR(IF(AND(INDEX(Arten,MATCH(U24,Codes,0))="Arbeit",INDEX(Arten,MATCH(V24,Codes,0))="Arbeit"),IF(ROUND((1+INDEX(Beginne,MATCH(V24,Codes,0))-INDEX(EndeRel,MATCH(U24,Codes,0)))*1440,0)&lt;660,1,0),0),0))</f>
      </c>
      <c r="W73" s="1">
        <f>IF(OR(W$52=0,V24="",W24=""),0,IFERROR(IF(AND(INDEX(Arten,MATCH(V24,Codes,0))="Arbeit",INDEX(Arten,MATCH(W24,Codes,0))="Arbeit"),IF(ROUND((1+INDEX(Beginne,MATCH(W24,Codes,0))-INDEX(EndeRel,MATCH(V24,Codes,0)))*1440,0)&lt;660,1,0),0),0))</f>
      </c>
      <c r="X73" s="1">
        <f>IF(OR(X$52=0,W24="",X24=""),0,IFERROR(IF(AND(INDEX(Arten,MATCH(W24,Codes,0))="Arbeit",INDEX(Arten,MATCH(X24,Codes,0))="Arbeit"),IF(ROUND((1+INDEX(Beginne,MATCH(X24,Codes,0))-INDEX(EndeRel,MATCH(W24,Codes,0)))*1440,0)&lt;660,1,0),0),0))</f>
      </c>
      <c r="Y73" s="1">
        <f>IF(OR(Y$52=0,X24="",Y24=""),0,IFERROR(IF(AND(INDEX(Arten,MATCH(X24,Codes,0))="Arbeit",INDEX(Arten,MATCH(Y24,Codes,0))="Arbeit"),IF(ROUND((1+INDEX(Beginne,MATCH(Y24,Codes,0))-INDEX(EndeRel,MATCH(X24,Codes,0)))*1440,0)&lt;660,1,0),0),0))</f>
      </c>
      <c r="Z73" s="1">
        <f>IF(OR(Z$52=0,Y24="",Z24=""),0,IFERROR(IF(AND(INDEX(Arten,MATCH(Y24,Codes,0))="Arbeit",INDEX(Arten,MATCH(Z24,Codes,0))="Arbeit"),IF(ROUND((1+INDEX(Beginne,MATCH(Z24,Codes,0))-INDEX(EndeRel,MATCH(Y24,Codes,0)))*1440,0)&lt;660,1,0),0),0))</f>
      </c>
      <c r="AA73" s="1">
        <f>IF(OR(AA$52=0,Z24="",AA24=""),0,IFERROR(IF(AND(INDEX(Arten,MATCH(Z24,Codes,0))="Arbeit",INDEX(Arten,MATCH(AA24,Codes,0))="Arbeit"),IF(ROUND((1+INDEX(Beginne,MATCH(AA24,Codes,0))-INDEX(EndeRel,MATCH(Z24,Codes,0)))*1440,0)&lt;660,1,0),0),0))</f>
      </c>
      <c r="AB73" s="1">
        <f>IF(OR(AB$52=0,AA24="",AB24=""),0,IFERROR(IF(AND(INDEX(Arten,MATCH(AA24,Codes,0))="Arbeit",INDEX(Arten,MATCH(AB24,Codes,0))="Arbeit"),IF(ROUND((1+INDEX(Beginne,MATCH(AB24,Codes,0))-INDEX(EndeRel,MATCH(AA24,Codes,0)))*1440,0)&lt;660,1,0),0),0))</f>
      </c>
      <c r="AC73" s="1">
        <f>IF(OR(AC$52=0,AB24="",AC24=""),0,IFERROR(IF(AND(INDEX(Arten,MATCH(AB24,Codes,0))="Arbeit",INDEX(Arten,MATCH(AC24,Codes,0))="Arbeit"),IF(ROUND((1+INDEX(Beginne,MATCH(AC24,Codes,0))-INDEX(EndeRel,MATCH(AB24,Codes,0)))*1440,0)&lt;660,1,0),0),0))</f>
      </c>
      <c r="AD73" s="1">
        <f>IF(OR(AD$52=0,AC24="",AD24=""),0,IFERROR(IF(AND(INDEX(Arten,MATCH(AC24,Codes,0))="Arbeit",INDEX(Arten,MATCH(AD24,Codes,0))="Arbeit"),IF(ROUND((1+INDEX(Beginne,MATCH(AD24,Codes,0))-INDEX(EndeRel,MATCH(AC24,Codes,0)))*1440,0)&lt;660,1,0),0),0))</f>
      </c>
      <c r="AE73" s="1">
        <f>IF(OR(AE$52=0,AD24="",AE24=""),0,IFERROR(IF(AND(INDEX(Arten,MATCH(AD24,Codes,0))="Arbeit",INDEX(Arten,MATCH(AE24,Codes,0))="Arbeit"),IF(ROUND((1+INDEX(Beginne,MATCH(AE24,Codes,0))-INDEX(EndeRel,MATCH(AD24,Codes,0)))*1440,0)&lt;660,1,0),0),0))</f>
      </c>
      <c r="AF73" s="1">
        <f>IF(OR(AF$52=0,AE24="",AF24=""),0,IFERROR(IF(AND(INDEX(Arten,MATCH(AE24,Codes,0))="Arbeit",INDEX(Arten,MATCH(AF24,Codes,0))="Arbeit"),IF(ROUND((1+INDEX(Beginne,MATCH(AF24,Codes,0))-INDEX(EndeRel,MATCH(AE24,Codes,0)))*1440,0)&lt;660,1,0),0),0))</f>
      </c>
    </row>
    <row r="74" hidden="1" spans="1:32" x14ac:dyDescent="0.25">
      <c r="A74" s="1"/>
      <c r="B74" s="1">
        <f>IF(OR(B$52=0,INDEX('Januar'!$B$25:$AF$25,DAY(DATE(Jahr,2,0)))="",B25=""),0,IFERROR(IF(AND(INDEX(Arten,MATCH(INDEX('Januar'!$B$25:$AF$25,DAY(DATE(Jahr,2,0))),Codes,0))="Arbeit",INDEX(Arten,MATCH(B25,Codes,0))="Arbeit"),IF(ROUND((1+INDEX(Beginne,MATCH(B25,Codes,0))-INDEX(EndeRel,MATCH(INDEX('Januar'!$B$25:$AF$25,DAY(DATE(Jahr,2,0))),Codes,0)))*1440,0)&lt;660,1,0),0),0))</f>
      </c>
      <c r="C74" s="1">
        <f>IF(OR(C$52=0,B25="",C25=""),0,IFERROR(IF(AND(INDEX(Arten,MATCH(B25,Codes,0))="Arbeit",INDEX(Arten,MATCH(C25,Codes,0))="Arbeit"),IF(ROUND((1+INDEX(Beginne,MATCH(C25,Codes,0))-INDEX(EndeRel,MATCH(B25,Codes,0)))*1440,0)&lt;660,1,0),0),0))</f>
      </c>
      <c r="D74" s="1">
        <f>IF(OR(D$52=0,C25="",D25=""),0,IFERROR(IF(AND(INDEX(Arten,MATCH(C25,Codes,0))="Arbeit",INDEX(Arten,MATCH(D25,Codes,0))="Arbeit"),IF(ROUND((1+INDEX(Beginne,MATCH(D25,Codes,0))-INDEX(EndeRel,MATCH(C25,Codes,0)))*1440,0)&lt;660,1,0),0),0))</f>
      </c>
      <c r="E74" s="1">
        <f>IF(OR(E$52=0,D25="",E25=""),0,IFERROR(IF(AND(INDEX(Arten,MATCH(D25,Codes,0))="Arbeit",INDEX(Arten,MATCH(E25,Codes,0))="Arbeit"),IF(ROUND((1+INDEX(Beginne,MATCH(E25,Codes,0))-INDEX(EndeRel,MATCH(D25,Codes,0)))*1440,0)&lt;660,1,0),0),0))</f>
      </c>
      <c r="F74" s="1">
        <f>IF(OR(F$52=0,E25="",F25=""),0,IFERROR(IF(AND(INDEX(Arten,MATCH(E25,Codes,0))="Arbeit",INDEX(Arten,MATCH(F25,Codes,0))="Arbeit"),IF(ROUND((1+INDEX(Beginne,MATCH(F25,Codes,0))-INDEX(EndeRel,MATCH(E25,Codes,0)))*1440,0)&lt;660,1,0),0),0))</f>
      </c>
      <c r="G74" s="1">
        <f>IF(OR(G$52=0,F25="",G25=""),0,IFERROR(IF(AND(INDEX(Arten,MATCH(F25,Codes,0))="Arbeit",INDEX(Arten,MATCH(G25,Codes,0))="Arbeit"),IF(ROUND((1+INDEX(Beginne,MATCH(G25,Codes,0))-INDEX(EndeRel,MATCH(F25,Codes,0)))*1440,0)&lt;660,1,0),0),0))</f>
      </c>
      <c r="H74" s="1">
        <f>IF(OR(H$52=0,G25="",H25=""),0,IFERROR(IF(AND(INDEX(Arten,MATCH(G25,Codes,0))="Arbeit",INDEX(Arten,MATCH(H25,Codes,0))="Arbeit"),IF(ROUND((1+INDEX(Beginne,MATCH(H25,Codes,0))-INDEX(EndeRel,MATCH(G25,Codes,0)))*1440,0)&lt;660,1,0),0),0))</f>
      </c>
      <c r="I74" s="1">
        <f>IF(OR(I$52=0,H25="",I25=""),0,IFERROR(IF(AND(INDEX(Arten,MATCH(H25,Codes,0))="Arbeit",INDEX(Arten,MATCH(I25,Codes,0))="Arbeit"),IF(ROUND((1+INDEX(Beginne,MATCH(I25,Codes,0))-INDEX(EndeRel,MATCH(H25,Codes,0)))*1440,0)&lt;660,1,0),0),0))</f>
      </c>
      <c r="J74" s="1">
        <f>IF(OR(J$52=0,I25="",J25=""),0,IFERROR(IF(AND(INDEX(Arten,MATCH(I25,Codes,0))="Arbeit",INDEX(Arten,MATCH(J25,Codes,0))="Arbeit"),IF(ROUND((1+INDEX(Beginne,MATCH(J25,Codes,0))-INDEX(EndeRel,MATCH(I25,Codes,0)))*1440,0)&lt;660,1,0),0),0))</f>
      </c>
      <c r="K74" s="1">
        <f>IF(OR(K$52=0,J25="",K25=""),0,IFERROR(IF(AND(INDEX(Arten,MATCH(J25,Codes,0))="Arbeit",INDEX(Arten,MATCH(K25,Codes,0))="Arbeit"),IF(ROUND((1+INDEX(Beginne,MATCH(K25,Codes,0))-INDEX(EndeRel,MATCH(J25,Codes,0)))*1440,0)&lt;660,1,0),0),0))</f>
      </c>
      <c r="L74" s="1">
        <f>IF(OR(L$52=0,K25="",L25=""),0,IFERROR(IF(AND(INDEX(Arten,MATCH(K25,Codes,0))="Arbeit",INDEX(Arten,MATCH(L25,Codes,0))="Arbeit"),IF(ROUND((1+INDEX(Beginne,MATCH(L25,Codes,0))-INDEX(EndeRel,MATCH(K25,Codes,0)))*1440,0)&lt;660,1,0),0),0))</f>
      </c>
      <c r="M74" s="1">
        <f>IF(OR(M$52=0,L25="",M25=""),0,IFERROR(IF(AND(INDEX(Arten,MATCH(L25,Codes,0))="Arbeit",INDEX(Arten,MATCH(M25,Codes,0))="Arbeit"),IF(ROUND((1+INDEX(Beginne,MATCH(M25,Codes,0))-INDEX(EndeRel,MATCH(L25,Codes,0)))*1440,0)&lt;660,1,0),0),0))</f>
      </c>
      <c r="N74" s="1">
        <f>IF(OR(N$52=0,M25="",N25=""),0,IFERROR(IF(AND(INDEX(Arten,MATCH(M25,Codes,0))="Arbeit",INDEX(Arten,MATCH(N25,Codes,0))="Arbeit"),IF(ROUND((1+INDEX(Beginne,MATCH(N25,Codes,0))-INDEX(EndeRel,MATCH(M25,Codes,0)))*1440,0)&lt;660,1,0),0),0))</f>
      </c>
      <c r="O74" s="1">
        <f>IF(OR(O$52=0,N25="",O25=""),0,IFERROR(IF(AND(INDEX(Arten,MATCH(N25,Codes,0))="Arbeit",INDEX(Arten,MATCH(O25,Codes,0))="Arbeit"),IF(ROUND((1+INDEX(Beginne,MATCH(O25,Codes,0))-INDEX(EndeRel,MATCH(N25,Codes,0)))*1440,0)&lt;660,1,0),0),0))</f>
      </c>
      <c r="P74" s="1">
        <f>IF(OR(P$52=0,O25="",P25=""),0,IFERROR(IF(AND(INDEX(Arten,MATCH(O25,Codes,0))="Arbeit",INDEX(Arten,MATCH(P25,Codes,0))="Arbeit"),IF(ROUND((1+INDEX(Beginne,MATCH(P25,Codes,0))-INDEX(EndeRel,MATCH(O25,Codes,0)))*1440,0)&lt;660,1,0),0),0))</f>
      </c>
      <c r="Q74" s="1">
        <f>IF(OR(Q$52=0,P25="",Q25=""),0,IFERROR(IF(AND(INDEX(Arten,MATCH(P25,Codes,0))="Arbeit",INDEX(Arten,MATCH(Q25,Codes,0))="Arbeit"),IF(ROUND((1+INDEX(Beginne,MATCH(Q25,Codes,0))-INDEX(EndeRel,MATCH(P25,Codes,0)))*1440,0)&lt;660,1,0),0),0))</f>
      </c>
      <c r="R74" s="1">
        <f>IF(OR(R$52=0,Q25="",R25=""),0,IFERROR(IF(AND(INDEX(Arten,MATCH(Q25,Codes,0))="Arbeit",INDEX(Arten,MATCH(R25,Codes,0))="Arbeit"),IF(ROUND((1+INDEX(Beginne,MATCH(R25,Codes,0))-INDEX(EndeRel,MATCH(Q25,Codes,0)))*1440,0)&lt;660,1,0),0),0))</f>
      </c>
      <c r="S74" s="1">
        <f>IF(OR(S$52=0,R25="",S25=""),0,IFERROR(IF(AND(INDEX(Arten,MATCH(R25,Codes,0))="Arbeit",INDEX(Arten,MATCH(S25,Codes,0))="Arbeit"),IF(ROUND((1+INDEX(Beginne,MATCH(S25,Codes,0))-INDEX(EndeRel,MATCH(R25,Codes,0)))*1440,0)&lt;660,1,0),0),0))</f>
      </c>
      <c r="T74" s="1">
        <f>IF(OR(T$52=0,S25="",T25=""),0,IFERROR(IF(AND(INDEX(Arten,MATCH(S25,Codes,0))="Arbeit",INDEX(Arten,MATCH(T25,Codes,0))="Arbeit"),IF(ROUND((1+INDEX(Beginne,MATCH(T25,Codes,0))-INDEX(EndeRel,MATCH(S25,Codes,0)))*1440,0)&lt;660,1,0),0),0))</f>
      </c>
      <c r="U74" s="1">
        <f>IF(OR(U$52=0,T25="",U25=""),0,IFERROR(IF(AND(INDEX(Arten,MATCH(T25,Codes,0))="Arbeit",INDEX(Arten,MATCH(U25,Codes,0))="Arbeit"),IF(ROUND((1+INDEX(Beginne,MATCH(U25,Codes,0))-INDEX(EndeRel,MATCH(T25,Codes,0)))*1440,0)&lt;660,1,0),0),0))</f>
      </c>
      <c r="V74" s="1">
        <f>IF(OR(V$52=0,U25="",V25=""),0,IFERROR(IF(AND(INDEX(Arten,MATCH(U25,Codes,0))="Arbeit",INDEX(Arten,MATCH(V25,Codes,0))="Arbeit"),IF(ROUND((1+INDEX(Beginne,MATCH(V25,Codes,0))-INDEX(EndeRel,MATCH(U25,Codes,0)))*1440,0)&lt;660,1,0),0),0))</f>
      </c>
      <c r="W74" s="1">
        <f>IF(OR(W$52=0,V25="",W25=""),0,IFERROR(IF(AND(INDEX(Arten,MATCH(V25,Codes,0))="Arbeit",INDEX(Arten,MATCH(W25,Codes,0))="Arbeit"),IF(ROUND((1+INDEX(Beginne,MATCH(W25,Codes,0))-INDEX(EndeRel,MATCH(V25,Codes,0)))*1440,0)&lt;660,1,0),0),0))</f>
      </c>
      <c r="X74" s="1">
        <f>IF(OR(X$52=0,W25="",X25=""),0,IFERROR(IF(AND(INDEX(Arten,MATCH(W25,Codes,0))="Arbeit",INDEX(Arten,MATCH(X25,Codes,0))="Arbeit"),IF(ROUND((1+INDEX(Beginne,MATCH(X25,Codes,0))-INDEX(EndeRel,MATCH(W25,Codes,0)))*1440,0)&lt;660,1,0),0),0))</f>
      </c>
      <c r="Y74" s="1">
        <f>IF(OR(Y$52=0,X25="",Y25=""),0,IFERROR(IF(AND(INDEX(Arten,MATCH(X25,Codes,0))="Arbeit",INDEX(Arten,MATCH(Y25,Codes,0))="Arbeit"),IF(ROUND((1+INDEX(Beginne,MATCH(Y25,Codes,0))-INDEX(EndeRel,MATCH(X25,Codes,0)))*1440,0)&lt;660,1,0),0),0))</f>
      </c>
      <c r="Z74" s="1">
        <f>IF(OR(Z$52=0,Y25="",Z25=""),0,IFERROR(IF(AND(INDEX(Arten,MATCH(Y25,Codes,0))="Arbeit",INDEX(Arten,MATCH(Z25,Codes,0))="Arbeit"),IF(ROUND((1+INDEX(Beginne,MATCH(Z25,Codes,0))-INDEX(EndeRel,MATCH(Y25,Codes,0)))*1440,0)&lt;660,1,0),0),0))</f>
      </c>
      <c r="AA74" s="1">
        <f>IF(OR(AA$52=0,Z25="",AA25=""),0,IFERROR(IF(AND(INDEX(Arten,MATCH(Z25,Codes,0))="Arbeit",INDEX(Arten,MATCH(AA25,Codes,0))="Arbeit"),IF(ROUND((1+INDEX(Beginne,MATCH(AA25,Codes,0))-INDEX(EndeRel,MATCH(Z25,Codes,0)))*1440,0)&lt;660,1,0),0),0))</f>
      </c>
      <c r="AB74" s="1">
        <f>IF(OR(AB$52=0,AA25="",AB25=""),0,IFERROR(IF(AND(INDEX(Arten,MATCH(AA25,Codes,0))="Arbeit",INDEX(Arten,MATCH(AB25,Codes,0))="Arbeit"),IF(ROUND((1+INDEX(Beginne,MATCH(AB25,Codes,0))-INDEX(EndeRel,MATCH(AA25,Codes,0)))*1440,0)&lt;660,1,0),0),0))</f>
      </c>
      <c r="AC74" s="1">
        <f>IF(OR(AC$52=0,AB25="",AC25=""),0,IFERROR(IF(AND(INDEX(Arten,MATCH(AB25,Codes,0))="Arbeit",INDEX(Arten,MATCH(AC25,Codes,0))="Arbeit"),IF(ROUND((1+INDEX(Beginne,MATCH(AC25,Codes,0))-INDEX(EndeRel,MATCH(AB25,Codes,0)))*1440,0)&lt;660,1,0),0),0))</f>
      </c>
      <c r="AD74" s="1">
        <f>IF(OR(AD$52=0,AC25="",AD25=""),0,IFERROR(IF(AND(INDEX(Arten,MATCH(AC25,Codes,0))="Arbeit",INDEX(Arten,MATCH(AD25,Codes,0))="Arbeit"),IF(ROUND((1+INDEX(Beginne,MATCH(AD25,Codes,0))-INDEX(EndeRel,MATCH(AC25,Codes,0)))*1440,0)&lt;660,1,0),0),0))</f>
      </c>
      <c r="AE74" s="1">
        <f>IF(OR(AE$52=0,AD25="",AE25=""),0,IFERROR(IF(AND(INDEX(Arten,MATCH(AD25,Codes,0))="Arbeit",INDEX(Arten,MATCH(AE25,Codes,0))="Arbeit"),IF(ROUND((1+INDEX(Beginne,MATCH(AE25,Codes,0))-INDEX(EndeRel,MATCH(AD25,Codes,0)))*1440,0)&lt;660,1,0),0),0))</f>
      </c>
      <c r="AF74" s="1">
        <f>IF(OR(AF$52=0,AE25="",AF25=""),0,IFERROR(IF(AND(INDEX(Arten,MATCH(AE25,Codes,0))="Arbeit",INDEX(Arten,MATCH(AF25,Codes,0))="Arbeit"),IF(ROUND((1+INDEX(Beginne,MATCH(AF25,Codes,0))-INDEX(EndeRel,MATCH(AE25,Codes,0)))*1440,0)&lt;660,1,0),0),0))</f>
      </c>
    </row>
    <row r="75" hidden="1" spans="1:32" x14ac:dyDescent="0.25">
      <c r="A75" s="1"/>
      <c r="B75" s="1">
        <f>IF(OR(B$52=0,INDEX('Januar'!$B$26:$AF$26,DAY(DATE(Jahr,2,0)))="",B26=""),0,IFERROR(IF(AND(INDEX(Arten,MATCH(INDEX('Januar'!$B$26:$AF$26,DAY(DATE(Jahr,2,0))),Codes,0))="Arbeit",INDEX(Arten,MATCH(B26,Codes,0))="Arbeit"),IF(ROUND((1+INDEX(Beginne,MATCH(B26,Codes,0))-INDEX(EndeRel,MATCH(INDEX('Januar'!$B$26:$AF$26,DAY(DATE(Jahr,2,0))),Codes,0)))*1440,0)&lt;660,1,0),0),0))</f>
      </c>
      <c r="C75" s="1">
        <f>IF(OR(C$52=0,B26="",C26=""),0,IFERROR(IF(AND(INDEX(Arten,MATCH(B26,Codes,0))="Arbeit",INDEX(Arten,MATCH(C26,Codes,0))="Arbeit"),IF(ROUND((1+INDEX(Beginne,MATCH(C26,Codes,0))-INDEX(EndeRel,MATCH(B26,Codes,0)))*1440,0)&lt;660,1,0),0),0))</f>
      </c>
      <c r="D75" s="1">
        <f>IF(OR(D$52=0,C26="",D26=""),0,IFERROR(IF(AND(INDEX(Arten,MATCH(C26,Codes,0))="Arbeit",INDEX(Arten,MATCH(D26,Codes,0))="Arbeit"),IF(ROUND((1+INDEX(Beginne,MATCH(D26,Codes,0))-INDEX(EndeRel,MATCH(C26,Codes,0)))*1440,0)&lt;660,1,0),0),0))</f>
      </c>
      <c r="E75" s="1">
        <f>IF(OR(E$52=0,D26="",E26=""),0,IFERROR(IF(AND(INDEX(Arten,MATCH(D26,Codes,0))="Arbeit",INDEX(Arten,MATCH(E26,Codes,0))="Arbeit"),IF(ROUND((1+INDEX(Beginne,MATCH(E26,Codes,0))-INDEX(EndeRel,MATCH(D26,Codes,0)))*1440,0)&lt;660,1,0),0),0))</f>
      </c>
      <c r="F75" s="1">
        <f>IF(OR(F$52=0,E26="",F26=""),0,IFERROR(IF(AND(INDEX(Arten,MATCH(E26,Codes,0))="Arbeit",INDEX(Arten,MATCH(F26,Codes,0))="Arbeit"),IF(ROUND((1+INDEX(Beginne,MATCH(F26,Codes,0))-INDEX(EndeRel,MATCH(E26,Codes,0)))*1440,0)&lt;660,1,0),0),0))</f>
      </c>
      <c r="G75" s="1">
        <f>IF(OR(G$52=0,F26="",G26=""),0,IFERROR(IF(AND(INDEX(Arten,MATCH(F26,Codes,0))="Arbeit",INDEX(Arten,MATCH(G26,Codes,0))="Arbeit"),IF(ROUND((1+INDEX(Beginne,MATCH(G26,Codes,0))-INDEX(EndeRel,MATCH(F26,Codes,0)))*1440,0)&lt;660,1,0),0),0))</f>
      </c>
      <c r="H75" s="1">
        <f>IF(OR(H$52=0,G26="",H26=""),0,IFERROR(IF(AND(INDEX(Arten,MATCH(G26,Codes,0))="Arbeit",INDEX(Arten,MATCH(H26,Codes,0))="Arbeit"),IF(ROUND((1+INDEX(Beginne,MATCH(H26,Codes,0))-INDEX(EndeRel,MATCH(G26,Codes,0)))*1440,0)&lt;660,1,0),0),0))</f>
      </c>
      <c r="I75" s="1">
        <f>IF(OR(I$52=0,H26="",I26=""),0,IFERROR(IF(AND(INDEX(Arten,MATCH(H26,Codes,0))="Arbeit",INDEX(Arten,MATCH(I26,Codes,0))="Arbeit"),IF(ROUND((1+INDEX(Beginne,MATCH(I26,Codes,0))-INDEX(EndeRel,MATCH(H26,Codes,0)))*1440,0)&lt;660,1,0),0),0))</f>
      </c>
      <c r="J75" s="1">
        <f>IF(OR(J$52=0,I26="",J26=""),0,IFERROR(IF(AND(INDEX(Arten,MATCH(I26,Codes,0))="Arbeit",INDEX(Arten,MATCH(J26,Codes,0))="Arbeit"),IF(ROUND((1+INDEX(Beginne,MATCH(J26,Codes,0))-INDEX(EndeRel,MATCH(I26,Codes,0)))*1440,0)&lt;660,1,0),0),0))</f>
      </c>
      <c r="K75" s="1">
        <f>IF(OR(K$52=0,J26="",K26=""),0,IFERROR(IF(AND(INDEX(Arten,MATCH(J26,Codes,0))="Arbeit",INDEX(Arten,MATCH(K26,Codes,0))="Arbeit"),IF(ROUND((1+INDEX(Beginne,MATCH(K26,Codes,0))-INDEX(EndeRel,MATCH(J26,Codes,0)))*1440,0)&lt;660,1,0),0),0))</f>
      </c>
      <c r="L75" s="1">
        <f>IF(OR(L$52=0,K26="",L26=""),0,IFERROR(IF(AND(INDEX(Arten,MATCH(K26,Codes,0))="Arbeit",INDEX(Arten,MATCH(L26,Codes,0))="Arbeit"),IF(ROUND((1+INDEX(Beginne,MATCH(L26,Codes,0))-INDEX(EndeRel,MATCH(K26,Codes,0)))*1440,0)&lt;660,1,0),0),0))</f>
      </c>
      <c r="M75" s="1">
        <f>IF(OR(M$52=0,L26="",M26=""),0,IFERROR(IF(AND(INDEX(Arten,MATCH(L26,Codes,0))="Arbeit",INDEX(Arten,MATCH(M26,Codes,0))="Arbeit"),IF(ROUND((1+INDEX(Beginne,MATCH(M26,Codes,0))-INDEX(EndeRel,MATCH(L26,Codes,0)))*1440,0)&lt;660,1,0),0),0))</f>
      </c>
      <c r="N75" s="1">
        <f>IF(OR(N$52=0,M26="",N26=""),0,IFERROR(IF(AND(INDEX(Arten,MATCH(M26,Codes,0))="Arbeit",INDEX(Arten,MATCH(N26,Codes,0))="Arbeit"),IF(ROUND((1+INDEX(Beginne,MATCH(N26,Codes,0))-INDEX(EndeRel,MATCH(M26,Codes,0)))*1440,0)&lt;660,1,0),0),0))</f>
      </c>
      <c r="O75" s="1">
        <f>IF(OR(O$52=0,N26="",O26=""),0,IFERROR(IF(AND(INDEX(Arten,MATCH(N26,Codes,0))="Arbeit",INDEX(Arten,MATCH(O26,Codes,0))="Arbeit"),IF(ROUND((1+INDEX(Beginne,MATCH(O26,Codes,0))-INDEX(EndeRel,MATCH(N26,Codes,0)))*1440,0)&lt;660,1,0),0),0))</f>
      </c>
      <c r="P75" s="1">
        <f>IF(OR(P$52=0,O26="",P26=""),0,IFERROR(IF(AND(INDEX(Arten,MATCH(O26,Codes,0))="Arbeit",INDEX(Arten,MATCH(P26,Codes,0))="Arbeit"),IF(ROUND((1+INDEX(Beginne,MATCH(P26,Codes,0))-INDEX(EndeRel,MATCH(O26,Codes,0)))*1440,0)&lt;660,1,0),0),0))</f>
      </c>
      <c r="Q75" s="1">
        <f>IF(OR(Q$52=0,P26="",Q26=""),0,IFERROR(IF(AND(INDEX(Arten,MATCH(P26,Codes,0))="Arbeit",INDEX(Arten,MATCH(Q26,Codes,0))="Arbeit"),IF(ROUND((1+INDEX(Beginne,MATCH(Q26,Codes,0))-INDEX(EndeRel,MATCH(P26,Codes,0)))*1440,0)&lt;660,1,0),0),0))</f>
      </c>
      <c r="R75" s="1">
        <f>IF(OR(R$52=0,Q26="",R26=""),0,IFERROR(IF(AND(INDEX(Arten,MATCH(Q26,Codes,0))="Arbeit",INDEX(Arten,MATCH(R26,Codes,0))="Arbeit"),IF(ROUND((1+INDEX(Beginne,MATCH(R26,Codes,0))-INDEX(EndeRel,MATCH(Q26,Codes,0)))*1440,0)&lt;660,1,0),0),0))</f>
      </c>
      <c r="S75" s="1">
        <f>IF(OR(S$52=0,R26="",S26=""),0,IFERROR(IF(AND(INDEX(Arten,MATCH(R26,Codes,0))="Arbeit",INDEX(Arten,MATCH(S26,Codes,0))="Arbeit"),IF(ROUND((1+INDEX(Beginne,MATCH(S26,Codes,0))-INDEX(EndeRel,MATCH(R26,Codes,0)))*1440,0)&lt;660,1,0),0),0))</f>
      </c>
      <c r="T75" s="1">
        <f>IF(OR(T$52=0,S26="",T26=""),0,IFERROR(IF(AND(INDEX(Arten,MATCH(S26,Codes,0))="Arbeit",INDEX(Arten,MATCH(T26,Codes,0))="Arbeit"),IF(ROUND((1+INDEX(Beginne,MATCH(T26,Codes,0))-INDEX(EndeRel,MATCH(S26,Codes,0)))*1440,0)&lt;660,1,0),0),0))</f>
      </c>
      <c r="U75" s="1">
        <f>IF(OR(U$52=0,T26="",U26=""),0,IFERROR(IF(AND(INDEX(Arten,MATCH(T26,Codes,0))="Arbeit",INDEX(Arten,MATCH(U26,Codes,0))="Arbeit"),IF(ROUND((1+INDEX(Beginne,MATCH(U26,Codes,0))-INDEX(EndeRel,MATCH(T26,Codes,0)))*1440,0)&lt;660,1,0),0),0))</f>
      </c>
      <c r="V75" s="1">
        <f>IF(OR(V$52=0,U26="",V26=""),0,IFERROR(IF(AND(INDEX(Arten,MATCH(U26,Codes,0))="Arbeit",INDEX(Arten,MATCH(V26,Codes,0))="Arbeit"),IF(ROUND((1+INDEX(Beginne,MATCH(V26,Codes,0))-INDEX(EndeRel,MATCH(U26,Codes,0)))*1440,0)&lt;660,1,0),0),0))</f>
      </c>
      <c r="W75" s="1">
        <f>IF(OR(W$52=0,V26="",W26=""),0,IFERROR(IF(AND(INDEX(Arten,MATCH(V26,Codes,0))="Arbeit",INDEX(Arten,MATCH(W26,Codes,0))="Arbeit"),IF(ROUND((1+INDEX(Beginne,MATCH(W26,Codes,0))-INDEX(EndeRel,MATCH(V26,Codes,0)))*1440,0)&lt;660,1,0),0),0))</f>
      </c>
      <c r="X75" s="1">
        <f>IF(OR(X$52=0,W26="",X26=""),0,IFERROR(IF(AND(INDEX(Arten,MATCH(W26,Codes,0))="Arbeit",INDEX(Arten,MATCH(X26,Codes,0))="Arbeit"),IF(ROUND((1+INDEX(Beginne,MATCH(X26,Codes,0))-INDEX(EndeRel,MATCH(W26,Codes,0)))*1440,0)&lt;660,1,0),0),0))</f>
      </c>
      <c r="Y75" s="1">
        <f>IF(OR(Y$52=0,X26="",Y26=""),0,IFERROR(IF(AND(INDEX(Arten,MATCH(X26,Codes,0))="Arbeit",INDEX(Arten,MATCH(Y26,Codes,0))="Arbeit"),IF(ROUND((1+INDEX(Beginne,MATCH(Y26,Codes,0))-INDEX(EndeRel,MATCH(X26,Codes,0)))*1440,0)&lt;660,1,0),0),0))</f>
      </c>
      <c r="Z75" s="1">
        <f>IF(OR(Z$52=0,Y26="",Z26=""),0,IFERROR(IF(AND(INDEX(Arten,MATCH(Y26,Codes,0))="Arbeit",INDEX(Arten,MATCH(Z26,Codes,0))="Arbeit"),IF(ROUND((1+INDEX(Beginne,MATCH(Z26,Codes,0))-INDEX(EndeRel,MATCH(Y26,Codes,0)))*1440,0)&lt;660,1,0),0),0))</f>
      </c>
      <c r="AA75" s="1">
        <f>IF(OR(AA$52=0,Z26="",AA26=""),0,IFERROR(IF(AND(INDEX(Arten,MATCH(Z26,Codes,0))="Arbeit",INDEX(Arten,MATCH(AA26,Codes,0))="Arbeit"),IF(ROUND((1+INDEX(Beginne,MATCH(AA26,Codes,0))-INDEX(EndeRel,MATCH(Z26,Codes,0)))*1440,0)&lt;660,1,0),0),0))</f>
      </c>
      <c r="AB75" s="1">
        <f>IF(OR(AB$52=0,AA26="",AB26=""),0,IFERROR(IF(AND(INDEX(Arten,MATCH(AA26,Codes,0))="Arbeit",INDEX(Arten,MATCH(AB26,Codes,0))="Arbeit"),IF(ROUND((1+INDEX(Beginne,MATCH(AB26,Codes,0))-INDEX(EndeRel,MATCH(AA26,Codes,0)))*1440,0)&lt;660,1,0),0),0))</f>
      </c>
      <c r="AC75" s="1">
        <f>IF(OR(AC$52=0,AB26="",AC26=""),0,IFERROR(IF(AND(INDEX(Arten,MATCH(AB26,Codes,0))="Arbeit",INDEX(Arten,MATCH(AC26,Codes,0))="Arbeit"),IF(ROUND((1+INDEX(Beginne,MATCH(AC26,Codes,0))-INDEX(EndeRel,MATCH(AB26,Codes,0)))*1440,0)&lt;660,1,0),0),0))</f>
      </c>
      <c r="AD75" s="1">
        <f>IF(OR(AD$52=0,AC26="",AD26=""),0,IFERROR(IF(AND(INDEX(Arten,MATCH(AC26,Codes,0))="Arbeit",INDEX(Arten,MATCH(AD26,Codes,0))="Arbeit"),IF(ROUND((1+INDEX(Beginne,MATCH(AD26,Codes,0))-INDEX(EndeRel,MATCH(AC26,Codes,0)))*1440,0)&lt;660,1,0),0),0))</f>
      </c>
      <c r="AE75" s="1">
        <f>IF(OR(AE$52=0,AD26="",AE26=""),0,IFERROR(IF(AND(INDEX(Arten,MATCH(AD26,Codes,0))="Arbeit",INDEX(Arten,MATCH(AE26,Codes,0))="Arbeit"),IF(ROUND((1+INDEX(Beginne,MATCH(AE26,Codes,0))-INDEX(EndeRel,MATCH(AD26,Codes,0)))*1440,0)&lt;660,1,0),0),0))</f>
      </c>
      <c r="AF75" s="1">
        <f>IF(OR(AF$52=0,AE26="",AF26=""),0,IFERROR(IF(AND(INDEX(Arten,MATCH(AE26,Codes,0))="Arbeit",INDEX(Arten,MATCH(AF26,Codes,0))="Arbeit"),IF(ROUND((1+INDEX(Beginne,MATCH(AF26,Codes,0))-INDEX(EndeRel,MATCH(AE26,Codes,0)))*1440,0)&lt;660,1,0),0),0))</f>
      </c>
    </row>
    <row r="76" hidden="1" spans="1:32" x14ac:dyDescent="0.25">
      <c r="A76" s="1"/>
      <c r="B76" s="1">
        <f>IF(OR(B$52=0,INDEX('Januar'!$B$27:$AF$27,DAY(DATE(Jahr,2,0)))="",B27=""),0,IFERROR(IF(AND(INDEX(Arten,MATCH(INDEX('Januar'!$B$27:$AF$27,DAY(DATE(Jahr,2,0))),Codes,0))="Arbeit",INDEX(Arten,MATCH(B27,Codes,0))="Arbeit"),IF(ROUND((1+INDEX(Beginne,MATCH(B27,Codes,0))-INDEX(EndeRel,MATCH(INDEX('Januar'!$B$27:$AF$27,DAY(DATE(Jahr,2,0))),Codes,0)))*1440,0)&lt;660,1,0),0),0))</f>
      </c>
      <c r="C76" s="1">
        <f>IF(OR(C$52=0,B27="",C27=""),0,IFERROR(IF(AND(INDEX(Arten,MATCH(B27,Codes,0))="Arbeit",INDEX(Arten,MATCH(C27,Codes,0))="Arbeit"),IF(ROUND((1+INDEX(Beginne,MATCH(C27,Codes,0))-INDEX(EndeRel,MATCH(B27,Codes,0)))*1440,0)&lt;660,1,0),0),0))</f>
      </c>
      <c r="D76" s="1">
        <f>IF(OR(D$52=0,C27="",D27=""),0,IFERROR(IF(AND(INDEX(Arten,MATCH(C27,Codes,0))="Arbeit",INDEX(Arten,MATCH(D27,Codes,0))="Arbeit"),IF(ROUND((1+INDEX(Beginne,MATCH(D27,Codes,0))-INDEX(EndeRel,MATCH(C27,Codes,0)))*1440,0)&lt;660,1,0),0),0))</f>
      </c>
      <c r="E76" s="1">
        <f>IF(OR(E$52=0,D27="",E27=""),0,IFERROR(IF(AND(INDEX(Arten,MATCH(D27,Codes,0))="Arbeit",INDEX(Arten,MATCH(E27,Codes,0))="Arbeit"),IF(ROUND((1+INDEX(Beginne,MATCH(E27,Codes,0))-INDEX(EndeRel,MATCH(D27,Codes,0)))*1440,0)&lt;660,1,0),0),0))</f>
      </c>
      <c r="F76" s="1">
        <f>IF(OR(F$52=0,E27="",F27=""),0,IFERROR(IF(AND(INDEX(Arten,MATCH(E27,Codes,0))="Arbeit",INDEX(Arten,MATCH(F27,Codes,0))="Arbeit"),IF(ROUND((1+INDEX(Beginne,MATCH(F27,Codes,0))-INDEX(EndeRel,MATCH(E27,Codes,0)))*1440,0)&lt;660,1,0),0),0))</f>
      </c>
      <c r="G76" s="1">
        <f>IF(OR(G$52=0,F27="",G27=""),0,IFERROR(IF(AND(INDEX(Arten,MATCH(F27,Codes,0))="Arbeit",INDEX(Arten,MATCH(G27,Codes,0))="Arbeit"),IF(ROUND((1+INDEX(Beginne,MATCH(G27,Codes,0))-INDEX(EndeRel,MATCH(F27,Codes,0)))*1440,0)&lt;660,1,0),0),0))</f>
      </c>
      <c r="H76" s="1">
        <f>IF(OR(H$52=0,G27="",H27=""),0,IFERROR(IF(AND(INDEX(Arten,MATCH(G27,Codes,0))="Arbeit",INDEX(Arten,MATCH(H27,Codes,0))="Arbeit"),IF(ROUND((1+INDEX(Beginne,MATCH(H27,Codes,0))-INDEX(EndeRel,MATCH(G27,Codes,0)))*1440,0)&lt;660,1,0),0),0))</f>
      </c>
      <c r="I76" s="1">
        <f>IF(OR(I$52=0,H27="",I27=""),0,IFERROR(IF(AND(INDEX(Arten,MATCH(H27,Codes,0))="Arbeit",INDEX(Arten,MATCH(I27,Codes,0))="Arbeit"),IF(ROUND((1+INDEX(Beginne,MATCH(I27,Codes,0))-INDEX(EndeRel,MATCH(H27,Codes,0)))*1440,0)&lt;660,1,0),0),0))</f>
      </c>
      <c r="J76" s="1">
        <f>IF(OR(J$52=0,I27="",J27=""),0,IFERROR(IF(AND(INDEX(Arten,MATCH(I27,Codes,0))="Arbeit",INDEX(Arten,MATCH(J27,Codes,0))="Arbeit"),IF(ROUND((1+INDEX(Beginne,MATCH(J27,Codes,0))-INDEX(EndeRel,MATCH(I27,Codes,0)))*1440,0)&lt;660,1,0),0),0))</f>
      </c>
      <c r="K76" s="1">
        <f>IF(OR(K$52=0,J27="",K27=""),0,IFERROR(IF(AND(INDEX(Arten,MATCH(J27,Codes,0))="Arbeit",INDEX(Arten,MATCH(K27,Codes,0))="Arbeit"),IF(ROUND((1+INDEX(Beginne,MATCH(K27,Codes,0))-INDEX(EndeRel,MATCH(J27,Codes,0)))*1440,0)&lt;660,1,0),0),0))</f>
      </c>
      <c r="L76" s="1">
        <f>IF(OR(L$52=0,K27="",L27=""),0,IFERROR(IF(AND(INDEX(Arten,MATCH(K27,Codes,0))="Arbeit",INDEX(Arten,MATCH(L27,Codes,0))="Arbeit"),IF(ROUND((1+INDEX(Beginne,MATCH(L27,Codes,0))-INDEX(EndeRel,MATCH(K27,Codes,0)))*1440,0)&lt;660,1,0),0),0))</f>
      </c>
      <c r="M76" s="1">
        <f>IF(OR(M$52=0,L27="",M27=""),0,IFERROR(IF(AND(INDEX(Arten,MATCH(L27,Codes,0))="Arbeit",INDEX(Arten,MATCH(M27,Codes,0))="Arbeit"),IF(ROUND((1+INDEX(Beginne,MATCH(M27,Codes,0))-INDEX(EndeRel,MATCH(L27,Codes,0)))*1440,0)&lt;660,1,0),0),0))</f>
      </c>
      <c r="N76" s="1">
        <f>IF(OR(N$52=0,M27="",N27=""),0,IFERROR(IF(AND(INDEX(Arten,MATCH(M27,Codes,0))="Arbeit",INDEX(Arten,MATCH(N27,Codes,0))="Arbeit"),IF(ROUND((1+INDEX(Beginne,MATCH(N27,Codes,0))-INDEX(EndeRel,MATCH(M27,Codes,0)))*1440,0)&lt;660,1,0),0),0))</f>
      </c>
      <c r="O76" s="1">
        <f>IF(OR(O$52=0,N27="",O27=""),0,IFERROR(IF(AND(INDEX(Arten,MATCH(N27,Codes,0))="Arbeit",INDEX(Arten,MATCH(O27,Codes,0))="Arbeit"),IF(ROUND((1+INDEX(Beginne,MATCH(O27,Codes,0))-INDEX(EndeRel,MATCH(N27,Codes,0)))*1440,0)&lt;660,1,0),0),0))</f>
      </c>
      <c r="P76" s="1">
        <f>IF(OR(P$52=0,O27="",P27=""),0,IFERROR(IF(AND(INDEX(Arten,MATCH(O27,Codes,0))="Arbeit",INDEX(Arten,MATCH(P27,Codes,0))="Arbeit"),IF(ROUND((1+INDEX(Beginne,MATCH(P27,Codes,0))-INDEX(EndeRel,MATCH(O27,Codes,0)))*1440,0)&lt;660,1,0),0),0))</f>
      </c>
      <c r="Q76" s="1">
        <f>IF(OR(Q$52=0,P27="",Q27=""),0,IFERROR(IF(AND(INDEX(Arten,MATCH(P27,Codes,0))="Arbeit",INDEX(Arten,MATCH(Q27,Codes,0))="Arbeit"),IF(ROUND((1+INDEX(Beginne,MATCH(Q27,Codes,0))-INDEX(EndeRel,MATCH(P27,Codes,0)))*1440,0)&lt;660,1,0),0),0))</f>
      </c>
      <c r="R76" s="1">
        <f>IF(OR(R$52=0,Q27="",R27=""),0,IFERROR(IF(AND(INDEX(Arten,MATCH(Q27,Codes,0))="Arbeit",INDEX(Arten,MATCH(R27,Codes,0))="Arbeit"),IF(ROUND((1+INDEX(Beginne,MATCH(R27,Codes,0))-INDEX(EndeRel,MATCH(Q27,Codes,0)))*1440,0)&lt;660,1,0),0),0))</f>
      </c>
      <c r="S76" s="1">
        <f>IF(OR(S$52=0,R27="",S27=""),0,IFERROR(IF(AND(INDEX(Arten,MATCH(R27,Codes,0))="Arbeit",INDEX(Arten,MATCH(S27,Codes,0))="Arbeit"),IF(ROUND((1+INDEX(Beginne,MATCH(S27,Codes,0))-INDEX(EndeRel,MATCH(R27,Codes,0)))*1440,0)&lt;660,1,0),0),0))</f>
      </c>
      <c r="T76" s="1">
        <f>IF(OR(T$52=0,S27="",T27=""),0,IFERROR(IF(AND(INDEX(Arten,MATCH(S27,Codes,0))="Arbeit",INDEX(Arten,MATCH(T27,Codes,0))="Arbeit"),IF(ROUND((1+INDEX(Beginne,MATCH(T27,Codes,0))-INDEX(EndeRel,MATCH(S27,Codes,0)))*1440,0)&lt;660,1,0),0),0))</f>
      </c>
      <c r="U76" s="1">
        <f>IF(OR(U$52=0,T27="",U27=""),0,IFERROR(IF(AND(INDEX(Arten,MATCH(T27,Codes,0))="Arbeit",INDEX(Arten,MATCH(U27,Codes,0))="Arbeit"),IF(ROUND((1+INDEX(Beginne,MATCH(U27,Codes,0))-INDEX(EndeRel,MATCH(T27,Codes,0)))*1440,0)&lt;660,1,0),0),0))</f>
      </c>
      <c r="V76" s="1">
        <f>IF(OR(V$52=0,U27="",V27=""),0,IFERROR(IF(AND(INDEX(Arten,MATCH(U27,Codes,0))="Arbeit",INDEX(Arten,MATCH(V27,Codes,0))="Arbeit"),IF(ROUND((1+INDEX(Beginne,MATCH(V27,Codes,0))-INDEX(EndeRel,MATCH(U27,Codes,0)))*1440,0)&lt;660,1,0),0),0))</f>
      </c>
      <c r="W76" s="1">
        <f>IF(OR(W$52=0,V27="",W27=""),0,IFERROR(IF(AND(INDEX(Arten,MATCH(V27,Codes,0))="Arbeit",INDEX(Arten,MATCH(W27,Codes,0))="Arbeit"),IF(ROUND((1+INDEX(Beginne,MATCH(W27,Codes,0))-INDEX(EndeRel,MATCH(V27,Codes,0)))*1440,0)&lt;660,1,0),0),0))</f>
      </c>
      <c r="X76" s="1">
        <f>IF(OR(X$52=0,W27="",X27=""),0,IFERROR(IF(AND(INDEX(Arten,MATCH(W27,Codes,0))="Arbeit",INDEX(Arten,MATCH(X27,Codes,0))="Arbeit"),IF(ROUND((1+INDEX(Beginne,MATCH(X27,Codes,0))-INDEX(EndeRel,MATCH(W27,Codes,0)))*1440,0)&lt;660,1,0),0),0))</f>
      </c>
      <c r="Y76" s="1">
        <f>IF(OR(Y$52=0,X27="",Y27=""),0,IFERROR(IF(AND(INDEX(Arten,MATCH(X27,Codes,0))="Arbeit",INDEX(Arten,MATCH(Y27,Codes,0))="Arbeit"),IF(ROUND((1+INDEX(Beginne,MATCH(Y27,Codes,0))-INDEX(EndeRel,MATCH(X27,Codes,0)))*1440,0)&lt;660,1,0),0),0))</f>
      </c>
      <c r="Z76" s="1">
        <f>IF(OR(Z$52=0,Y27="",Z27=""),0,IFERROR(IF(AND(INDEX(Arten,MATCH(Y27,Codes,0))="Arbeit",INDEX(Arten,MATCH(Z27,Codes,0))="Arbeit"),IF(ROUND((1+INDEX(Beginne,MATCH(Z27,Codes,0))-INDEX(EndeRel,MATCH(Y27,Codes,0)))*1440,0)&lt;660,1,0),0),0))</f>
      </c>
      <c r="AA76" s="1">
        <f>IF(OR(AA$52=0,Z27="",AA27=""),0,IFERROR(IF(AND(INDEX(Arten,MATCH(Z27,Codes,0))="Arbeit",INDEX(Arten,MATCH(AA27,Codes,0))="Arbeit"),IF(ROUND((1+INDEX(Beginne,MATCH(AA27,Codes,0))-INDEX(EndeRel,MATCH(Z27,Codes,0)))*1440,0)&lt;660,1,0),0),0))</f>
      </c>
      <c r="AB76" s="1">
        <f>IF(OR(AB$52=0,AA27="",AB27=""),0,IFERROR(IF(AND(INDEX(Arten,MATCH(AA27,Codes,0))="Arbeit",INDEX(Arten,MATCH(AB27,Codes,0))="Arbeit"),IF(ROUND((1+INDEX(Beginne,MATCH(AB27,Codes,0))-INDEX(EndeRel,MATCH(AA27,Codes,0)))*1440,0)&lt;660,1,0),0),0))</f>
      </c>
      <c r="AC76" s="1">
        <f>IF(OR(AC$52=0,AB27="",AC27=""),0,IFERROR(IF(AND(INDEX(Arten,MATCH(AB27,Codes,0))="Arbeit",INDEX(Arten,MATCH(AC27,Codes,0))="Arbeit"),IF(ROUND((1+INDEX(Beginne,MATCH(AC27,Codes,0))-INDEX(EndeRel,MATCH(AB27,Codes,0)))*1440,0)&lt;660,1,0),0),0))</f>
      </c>
      <c r="AD76" s="1">
        <f>IF(OR(AD$52=0,AC27="",AD27=""),0,IFERROR(IF(AND(INDEX(Arten,MATCH(AC27,Codes,0))="Arbeit",INDEX(Arten,MATCH(AD27,Codes,0))="Arbeit"),IF(ROUND((1+INDEX(Beginne,MATCH(AD27,Codes,0))-INDEX(EndeRel,MATCH(AC27,Codes,0)))*1440,0)&lt;660,1,0),0),0))</f>
      </c>
      <c r="AE76" s="1">
        <f>IF(OR(AE$52=0,AD27="",AE27=""),0,IFERROR(IF(AND(INDEX(Arten,MATCH(AD27,Codes,0))="Arbeit",INDEX(Arten,MATCH(AE27,Codes,0))="Arbeit"),IF(ROUND((1+INDEX(Beginne,MATCH(AE27,Codes,0))-INDEX(EndeRel,MATCH(AD27,Codes,0)))*1440,0)&lt;660,1,0),0),0))</f>
      </c>
      <c r="AF76" s="1">
        <f>IF(OR(AF$52=0,AE27="",AF27=""),0,IFERROR(IF(AND(INDEX(Arten,MATCH(AE27,Codes,0))="Arbeit",INDEX(Arten,MATCH(AF27,Codes,0))="Arbeit"),IF(ROUND((1+INDEX(Beginne,MATCH(AF27,Codes,0))-INDEX(EndeRel,MATCH(AE27,Codes,0)))*1440,0)&lt;660,1,0),0),0))</f>
      </c>
    </row>
    <row r="77" hidden="1" spans="1:32" x14ac:dyDescent="0.25">
      <c r="A77" s="1"/>
      <c r="B77" s="1">
        <f>IF(OR(B$52=0,INDEX('Januar'!$B$28:$AF$28,DAY(DATE(Jahr,2,0)))="",B28=""),0,IFERROR(IF(AND(INDEX(Arten,MATCH(INDEX('Januar'!$B$28:$AF$28,DAY(DATE(Jahr,2,0))),Codes,0))="Arbeit",INDEX(Arten,MATCH(B28,Codes,0))="Arbeit"),IF(ROUND((1+INDEX(Beginne,MATCH(B28,Codes,0))-INDEX(EndeRel,MATCH(INDEX('Januar'!$B$28:$AF$28,DAY(DATE(Jahr,2,0))),Codes,0)))*1440,0)&lt;660,1,0),0),0))</f>
      </c>
      <c r="C77" s="1">
        <f>IF(OR(C$52=0,B28="",C28=""),0,IFERROR(IF(AND(INDEX(Arten,MATCH(B28,Codes,0))="Arbeit",INDEX(Arten,MATCH(C28,Codes,0))="Arbeit"),IF(ROUND((1+INDEX(Beginne,MATCH(C28,Codes,0))-INDEX(EndeRel,MATCH(B28,Codes,0)))*1440,0)&lt;660,1,0),0),0))</f>
      </c>
      <c r="D77" s="1">
        <f>IF(OR(D$52=0,C28="",D28=""),0,IFERROR(IF(AND(INDEX(Arten,MATCH(C28,Codes,0))="Arbeit",INDEX(Arten,MATCH(D28,Codes,0))="Arbeit"),IF(ROUND((1+INDEX(Beginne,MATCH(D28,Codes,0))-INDEX(EndeRel,MATCH(C28,Codes,0)))*1440,0)&lt;660,1,0),0),0))</f>
      </c>
      <c r="E77" s="1">
        <f>IF(OR(E$52=0,D28="",E28=""),0,IFERROR(IF(AND(INDEX(Arten,MATCH(D28,Codes,0))="Arbeit",INDEX(Arten,MATCH(E28,Codes,0))="Arbeit"),IF(ROUND((1+INDEX(Beginne,MATCH(E28,Codes,0))-INDEX(EndeRel,MATCH(D28,Codes,0)))*1440,0)&lt;660,1,0),0),0))</f>
      </c>
      <c r="F77" s="1">
        <f>IF(OR(F$52=0,E28="",F28=""),0,IFERROR(IF(AND(INDEX(Arten,MATCH(E28,Codes,0))="Arbeit",INDEX(Arten,MATCH(F28,Codes,0))="Arbeit"),IF(ROUND((1+INDEX(Beginne,MATCH(F28,Codes,0))-INDEX(EndeRel,MATCH(E28,Codes,0)))*1440,0)&lt;660,1,0),0),0))</f>
      </c>
      <c r="G77" s="1">
        <f>IF(OR(G$52=0,F28="",G28=""),0,IFERROR(IF(AND(INDEX(Arten,MATCH(F28,Codes,0))="Arbeit",INDEX(Arten,MATCH(G28,Codes,0))="Arbeit"),IF(ROUND((1+INDEX(Beginne,MATCH(G28,Codes,0))-INDEX(EndeRel,MATCH(F28,Codes,0)))*1440,0)&lt;660,1,0),0),0))</f>
      </c>
      <c r="H77" s="1">
        <f>IF(OR(H$52=0,G28="",H28=""),0,IFERROR(IF(AND(INDEX(Arten,MATCH(G28,Codes,0))="Arbeit",INDEX(Arten,MATCH(H28,Codes,0))="Arbeit"),IF(ROUND((1+INDEX(Beginne,MATCH(H28,Codes,0))-INDEX(EndeRel,MATCH(G28,Codes,0)))*1440,0)&lt;660,1,0),0),0))</f>
      </c>
      <c r="I77" s="1">
        <f>IF(OR(I$52=0,H28="",I28=""),0,IFERROR(IF(AND(INDEX(Arten,MATCH(H28,Codes,0))="Arbeit",INDEX(Arten,MATCH(I28,Codes,0))="Arbeit"),IF(ROUND((1+INDEX(Beginne,MATCH(I28,Codes,0))-INDEX(EndeRel,MATCH(H28,Codes,0)))*1440,0)&lt;660,1,0),0),0))</f>
      </c>
      <c r="J77" s="1">
        <f>IF(OR(J$52=0,I28="",J28=""),0,IFERROR(IF(AND(INDEX(Arten,MATCH(I28,Codes,0))="Arbeit",INDEX(Arten,MATCH(J28,Codes,0))="Arbeit"),IF(ROUND((1+INDEX(Beginne,MATCH(J28,Codes,0))-INDEX(EndeRel,MATCH(I28,Codes,0)))*1440,0)&lt;660,1,0),0),0))</f>
      </c>
      <c r="K77" s="1">
        <f>IF(OR(K$52=0,J28="",K28=""),0,IFERROR(IF(AND(INDEX(Arten,MATCH(J28,Codes,0))="Arbeit",INDEX(Arten,MATCH(K28,Codes,0))="Arbeit"),IF(ROUND((1+INDEX(Beginne,MATCH(K28,Codes,0))-INDEX(EndeRel,MATCH(J28,Codes,0)))*1440,0)&lt;660,1,0),0),0))</f>
      </c>
      <c r="L77" s="1">
        <f>IF(OR(L$52=0,K28="",L28=""),0,IFERROR(IF(AND(INDEX(Arten,MATCH(K28,Codes,0))="Arbeit",INDEX(Arten,MATCH(L28,Codes,0))="Arbeit"),IF(ROUND((1+INDEX(Beginne,MATCH(L28,Codes,0))-INDEX(EndeRel,MATCH(K28,Codes,0)))*1440,0)&lt;660,1,0),0),0))</f>
      </c>
      <c r="M77" s="1">
        <f>IF(OR(M$52=0,L28="",M28=""),0,IFERROR(IF(AND(INDEX(Arten,MATCH(L28,Codes,0))="Arbeit",INDEX(Arten,MATCH(M28,Codes,0))="Arbeit"),IF(ROUND((1+INDEX(Beginne,MATCH(M28,Codes,0))-INDEX(EndeRel,MATCH(L28,Codes,0)))*1440,0)&lt;660,1,0),0),0))</f>
      </c>
      <c r="N77" s="1">
        <f>IF(OR(N$52=0,M28="",N28=""),0,IFERROR(IF(AND(INDEX(Arten,MATCH(M28,Codes,0))="Arbeit",INDEX(Arten,MATCH(N28,Codes,0))="Arbeit"),IF(ROUND((1+INDEX(Beginne,MATCH(N28,Codes,0))-INDEX(EndeRel,MATCH(M28,Codes,0)))*1440,0)&lt;660,1,0),0),0))</f>
      </c>
      <c r="O77" s="1">
        <f>IF(OR(O$52=0,N28="",O28=""),0,IFERROR(IF(AND(INDEX(Arten,MATCH(N28,Codes,0))="Arbeit",INDEX(Arten,MATCH(O28,Codes,0))="Arbeit"),IF(ROUND((1+INDEX(Beginne,MATCH(O28,Codes,0))-INDEX(EndeRel,MATCH(N28,Codes,0)))*1440,0)&lt;660,1,0),0),0))</f>
      </c>
      <c r="P77" s="1">
        <f>IF(OR(P$52=0,O28="",P28=""),0,IFERROR(IF(AND(INDEX(Arten,MATCH(O28,Codes,0))="Arbeit",INDEX(Arten,MATCH(P28,Codes,0))="Arbeit"),IF(ROUND((1+INDEX(Beginne,MATCH(P28,Codes,0))-INDEX(EndeRel,MATCH(O28,Codes,0)))*1440,0)&lt;660,1,0),0),0))</f>
      </c>
      <c r="Q77" s="1">
        <f>IF(OR(Q$52=0,P28="",Q28=""),0,IFERROR(IF(AND(INDEX(Arten,MATCH(P28,Codes,0))="Arbeit",INDEX(Arten,MATCH(Q28,Codes,0))="Arbeit"),IF(ROUND((1+INDEX(Beginne,MATCH(Q28,Codes,0))-INDEX(EndeRel,MATCH(P28,Codes,0)))*1440,0)&lt;660,1,0),0),0))</f>
      </c>
      <c r="R77" s="1">
        <f>IF(OR(R$52=0,Q28="",R28=""),0,IFERROR(IF(AND(INDEX(Arten,MATCH(Q28,Codes,0))="Arbeit",INDEX(Arten,MATCH(R28,Codes,0))="Arbeit"),IF(ROUND((1+INDEX(Beginne,MATCH(R28,Codes,0))-INDEX(EndeRel,MATCH(Q28,Codes,0)))*1440,0)&lt;660,1,0),0),0))</f>
      </c>
      <c r="S77" s="1">
        <f>IF(OR(S$52=0,R28="",S28=""),0,IFERROR(IF(AND(INDEX(Arten,MATCH(R28,Codes,0))="Arbeit",INDEX(Arten,MATCH(S28,Codes,0))="Arbeit"),IF(ROUND((1+INDEX(Beginne,MATCH(S28,Codes,0))-INDEX(EndeRel,MATCH(R28,Codes,0)))*1440,0)&lt;660,1,0),0),0))</f>
      </c>
      <c r="T77" s="1">
        <f>IF(OR(T$52=0,S28="",T28=""),0,IFERROR(IF(AND(INDEX(Arten,MATCH(S28,Codes,0))="Arbeit",INDEX(Arten,MATCH(T28,Codes,0))="Arbeit"),IF(ROUND((1+INDEX(Beginne,MATCH(T28,Codes,0))-INDEX(EndeRel,MATCH(S28,Codes,0)))*1440,0)&lt;660,1,0),0),0))</f>
      </c>
      <c r="U77" s="1">
        <f>IF(OR(U$52=0,T28="",U28=""),0,IFERROR(IF(AND(INDEX(Arten,MATCH(T28,Codes,0))="Arbeit",INDEX(Arten,MATCH(U28,Codes,0))="Arbeit"),IF(ROUND((1+INDEX(Beginne,MATCH(U28,Codes,0))-INDEX(EndeRel,MATCH(T28,Codes,0)))*1440,0)&lt;660,1,0),0),0))</f>
      </c>
      <c r="V77" s="1">
        <f>IF(OR(V$52=0,U28="",V28=""),0,IFERROR(IF(AND(INDEX(Arten,MATCH(U28,Codes,0))="Arbeit",INDEX(Arten,MATCH(V28,Codes,0))="Arbeit"),IF(ROUND((1+INDEX(Beginne,MATCH(V28,Codes,0))-INDEX(EndeRel,MATCH(U28,Codes,0)))*1440,0)&lt;660,1,0),0),0))</f>
      </c>
      <c r="W77" s="1">
        <f>IF(OR(W$52=0,V28="",W28=""),0,IFERROR(IF(AND(INDEX(Arten,MATCH(V28,Codes,0))="Arbeit",INDEX(Arten,MATCH(W28,Codes,0))="Arbeit"),IF(ROUND((1+INDEX(Beginne,MATCH(W28,Codes,0))-INDEX(EndeRel,MATCH(V28,Codes,0)))*1440,0)&lt;660,1,0),0),0))</f>
      </c>
      <c r="X77" s="1">
        <f>IF(OR(X$52=0,W28="",X28=""),0,IFERROR(IF(AND(INDEX(Arten,MATCH(W28,Codes,0))="Arbeit",INDEX(Arten,MATCH(X28,Codes,0))="Arbeit"),IF(ROUND((1+INDEX(Beginne,MATCH(X28,Codes,0))-INDEX(EndeRel,MATCH(W28,Codes,0)))*1440,0)&lt;660,1,0),0),0))</f>
      </c>
      <c r="Y77" s="1">
        <f>IF(OR(Y$52=0,X28="",Y28=""),0,IFERROR(IF(AND(INDEX(Arten,MATCH(X28,Codes,0))="Arbeit",INDEX(Arten,MATCH(Y28,Codes,0))="Arbeit"),IF(ROUND((1+INDEX(Beginne,MATCH(Y28,Codes,0))-INDEX(EndeRel,MATCH(X28,Codes,0)))*1440,0)&lt;660,1,0),0),0))</f>
      </c>
      <c r="Z77" s="1">
        <f>IF(OR(Z$52=0,Y28="",Z28=""),0,IFERROR(IF(AND(INDEX(Arten,MATCH(Y28,Codes,0))="Arbeit",INDEX(Arten,MATCH(Z28,Codes,0))="Arbeit"),IF(ROUND((1+INDEX(Beginne,MATCH(Z28,Codes,0))-INDEX(EndeRel,MATCH(Y28,Codes,0)))*1440,0)&lt;660,1,0),0),0))</f>
      </c>
      <c r="AA77" s="1">
        <f>IF(OR(AA$52=0,Z28="",AA28=""),0,IFERROR(IF(AND(INDEX(Arten,MATCH(Z28,Codes,0))="Arbeit",INDEX(Arten,MATCH(AA28,Codes,0))="Arbeit"),IF(ROUND((1+INDEX(Beginne,MATCH(AA28,Codes,0))-INDEX(EndeRel,MATCH(Z28,Codes,0)))*1440,0)&lt;660,1,0),0),0))</f>
      </c>
      <c r="AB77" s="1">
        <f>IF(OR(AB$52=0,AA28="",AB28=""),0,IFERROR(IF(AND(INDEX(Arten,MATCH(AA28,Codes,0))="Arbeit",INDEX(Arten,MATCH(AB28,Codes,0))="Arbeit"),IF(ROUND((1+INDEX(Beginne,MATCH(AB28,Codes,0))-INDEX(EndeRel,MATCH(AA28,Codes,0)))*1440,0)&lt;660,1,0),0),0))</f>
      </c>
      <c r="AC77" s="1">
        <f>IF(OR(AC$52=0,AB28="",AC28=""),0,IFERROR(IF(AND(INDEX(Arten,MATCH(AB28,Codes,0))="Arbeit",INDEX(Arten,MATCH(AC28,Codes,0))="Arbeit"),IF(ROUND((1+INDEX(Beginne,MATCH(AC28,Codes,0))-INDEX(EndeRel,MATCH(AB28,Codes,0)))*1440,0)&lt;660,1,0),0),0))</f>
      </c>
      <c r="AD77" s="1">
        <f>IF(OR(AD$52=0,AC28="",AD28=""),0,IFERROR(IF(AND(INDEX(Arten,MATCH(AC28,Codes,0))="Arbeit",INDEX(Arten,MATCH(AD28,Codes,0))="Arbeit"),IF(ROUND((1+INDEX(Beginne,MATCH(AD28,Codes,0))-INDEX(EndeRel,MATCH(AC28,Codes,0)))*1440,0)&lt;660,1,0),0),0))</f>
      </c>
      <c r="AE77" s="1">
        <f>IF(OR(AE$52=0,AD28="",AE28=""),0,IFERROR(IF(AND(INDEX(Arten,MATCH(AD28,Codes,0))="Arbeit",INDEX(Arten,MATCH(AE28,Codes,0))="Arbeit"),IF(ROUND((1+INDEX(Beginne,MATCH(AE28,Codes,0))-INDEX(EndeRel,MATCH(AD28,Codes,0)))*1440,0)&lt;660,1,0),0),0))</f>
      </c>
      <c r="AF77" s="1">
        <f>IF(OR(AF$52=0,AE28="",AF28=""),0,IFERROR(IF(AND(INDEX(Arten,MATCH(AE28,Codes,0))="Arbeit",INDEX(Arten,MATCH(AF28,Codes,0))="Arbeit"),IF(ROUND((1+INDEX(Beginne,MATCH(AF28,Codes,0))-INDEX(EndeRel,MATCH(AE28,Codes,0)))*1440,0)&lt;660,1,0),0),0))</f>
      </c>
    </row>
    <row r="78" hidden="1" spans="1:32" x14ac:dyDescent="0.25">
      <c r="A78" s="1"/>
      <c r="B78" s="1">
        <f>IF(OR(B$52=0,INDEX('Januar'!$B$29:$AF$29,DAY(DATE(Jahr,2,0)))="",B29=""),0,IFERROR(IF(AND(INDEX(Arten,MATCH(INDEX('Januar'!$B$29:$AF$29,DAY(DATE(Jahr,2,0))),Codes,0))="Arbeit",INDEX(Arten,MATCH(B29,Codes,0))="Arbeit"),IF(ROUND((1+INDEX(Beginne,MATCH(B29,Codes,0))-INDEX(EndeRel,MATCH(INDEX('Januar'!$B$29:$AF$29,DAY(DATE(Jahr,2,0))),Codes,0)))*1440,0)&lt;660,1,0),0),0))</f>
      </c>
      <c r="C78" s="1">
        <f>IF(OR(C$52=0,B29="",C29=""),0,IFERROR(IF(AND(INDEX(Arten,MATCH(B29,Codes,0))="Arbeit",INDEX(Arten,MATCH(C29,Codes,0))="Arbeit"),IF(ROUND((1+INDEX(Beginne,MATCH(C29,Codes,0))-INDEX(EndeRel,MATCH(B29,Codes,0)))*1440,0)&lt;660,1,0),0),0))</f>
      </c>
      <c r="D78" s="1">
        <f>IF(OR(D$52=0,C29="",D29=""),0,IFERROR(IF(AND(INDEX(Arten,MATCH(C29,Codes,0))="Arbeit",INDEX(Arten,MATCH(D29,Codes,0))="Arbeit"),IF(ROUND((1+INDEX(Beginne,MATCH(D29,Codes,0))-INDEX(EndeRel,MATCH(C29,Codes,0)))*1440,0)&lt;660,1,0),0),0))</f>
      </c>
      <c r="E78" s="1">
        <f>IF(OR(E$52=0,D29="",E29=""),0,IFERROR(IF(AND(INDEX(Arten,MATCH(D29,Codes,0))="Arbeit",INDEX(Arten,MATCH(E29,Codes,0))="Arbeit"),IF(ROUND((1+INDEX(Beginne,MATCH(E29,Codes,0))-INDEX(EndeRel,MATCH(D29,Codes,0)))*1440,0)&lt;660,1,0),0),0))</f>
      </c>
      <c r="F78" s="1">
        <f>IF(OR(F$52=0,E29="",F29=""),0,IFERROR(IF(AND(INDEX(Arten,MATCH(E29,Codes,0))="Arbeit",INDEX(Arten,MATCH(F29,Codes,0))="Arbeit"),IF(ROUND((1+INDEX(Beginne,MATCH(F29,Codes,0))-INDEX(EndeRel,MATCH(E29,Codes,0)))*1440,0)&lt;660,1,0),0),0))</f>
      </c>
      <c r="G78" s="1">
        <f>IF(OR(G$52=0,F29="",G29=""),0,IFERROR(IF(AND(INDEX(Arten,MATCH(F29,Codes,0))="Arbeit",INDEX(Arten,MATCH(G29,Codes,0))="Arbeit"),IF(ROUND((1+INDEX(Beginne,MATCH(G29,Codes,0))-INDEX(EndeRel,MATCH(F29,Codes,0)))*1440,0)&lt;660,1,0),0),0))</f>
      </c>
      <c r="H78" s="1">
        <f>IF(OR(H$52=0,G29="",H29=""),0,IFERROR(IF(AND(INDEX(Arten,MATCH(G29,Codes,0))="Arbeit",INDEX(Arten,MATCH(H29,Codes,0))="Arbeit"),IF(ROUND((1+INDEX(Beginne,MATCH(H29,Codes,0))-INDEX(EndeRel,MATCH(G29,Codes,0)))*1440,0)&lt;660,1,0),0),0))</f>
      </c>
      <c r="I78" s="1">
        <f>IF(OR(I$52=0,H29="",I29=""),0,IFERROR(IF(AND(INDEX(Arten,MATCH(H29,Codes,0))="Arbeit",INDEX(Arten,MATCH(I29,Codes,0))="Arbeit"),IF(ROUND((1+INDEX(Beginne,MATCH(I29,Codes,0))-INDEX(EndeRel,MATCH(H29,Codes,0)))*1440,0)&lt;660,1,0),0),0))</f>
      </c>
      <c r="J78" s="1">
        <f>IF(OR(J$52=0,I29="",J29=""),0,IFERROR(IF(AND(INDEX(Arten,MATCH(I29,Codes,0))="Arbeit",INDEX(Arten,MATCH(J29,Codes,0))="Arbeit"),IF(ROUND((1+INDEX(Beginne,MATCH(J29,Codes,0))-INDEX(EndeRel,MATCH(I29,Codes,0)))*1440,0)&lt;660,1,0),0),0))</f>
      </c>
      <c r="K78" s="1">
        <f>IF(OR(K$52=0,J29="",K29=""),0,IFERROR(IF(AND(INDEX(Arten,MATCH(J29,Codes,0))="Arbeit",INDEX(Arten,MATCH(K29,Codes,0))="Arbeit"),IF(ROUND((1+INDEX(Beginne,MATCH(K29,Codes,0))-INDEX(EndeRel,MATCH(J29,Codes,0)))*1440,0)&lt;660,1,0),0),0))</f>
      </c>
      <c r="L78" s="1">
        <f>IF(OR(L$52=0,K29="",L29=""),0,IFERROR(IF(AND(INDEX(Arten,MATCH(K29,Codes,0))="Arbeit",INDEX(Arten,MATCH(L29,Codes,0))="Arbeit"),IF(ROUND((1+INDEX(Beginne,MATCH(L29,Codes,0))-INDEX(EndeRel,MATCH(K29,Codes,0)))*1440,0)&lt;660,1,0),0),0))</f>
      </c>
      <c r="M78" s="1">
        <f>IF(OR(M$52=0,L29="",M29=""),0,IFERROR(IF(AND(INDEX(Arten,MATCH(L29,Codes,0))="Arbeit",INDEX(Arten,MATCH(M29,Codes,0))="Arbeit"),IF(ROUND((1+INDEX(Beginne,MATCH(M29,Codes,0))-INDEX(EndeRel,MATCH(L29,Codes,0)))*1440,0)&lt;660,1,0),0),0))</f>
      </c>
      <c r="N78" s="1">
        <f>IF(OR(N$52=0,M29="",N29=""),0,IFERROR(IF(AND(INDEX(Arten,MATCH(M29,Codes,0))="Arbeit",INDEX(Arten,MATCH(N29,Codes,0))="Arbeit"),IF(ROUND((1+INDEX(Beginne,MATCH(N29,Codes,0))-INDEX(EndeRel,MATCH(M29,Codes,0)))*1440,0)&lt;660,1,0),0),0))</f>
      </c>
      <c r="O78" s="1">
        <f>IF(OR(O$52=0,N29="",O29=""),0,IFERROR(IF(AND(INDEX(Arten,MATCH(N29,Codes,0))="Arbeit",INDEX(Arten,MATCH(O29,Codes,0))="Arbeit"),IF(ROUND((1+INDEX(Beginne,MATCH(O29,Codes,0))-INDEX(EndeRel,MATCH(N29,Codes,0)))*1440,0)&lt;660,1,0),0),0))</f>
      </c>
      <c r="P78" s="1">
        <f>IF(OR(P$52=0,O29="",P29=""),0,IFERROR(IF(AND(INDEX(Arten,MATCH(O29,Codes,0))="Arbeit",INDEX(Arten,MATCH(P29,Codes,0))="Arbeit"),IF(ROUND((1+INDEX(Beginne,MATCH(P29,Codes,0))-INDEX(EndeRel,MATCH(O29,Codes,0)))*1440,0)&lt;660,1,0),0),0))</f>
      </c>
      <c r="Q78" s="1">
        <f>IF(OR(Q$52=0,P29="",Q29=""),0,IFERROR(IF(AND(INDEX(Arten,MATCH(P29,Codes,0))="Arbeit",INDEX(Arten,MATCH(Q29,Codes,0))="Arbeit"),IF(ROUND((1+INDEX(Beginne,MATCH(Q29,Codes,0))-INDEX(EndeRel,MATCH(P29,Codes,0)))*1440,0)&lt;660,1,0),0),0))</f>
      </c>
      <c r="R78" s="1">
        <f>IF(OR(R$52=0,Q29="",R29=""),0,IFERROR(IF(AND(INDEX(Arten,MATCH(Q29,Codes,0))="Arbeit",INDEX(Arten,MATCH(R29,Codes,0))="Arbeit"),IF(ROUND((1+INDEX(Beginne,MATCH(R29,Codes,0))-INDEX(EndeRel,MATCH(Q29,Codes,0)))*1440,0)&lt;660,1,0),0),0))</f>
      </c>
      <c r="S78" s="1">
        <f>IF(OR(S$52=0,R29="",S29=""),0,IFERROR(IF(AND(INDEX(Arten,MATCH(R29,Codes,0))="Arbeit",INDEX(Arten,MATCH(S29,Codes,0))="Arbeit"),IF(ROUND((1+INDEX(Beginne,MATCH(S29,Codes,0))-INDEX(EndeRel,MATCH(R29,Codes,0)))*1440,0)&lt;660,1,0),0),0))</f>
      </c>
      <c r="T78" s="1">
        <f>IF(OR(T$52=0,S29="",T29=""),0,IFERROR(IF(AND(INDEX(Arten,MATCH(S29,Codes,0))="Arbeit",INDEX(Arten,MATCH(T29,Codes,0))="Arbeit"),IF(ROUND((1+INDEX(Beginne,MATCH(T29,Codes,0))-INDEX(EndeRel,MATCH(S29,Codes,0)))*1440,0)&lt;660,1,0),0),0))</f>
      </c>
      <c r="U78" s="1">
        <f>IF(OR(U$52=0,T29="",U29=""),0,IFERROR(IF(AND(INDEX(Arten,MATCH(T29,Codes,0))="Arbeit",INDEX(Arten,MATCH(U29,Codes,0))="Arbeit"),IF(ROUND((1+INDEX(Beginne,MATCH(U29,Codes,0))-INDEX(EndeRel,MATCH(T29,Codes,0)))*1440,0)&lt;660,1,0),0),0))</f>
      </c>
      <c r="V78" s="1">
        <f>IF(OR(V$52=0,U29="",V29=""),0,IFERROR(IF(AND(INDEX(Arten,MATCH(U29,Codes,0))="Arbeit",INDEX(Arten,MATCH(V29,Codes,0))="Arbeit"),IF(ROUND((1+INDEX(Beginne,MATCH(V29,Codes,0))-INDEX(EndeRel,MATCH(U29,Codes,0)))*1440,0)&lt;660,1,0),0),0))</f>
      </c>
      <c r="W78" s="1">
        <f>IF(OR(W$52=0,V29="",W29=""),0,IFERROR(IF(AND(INDEX(Arten,MATCH(V29,Codes,0))="Arbeit",INDEX(Arten,MATCH(W29,Codes,0))="Arbeit"),IF(ROUND((1+INDEX(Beginne,MATCH(W29,Codes,0))-INDEX(EndeRel,MATCH(V29,Codes,0)))*1440,0)&lt;660,1,0),0),0))</f>
      </c>
      <c r="X78" s="1">
        <f>IF(OR(X$52=0,W29="",X29=""),0,IFERROR(IF(AND(INDEX(Arten,MATCH(W29,Codes,0))="Arbeit",INDEX(Arten,MATCH(X29,Codes,0))="Arbeit"),IF(ROUND((1+INDEX(Beginne,MATCH(X29,Codes,0))-INDEX(EndeRel,MATCH(W29,Codes,0)))*1440,0)&lt;660,1,0),0),0))</f>
      </c>
      <c r="Y78" s="1">
        <f>IF(OR(Y$52=0,X29="",Y29=""),0,IFERROR(IF(AND(INDEX(Arten,MATCH(X29,Codes,0))="Arbeit",INDEX(Arten,MATCH(Y29,Codes,0))="Arbeit"),IF(ROUND((1+INDEX(Beginne,MATCH(Y29,Codes,0))-INDEX(EndeRel,MATCH(X29,Codes,0)))*1440,0)&lt;660,1,0),0),0))</f>
      </c>
      <c r="Z78" s="1">
        <f>IF(OR(Z$52=0,Y29="",Z29=""),0,IFERROR(IF(AND(INDEX(Arten,MATCH(Y29,Codes,0))="Arbeit",INDEX(Arten,MATCH(Z29,Codes,0))="Arbeit"),IF(ROUND((1+INDEX(Beginne,MATCH(Z29,Codes,0))-INDEX(EndeRel,MATCH(Y29,Codes,0)))*1440,0)&lt;660,1,0),0),0))</f>
      </c>
      <c r="AA78" s="1">
        <f>IF(OR(AA$52=0,Z29="",AA29=""),0,IFERROR(IF(AND(INDEX(Arten,MATCH(Z29,Codes,0))="Arbeit",INDEX(Arten,MATCH(AA29,Codes,0))="Arbeit"),IF(ROUND((1+INDEX(Beginne,MATCH(AA29,Codes,0))-INDEX(EndeRel,MATCH(Z29,Codes,0)))*1440,0)&lt;660,1,0),0),0))</f>
      </c>
      <c r="AB78" s="1">
        <f>IF(OR(AB$52=0,AA29="",AB29=""),0,IFERROR(IF(AND(INDEX(Arten,MATCH(AA29,Codes,0))="Arbeit",INDEX(Arten,MATCH(AB29,Codes,0))="Arbeit"),IF(ROUND((1+INDEX(Beginne,MATCH(AB29,Codes,0))-INDEX(EndeRel,MATCH(AA29,Codes,0)))*1440,0)&lt;660,1,0),0),0))</f>
      </c>
      <c r="AC78" s="1">
        <f>IF(OR(AC$52=0,AB29="",AC29=""),0,IFERROR(IF(AND(INDEX(Arten,MATCH(AB29,Codes,0))="Arbeit",INDEX(Arten,MATCH(AC29,Codes,0))="Arbeit"),IF(ROUND((1+INDEX(Beginne,MATCH(AC29,Codes,0))-INDEX(EndeRel,MATCH(AB29,Codes,0)))*1440,0)&lt;660,1,0),0),0))</f>
      </c>
      <c r="AD78" s="1">
        <f>IF(OR(AD$52=0,AC29="",AD29=""),0,IFERROR(IF(AND(INDEX(Arten,MATCH(AC29,Codes,0))="Arbeit",INDEX(Arten,MATCH(AD29,Codes,0))="Arbeit"),IF(ROUND((1+INDEX(Beginne,MATCH(AD29,Codes,0))-INDEX(EndeRel,MATCH(AC29,Codes,0)))*1440,0)&lt;660,1,0),0),0))</f>
      </c>
      <c r="AE78" s="1">
        <f>IF(OR(AE$52=0,AD29="",AE29=""),0,IFERROR(IF(AND(INDEX(Arten,MATCH(AD29,Codes,0))="Arbeit",INDEX(Arten,MATCH(AE29,Codes,0))="Arbeit"),IF(ROUND((1+INDEX(Beginne,MATCH(AE29,Codes,0))-INDEX(EndeRel,MATCH(AD29,Codes,0)))*1440,0)&lt;660,1,0),0),0))</f>
      </c>
      <c r="AF78" s="1">
        <f>IF(OR(AF$52=0,AE29="",AF29=""),0,IFERROR(IF(AND(INDEX(Arten,MATCH(AE29,Codes,0))="Arbeit",INDEX(Arten,MATCH(AF29,Codes,0))="Arbeit"),IF(ROUND((1+INDEX(Beginne,MATCH(AF29,Codes,0))-INDEX(EndeRel,MATCH(AE29,Codes,0)))*1440,0)&lt;660,1,0),0),0))</f>
      </c>
    </row>
    <row r="79" hidden="1" spans="1:32" x14ac:dyDescent="0.25">
      <c r="A79" s="1"/>
      <c r="B79" s="1">
        <f>IF(OR(B$52=0,INDEX('Januar'!$B$30:$AF$30,DAY(DATE(Jahr,2,0)))="",B30=""),0,IFERROR(IF(AND(INDEX(Arten,MATCH(INDEX('Januar'!$B$30:$AF$30,DAY(DATE(Jahr,2,0))),Codes,0))="Arbeit",INDEX(Arten,MATCH(B30,Codes,0))="Arbeit"),IF(ROUND((1+INDEX(Beginne,MATCH(B30,Codes,0))-INDEX(EndeRel,MATCH(INDEX('Januar'!$B$30:$AF$30,DAY(DATE(Jahr,2,0))),Codes,0)))*1440,0)&lt;660,1,0),0),0))</f>
      </c>
      <c r="C79" s="1">
        <f>IF(OR(C$52=0,B30="",C30=""),0,IFERROR(IF(AND(INDEX(Arten,MATCH(B30,Codes,0))="Arbeit",INDEX(Arten,MATCH(C30,Codes,0))="Arbeit"),IF(ROUND((1+INDEX(Beginne,MATCH(C30,Codes,0))-INDEX(EndeRel,MATCH(B30,Codes,0)))*1440,0)&lt;660,1,0),0),0))</f>
      </c>
      <c r="D79" s="1">
        <f>IF(OR(D$52=0,C30="",D30=""),0,IFERROR(IF(AND(INDEX(Arten,MATCH(C30,Codes,0))="Arbeit",INDEX(Arten,MATCH(D30,Codes,0))="Arbeit"),IF(ROUND((1+INDEX(Beginne,MATCH(D30,Codes,0))-INDEX(EndeRel,MATCH(C30,Codes,0)))*1440,0)&lt;660,1,0),0),0))</f>
      </c>
      <c r="E79" s="1">
        <f>IF(OR(E$52=0,D30="",E30=""),0,IFERROR(IF(AND(INDEX(Arten,MATCH(D30,Codes,0))="Arbeit",INDEX(Arten,MATCH(E30,Codes,0))="Arbeit"),IF(ROUND((1+INDEX(Beginne,MATCH(E30,Codes,0))-INDEX(EndeRel,MATCH(D30,Codes,0)))*1440,0)&lt;660,1,0),0),0))</f>
      </c>
      <c r="F79" s="1">
        <f>IF(OR(F$52=0,E30="",F30=""),0,IFERROR(IF(AND(INDEX(Arten,MATCH(E30,Codes,0))="Arbeit",INDEX(Arten,MATCH(F30,Codes,0))="Arbeit"),IF(ROUND((1+INDEX(Beginne,MATCH(F30,Codes,0))-INDEX(EndeRel,MATCH(E30,Codes,0)))*1440,0)&lt;660,1,0),0),0))</f>
      </c>
      <c r="G79" s="1">
        <f>IF(OR(G$52=0,F30="",G30=""),0,IFERROR(IF(AND(INDEX(Arten,MATCH(F30,Codes,0))="Arbeit",INDEX(Arten,MATCH(G30,Codes,0))="Arbeit"),IF(ROUND((1+INDEX(Beginne,MATCH(G30,Codes,0))-INDEX(EndeRel,MATCH(F30,Codes,0)))*1440,0)&lt;660,1,0),0),0))</f>
      </c>
      <c r="H79" s="1">
        <f>IF(OR(H$52=0,G30="",H30=""),0,IFERROR(IF(AND(INDEX(Arten,MATCH(G30,Codes,0))="Arbeit",INDEX(Arten,MATCH(H30,Codes,0))="Arbeit"),IF(ROUND((1+INDEX(Beginne,MATCH(H30,Codes,0))-INDEX(EndeRel,MATCH(G30,Codes,0)))*1440,0)&lt;660,1,0),0),0))</f>
      </c>
      <c r="I79" s="1">
        <f>IF(OR(I$52=0,H30="",I30=""),0,IFERROR(IF(AND(INDEX(Arten,MATCH(H30,Codes,0))="Arbeit",INDEX(Arten,MATCH(I30,Codes,0))="Arbeit"),IF(ROUND((1+INDEX(Beginne,MATCH(I30,Codes,0))-INDEX(EndeRel,MATCH(H30,Codes,0)))*1440,0)&lt;660,1,0),0),0))</f>
      </c>
      <c r="J79" s="1">
        <f>IF(OR(J$52=0,I30="",J30=""),0,IFERROR(IF(AND(INDEX(Arten,MATCH(I30,Codes,0))="Arbeit",INDEX(Arten,MATCH(J30,Codes,0))="Arbeit"),IF(ROUND((1+INDEX(Beginne,MATCH(J30,Codes,0))-INDEX(EndeRel,MATCH(I30,Codes,0)))*1440,0)&lt;660,1,0),0),0))</f>
      </c>
      <c r="K79" s="1">
        <f>IF(OR(K$52=0,J30="",K30=""),0,IFERROR(IF(AND(INDEX(Arten,MATCH(J30,Codes,0))="Arbeit",INDEX(Arten,MATCH(K30,Codes,0))="Arbeit"),IF(ROUND((1+INDEX(Beginne,MATCH(K30,Codes,0))-INDEX(EndeRel,MATCH(J30,Codes,0)))*1440,0)&lt;660,1,0),0),0))</f>
      </c>
      <c r="L79" s="1">
        <f>IF(OR(L$52=0,K30="",L30=""),0,IFERROR(IF(AND(INDEX(Arten,MATCH(K30,Codes,0))="Arbeit",INDEX(Arten,MATCH(L30,Codes,0))="Arbeit"),IF(ROUND((1+INDEX(Beginne,MATCH(L30,Codes,0))-INDEX(EndeRel,MATCH(K30,Codes,0)))*1440,0)&lt;660,1,0),0),0))</f>
      </c>
      <c r="M79" s="1">
        <f>IF(OR(M$52=0,L30="",M30=""),0,IFERROR(IF(AND(INDEX(Arten,MATCH(L30,Codes,0))="Arbeit",INDEX(Arten,MATCH(M30,Codes,0))="Arbeit"),IF(ROUND((1+INDEX(Beginne,MATCH(M30,Codes,0))-INDEX(EndeRel,MATCH(L30,Codes,0)))*1440,0)&lt;660,1,0),0),0))</f>
      </c>
      <c r="N79" s="1">
        <f>IF(OR(N$52=0,M30="",N30=""),0,IFERROR(IF(AND(INDEX(Arten,MATCH(M30,Codes,0))="Arbeit",INDEX(Arten,MATCH(N30,Codes,0))="Arbeit"),IF(ROUND((1+INDEX(Beginne,MATCH(N30,Codes,0))-INDEX(EndeRel,MATCH(M30,Codes,0)))*1440,0)&lt;660,1,0),0),0))</f>
      </c>
      <c r="O79" s="1">
        <f>IF(OR(O$52=0,N30="",O30=""),0,IFERROR(IF(AND(INDEX(Arten,MATCH(N30,Codes,0))="Arbeit",INDEX(Arten,MATCH(O30,Codes,0))="Arbeit"),IF(ROUND((1+INDEX(Beginne,MATCH(O30,Codes,0))-INDEX(EndeRel,MATCH(N30,Codes,0)))*1440,0)&lt;660,1,0),0),0))</f>
      </c>
      <c r="P79" s="1">
        <f>IF(OR(P$52=0,O30="",P30=""),0,IFERROR(IF(AND(INDEX(Arten,MATCH(O30,Codes,0))="Arbeit",INDEX(Arten,MATCH(P30,Codes,0))="Arbeit"),IF(ROUND((1+INDEX(Beginne,MATCH(P30,Codes,0))-INDEX(EndeRel,MATCH(O30,Codes,0)))*1440,0)&lt;660,1,0),0),0))</f>
      </c>
      <c r="Q79" s="1">
        <f>IF(OR(Q$52=0,P30="",Q30=""),0,IFERROR(IF(AND(INDEX(Arten,MATCH(P30,Codes,0))="Arbeit",INDEX(Arten,MATCH(Q30,Codes,0))="Arbeit"),IF(ROUND((1+INDEX(Beginne,MATCH(Q30,Codes,0))-INDEX(EndeRel,MATCH(P30,Codes,0)))*1440,0)&lt;660,1,0),0),0))</f>
      </c>
      <c r="R79" s="1">
        <f>IF(OR(R$52=0,Q30="",R30=""),0,IFERROR(IF(AND(INDEX(Arten,MATCH(Q30,Codes,0))="Arbeit",INDEX(Arten,MATCH(R30,Codes,0))="Arbeit"),IF(ROUND((1+INDEX(Beginne,MATCH(R30,Codes,0))-INDEX(EndeRel,MATCH(Q30,Codes,0)))*1440,0)&lt;660,1,0),0),0))</f>
      </c>
      <c r="S79" s="1">
        <f>IF(OR(S$52=0,R30="",S30=""),0,IFERROR(IF(AND(INDEX(Arten,MATCH(R30,Codes,0))="Arbeit",INDEX(Arten,MATCH(S30,Codes,0))="Arbeit"),IF(ROUND((1+INDEX(Beginne,MATCH(S30,Codes,0))-INDEX(EndeRel,MATCH(R30,Codes,0)))*1440,0)&lt;660,1,0),0),0))</f>
      </c>
      <c r="T79" s="1">
        <f>IF(OR(T$52=0,S30="",T30=""),0,IFERROR(IF(AND(INDEX(Arten,MATCH(S30,Codes,0))="Arbeit",INDEX(Arten,MATCH(T30,Codes,0))="Arbeit"),IF(ROUND((1+INDEX(Beginne,MATCH(T30,Codes,0))-INDEX(EndeRel,MATCH(S30,Codes,0)))*1440,0)&lt;660,1,0),0),0))</f>
      </c>
      <c r="U79" s="1">
        <f>IF(OR(U$52=0,T30="",U30=""),0,IFERROR(IF(AND(INDEX(Arten,MATCH(T30,Codes,0))="Arbeit",INDEX(Arten,MATCH(U30,Codes,0))="Arbeit"),IF(ROUND((1+INDEX(Beginne,MATCH(U30,Codes,0))-INDEX(EndeRel,MATCH(T30,Codes,0)))*1440,0)&lt;660,1,0),0),0))</f>
      </c>
      <c r="V79" s="1">
        <f>IF(OR(V$52=0,U30="",V30=""),0,IFERROR(IF(AND(INDEX(Arten,MATCH(U30,Codes,0))="Arbeit",INDEX(Arten,MATCH(V30,Codes,0))="Arbeit"),IF(ROUND((1+INDEX(Beginne,MATCH(V30,Codes,0))-INDEX(EndeRel,MATCH(U30,Codes,0)))*1440,0)&lt;660,1,0),0),0))</f>
      </c>
      <c r="W79" s="1">
        <f>IF(OR(W$52=0,V30="",W30=""),0,IFERROR(IF(AND(INDEX(Arten,MATCH(V30,Codes,0))="Arbeit",INDEX(Arten,MATCH(W30,Codes,0))="Arbeit"),IF(ROUND((1+INDEX(Beginne,MATCH(W30,Codes,0))-INDEX(EndeRel,MATCH(V30,Codes,0)))*1440,0)&lt;660,1,0),0),0))</f>
      </c>
      <c r="X79" s="1">
        <f>IF(OR(X$52=0,W30="",X30=""),0,IFERROR(IF(AND(INDEX(Arten,MATCH(W30,Codes,0))="Arbeit",INDEX(Arten,MATCH(X30,Codes,0))="Arbeit"),IF(ROUND((1+INDEX(Beginne,MATCH(X30,Codes,0))-INDEX(EndeRel,MATCH(W30,Codes,0)))*1440,0)&lt;660,1,0),0),0))</f>
      </c>
      <c r="Y79" s="1">
        <f>IF(OR(Y$52=0,X30="",Y30=""),0,IFERROR(IF(AND(INDEX(Arten,MATCH(X30,Codes,0))="Arbeit",INDEX(Arten,MATCH(Y30,Codes,0))="Arbeit"),IF(ROUND((1+INDEX(Beginne,MATCH(Y30,Codes,0))-INDEX(EndeRel,MATCH(X30,Codes,0)))*1440,0)&lt;660,1,0),0),0))</f>
      </c>
      <c r="Z79" s="1">
        <f>IF(OR(Z$52=0,Y30="",Z30=""),0,IFERROR(IF(AND(INDEX(Arten,MATCH(Y30,Codes,0))="Arbeit",INDEX(Arten,MATCH(Z30,Codes,0))="Arbeit"),IF(ROUND((1+INDEX(Beginne,MATCH(Z30,Codes,0))-INDEX(EndeRel,MATCH(Y30,Codes,0)))*1440,0)&lt;660,1,0),0),0))</f>
      </c>
      <c r="AA79" s="1">
        <f>IF(OR(AA$52=0,Z30="",AA30=""),0,IFERROR(IF(AND(INDEX(Arten,MATCH(Z30,Codes,0))="Arbeit",INDEX(Arten,MATCH(AA30,Codes,0))="Arbeit"),IF(ROUND((1+INDEX(Beginne,MATCH(AA30,Codes,0))-INDEX(EndeRel,MATCH(Z30,Codes,0)))*1440,0)&lt;660,1,0),0),0))</f>
      </c>
      <c r="AB79" s="1">
        <f>IF(OR(AB$52=0,AA30="",AB30=""),0,IFERROR(IF(AND(INDEX(Arten,MATCH(AA30,Codes,0))="Arbeit",INDEX(Arten,MATCH(AB30,Codes,0))="Arbeit"),IF(ROUND((1+INDEX(Beginne,MATCH(AB30,Codes,0))-INDEX(EndeRel,MATCH(AA30,Codes,0)))*1440,0)&lt;660,1,0),0),0))</f>
      </c>
      <c r="AC79" s="1">
        <f>IF(OR(AC$52=0,AB30="",AC30=""),0,IFERROR(IF(AND(INDEX(Arten,MATCH(AB30,Codes,0))="Arbeit",INDEX(Arten,MATCH(AC30,Codes,0))="Arbeit"),IF(ROUND((1+INDEX(Beginne,MATCH(AC30,Codes,0))-INDEX(EndeRel,MATCH(AB30,Codes,0)))*1440,0)&lt;660,1,0),0),0))</f>
      </c>
      <c r="AD79" s="1">
        <f>IF(OR(AD$52=0,AC30="",AD30=""),0,IFERROR(IF(AND(INDEX(Arten,MATCH(AC30,Codes,0))="Arbeit",INDEX(Arten,MATCH(AD30,Codes,0))="Arbeit"),IF(ROUND((1+INDEX(Beginne,MATCH(AD30,Codes,0))-INDEX(EndeRel,MATCH(AC30,Codes,0)))*1440,0)&lt;660,1,0),0),0))</f>
      </c>
      <c r="AE79" s="1">
        <f>IF(OR(AE$52=0,AD30="",AE30=""),0,IFERROR(IF(AND(INDEX(Arten,MATCH(AD30,Codes,0))="Arbeit",INDEX(Arten,MATCH(AE30,Codes,0))="Arbeit"),IF(ROUND((1+INDEX(Beginne,MATCH(AE30,Codes,0))-INDEX(EndeRel,MATCH(AD30,Codes,0)))*1440,0)&lt;660,1,0),0),0))</f>
      </c>
      <c r="AF79" s="1">
        <f>IF(OR(AF$52=0,AE30="",AF30=""),0,IFERROR(IF(AND(INDEX(Arten,MATCH(AE30,Codes,0))="Arbeit",INDEX(Arten,MATCH(AF30,Codes,0))="Arbeit"),IF(ROUND((1+INDEX(Beginne,MATCH(AF30,Codes,0))-INDEX(EndeRel,MATCH(AE30,Codes,0)))*1440,0)&lt;660,1,0),0),0))</f>
      </c>
    </row>
    <row r="80" hidden="1" spans="1:32" x14ac:dyDescent="0.25">
      <c r="A80" s="1"/>
      <c r="B80" s="1">
        <f>IF(OR(B$52=0,INDEX('Januar'!$B$31:$AF$31,DAY(DATE(Jahr,2,0)))="",B31=""),0,IFERROR(IF(AND(INDEX(Arten,MATCH(INDEX('Januar'!$B$31:$AF$31,DAY(DATE(Jahr,2,0))),Codes,0))="Arbeit",INDEX(Arten,MATCH(B31,Codes,0))="Arbeit"),IF(ROUND((1+INDEX(Beginne,MATCH(B31,Codes,0))-INDEX(EndeRel,MATCH(INDEX('Januar'!$B$31:$AF$31,DAY(DATE(Jahr,2,0))),Codes,0)))*1440,0)&lt;660,1,0),0),0))</f>
      </c>
      <c r="C80" s="1">
        <f>IF(OR(C$52=0,B31="",C31=""),0,IFERROR(IF(AND(INDEX(Arten,MATCH(B31,Codes,0))="Arbeit",INDEX(Arten,MATCH(C31,Codes,0))="Arbeit"),IF(ROUND((1+INDEX(Beginne,MATCH(C31,Codes,0))-INDEX(EndeRel,MATCH(B31,Codes,0)))*1440,0)&lt;660,1,0),0),0))</f>
      </c>
      <c r="D80" s="1">
        <f>IF(OR(D$52=0,C31="",D31=""),0,IFERROR(IF(AND(INDEX(Arten,MATCH(C31,Codes,0))="Arbeit",INDEX(Arten,MATCH(D31,Codes,0))="Arbeit"),IF(ROUND((1+INDEX(Beginne,MATCH(D31,Codes,0))-INDEX(EndeRel,MATCH(C31,Codes,0)))*1440,0)&lt;660,1,0),0),0))</f>
      </c>
      <c r="E80" s="1">
        <f>IF(OR(E$52=0,D31="",E31=""),0,IFERROR(IF(AND(INDEX(Arten,MATCH(D31,Codes,0))="Arbeit",INDEX(Arten,MATCH(E31,Codes,0))="Arbeit"),IF(ROUND((1+INDEX(Beginne,MATCH(E31,Codes,0))-INDEX(EndeRel,MATCH(D31,Codes,0)))*1440,0)&lt;660,1,0),0),0))</f>
      </c>
      <c r="F80" s="1">
        <f>IF(OR(F$52=0,E31="",F31=""),0,IFERROR(IF(AND(INDEX(Arten,MATCH(E31,Codes,0))="Arbeit",INDEX(Arten,MATCH(F31,Codes,0))="Arbeit"),IF(ROUND((1+INDEX(Beginne,MATCH(F31,Codes,0))-INDEX(EndeRel,MATCH(E31,Codes,0)))*1440,0)&lt;660,1,0),0),0))</f>
      </c>
      <c r="G80" s="1">
        <f>IF(OR(G$52=0,F31="",G31=""),0,IFERROR(IF(AND(INDEX(Arten,MATCH(F31,Codes,0))="Arbeit",INDEX(Arten,MATCH(G31,Codes,0))="Arbeit"),IF(ROUND((1+INDEX(Beginne,MATCH(G31,Codes,0))-INDEX(EndeRel,MATCH(F31,Codes,0)))*1440,0)&lt;660,1,0),0),0))</f>
      </c>
      <c r="H80" s="1">
        <f>IF(OR(H$52=0,G31="",H31=""),0,IFERROR(IF(AND(INDEX(Arten,MATCH(G31,Codes,0))="Arbeit",INDEX(Arten,MATCH(H31,Codes,0))="Arbeit"),IF(ROUND((1+INDEX(Beginne,MATCH(H31,Codes,0))-INDEX(EndeRel,MATCH(G31,Codes,0)))*1440,0)&lt;660,1,0),0),0))</f>
      </c>
      <c r="I80" s="1">
        <f>IF(OR(I$52=0,H31="",I31=""),0,IFERROR(IF(AND(INDEX(Arten,MATCH(H31,Codes,0))="Arbeit",INDEX(Arten,MATCH(I31,Codes,0))="Arbeit"),IF(ROUND((1+INDEX(Beginne,MATCH(I31,Codes,0))-INDEX(EndeRel,MATCH(H31,Codes,0)))*1440,0)&lt;660,1,0),0),0))</f>
      </c>
      <c r="J80" s="1">
        <f>IF(OR(J$52=0,I31="",J31=""),0,IFERROR(IF(AND(INDEX(Arten,MATCH(I31,Codes,0))="Arbeit",INDEX(Arten,MATCH(J31,Codes,0))="Arbeit"),IF(ROUND((1+INDEX(Beginne,MATCH(J31,Codes,0))-INDEX(EndeRel,MATCH(I31,Codes,0)))*1440,0)&lt;660,1,0),0),0))</f>
      </c>
      <c r="K80" s="1">
        <f>IF(OR(K$52=0,J31="",K31=""),0,IFERROR(IF(AND(INDEX(Arten,MATCH(J31,Codes,0))="Arbeit",INDEX(Arten,MATCH(K31,Codes,0))="Arbeit"),IF(ROUND((1+INDEX(Beginne,MATCH(K31,Codes,0))-INDEX(EndeRel,MATCH(J31,Codes,0)))*1440,0)&lt;660,1,0),0),0))</f>
      </c>
      <c r="L80" s="1">
        <f>IF(OR(L$52=0,K31="",L31=""),0,IFERROR(IF(AND(INDEX(Arten,MATCH(K31,Codes,0))="Arbeit",INDEX(Arten,MATCH(L31,Codes,0))="Arbeit"),IF(ROUND((1+INDEX(Beginne,MATCH(L31,Codes,0))-INDEX(EndeRel,MATCH(K31,Codes,0)))*1440,0)&lt;660,1,0),0),0))</f>
      </c>
      <c r="M80" s="1">
        <f>IF(OR(M$52=0,L31="",M31=""),0,IFERROR(IF(AND(INDEX(Arten,MATCH(L31,Codes,0))="Arbeit",INDEX(Arten,MATCH(M31,Codes,0))="Arbeit"),IF(ROUND((1+INDEX(Beginne,MATCH(M31,Codes,0))-INDEX(EndeRel,MATCH(L31,Codes,0)))*1440,0)&lt;660,1,0),0),0))</f>
      </c>
      <c r="N80" s="1">
        <f>IF(OR(N$52=0,M31="",N31=""),0,IFERROR(IF(AND(INDEX(Arten,MATCH(M31,Codes,0))="Arbeit",INDEX(Arten,MATCH(N31,Codes,0))="Arbeit"),IF(ROUND((1+INDEX(Beginne,MATCH(N31,Codes,0))-INDEX(EndeRel,MATCH(M31,Codes,0)))*1440,0)&lt;660,1,0),0),0))</f>
      </c>
      <c r="O80" s="1">
        <f>IF(OR(O$52=0,N31="",O31=""),0,IFERROR(IF(AND(INDEX(Arten,MATCH(N31,Codes,0))="Arbeit",INDEX(Arten,MATCH(O31,Codes,0))="Arbeit"),IF(ROUND((1+INDEX(Beginne,MATCH(O31,Codes,0))-INDEX(EndeRel,MATCH(N31,Codes,0)))*1440,0)&lt;660,1,0),0),0))</f>
      </c>
      <c r="P80" s="1">
        <f>IF(OR(P$52=0,O31="",P31=""),0,IFERROR(IF(AND(INDEX(Arten,MATCH(O31,Codes,0))="Arbeit",INDEX(Arten,MATCH(P31,Codes,0))="Arbeit"),IF(ROUND((1+INDEX(Beginne,MATCH(P31,Codes,0))-INDEX(EndeRel,MATCH(O31,Codes,0)))*1440,0)&lt;660,1,0),0),0))</f>
      </c>
      <c r="Q80" s="1">
        <f>IF(OR(Q$52=0,P31="",Q31=""),0,IFERROR(IF(AND(INDEX(Arten,MATCH(P31,Codes,0))="Arbeit",INDEX(Arten,MATCH(Q31,Codes,0))="Arbeit"),IF(ROUND((1+INDEX(Beginne,MATCH(Q31,Codes,0))-INDEX(EndeRel,MATCH(P31,Codes,0)))*1440,0)&lt;660,1,0),0),0))</f>
      </c>
      <c r="R80" s="1">
        <f>IF(OR(R$52=0,Q31="",R31=""),0,IFERROR(IF(AND(INDEX(Arten,MATCH(Q31,Codes,0))="Arbeit",INDEX(Arten,MATCH(R31,Codes,0))="Arbeit"),IF(ROUND((1+INDEX(Beginne,MATCH(R31,Codes,0))-INDEX(EndeRel,MATCH(Q31,Codes,0)))*1440,0)&lt;660,1,0),0),0))</f>
      </c>
      <c r="S80" s="1">
        <f>IF(OR(S$52=0,R31="",S31=""),0,IFERROR(IF(AND(INDEX(Arten,MATCH(R31,Codes,0))="Arbeit",INDEX(Arten,MATCH(S31,Codes,0))="Arbeit"),IF(ROUND((1+INDEX(Beginne,MATCH(S31,Codes,0))-INDEX(EndeRel,MATCH(R31,Codes,0)))*1440,0)&lt;660,1,0),0),0))</f>
      </c>
      <c r="T80" s="1">
        <f>IF(OR(T$52=0,S31="",T31=""),0,IFERROR(IF(AND(INDEX(Arten,MATCH(S31,Codes,0))="Arbeit",INDEX(Arten,MATCH(T31,Codes,0))="Arbeit"),IF(ROUND((1+INDEX(Beginne,MATCH(T31,Codes,0))-INDEX(EndeRel,MATCH(S31,Codes,0)))*1440,0)&lt;660,1,0),0),0))</f>
      </c>
      <c r="U80" s="1">
        <f>IF(OR(U$52=0,T31="",U31=""),0,IFERROR(IF(AND(INDEX(Arten,MATCH(T31,Codes,0))="Arbeit",INDEX(Arten,MATCH(U31,Codes,0))="Arbeit"),IF(ROUND((1+INDEX(Beginne,MATCH(U31,Codes,0))-INDEX(EndeRel,MATCH(T31,Codes,0)))*1440,0)&lt;660,1,0),0),0))</f>
      </c>
      <c r="V80" s="1">
        <f>IF(OR(V$52=0,U31="",V31=""),0,IFERROR(IF(AND(INDEX(Arten,MATCH(U31,Codes,0))="Arbeit",INDEX(Arten,MATCH(V31,Codes,0))="Arbeit"),IF(ROUND((1+INDEX(Beginne,MATCH(V31,Codes,0))-INDEX(EndeRel,MATCH(U31,Codes,0)))*1440,0)&lt;660,1,0),0),0))</f>
      </c>
      <c r="W80" s="1">
        <f>IF(OR(W$52=0,V31="",W31=""),0,IFERROR(IF(AND(INDEX(Arten,MATCH(V31,Codes,0))="Arbeit",INDEX(Arten,MATCH(W31,Codes,0))="Arbeit"),IF(ROUND((1+INDEX(Beginne,MATCH(W31,Codes,0))-INDEX(EndeRel,MATCH(V31,Codes,0)))*1440,0)&lt;660,1,0),0),0))</f>
      </c>
      <c r="X80" s="1">
        <f>IF(OR(X$52=0,W31="",X31=""),0,IFERROR(IF(AND(INDEX(Arten,MATCH(W31,Codes,0))="Arbeit",INDEX(Arten,MATCH(X31,Codes,0))="Arbeit"),IF(ROUND((1+INDEX(Beginne,MATCH(X31,Codes,0))-INDEX(EndeRel,MATCH(W31,Codes,0)))*1440,0)&lt;660,1,0),0),0))</f>
      </c>
      <c r="Y80" s="1">
        <f>IF(OR(Y$52=0,X31="",Y31=""),0,IFERROR(IF(AND(INDEX(Arten,MATCH(X31,Codes,0))="Arbeit",INDEX(Arten,MATCH(Y31,Codes,0))="Arbeit"),IF(ROUND((1+INDEX(Beginne,MATCH(Y31,Codes,0))-INDEX(EndeRel,MATCH(X31,Codes,0)))*1440,0)&lt;660,1,0),0),0))</f>
      </c>
      <c r="Z80" s="1">
        <f>IF(OR(Z$52=0,Y31="",Z31=""),0,IFERROR(IF(AND(INDEX(Arten,MATCH(Y31,Codes,0))="Arbeit",INDEX(Arten,MATCH(Z31,Codes,0))="Arbeit"),IF(ROUND((1+INDEX(Beginne,MATCH(Z31,Codes,0))-INDEX(EndeRel,MATCH(Y31,Codes,0)))*1440,0)&lt;660,1,0),0),0))</f>
      </c>
      <c r="AA80" s="1">
        <f>IF(OR(AA$52=0,Z31="",AA31=""),0,IFERROR(IF(AND(INDEX(Arten,MATCH(Z31,Codes,0))="Arbeit",INDEX(Arten,MATCH(AA31,Codes,0))="Arbeit"),IF(ROUND((1+INDEX(Beginne,MATCH(AA31,Codes,0))-INDEX(EndeRel,MATCH(Z31,Codes,0)))*1440,0)&lt;660,1,0),0),0))</f>
      </c>
      <c r="AB80" s="1">
        <f>IF(OR(AB$52=0,AA31="",AB31=""),0,IFERROR(IF(AND(INDEX(Arten,MATCH(AA31,Codes,0))="Arbeit",INDEX(Arten,MATCH(AB31,Codes,0))="Arbeit"),IF(ROUND((1+INDEX(Beginne,MATCH(AB31,Codes,0))-INDEX(EndeRel,MATCH(AA31,Codes,0)))*1440,0)&lt;660,1,0),0),0))</f>
      </c>
      <c r="AC80" s="1">
        <f>IF(OR(AC$52=0,AB31="",AC31=""),0,IFERROR(IF(AND(INDEX(Arten,MATCH(AB31,Codes,0))="Arbeit",INDEX(Arten,MATCH(AC31,Codes,0))="Arbeit"),IF(ROUND((1+INDEX(Beginne,MATCH(AC31,Codes,0))-INDEX(EndeRel,MATCH(AB31,Codes,0)))*1440,0)&lt;660,1,0),0),0))</f>
      </c>
      <c r="AD80" s="1">
        <f>IF(OR(AD$52=0,AC31="",AD31=""),0,IFERROR(IF(AND(INDEX(Arten,MATCH(AC31,Codes,0))="Arbeit",INDEX(Arten,MATCH(AD31,Codes,0))="Arbeit"),IF(ROUND((1+INDEX(Beginne,MATCH(AD31,Codes,0))-INDEX(EndeRel,MATCH(AC31,Codes,0)))*1440,0)&lt;660,1,0),0),0))</f>
      </c>
      <c r="AE80" s="1">
        <f>IF(OR(AE$52=0,AD31="",AE31=""),0,IFERROR(IF(AND(INDEX(Arten,MATCH(AD31,Codes,0))="Arbeit",INDEX(Arten,MATCH(AE31,Codes,0))="Arbeit"),IF(ROUND((1+INDEX(Beginne,MATCH(AE31,Codes,0))-INDEX(EndeRel,MATCH(AD31,Codes,0)))*1440,0)&lt;660,1,0),0),0))</f>
      </c>
      <c r="AF80" s="1">
        <f>IF(OR(AF$52=0,AE31="",AF31=""),0,IFERROR(IF(AND(INDEX(Arten,MATCH(AE31,Codes,0))="Arbeit",INDEX(Arten,MATCH(AF31,Codes,0))="Arbeit"),IF(ROUND((1+INDEX(Beginne,MATCH(AF31,Codes,0))-INDEX(EndeRel,MATCH(AE31,Codes,0)))*1440,0)&lt;660,1,0),0),0))</f>
      </c>
    </row>
    <row r="81" hidden="1" spans="1:32" x14ac:dyDescent="0.25">
      <c r="A81" s="1"/>
      <c r="B81" s="1">
        <f>IF(OR(B$52=0,INDEX('Januar'!$B$32:$AF$32,DAY(DATE(Jahr,2,0)))="",B32=""),0,IFERROR(IF(AND(INDEX(Arten,MATCH(INDEX('Januar'!$B$32:$AF$32,DAY(DATE(Jahr,2,0))),Codes,0))="Arbeit",INDEX(Arten,MATCH(B32,Codes,0))="Arbeit"),IF(ROUND((1+INDEX(Beginne,MATCH(B32,Codes,0))-INDEX(EndeRel,MATCH(INDEX('Januar'!$B$32:$AF$32,DAY(DATE(Jahr,2,0))),Codes,0)))*1440,0)&lt;660,1,0),0),0))</f>
      </c>
      <c r="C81" s="1">
        <f>IF(OR(C$52=0,B32="",C32=""),0,IFERROR(IF(AND(INDEX(Arten,MATCH(B32,Codes,0))="Arbeit",INDEX(Arten,MATCH(C32,Codes,0))="Arbeit"),IF(ROUND((1+INDEX(Beginne,MATCH(C32,Codes,0))-INDEX(EndeRel,MATCH(B32,Codes,0)))*1440,0)&lt;660,1,0),0),0))</f>
      </c>
      <c r="D81" s="1">
        <f>IF(OR(D$52=0,C32="",D32=""),0,IFERROR(IF(AND(INDEX(Arten,MATCH(C32,Codes,0))="Arbeit",INDEX(Arten,MATCH(D32,Codes,0))="Arbeit"),IF(ROUND((1+INDEX(Beginne,MATCH(D32,Codes,0))-INDEX(EndeRel,MATCH(C32,Codes,0)))*1440,0)&lt;660,1,0),0),0))</f>
      </c>
      <c r="E81" s="1">
        <f>IF(OR(E$52=0,D32="",E32=""),0,IFERROR(IF(AND(INDEX(Arten,MATCH(D32,Codes,0))="Arbeit",INDEX(Arten,MATCH(E32,Codes,0))="Arbeit"),IF(ROUND((1+INDEX(Beginne,MATCH(E32,Codes,0))-INDEX(EndeRel,MATCH(D32,Codes,0)))*1440,0)&lt;660,1,0),0),0))</f>
      </c>
      <c r="F81" s="1">
        <f>IF(OR(F$52=0,E32="",F32=""),0,IFERROR(IF(AND(INDEX(Arten,MATCH(E32,Codes,0))="Arbeit",INDEX(Arten,MATCH(F32,Codes,0))="Arbeit"),IF(ROUND((1+INDEX(Beginne,MATCH(F32,Codes,0))-INDEX(EndeRel,MATCH(E32,Codes,0)))*1440,0)&lt;660,1,0),0),0))</f>
      </c>
      <c r="G81" s="1">
        <f>IF(OR(G$52=0,F32="",G32=""),0,IFERROR(IF(AND(INDEX(Arten,MATCH(F32,Codes,0))="Arbeit",INDEX(Arten,MATCH(G32,Codes,0))="Arbeit"),IF(ROUND((1+INDEX(Beginne,MATCH(G32,Codes,0))-INDEX(EndeRel,MATCH(F32,Codes,0)))*1440,0)&lt;660,1,0),0),0))</f>
      </c>
      <c r="H81" s="1">
        <f>IF(OR(H$52=0,G32="",H32=""),0,IFERROR(IF(AND(INDEX(Arten,MATCH(G32,Codes,0))="Arbeit",INDEX(Arten,MATCH(H32,Codes,0))="Arbeit"),IF(ROUND((1+INDEX(Beginne,MATCH(H32,Codes,0))-INDEX(EndeRel,MATCH(G32,Codes,0)))*1440,0)&lt;660,1,0),0),0))</f>
      </c>
      <c r="I81" s="1">
        <f>IF(OR(I$52=0,H32="",I32=""),0,IFERROR(IF(AND(INDEX(Arten,MATCH(H32,Codes,0))="Arbeit",INDEX(Arten,MATCH(I32,Codes,0))="Arbeit"),IF(ROUND((1+INDEX(Beginne,MATCH(I32,Codes,0))-INDEX(EndeRel,MATCH(H32,Codes,0)))*1440,0)&lt;660,1,0),0),0))</f>
      </c>
      <c r="J81" s="1">
        <f>IF(OR(J$52=0,I32="",J32=""),0,IFERROR(IF(AND(INDEX(Arten,MATCH(I32,Codes,0))="Arbeit",INDEX(Arten,MATCH(J32,Codes,0))="Arbeit"),IF(ROUND((1+INDEX(Beginne,MATCH(J32,Codes,0))-INDEX(EndeRel,MATCH(I32,Codes,0)))*1440,0)&lt;660,1,0),0),0))</f>
      </c>
      <c r="K81" s="1">
        <f>IF(OR(K$52=0,J32="",K32=""),0,IFERROR(IF(AND(INDEX(Arten,MATCH(J32,Codes,0))="Arbeit",INDEX(Arten,MATCH(K32,Codes,0))="Arbeit"),IF(ROUND((1+INDEX(Beginne,MATCH(K32,Codes,0))-INDEX(EndeRel,MATCH(J32,Codes,0)))*1440,0)&lt;660,1,0),0),0))</f>
      </c>
      <c r="L81" s="1">
        <f>IF(OR(L$52=0,K32="",L32=""),0,IFERROR(IF(AND(INDEX(Arten,MATCH(K32,Codes,0))="Arbeit",INDEX(Arten,MATCH(L32,Codes,0))="Arbeit"),IF(ROUND((1+INDEX(Beginne,MATCH(L32,Codes,0))-INDEX(EndeRel,MATCH(K32,Codes,0)))*1440,0)&lt;660,1,0),0),0))</f>
      </c>
      <c r="M81" s="1">
        <f>IF(OR(M$52=0,L32="",M32=""),0,IFERROR(IF(AND(INDEX(Arten,MATCH(L32,Codes,0))="Arbeit",INDEX(Arten,MATCH(M32,Codes,0))="Arbeit"),IF(ROUND((1+INDEX(Beginne,MATCH(M32,Codes,0))-INDEX(EndeRel,MATCH(L32,Codes,0)))*1440,0)&lt;660,1,0),0),0))</f>
      </c>
      <c r="N81" s="1">
        <f>IF(OR(N$52=0,M32="",N32=""),0,IFERROR(IF(AND(INDEX(Arten,MATCH(M32,Codes,0))="Arbeit",INDEX(Arten,MATCH(N32,Codes,0))="Arbeit"),IF(ROUND((1+INDEX(Beginne,MATCH(N32,Codes,0))-INDEX(EndeRel,MATCH(M32,Codes,0)))*1440,0)&lt;660,1,0),0),0))</f>
      </c>
      <c r="O81" s="1">
        <f>IF(OR(O$52=0,N32="",O32=""),0,IFERROR(IF(AND(INDEX(Arten,MATCH(N32,Codes,0))="Arbeit",INDEX(Arten,MATCH(O32,Codes,0))="Arbeit"),IF(ROUND((1+INDEX(Beginne,MATCH(O32,Codes,0))-INDEX(EndeRel,MATCH(N32,Codes,0)))*1440,0)&lt;660,1,0),0),0))</f>
      </c>
      <c r="P81" s="1">
        <f>IF(OR(P$52=0,O32="",P32=""),0,IFERROR(IF(AND(INDEX(Arten,MATCH(O32,Codes,0))="Arbeit",INDEX(Arten,MATCH(P32,Codes,0))="Arbeit"),IF(ROUND((1+INDEX(Beginne,MATCH(P32,Codes,0))-INDEX(EndeRel,MATCH(O32,Codes,0)))*1440,0)&lt;660,1,0),0),0))</f>
      </c>
      <c r="Q81" s="1">
        <f>IF(OR(Q$52=0,P32="",Q32=""),0,IFERROR(IF(AND(INDEX(Arten,MATCH(P32,Codes,0))="Arbeit",INDEX(Arten,MATCH(Q32,Codes,0))="Arbeit"),IF(ROUND((1+INDEX(Beginne,MATCH(Q32,Codes,0))-INDEX(EndeRel,MATCH(P32,Codes,0)))*1440,0)&lt;660,1,0),0),0))</f>
      </c>
      <c r="R81" s="1">
        <f>IF(OR(R$52=0,Q32="",R32=""),0,IFERROR(IF(AND(INDEX(Arten,MATCH(Q32,Codes,0))="Arbeit",INDEX(Arten,MATCH(R32,Codes,0))="Arbeit"),IF(ROUND((1+INDEX(Beginne,MATCH(R32,Codes,0))-INDEX(EndeRel,MATCH(Q32,Codes,0)))*1440,0)&lt;660,1,0),0),0))</f>
      </c>
      <c r="S81" s="1">
        <f>IF(OR(S$52=0,R32="",S32=""),0,IFERROR(IF(AND(INDEX(Arten,MATCH(R32,Codes,0))="Arbeit",INDEX(Arten,MATCH(S32,Codes,0))="Arbeit"),IF(ROUND((1+INDEX(Beginne,MATCH(S32,Codes,0))-INDEX(EndeRel,MATCH(R32,Codes,0)))*1440,0)&lt;660,1,0),0),0))</f>
      </c>
      <c r="T81" s="1">
        <f>IF(OR(T$52=0,S32="",T32=""),0,IFERROR(IF(AND(INDEX(Arten,MATCH(S32,Codes,0))="Arbeit",INDEX(Arten,MATCH(T32,Codes,0))="Arbeit"),IF(ROUND((1+INDEX(Beginne,MATCH(T32,Codes,0))-INDEX(EndeRel,MATCH(S32,Codes,0)))*1440,0)&lt;660,1,0),0),0))</f>
      </c>
      <c r="U81" s="1">
        <f>IF(OR(U$52=0,T32="",U32=""),0,IFERROR(IF(AND(INDEX(Arten,MATCH(T32,Codes,0))="Arbeit",INDEX(Arten,MATCH(U32,Codes,0))="Arbeit"),IF(ROUND((1+INDEX(Beginne,MATCH(U32,Codes,0))-INDEX(EndeRel,MATCH(T32,Codes,0)))*1440,0)&lt;660,1,0),0),0))</f>
      </c>
      <c r="V81" s="1">
        <f>IF(OR(V$52=0,U32="",V32=""),0,IFERROR(IF(AND(INDEX(Arten,MATCH(U32,Codes,0))="Arbeit",INDEX(Arten,MATCH(V32,Codes,0))="Arbeit"),IF(ROUND((1+INDEX(Beginne,MATCH(V32,Codes,0))-INDEX(EndeRel,MATCH(U32,Codes,0)))*1440,0)&lt;660,1,0),0),0))</f>
      </c>
      <c r="W81" s="1">
        <f>IF(OR(W$52=0,V32="",W32=""),0,IFERROR(IF(AND(INDEX(Arten,MATCH(V32,Codes,0))="Arbeit",INDEX(Arten,MATCH(W32,Codes,0))="Arbeit"),IF(ROUND((1+INDEX(Beginne,MATCH(W32,Codes,0))-INDEX(EndeRel,MATCH(V32,Codes,0)))*1440,0)&lt;660,1,0),0),0))</f>
      </c>
      <c r="X81" s="1">
        <f>IF(OR(X$52=0,W32="",X32=""),0,IFERROR(IF(AND(INDEX(Arten,MATCH(W32,Codes,0))="Arbeit",INDEX(Arten,MATCH(X32,Codes,0))="Arbeit"),IF(ROUND((1+INDEX(Beginne,MATCH(X32,Codes,0))-INDEX(EndeRel,MATCH(W32,Codes,0)))*1440,0)&lt;660,1,0),0),0))</f>
      </c>
      <c r="Y81" s="1">
        <f>IF(OR(Y$52=0,X32="",Y32=""),0,IFERROR(IF(AND(INDEX(Arten,MATCH(X32,Codes,0))="Arbeit",INDEX(Arten,MATCH(Y32,Codes,0))="Arbeit"),IF(ROUND((1+INDEX(Beginne,MATCH(Y32,Codes,0))-INDEX(EndeRel,MATCH(X32,Codes,0)))*1440,0)&lt;660,1,0),0),0))</f>
      </c>
      <c r="Z81" s="1">
        <f>IF(OR(Z$52=0,Y32="",Z32=""),0,IFERROR(IF(AND(INDEX(Arten,MATCH(Y32,Codes,0))="Arbeit",INDEX(Arten,MATCH(Z32,Codes,0))="Arbeit"),IF(ROUND((1+INDEX(Beginne,MATCH(Z32,Codes,0))-INDEX(EndeRel,MATCH(Y32,Codes,0)))*1440,0)&lt;660,1,0),0),0))</f>
      </c>
      <c r="AA81" s="1">
        <f>IF(OR(AA$52=0,Z32="",AA32=""),0,IFERROR(IF(AND(INDEX(Arten,MATCH(Z32,Codes,0))="Arbeit",INDEX(Arten,MATCH(AA32,Codes,0))="Arbeit"),IF(ROUND((1+INDEX(Beginne,MATCH(AA32,Codes,0))-INDEX(EndeRel,MATCH(Z32,Codes,0)))*1440,0)&lt;660,1,0),0),0))</f>
      </c>
      <c r="AB81" s="1">
        <f>IF(OR(AB$52=0,AA32="",AB32=""),0,IFERROR(IF(AND(INDEX(Arten,MATCH(AA32,Codes,0))="Arbeit",INDEX(Arten,MATCH(AB32,Codes,0))="Arbeit"),IF(ROUND((1+INDEX(Beginne,MATCH(AB32,Codes,0))-INDEX(EndeRel,MATCH(AA32,Codes,0)))*1440,0)&lt;660,1,0),0),0))</f>
      </c>
      <c r="AC81" s="1">
        <f>IF(OR(AC$52=0,AB32="",AC32=""),0,IFERROR(IF(AND(INDEX(Arten,MATCH(AB32,Codes,0))="Arbeit",INDEX(Arten,MATCH(AC32,Codes,0))="Arbeit"),IF(ROUND((1+INDEX(Beginne,MATCH(AC32,Codes,0))-INDEX(EndeRel,MATCH(AB32,Codes,0)))*1440,0)&lt;660,1,0),0),0))</f>
      </c>
      <c r="AD81" s="1">
        <f>IF(OR(AD$52=0,AC32="",AD32=""),0,IFERROR(IF(AND(INDEX(Arten,MATCH(AC32,Codes,0))="Arbeit",INDEX(Arten,MATCH(AD32,Codes,0))="Arbeit"),IF(ROUND((1+INDEX(Beginne,MATCH(AD32,Codes,0))-INDEX(EndeRel,MATCH(AC32,Codes,0)))*1440,0)&lt;660,1,0),0),0))</f>
      </c>
      <c r="AE81" s="1">
        <f>IF(OR(AE$52=0,AD32="",AE32=""),0,IFERROR(IF(AND(INDEX(Arten,MATCH(AD32,Codes,0))="Arbeit",INDEX(Arten,MATCH(AE32,Codes,0))="Arbeit"),IF(ROUND((1+INDEX(Beginne,MATCH(AE32,Codes,0))-INDEX(EndeRel,MATCH(AD32,Codes,0)))*1440,0)&lt;660,1,0),0),0))</f>
      </c>
      <c r="AF81" s="1">
        <f>IF(OR(AF$52=0,AE32="",AF32=""),0,IFERROR(IF(AND(INDEX(Arten,MATCH(AE32,Codes,0))="Arbeit",INDEX(Arten,MATCH(AF32,Codes,0))="Arbeit"),IF(ROUND((1+INDEX(Beginne,MATCH(AF32,Codes,0))-INDEX(EndeRel,MATCH(AE32,Codes,0)))*1440,0)&lt;660,1,0),0),0))</f>
      </c>
    </row>
    <row r="82" hidden="1" spans="1:32" x14ac:dyDescent="0.25">
      <c r="A82" s="1"/>
      <c r="B82" s="1">
        <f>IF(OR(B$52=0,INDEX('Januar'!$B$33:$AF$33,DAY(DATE(Jahr,2,0)))="",B33=""),0,IFERROR(IF(AND(INDEX(Arten,MATCH(INDEX('Januar'!$B$33:$AF$33,DAY(DATE(Jahr,2,0))),Codes,0))="Arbeit",INDEX(Arten,MATCH(B33,Codes,0))="Arbeit"),IF(ROUND((1+INDEX(Beginne,MATCH(B33,Codes,0))-INDEX(EndeRel,MATCH(INDEX('Januar'!$B$33:$AF$33,DAY(DATE(Jahr,2,0))),Codes,0)))*1440,0)&lt;660,1,0),0),0))</f>
      </c>
      <c r="C82" s="1">
        <f>IF(OR(C$52=0,B33="",C33=""),0,IFERROR(IF(AND(INDEX(Arten,MATCH(B33,Codes,0))="Arbeit",INDEX(Arten,MATCH(C33,Codes,0))="Arbeit"),IF(ROUND((1+INDEX(Beginne,MATCH(C33,Codes,0))-INDEX(EndeRel,MATCH(B33,Codes,0)))*1440,0)&lt;660,1,0),0),0))</f>
      </c>
      <c r="D82" s="1">
        <f>IF(OR(D$52=0,C33="",D33=""),0,IFERROR(IF(AND(INDEX(Arten,MATCH(C33,Codes,0))="Arbeit",INDEX(Arten,MATCH(D33,Codes,0))="Arbeit"),IF(ROUND((1+INDEX(Beginne,MATCH(D33,Codes,0))-INDEX(EndeRel,MATCH(C33,Codes,0)))*1440,0)&lt;660,1,0),0),0))</f>
      </c>
      <c r="E82" s="1">
        <f>IF(OR(E$52=0,D33="",E33=""),0,IFERROR(IF(AND(INDEX(Arten,MATCH(D33,Codes,0))="Arbeit",INDEX(Arten,MATCH(E33,Codes,0))="Arbeit"),IF(ROUND((1+INDEX(Beginne,MATCH(E33,Codes,0))-INDEX(EndeRel,MATCH(D33,Codes,0)))*1440,0)&lt;660,1,0),0),0))</f>
      </c>
      <c r="F82" s="1">
        <f>IF(OR(F$52=0,E33="",F33=""),0,IFERROR(IF(AND(INDEX(Arten,MATCH(E33,Codes,0))="Arbeit",INDEX(Arten,MATCH(F33,Codes,0))="Arbeit"),IF(ROUND((1+INDEX(Beginne,MATCH(F33,Codes,0))-INDEX(EndeRel,MATCH(E33,Codes,0)))*1440,0)&lt;660,1,0),0),0))</f>
      </c>
      <c r="G82" s="1">
        <f>IF(OR(G$52=0,F33="",G33=""),0,IFERROR(IF(AND(INDEX(Arten,MATCH(F33,Codes,0))="Arbeit",INDEX(Arten,MATCH(G33,Codes,0))="Arbeit"),IF(ROUND((1+INDEX(Beginne,MATCH(G33,Codes,0))-INDEX(EndeRel,MATCH(F33,Codes,0)))*1440,0)&lt;660,1,0),0),0))</f>
      </c>
      <c r="H82" s="1">
        <f>IF(OR(H$52=0,G33="",H33=""),0,IFERROR(IF(AND(INDEX(Arten,MATCH(G33,Codes,0))="Arbeit",INDEX(Arten,MATCH(H33,Codes,0))="Arbeit"),IF(ROUND((1+INDEX(Beginne,MATCH(H33,Codes,0))-INDEX(EndeRel,MATCH(G33,Codes,0)))*1440,0)&lt;660,1,0),0),0))</f>
      </c>
      <c r="I82" s="1">
        <f>IF(OR(I$52=0,H33="",I33=""),0,IFERROR(IF(AND(INDEX(Arten,MATCH(H33,Codes,0))="Arbeit",INDEX(Arten,MATCH(I33,Codes,0))="Arbeit"),IF(ROUND((1+INDEX(Beginne,MATCH(I33,Codes,0))-INDEX(EndeRel,MATCH(H33,Codes,0)))*1440,0)&lt;660,1,0),0),0))</f>
      </c>
      <c r="J82" s="1">
        <f>IF(OR(J$52=0,I33="",J33=""),0,IFERROR(IF(AND(INDEX(Arten,MATCH(I33,Codes,0))="Arbeit",INDEX(Arten,MATCH(J33,Codes,0))="Arbeit"),IF(ROUND((1+INDEX(Beginne,MATCH(J33,Codes,0))-INDEX(EndeRel,MATCH(I33,Codes,0)))*1440,0)&lt;660,1,0),0),0))</f>
      </c>
      <c r="K82" s="1">
        <f>IF(OR(K$52=0,J33="",K33=""),0,IFERROR(IF(AND(INDEX(Arten,MATCH(J33,Codes,0))="Arbeit",INDEX(Arten,MATCH(K33,Codes,0))="Arbeit"),IF(ROUND((1+INDEX(Beginne,MATCH(K33,Codes,0))-INDEX(EndeRel,MATCH(J33,Codes,0)))*1440,0)&lt;660,1,0),0),0))</f>
      </c>
      <c r="L82" s="1">
        <f>IF(OR(L$52=0,K33="",L33=""),0,IFERROR(IF(AND(INDEX(Arten,MATCH(K33,Codes,0))="Arbeit",INDEX(Arten,MATCH(L33,Codes,0))="Arbeit"),IF(ROUND((1+INDEX(Beginne,MATCH(L33,Codes,0))-INDEX(EndeRel,MATCH(K33,Codes,0)))*1440,0)&lt;660,1,0),0),0))</f>
      </c>
      <c r="M82" s="1">
        <f>IF(OR(M$52=0,L33="",M33=""),0,IFERROR(IF(AND(INDEX(Arten,MATCH(L33,Codes,0))="Arbeit",INDEX(Arten,MATCH(M33,Codes,0))="Arbeit"),IF(ROUND((1+INDEX(Beginne,MATCH(M33,Codes,0))-INDEX(EndeRel,MATCH(L33,Codes,0)))*1440,0)&lt;660,1,0),0),0))</f>
      </c>
      <c r="N82" s="1">
        <f>IF(OR(N$52=0,M33="",N33=""),0,IFERROR(IF(AND(INDEX(Arten,MATCH(M33,Codes,0))="Arbeit",INDEX(Arten,MATCH(N33,Codes,0))="Arbeit"),IF(ROUND((1+INDEX(Beginne,MATCH(N33,Codes,0))-INDEX(EndeRel,MATCH(M33,Codes,0)))*1440,0)&lt;660,1,0),0),0))</f>
      </c>
      <c r="O82" s="1">
        <f>IF(OR(O$52=0,N33="",O33=""),0,IFERROR(IF(AND(INDEX(Arten,MATCH(N33,Codes,0))="Arbeit",INDEX(Arten,MATCH(O33,Codes,0))="Arbeit"),IF(ROUND((1+INDEX(Beginne,MATCH(O33,Codes,0))-INDEX(EndeRel,MATCH(N33,Codes,0)))*1440,0)&lt;660,1,0),0),0))</f>
      </c>
      <c r="P82" s="1">
        <f>IF(OR(P$52=0,O33="",P33=""),0,IFERROR(IF(AND(INDEX(Arten,MATCH(O33,Codes,0))="Arbeit",INDEX(Arten,MATCH(P33,Codes,0))="Arbeit"),IF(ROUND((1+INDEX(Beginne,MATCH(P33,Codes,0))-INDEX(EndeRel,MATCH(O33,Codes,0)))*1440,0)&lt;660,1,0),0),0))</f>
      </c>
      <c r="Q82" s="1">
        <f>IF(OR(Q$52=0,P33="",Q33=""),0,IFERROR(IF(AND(INDEX(Arten,MATCH(P33,Codes,0))="Arbeit",INDEX(Arten,MATCH(Q33,Codes,0))="Arbeit"),IF(ROUND((1+INDEX(Beginne,MATCH(Q33,Codes,0))-INDEX(EndeRel,MATCH(P33,Codes,0)))*1440,0)&lt;660,1,0),0),0))</f>
      </c>
      <c r="R82" s="1">
        <f>IF(OR(R$52=0,Q33="",R33=""),0,IFERROR(IF(AND(INDEX(Arten,MATCH(Q33,Codes,0))="Arbeit",INDEX(Arten,MATCH(R33,Codes,0))="Arbeit"),IF(ROUND((1+INDEX(Beginne,MATCH(R33,Codes,0))-INDEX(EndeRel,MATCH(Q33,Codes,0)))*1440,0)&lt;660,1,0),0),0))</f>
      </c>
      <c r="S82" s="1">
        <f>IF(OR(S$52=0,R33="",S33=""),0,IFERROR(IF(AND(INDEX(Arten,MATCH(R33,Codes,0))="Arbeit",INDEX(Arten,MATCH(S33,Codes,0))="Arbeit"),IF(ROUND((1+INDEX(Beginne,MATCH(S33,Codes,0))-INDEX(EndeRel,MATCH(R33,Codes,0)))*1440,0)&lt;660,1,0),0),0))</f>
      </c>
      <c r="T82" s="1">
        <f>IF(OR(T$52=0,S33="",T33=""),0,IFERROR(IF(AND(INDEX(Arten,MATCH(S33,Codes,0))="Arbeit",INDEX(Arten,MATCH(T33,Codes,0))="Arbeit"),IF(ROUND((1+INDEX(Beginne,MATCH(T33,Codes,0))-INDEX(EndeRel,MATCH(S33,Codes,0)))*1440,0)&lt;660,1,0),0),0))</f>
      </c>
      <c r="U82" s="1">
        <f>IF(OR(U$52=0,T33="",U33=""),0,IFERROR(IF(AND(INDEX(Arten,MATCH(T33,Codes,0))="Arbeit",INDEX(Arten,MATCH(U33,Codes,0))="Arbeit"),IF(ROUND((1+INDEX(Beginne,MATCH(U33,Codes,0))-INDEX(EndeRel,MATCH(T33,Codes,0)))*1440,0)&lt;660,1,0),0),0))</f>
      </c>
      <c r="V82" s="1">
        <f>IF(OR(V$52=0,U33="",V33=""),0,IFERROR(IF(AND(INDEX(Arten,MATCH(U33,Codes,0))="Arbeit",INDEX(Arten,MATCH(V33,Codes,0))="Arbeit"),IF(ROUND((1+INDEX(Beginne,MATCH(V33,Codes,0))-INDEX(EndeRel,MATCH(U33,Codes,0)))*1440,0)&lt;660,1,0),0),0))</f>
      </c>
      <c r="W82" s="1">
        <f>IF(OR(W$52=0,V33="",W33=""),0,IFERROR(IF(AND(INDEX(Arten,MATCH(V33,Codes,0))="Arbeit",INDEX(Arten,MATCH(W33,Codes,0))="Arbeit"),IF(ROUND((1+INDEX(Beginne,MATCH(W33,Codes,0))-INDEX(EndeRel,MATCH(V33,Codes,0)))*1440,0)&lt;660,1,0),0),0))</f>
      </c>
      <c r="X82" s="1">
        <f>IF(OR(X$52=0,W33="",X33=""),0,IFERROR(IF(AND(INDEX(Arten,MATCH(W33,Codes,0))="Arbeit",INDEX(Arten,MATCH(X33,Codes,0))="Arbeit"),IF(ROUND((1+INDEX(Beginne,MATCH(X33,Codes,0))-INDEX(EndeRel,MATCH(W33,Codes,0)))*1440,0)&lt;660,1,0),0),0))</f>
      </c>
      <c r="Y82" s="1">
        <f>IF(OR(Y$52=0,X33="",Y33=""),0,IFERROR(IF(AND(INDEX(Arten,MATCH(X33,Codes,0))="Arbeit",INDEX(Arten,MATCH(Y33,Codes,0))="Arbeit"),IF(ROUND((1+INDEX(Beginne,MATCH(Y33,Codes,0))-INDEX(EndeRel,MATCH(X33,Codes,0)))*1440,0)&lt;660,1,0),0),0))</f>
      </c>
      <c r="Z82" s="1">
        <f>IF(OR(Z$52=0,Y33="",Z33=""),0,IFERROR(IF(AND(INDEX(Arten,MATCH(Y33,Codes,0))="Arbeit",INDEX(Arten,MATCH(Z33,Codes,0))="Arbeit"),IF(ROUND((1+INDEX(Beginne,MATCH(Z33,Codes,0))-INDEX(EndeRel,MATCH(Y33,Codes,0)))*1440,0)&lt;660,1,0),0),0))</f>
      </c>
      <c r="AA82" s="1">
        <f>IF(OR(AA$52=0,Z33="",AA33=""),0,IFERROR(IF(AND(INDEX(Arten,MATCH(Z33,Codes,0))="Arbeit",INDEX(Arten,MATCH(AA33,Codes,0))="Arbeit"),IF(ROUND((1+INDEX(Beginne,MATCH(AA33,Codes,0))-INDEX(EndeRel,MATCH(Z33,Codes,0)))*1440,0)&lt;660,1,0),0),0))</f>
      </c>
      <c r="AB82" s="1">
        <f>IF(OR(AB$52=0,AA33="",AB33=""),0,IFERROR(IF(AND(INDEX(Arten,MATCH(AA33,Codes,0))="Arbeit",INDEX(Arten,MATCH(AB33,Codes,0))="Arbeit"),IF(ROUND((1+INDEX(Beginne,MATCH(AB33,Codes,0))-INDEX(EndeRel,MATCH(AA33,Codes,0)))*1440,0)&lt;660,1,0),0),0))</f>
      </c>
      <c r="AC82" s="1">
        <f>IF(OR(AC$52=0,AB33="",AC33=""),0,IFERROR(IF(AND(INDEX(Arten,MATCH(AB33,Codes,0))="Arbeit",INDEX(Arten,MATCH(AC33,Codes,0))="Arbeit"),IF(ROUND((1+INDEX(Beginne,MATCH(AC33,Codes,0))-INDEX(EndeRel,MATCH(AB33,Codes,0)))*1440,0)&lt;660,1,0),0),0))</f>
      </c>
      <c r="AD82" s="1">
        <f>IF(OR(AD$52=0,AC33="",AD33=""),0,IFERROR(IF(AND(INDEX(Arten,MATCH(AC33,Codes,0))="Arbeit",INDEX(Arten,MATCH(AD33,Codes,0))="Arbeit"),IF(ROUND((1+INDEX(Beginne,MATCH(AD33,Codes,0))-INDEX(EndeRel,MATCH(AC33,Codes,0)))*1440,0)&lt;660,1,0),0),0))</f>
      </c>
      <c r="AE82" s="1">
        <f>IF(OR(AE$52=0,AD33="",AE33=""),0,IFERROR(IF(AND(INDEX(Arten,MATCH(AD33,Codes,0))="Arbeit",INDEX(Arten,MATCH(AE33,Codes,0))="Arbeit"),IF(ROUND((1+INDEX(Beginne,MATCH(AE33,Codes,0))-INDEX(EndeRel,MATCH(AD33,Codes,0)))*1440,0)&lt;660,1,0),0),0))</f>
      </c>
      <c r="AF82" s="1">
        <f>IF(OR(AF$52=0,AE33="",AF33=""),0,IFERROR(IF(AND(INDEX(Arten,MATCH(AE33,Codes,0))="Arbeit",INDEX(Arten,MATCH(AF33,Codes,0))="Arbeit"),IF(ROUND((1+INDEX(Beginne,MATCH(AF33,Codes,0))-INDEX(EndeRel,MATCH(AE33,Codes,0)))*1440,0)&lt;660,1,0),0),0))</f>
      </c>
    </row>
    <row r="83" hidden="1" spans="1:32" x14ac:dyDescent="0.25">
      <c r="A83" s="1"/>
      <c r="B83" s="1">
        <f>IF(OR(B$52=0,INDEX('Januar'!$B$34:$AF$34,DAY(DATE(Jahr,2,0)))="",B34=""),0,IFERROR(IF(AND(INDEX(Arten,MATCH(INDEX('Januar'!$B$34:$AF$34,DAY(DATE(Jahr,2,0))),Codes,0))="Arbeit",INDEX(Arten,MATCH(B34,Codes,0))="Arbeit"),IF(ROUND((1+INDEX(Beginne,MATCH(B34,Codes,0))-INDEX(EndeRel,MATCH(INDEX('Januar'!$B$34:$AF$34,DAY(DATE(Jahr,2,0))),Codes,0)))*1440,0)&lt;660,1,0),0),0))</f>
      </c>
      <c r="C83" s="1">
        <f>IF(OR(C$52=0,B34="",C34=""),0,IFERROR(IF(AND(INDEX(Arten,MATCH(B34,Codes,0))="Arbeit",INDEX(Arten,MATCH(C34,Codes,0))="Arbeit"),IF(ROUND((1+INDEX(Beginne,MATCH(C34,Codes,0))-INDEX(EndeRel,MATCH(B34,Codes,0)))*1440,0)&lt;660,1,0),0),0))</f>
      </c>
      <c r="D83" s="1">
        <f>IF(OR(D$52=0,C34="",D34=""),0,IFERROR(IF(AND(INDEX(Arten,MATCH(C34,Codes,0))="Arbeit",INDEX(Arten,MATCH(D34,Codes,0))="Arbeit"),IF(ROUND((1+INDEX(Beginne,MATCH(D34,Codes,0))-INDEX(EndeRel,MATCH(C34,Codes,0)))*1440,0)&lt;660,1,0),0),0))</f>
      </c>
      <c r="E83" s="1">
        <f>IF(OR(E$52=0,D34="",E34=""),0,IFERROR(IF(AND(INDEX(Arten,MATCH(D34,Codes,0))="Arbeit",INDEX(Arten,MATCH(E34,Codes,0))="Arbeit"),IF(ROUND((1+INDEX(Beginne,MATCH(E34,Codes,0))-INDEX(EndeRel,MATCH(D34,Codes,0)))*1440,0)&lt;660,1,0),0),0))</f>
      </c>
      <c r="F83" s="1">
        <f>IF(OR(F$52=0,E34="",F34=""),0,IFERROR(IF(AND(INDEX(Arten,MATCH(E34,Codes,0))="Arbeit",INDEX(Arten,MATCH(F34,Codes,0))="Arbeit"),IF(ROUND((1+INDEX(Beginne,MATCH(F34,Codes,0))-INDEX(EndeRel,MATCH(E34,Codes,0)))*1440,0)&lt;660,1,0),0),0))</f>
      </c>
      <c r="G83" s="1">
        <f>IF(OR(G$52=0,F34="",G34=""),0,IFERROR(IF(AND(INDEX(Arten,MATCH(F34,Codes,0))="Arbeit",INDEX(Arten,MATCH(G34,Codes,0))="Arbeit"),IF(ROUND((1+INDEX(Beginne,MATCH(G34,Codes,0))-INDEX(EndeRel,MATCH(F34,Codes,0)))*1440,0)&lt;660,1,0),0),0))</f>
      </c>
      <c r="H83" s="1">
        <f>IF(OR(H$52=0,G34="",H34=""),0,IFERROR(IF(AND(INDEX(Arten,MATCH(G34,Codes,0))="Arbeit",INDEX(Arten,MATCH(H34,Codes,0))="Arbeit"),IF(ROUND((1+INDEX(Beginne,MATCH(H34,Codes,0))-INDEX(EndeRel,MATCH(G34,Codes,0)))*1440,0)&lt;660,1,0),0),0))</f>
      </c>
      <c r="I83" s="1">
        <f>IF(OR(I$52=0,H34="",I34=""),0,IFERROR(IF(AND(INDEX(Arten,MATCH(H34,Codes,0))="Arbeit",INDEX(Arten,MATCH(I34,Codes,0))="Arbeit"),IF(ROUND((1+INDEX(Beginne,MATCH(I34,Codes,0))-INDEX(EndeRel,MATCH(H34,Codes,0)))*1440,0)&lt;660,1,0),0),0))</f>
      </c>
      <c r="J83" s="1">
        <f>IF(OR(J$52=0,I34="",J34=""),0,IFERROR(IF(AND(INDEX(Arten,MATCH(I34,Codes,0))="Arbeit",INDEX(Arten,MATCH(J34,Codes,0))="Arbeit"),IF(ROUND((1+INDEX(Beginne,MATCH(J34,Codes,0))-INDEX(EndeRel,MATCH(I34,Codes,0)))*1440,0)&lt;660,1,0),0),0))</f>
      </c>
      <c r="K83" s="1">
        <f>IF(OR(K$52=0,J34="",K34=""),0,IFERROR(IF(AND(INDEX(Arten,MATCH(J34,Codes,0))="Arbeit",INDEX(Arten,MATCH(K34,Codes,0))="Arbeit"),IF(ROUND((1+INDEX(Beginne,MATCH(K34,Codes,0))-INDEX(EndeRel,MATCH(J34,Codes,0)))*1440,0)&lt;660,1,0),0),0))</f>
      </c>
      <c r="L83" s="1">
        <f>IF(OR(L$52=0,K34="",L34=""),0,IFERROR(IF(AND(INDEX(Arten,MATCH(K34,Codes,0))="Arbeit",INDEX(Arten,MATCH(L34,Codes,0))="Arbeit"),IF(ROUND((1+INDEX(Beginne,MATCH(L34,Codes,0))-INDEX(EndeRel,MATCH(K34,Codes,0)))*1440,0)&lt;660,1,0),0),0))</f>
      </c>
      <c r="M83" s="1">
        <f>IF(OR(M$52=0,L34="",M34=""),0,IFERROR(IF(AND(INDEX(Arten,MATCH(L34,Codes,0))="Arbeit",INDEX(Arten,MATCH(M34,Codes,0))="Arbeit"),IF(ROUND((1+INDEX(Beginne,MATCH(M34,Codes,0))-INDEX(EndeRel,MATCH(L34,Codes,0)))*1440,0)&lt;660,1,0),0),0))</f>
      </c>
      <c r="N83" s="1">
        <f>IF(OR(N$52=0,M34="",N34=""),0,IFERROR(IF(AND(INDEX(Arten,MATCH(M34,Codes,0))="Arbeit",INDEX(Arten,MATCH(N34,Codes,0))="Arbeit"),IF(ROUND((1+INDEX(Beginne,MATCH(N34,Codes,0))-INDEX(EndeRel,MATCH(M34,Codes,0)))*1440,0)&lt;660,1,0),0),0))</f>
      </c>
      <c r="O83" s="1">
        <f>IF(OR(O$52=0,N34="",O34=""),0,IFERROR(IF(AND(INDEX(Arten,MATCH(N34,Codes,0))="Arbeit",INDEX(Arten,MATCH(O34,Codes,0))="Arbeit"),IF(ROUND((1+INDEX(Beginne,MATCH(O34,Codes,0))-INDEX(EndeRel,MATCH(N34,Codes,0)))*1440,0)&lt;660,1,0),0),0))</f>
      </c>
      <c r="P83" s="1">
        <f>IF(OR(P$52=0,O34="",P34=""),0,IFERROR(IF(AND(INDEX(Arten,MATCH(O34,Codes,0))="Arbeit",INDEX(Arten,MATCH(P34,Codes,0))="Arbeit"),IF(ROUND((1+INDEX(Beginne,MATCH(P34,Codes,0))-INDEX(EndeRel,MATCH(O34,Codes,0)))*1440,0)&lt;660,1,0),0),0))</f>
      </c>
      <c r="Q83" s="1">
        <f>IF(OR(Q$52=0,P34="",Q34=""),0,IFERROR(IF(AND(INDEX(Arten,MATCH(P34,Codes,0))="Arbeit",INDEX(Arten,MATCH(Q34,Codes,0))="Arbeit"),IF(ROUND((1+INDEX(Beginne,MATCH(Q34,Codes,0))-INDEX(EndeRel,MATCH(P34,Codes,0)))*1440,0)&lt;660,1,0),0),0))</f>
      </c>
      <c r="R83" s="1">
        <f>IF(OR(R$52=0,Q34="",R34=""),0,IFERROR(IF(AND(INDEX(Arten,MATCH(Q34,Codes,0))="Arbeit",INDEX(Arten,MATCH(R34,Codes,0))="Arbeit"),IF(ROUND((1+INDEX(Beginne,MATCH(R34,Codes,0))-INDEX(EndeRel,MATCH(Q34,Codes,0)))*1440,0)&lt;660,1,0),0),0))</f>
      </c>
      <c r="S83" s="1">
        <f>IF(OR(S$52=0,R34="",S34=""),0,IFERROR(IF(AND(INDEX(Arten,MATCH(R34,Codes,0))="Arbeit",INDEX(Arten,MATCH(S34,Codes,0))="Arbeit"),IF(ROUND((1+INDEX(Beginne,MATCH(S34,Codes,0))-INDEX(EndeRel,MATCH(R34,Codes,0)))*1440,0)&lt;660,1,0),0),0))</f>
      </c>
      <c r="T83" s="1">
        <f>IF(OR(T$52=0,S34="",T34=""),0,IFERROR(IF(AND(INDEX(Arten,MATCH(S34,Codes,0))="Arbeit",INDEX(Arten,MATCH(T34,Codes,0))="Arbeit"),IF(ROUND((1+INDEX(Beginne,MATCH(T34,Codes,0))-INDEX(EndeRel,MATCH(S34,Codes,0)))*1440,0)&lt;660,1,0),0),0))</f>
      </c>
      <c r="U83" s="1">
        <f>IF(OR(U$52=0,T34="",U34=""),0,IFERROR(IF(AND(INDEX(Arten,MATCH(T34,Codes,0))="Arbeit",INDEX(Arten,MATCH(U34,Codes,0))="Arbeit"),IF(ROUND((1+INDEX(Beginne,MATCH(U34,Codes,0))-INDEX(EndeRel,MATCH(T34,Codes,0)))*1440,0)&lt;660,1,0),0),0))</f>
      </c>
      <c r="V83" s="1">
        <f>IF(OR(V$52=0,U34="",V34=""),0,IFERROR(IF(AND(INDEX(Arten,MATCH(U34,Codes,0))="Arbeit",INDEX(Arten,MATCH(V34,Codes,0))="Arbeit"),IF(ROUND((1+INDEX(Beginne,MATCH(V34,Codes,0))-INDEX(EndeRel,MATCH(U34,Codes,0)))*1440,0)&lt;660,1,0),0),0))</f>
      </c>
      <c r="W83" s="1">
        <f>IF(OR(W$52=0,V34="",W34=""),0,IFERROR(IF(AND(INDEX(Arten,MATCH(V34,Codes,0))="Arbeit",INDEX(Arten,MATCH(W34,Codes,0))="Arbeit"),IF(ROUND((1+INDEX(Beginne,MATCH(W34,Codes,0))-INDEX(EndeRel,MATCH(V34,Codes,0)))*1440,0)&lt;660,1,0),0),0))</f>
      </c>
      <c r="X83" s="1">
        <f>IF(OR(X$52=0,W34="",X34=""),0,IFERROR(IF(AND(INDEX(Arten,MATCH(W34,Codes,0))="Arbeit",INDEX(Arten,MATCH(X34,Codes,0))="Arbeit"),IF(ROUND((1+INDEX(Beginne,MATCH(X34,Codes,0))-INDEX(EndeRel,MATCH(W34,Codes,0)))*1440,0)&lt;660,1,0),0),0))</f>
      </c>
      <c r="Y83" s="1">
        <f>IF(OR(Y$52=0,X34="",Y34=""),0,IFERROR(IF(AND(INDEX(Arten,MATCH(X34,Codes,0))="Arbeit",INDEX(Arten,MATCH(Y34,Codes,0))="Arbeit"),IF(ROUND((1+INDEX(Beginne,MATCH(Y34,Codes,0))-INDEX(EndeRel,MATCH(X34,Codes,0)))*1440,0)&lt;660,1,0),0),0))</f>
      </c>
      <c r="Z83" s="1">
        <f>IF(OR(Z$52=0,Y34="",Z34=""),0,IFERROR(IF(AND(INDEX(Arten,MATCH(Y34,Codes,0))="Arbeit",INDEX(Arten,MATCH(Z34,Codes,0))="Arbeit"),IF(ROUND((1+INDEX(Beginne,MATCH(Z34,Codes,0))-INDEX(EndeRel,MATCH(Y34,Codes,0)))*1440,0)&lt;660,1,0),0),0))</f>
      </c>
      <c r="AA83" s="1">
        <f>IF(OR(AA$52=0,Z34="",AA34=""),0,IFERROR(IF(AND(INDEX(Arten,MATCH(Z34,Codes,0))="Arbeit",INDEX(Arten,MATCH(AA34,Codes,0))="Arbeit"),IF(ROUND((1+INDEX(Beginne,MATCH(AA34,Codes,0))-INDEX(EndeRel,MATCH(Z34,Codes,0)))*1440,0)&lt;660,1,0),0),0))</f>
      </c>
      <c r="AB83" s="1">
        <f>IF(OR(AB$52=0,AA34="",AB34=""),0,IFERROR(IF(AND(INDEX(Arten,MATCH(AA34,Codes,0))="Arbeit",INDEX(Arten,MATCH(AB34,Codes,0))="Arbeit"),IF(ROUND((1+INDEX(Beginne,MATCH(AB34,Codes,0))-INDEX(EndeRel,MATCH(AA34,Codes,0)))*1440,0)&lt;660,1,0),0),0))</f>
      </c>
      <c r="AC83" s="1">
        <f>IF(OR(AC$52=0,AB34="",AC34=""),0,IFERROR(IF(AND(INDEX(Arten,MATCH(AB34,Codes,0))="Arbeit",INDEX(Arten,MATCH(AC34,Codes,0))="Arbeit"),IF(ROUND((1+INDEX(Beginne,MATCH(AC34,Codes,0))-INDEX(EndeRel,MATCH(AB34,Codes,0)))*1440,0)&lt;660,1,0),0),0))</f>
      </c>
      <c r="AD83" s="1">
        <f>IF(OR(AD$52=0,AC34="",AD34=""),0,IFERROR(IF(AND(INDEX(Arten,MATCH(AC34,Codes,0))="Arbeit",INDEX(Arten,MATCH(AD34,Codes,0))="Arbeit"),IF(ROUND((1+INDEX(Beginne,MATCH(AD34,Codes,0))-INDEX(EndeRel,MATCH(AC34,Codes,0)))*1440,0)&lt;660,1,0),0),0))</f>
      </c>
      <c r="AE83" s="1">
        <f>IF(OR(AE$52=0,AD34="",AE34=""),0,IFERROR(IF(AND(INDEX(Arten,MATCH(AD34,Codes,0))="Arbeit",INDEX(Arten,MATCH(AE34,Codes,0))="Arbeit"),IF(ROUND((1+INDEX(Beginne,MATCH(AE34,Codes,0))-INDEX(EndeRel,MATCH(AD34,Codes,0)))*1440,0)&lt;660,1,0),0),0))</f>
      </c>
      <c r="AF83" s="1">
        <f>IF(OR(AF$52=0,AE34="",AF34=""),0,IFERROR(IF(AND(INDEX(Arten,MATCH(AE34,Codes,0))="Arbeit",INDEX(Arten,MATCH(AF34,Codes,0))="Arbeit"),IF(ROUND((1+INDEX(Beginne,MATCH(AF34,Codes,0))-INDEX(EndeRel,MATCH(AE34,Codes,0)))*1440,0)&lt;660,1,0),0),0))</f>
      </c>
    </row>
    <row r="84" hidden="1" spans="1:32" x14ac:dyDescent="0.25">
      <c r="A84" s="1"/>
      <c r="B84" s="1">
        <f>IF(OR(B$52=0,INDEX('Januar'!$B$35:$AF$35,DAY(DATE(Jahr,2,0)))="",B35=""),0,IFERROR(IF(AND(INDEX(Arten,MATCH(INDEX('Januar'!$B$35:$AF$35,DAY(DATE(Jahr,2,0))),Codes,0))="Arbeit",INDEX(Arten,MATCH(B35,Codes,0))="Arbeit"),IF(ROUND((1+INDEX(Beginne,MATCH(B35,Codes,0))-INDEX(EndeRel,MATCH(INDEX('Januar'!$B$35:$AF$35,DAY(DATE(Jahr,2,0))),Codes,0)))*1440,0)&lt;660,1,0),0),0))</f>
      </c>
      <c r="C84" s="1">
        <f>IF(OR(C$52=0,B35="",C35=""),0,IFERROR(IF(AND(INDEX(Arten,MATCH(B35,Codes,0))="Arbeit",INDEX(Arten,MATCH(C35,Codes,0))="Arbeit"),IF(ROUND((1+INDEX(Beginne,MATCH(C35,Codes,0))-INDEX(EndeRel,MATCH(B35,Codes,0)))*1440,0)&lt;660,1,0),0),0))</f>
      </c>
      <c r="D84" s="1">
        <f>IF(OR(D$52=0,C35="",D35=""),0,IFERROR(IF(AND(INDEX(Arten,MATCH(C35,Codes,0))="Arbeit",INDEX(Arten,MATCH(D35,Codes,0))="Arbeit"),IF(ROUND((1+INDEX(Beginne,MATCH(D35,Codes,0))-INDEX(EndeRel,MATCH(C35,Codes,0)))*1440,0)&lt;660,1,0),0),0))</f>
      </c>
      <c r="E84" s="1">
        <f>IF(OR(E$52=0,D35="",E35=""),0,IFERROR(IF(AND(INDEX(Arten,MATCH(D35,Codes,0))="Arbeit",INDEX(Arten,MATCH(E35,Codes,0))="Arbeit"),IF(ROUND((1+INDEX(Beginne,MATCH(E35,Codes,0))-INDEX(EndeRel,MATCH(D35,Codes,0)))*1440,0)&lt;660,1,0),0),0))</f>
      </c>
      <c r="F84" s="1">
        <f>IF(OR(F$52=0,E35="",F35=""),0,IFERROR(IF(AND(INDEX(Arten,MATCH(E35,Codes,0))="Arbeit",INDEX(Arten,MATCH(F35,Codes,0))="Arbeit"),IF(ROUND((1+INDEX(Beginne,MATCH(F35,Codes,0))-INDEX(EndeRel,MATCH(E35,Codes,0)))*1440,0)&lt;660,1,0),0),0))</f>
      </c>
      <c r="G84" s="1">
        <f>IF(OR(G$52=0,F35="",G35=""),0,IFERROR(IF(AND(INDEX(Arten,MATCH(F35,Codes,0))="Arbeit",INDEX(Arten,MATCH(G35,Codes,0))="Arbeit"),IF(ROUND((1+INDEX(Beginne,MATCH(G35,Codes,0))-INDEX(EndeRel,MATCH(F35,Codes,0)))*1440,0)&lt;660,1,0),0),0))</f>
      </c>
      <c r="H84" s="1">
        <f>IF(OR(H$52=0,G35="",H35=""),0,IFERROR(IF(AND(INDEX(Arten,MATCH(G35,Codes,0))="Arbeit",INDEX(Arten,MATCH(H35,Codes,0))="Arbeit"),IF(ROUND((1+INDEX(Beginne,MATCH(H35,Codes,0))-INDEX(EndeRel,MATCH(G35,Codes,0)))*1440,0)&lt;660,1,0),0),0))</f>
      </c>
      <c r="I84" s="1">
        <f>IF(OR(I$52=0,H35="",I35=""),0,IFERROR(IF(AND(INDEX(Arten,MATCH(H35,Codes,0))="Arbeit",INDEX(Arten,MATCH(I35,Codes,0))="Arbeit"),IF(ROUND((1+INDEX(Beginne,MATCH(I35,Codes,0))-INDEX(EndeRel,MATCH(H35,Codes,0)))*1440,0)&lt;660,1,0),0),0))</f>
      </c>
      <c r="J84" s="1">
        <f>IF(OR(J$52=0,I35="",J35=""),0,IFERROR(IF(AND(INDEX(Arten,MATCH(I35,Codes,0))="Arbeit",INDEX(Arten,MATCH(J35,Codes,0))="Arbeit"),IF(ROUND((1+INDEX(Beginne,MATCH(J35,Codes,0))-INDEX(EndeRel,MATCH(I35,Codes,0)))*1440,0)&lt;660,1,0),0),0))</f>
      </c>
      <c r="K84" s="1">
        <f>IF(OR(K$52=0,J35="",K35=""),0,IFERROR(IF(AND(INDEX(Arten,MATCH(J35,Codes,0))="Arbeit",INDEX(Arten,MATCH(K35,Codes,0))="Arbeit"),IF(ROUND((1+INDEX(Beginne,MATCH(K35,Codes,0))-INDEX(EndeRel,MATCH(J35,Codes,0)))*1440,0)&lt;660,1,0),0),0))</f>
      </c>
      <c r="L84" s="1">
        <f>IF(OR(L$52=0,K35="",L35=""),0,IFERROR(IF(AND(INDEX(Arten,MATCH(K35,Codes,0))="Arbeit",INDEX(Arten,MATCH(L35,Codes,0))="Arbeit"),IF(ROUND((1+INDEX(Beginne,MATCH(L35,Codes,0))-INDEX(EndeRel,MATCH(K35,Codes,0)))*1440,0)&lt;660,1,0),0),0))</f>
      </c>
      <c r="M84" s="1">
        <f>IF(OR(M$52=0,L35="",M35=""),0,IFERROR(IF(AND(INDEX(Arten,MATCH(L35,Codes,0))="Arbeit",INDEX(Arten,MATCH(M35,Codes,0))="Arbeit"),IF(ROUND((1+INDEX(Beginne,MATCH(M35,Codes,0))-INDEX(EndeRel,MATCH(L35,Codes,0)))*1440,0)&lt;660,1,0),0),0))</f>
      </c>
      <c r="N84" s="1">
        <f>IF(OR(N$52=0,M35="",N35=""),0,IFERROR(IF(AND(INDEX(Arten,MATCH(M35,Codes,0))="Arbeit",INDEX(Arten,MATCH(N35,Codes,0))="Arbeit"),IF(ROUND((1+INDEX(Beginne,MATCH(N35,Codes,0))-INDEX(EndeRel,MATCH(M35,Codes,0)))*1440,0)&lt;660,1,0),0),0))</f>
      </c>
      <c r="O84" s="1">
        <f>IF(OR(O$52=0,N35="",O35=""),0,IFERROR(IF(AND(INDEX(Arten,MATCH(N35,Codes,0))="Arbeit",INDEX(Arten,MATCH(O35,Codes,0))="Arbeit"),IF(ROUND((1+INDEX(Beginne,MATCH(O35,Codes,0))-INDEX(EndeRel,MATCH(N35,Codes,0)))*1440,0)&lt;660,1,0),0),0))</f>
      </c>
      <c r="P84" s="1">
        <f>IF(OR(P$52=0,O35="",P35=""),0,IFERROR(IF(AND(INDEX(Arten,MATCH(O35,Codes,0))="Arbeit",INDEX(Arten,MATCH(P35,Codes,0))="Arbeit"),IF(ROUND((1+INDEX(Beginne,MATCH(P35,Codes,0))-INDEX(EndeRel,MATCH(O35,Codes,0)))*1440,0)&lt;660,1,0),0),0))</f>
      </c>
      <c r="Q84" s="1">
        <f>IF(OR(Q$52=0,P35="",Q35=""),0,IFERROR(IF(AND(INDEX(Arten,MATCH(P35,Codes,0))="Arbeit",INDEX(Arten,MATCH(Q35,Codes,0))="Arbeit"),IF(ROUND((1+INDEX(Beginne,MATCH(Q35,Codes,0))-INDEX(EndeRel,MATCH(P35,Codes,0)))*1440,0)&lt;660,1,0),0),0))</f>
      </c>
      <c r="R84" s="1">
        <f>IF(OR(R$52=0,Q35="",R35=""),0,IFERROR(IF(AND(INDEX(Arten,MATCH(Q35,Codes,0))="Arbeit",INDEX(Arten,MATCH(R35,Codes,0))="Arbeit"),IF(ROUND((1+INDEX(Beginne,MATCH(R35,Codes,0))-INDEX(EndeRel,MATCH(Q35,Codes,0)))*1440,0)&lt;660,1,0),0),0))</f>
      </c>
      <c r="S84" s="1">
        <f>IF(OR(S$52=0,R35="",S35=""),0,IFERROR(IF(AND(INDEX(Arten,MATCH(R35,Codes,0))="Arbeit",INDEX(Arten,MATCH(S35,Codes,0))="Arbeit"),IF(ROUND((1+INDEX(Beginne,MATCH(S35,Codes,0))-INDEX(EndeRel,MATCH(R35,Codes,0)))*1440,0)&lt;660,1,0),0),0))</f>
      </c>
      <c r="T84" s="1">
        <f>IF(OR(T$52=0,S35="",T35=""),0,IFERROR(IF(AND(INDEX(Arten,MATCH(S35,Codes,0))="Arbeit",INDEX(Arten,MATCH(T35,Codes,0))="Arbeit"),IF(ROUND((1+INDEX(Beginne,MATCH(T35,Codes,0))-INDEX(EndeRel,MATCH(S35,Codes,0)))*1440,0)&lt;660,1,0),0),0))</f>
      </c>
      <c r="U84" s="1">
        <f>IF(OR(U$52=0,T35="",U35=""),0,IFERROR(IF(AND(INDEX(Arten,MATCH(T35,Codes,0))="Arbeit",INDEX(Arten,MATCH(U35,Codes,0))="Arbeit"),IF(ROUND((1+INDEX(Beginne,MATCH(U35,Codes,0))-INDEX(EndeRel,MATCH(T35,Codes,0)))*1440,0)&lt;660,1,0),0),0))</f>
      </c>
      <c r="V84" s="1">
        <f>IF(OR(V$52=0,U35="",V35=""),0,IFERROR(IF(AND(INDEX(Arten,MATCH(U35,Codes,0))="Arbeit",INDEX(Arten,MATCH(V35,Codes,0))="Arbeit"),IF(ROUND((1+INDEX(Beginne,MATCH(V35,Codes,0))-INDEX(EndeRel,MATCH(U35,Codes,0)))*1440,0)&lt;660,1,0),0),0))</f>
      </c>
      <c r="W84" s="1">
        <f>IF(OR(W$52=0,V35="",W35=""),0,IFERROR(IF(AND(INDEX(Arten,MATCH(V35,Codes,0))="Arbeit",INDEX(Arten,MATCH(W35,Codes,0))="Arbeit"),IF(ROUND((1+INDEX(Beginne,MATCH(W35,Codes,0))-INDEX(EndeRel,MATCH(V35,Codes,0)))*1440,0)&lt;660,1,0),0),0))</f>
      </c>
      <c r="X84" s="1">
        <f>IF(OR(X$52=0,W35="",X35=""),0,IFERROR(IF(AND(INDEX(Arten,MATCH(W35,Codes,0))="Arbeit",INDEX(Arten,MATCH(X35,Codes,0))="Arbeit"),IF(ROUND((1+INDEX(Beginne,MATCH(X35,Codes,0))-INDEX(EndeRel,MATCH(W35,Codes,0)))*1440,0)&lt;660,1,0),0),0))</f>
      </c>
      <c r="Y84" s="1">
        <f>IF(OR(Y$52=0,X35="",Y35=""),0,IFERROR(IF(AND(INDEX(Arten,MATCH(X35,Codes,0))="Arbeit",INDEX(Arten,MATCH(Y35,Codes,0))="Arbeit"),IF(ROUND((1+INDEX(Beginne,MATCH(Y35,Codes,0))-INDEX(EndeRel,MATCH(X35,Codes,0)))*1440,0)&lt;660,1,0),0),0))</f>
      </c>
      <c r="Z84" s="1">
        <f>IF(OR(Z$52=0,Y35="",Z35=""),0,IFERROR(IF(AND(INDEX(Arten,MATCH(Y35,Codes,0))="Arbeit",INDEX(Arten,MATCH(Z35,Codes,0))="Arbeit"),IF(ROUND((1+INDEX(Beginne,MATCH(Z35,Codes,0))-INDEX(EndeRel,MATCH(Y35,Codes,0)))*1440,0)&lt;660,1,0),0),0))</f>
      </c>
      <c r="AA84" s="1">
        <f>IF(OR(AA$52=0,Z35="",AA35=""),0,IFERROR(IF(AND(INDEX(Arten,MATCH(Z35,Codes,0))="Arbeit",INDEX(Arten,MATCH(AA35,Codes,0))="Arbeit"),IF(ROUND((1+INDEX(Beginne,MATCH(AA35,Codes,0))-INDEX(EndeRel,MATCH(Z35,Codes,0)))*1440,0)&lt;660,1,0),0),0))</f>
      </c>
      <c r="AB84" s="1">
        <f>IF(OR(AB$52=0,AA35="",AB35=""),0,IFERROR(IF(AND(INDEX(Arten,MATCH(AA35,Codes,0))="Arbeit",INDEX(Arten,MATCH(AB35,Codes,0))="Arbeit"),IF(ROUND((1+INDEX(Beginne,MATCH(AB35,Codes,0))-INDEX(EndeRel,MATCH(AA35,Codes,0)))*1440,0)&lt;660,1,0),0),0))</f>
      </c>
      <c r="AC84" s="1">
        <f>IF(OR(AC$52=0,AB35="",AC35=""),0,IFERROR(IF(AND(INDEX(Arten,MATCH(AB35,Codes,0))="Arbeit",INDEX(Arten,MATCH(AC35,Codes,0))="Arbeit"),IF(ROUND((1+INDEX(Beginne,MATCH(AC35,Codes,0))-INDEX(EndeRel,MATCH(AB35,Codes,0)))*1440,0)&lt;660,1,0),0),0))</f>
      </c>
      <c r="AD84" s="1">
        <f>IF(OR(AD$52=0,AC35="",AD35=""),0,IFERROR(IF(AND(INDEX(Arten,MATCH(AC35,Codes,0))="Arbeit",INDEX(Arten,MATCH(AD35,Codes,0))="Arbeit"),IF(ROUND((1+INDEX(Beginne,MATCH(AD35,Codes,0))-INDEX(EndeRel,MATCH(AC35,Codes,0)))*1440,0)&lt;660,1,0),0),0))</f>
      </c>
      <c r="AE84" s="1">
        <f>IF(OR(AE$52=0,AD35="",AE35=""),0,IFERROR(IF(AND(INDEX(Arten,MATCH(AD35,Codes,0))="Arbeit",INDEX(Arten,MATCH(AE35,Codes,0))="Arbeit"),IF(ROUND((1+INDEX(Beginne,MATCH(AE35,Codes,0))-INDEX(EndeRel,MATCH(AD35,Codes,0)))*1440,0)&lt;660,1,0),0),0))</f>
      </c>
      <c r="AF84" s="1">
        <f>IF(OR(AF$52=0,AE35="",AF35=""),0,IFERROR(IF(AND(INDEX(Arten,MATCH(AE35,Codes,0))="Arbeit",INDEX(Arten,MATCH(AF35,Codes,0))="Arbeit"),IF(ROUND((1+INDEX(Beginne,MATCH(AF35,Codes,0))-INDEX(EndeRel,MATCH(AE35,Codes,0)))*1440,0)&lt;660,1,0),0),0))</f>
      </c>
    </row>
    <row r="86" hidden="1" spans="1:32" x14ac:dyDescent="0.25">
      <c r="A86" s="1"/>
      <c r="B86" s="1">
        <f>IF($AM38="","",IF(OR(B$51&gt;=6,B$50=1),N(INDEX(MinFrei,MATCH(1,ArbeitNr,0))),N(INDEX(MinWerktag,MATCH(1,ArbeitNr,0)))))</f>
      </c>
      <c r="C86" s="1">
        <f>IF($AM38="","",IF(OR(C$51&gt;=6,C$50=1),N(INDEX(MinFrei,MATCH(1,ArbeitNr,0))),N(INDEX(MinWerktag,MATCH(1,ArbeitNr,0)))))</f>
      </c>
      <c r="D86" s="1">
        <f>IF($AM38="","",IF(OR(D$51&gt;=6,D$50=1),N(INDEX(MinFrei,MATCH(1,ArbeitNr,0))),N(INDEX(MinWerktag,MATCH(1,ArbeitNr,0)))))</f>
      </c>
      <c r="E86" s="1">
        <f>IF($AM38="","",IF(OR(E$51&gt;=6,E$50=1),N(INDEX(MinFrei,MATCH(1,ArbeitNr,0))),N(INDEX(MinWerktag,MATCH(1,ArbeitNr,0)))))</f>
      </c>
      <c r="F86" s="1">
        <f>IF($AM38="","",IF(OR(F$51&gt;=6,F$50=1),N(INDEX(MinFrei,MATCH(1,ArbeitNr,0))),N(INDEX(MinWerktag,MATCH(1,ArbeitNr,0)))))</f>
      </c>
      <c r="G86" s="1">
        <f>IF($AM38="","",IF(OR(G$51&gt;=6,G$50=1),N(INDEX(MinFrei,MATCH(1,ArbeitNr,0))),N(INDEX(MinWerktag,MATCH(1,ArbeitNr,0)))))</f>
      </c>
      <c r="H86" s="1">
        <f>IF($AM38="","",IF(OR(H$51&gt;=6,H$50=1),N(INDEX(MinFrei,MATCH(1,ArbeitNr,0))),N(INDEX(MinWerktag,MATCH(1,ArbeitNr,0)))))</f>
      </c>
      <c r="I86" s="1">
        <f>IF($AM38="","",IF(OR(I$51&gt;=6,I$50=1),N(INDEX(MinFrei,MATCH(1,ArbeitNr,0))),N(INDEX(MinWerktag,MATCH(1,ArbeitNr,0)))))</f>
      </c>
      <c r="J86" s="1">
        <f>IF($AM38="","",IF(OR(J$51&gt;=6,J$50=1),N(INDEX(MinFrei,MATCH(1,ArbeitNr,0))),N(INDEX(MinWerktag,MATCH(1,ArbeitNr,0)))))</f>
      </c>
      <c r="K86" s="1">
        <f>IF($AM38="","",IF(OR(K$51&gt;=6,K$50=1),N(INDEX(MinFrei,MATCH(1,ArbeitNr,0))),N(INDEX(MinWerktag,MATCH(1,ArbeitNr,0)))))</f>
      </c>
      <c r="L86" s="1">
        <f>IF($AM38="","",IF(OR(L$51&gt;=6,L$50=1),N(INDEX(MinFrei,MATCH(1,ArbeitNr,0))),N(INDEX(MinWerktag,MATCH(1,ArbeitNr,0)))))</f>
      </c>
      <c r="M86" s="1">
        <f>IF($AM38="","",IF(OR(M$51&gt;=6,M$50=1),N(INDEX(MinFrei,MATCH(1,ArbeitNr,0))),N(INDEX(MinWerktag,MATCH(1,ArbeitNr,0)))))</f>
      </c>
      <c r="N86" s="1">
        <f>IF($AM38="","",IF(OR(N$51&gt;=6,N$50=1),N(INDEX(MinFrei,MATCH(1,ArbeitNr,0))),N(INDEX(MinWerktag,MATCH(1,ArbeitNr,0)))))</f>
      </c>
      <c r="O86" s="1">
        <f>IF($AM38="","",IF(OR(O$51&gt;=6,O$50=1),N(INDEX(MinFrei,MATCH(1,ArbeitNr,0))),N(INDEX(MinWerktag,MATCH(1,ArbeitNr,0)))))</f>
      </c>
      <c r="P86" s="1">
        <f>IF($AM38="","",IF(OR(P$51&gt;=6,P$50=1),N(INDEX(MinFrei,MATCH(1,ArbeitNr,0))),N(INDEX(MinWerktag,MATCH(1,ArbeitNr,0)))))</f>
      </c>
      <c r="Q86" s="1">
        <f>IF($AM38="","",IF(OR(Q$51&gt;=6,Q$50=1),N(INDEX(MinFrei,MATCH(1,ArbeitNr,0))),N(INDEX(MinWerktag,MATCH(1,ArbeitNr,0)))))</f>
      </c>
      <c r="R86" s="1">
        <f>IF($AM38="","",IF(OR(R$51&gt;=6,R$50=1),N(INDEX(MinFrei,MATCH(1,ArbeitNr,0))),N(INDEX(MinWerktag,MATCH(1,ArbeitNr,0)))))</f>
      </c>
      <c r="S86" s="1">
        <f>IF($AM38="","",IF(OR(S$51&gt;=6,S$50=1),N(INDEX(MinFrei,MATCH(1,ArbeitNr,0))),N(INDEX(MinWerktag,MATCH(1,ArbeitNr,0)))))</f>
      </c>
      <c r="T86" s="1">
        <f>IF($AM38="","",IF(OR(T$51&gt;=6,T$50=1),N(INDEX(MinFrei,MATCH(1,ArbeitNr,0))),N(INDEX(MinWerktag,MATCH(1,ArbeitNr,0)))))</f>
      </c>
      <c r="U86" s="1">
        <f>IF($AM38="","",IF(OR(U$51&gt;=6,U$50=1),N(INDEX(MinFrei,MATCH(1,ArbeitNr,0))),N(INDEX(MinWerktag,MATCH(1,ArbeitNr,0)))))</f>
      </c>
      <c r="V86" s="1">
        <f>IF($AM38="","",IF(OR(V$51&gt;=6,V$50=1),N(INDEX(MinFrei,MATCH(1,ArbeitNr,0))),N(INDEX(MinWerktag,MATCH(1,ArbeitNr,0)))))</f>
      </c>
      <c r="W86" s="1">
        <f>IF($AM38="","",IF(OR(W$51&gt;=6,W$50=1),N(INDEX(MinFrei,MATCH(1,ArbeitNr,0))),N(INDEX(MinWerktag,MATCH(1,ArbeitNr,0)))))</f>
      </c>
      <c r="X86" s="1">
        <f>IF($AM38="","",IF(OR(X$51&gt;=6,X$50=1),N(INDEX(MinFrei,MATCH(1,ArbeitNr,0))),N(INDEX(MinWerktag,MATCH(1,ArbeitNr,0)))))</f>
      </c>
      <c r="Y86" s="1">
        <f>IF($AM38="","",IF(OR(Y$51&gt;=6,Y$50=1),N(INDEX(MinFrei,MATCH(1,ArbeitNr,0))),N(INDEX(MinWerktag,MATCH(1,ArbeitNr,0)))))</f>
      </c>
      <c r="Z86" s="1">
        <f>IF($AM38="","",IF(OR(Z$51&gt;=6,Z$50=1),N(INDEX(MinFrei,MATCH(1,ArbeitNr,0))),N(INDEX(MinWerktag,MATCH(1,ArbeitNr,0)))))</f>
      </c>
      <c r="AA86" s="1">
        <f>IF($AM38="","",IF(OR(AA$51&gt;=6,AA$50=1),N(INDEX(MinFrei,MATCH(1,ArbeitNr,0))),N(INDEX(MinWerktag,MATCH(1,ArbeitNr,0)))))</f>
      </c>
      <c r="AB86" s="1">
        <f>IF($AM38="","",IF(OR(AB$51&gt;=6,AB$50=1),N(INDEX(MinFrei,MATCH(1,ArbeitNr,0))),N(INDEX(MinWerktag,MATCH(1,ArbeitNr,0)))))</f>
      </c>
      <c r="AC86" s="1">
        <f>IF($AM38="","",IF(OR(AC$51&gt;=6,AC$50=1),N(INDEX(MinFrei,MATCH(1,ArbeitNr,0))),N(INDEX(MinWerktag,MATCH(1,ArbeitNr,0)))))</f>
      </c>
      <c r="AD86" s="1">
        <f>IF($AM38="","",IF(OR(AD$51&gt;=6,AD$50=1),N(INDEX(MinFrei,MATCH(1,ArbeitNr,0))),N(INDEX(MinWerktag,MATCH(1,ArbeitNr,0)))))</f>
      </c>
      <c r="AE86" s="1">
        <f>IF($AM38="","",IF(OR(AE$51&gt;=6,AE$50=1),N(INDEX(MinFrei,MATCH(1,ArbeitNr,0))),N(INDEX(MinWerktag,MATCH(1,ArbeitNr,0)))))</f>
      </c>
      <c r="AF86" s="1">
        <f>IF($AM38="","",IF(OR(AF$51&gt;=6,AF$50=1),N(INDEX(MinFrei,MATCH(1,ArbeitNr,0))),N(INDEX(MinWerktag,MATCH(1,ArbeitNr,0)))))</f>
      </c>
    </row>
    <row r="87" hidden="1" spans="1:32" x14ac:dyDescent="0.25">
      <c r="A87" s="1"/>
      <c r="B87" s="1">
        <f>IF($AM39="","",IF(OR(B$51&gt;=6,B$50=1),N(INDEX(MinFrei,MATCH(2,ArbeitNr,0))),N(INDEX(MinWerktag,MATCH(2,ArbeitNr,0)))))</f>
      </c>
      <c r="C87" s="1">
        <f>IF($AM39="","",IF(OR(C$51&gt;=6,C$50=1),N(INDEX(MinFrei,MATCH(2,ArbeitNr,0))),N(INDEX(MinWerktag,MATCH(2,ArbeitNr,0)))))</f>
      </c>
      <c r="D87" s="1">
        <f>IF($AM39="","",IF(OR(D$51&gt;=6,D$50=1),N(INDEX(MinFrei,MATCH(2,ArbeitNr,0))),N(INDEX(MinWerktag,MATCH(2,ArbeitNr,0)))))</f>
      </c>
      <c r="E87" s="1">
        <f>IF($AM39="","",IF(OR(E$51&gt;=6,E$50=1),N(INDEX(MinFrei,MATCH(2,ArbeitNr,0))),N(INDEX(MinWerktag,MATCH(2,ArbeitNr,0)))))</f>
      </c>
      <c r="F87" s="1">
        <f>IF($AM39="","",IF(OR(F$51&gt;=6,F$50=1),N(INDEX(MinFrei,MATCH(2,ArbeitNr,0))),N(INDEX(MinWerktag,MATCH(2,ArbeitNr,0)))))</f>
      </c>
      <c r="G87" s="1">
        <f>IF($AM39="","",IF(OR(G$51&gt;=6,G$50=1),N(INDEX(MinFrei,MATCH(2,ArbeitNr,0))),N(INDEX(MinWerktag,MATCH(2,ArbeitNr,0)))))</f>
      </c>
      <c r="H87" s="1">
        <f>IF($AM39="","",IF(OR(H$51&gt;=6,H$50=1),N(INDEX(MinFrei,MATCH(2,ArbeitNr,0))),N(INDEX(MinWerktag,MATCH(2,ArbeitNr,0)))))</f>
      </c>
      <c r="I87" s="1">
        <f>IF($AM39="","",IF(OR(I$51&gt;=6,I$50=1),N(INDEX(MinFrei,MATCH(2,ArbeitNr,0))),N(INDEX(MinWerktag,MATCH(2,ArbeitNr,0)))))</f>
      </c>
      <c r="J87" s="1">
        <f>IF($AM39="","",IF(OR(J$51&gt;=6,J$50=1),N(INDEX(MinFrei,MATCH(2,ArbeitNr,0))),N(INDEX(MinWerktag,MATCH(2,ArbeitNr,0)))))</f>
      </c>
      <c r="K87" s="1">
        <f>IF($AM39="","",IF(OR(K$51&gt;=6,K$50=1),N(INDEX(MinFrei,MATCH(2,ArbeitNr,0))),N(INDEX(MinWerktag,MATCH(2,ArbeitNr,0)))))</f>
      </c>
      <c r="L87" s="1">
        <f>IF($AM39="","",IF(OR(L$51&gt;=6,L$50=1),N(INDEX(MinFrei,MATCH(2,ArbeitNr,0))),N(INDEX(MinWerktag,MATCH(2,ArbeitNr,0)))))</f>
      </c>
      <c r="M87" s="1">
        <f>IF($AM39="","",IF(OR(M$51&gt;=6,M$50=1),N(INDEX(MinFrei,MATCH(2,ArbeitNr,0))),N(INDEX(MinWerktag,MATCH(2,ArbeitNr,0)))))</f>
      </c>
      <c r="N87" s="1">
        <f>IF($AM39="","",IF(OR(N$51&gt;=6,N$50=1),N(INDEX(MinFrei,MATCH(2,ArbeitNr,0))),N(INDEX(MinWerktag,MATCH(2,ArbeitNr,0)))))</f>
      </c>
      <c r="O87" s="1">
        <f>IF($AM39="","",IF(OR(O$51&gt;=6,O$50=1),N(INDEX(MinFrei,MATCH(2,ArbeitNr,0))),N(INDEX(MinWerktag,MATCH(2,ArbeitNr,0)))))</f>
      </c>
      <c r="P87" s="1">
        <f>IF($AM39="","",IF(OR(P$51&gt;=6,P$50=1),N(INDEX(MinFrei,MATCH(2,ArbeitNr,0))),N(INDEX(MinWerktag,MATCH(2,ArbeitNr,0)))))</f>
      </c>
      <c r="Q87" s="1">
        <f>IF($AM39="","",IF(OR(Q$51&gt;=6,Q$50=1),N(INDEX(MinFrei,MATCH(2,ArbeitNr,0))),N(INDEX(MinWerktag,MATCH(2,ArbeitNr,0)))))</f>
      </c>
      <c r="R87" s="1">
        <f>IF($AM39="","",IF(OR(R$51&gt;=6,R$50=1),N(INDEX(MinFrei,MATCH(2,ArbeitNr,0))),N(INDEX(MinWerktag,MATCH(2,ArbeitNr,0)))))</f>
      </c>
      <c r="S87" s="1">
        <f>IF($AM39="","",IF(OR(S$51&gt;=6,S$50=1),N(INDEX(MinFrei,MATCH(2,ArbeitNr,0))),N(INDEX(MinWerktag,MATCH(2,ArbeitNr,0)))))</f>
      </c>
      <c r="T87" s="1">
        <f>IF($AM39="","",IF(OR(T$51&gt;=6,T$50=1),N(INDEX(MinFrei,MATCH(2,ArbeitNr,0))),N(INDEX(MinWerktag,MATCH(2,ArbeitNr,0)))))</f>
      </c>
      <c r="U87" s="1">
        <f>IF($AM39="","",IF(OR(U$51&gt;=6,U$50=1),N(INDEX(MinFrei,MATCH(2,ArbeitNr,0))),N(INDEX(MinWerktag,MATCH(2,ArbeitNr,0)))))</f>
      </c>
      <c r="V87" s="1">
        <f>IF($AM39="","",IF(OR(V$51&gt;=6,V$50=1),N(INDEX(MinFrei,MATCH(2,ArbeitNr,0))),N(INDEX(MinWerktag,MATCH(2,ArbeitNr,0)))))</f>
      </c>
      <c r="W87" s="1">
        <f>IF($AM39="","",IF(OR(W$51&gt;=6,W$50=1),N(INDEX(MinFrei,MATCH(2,ArbeitNr,0))),N(INDEX(MinWerktag,MATCH(2,ArbeitNr,0)))))</f>
      </c>
      <c r="X87" s="1">
        <f>IF($AM39="","",IF(OR(X$51&gt;=6,X$50=1),N(INDEX(MinFrei,MATCH(2,ArbeitNr,0))),N(INDEX(MinWerktag,MATCH(2,ArbeitNr,0)))))</f>
      </c>
      <c r="Y87" s="1">
        <f>IF($AM39="","",IF(OR(Y$51&gt;=6,Y$50=1),N(INDEX(MinFrei,MATCH(2,ArbeitNr,0))),N(INDEX(MinWerktag,MATCH(2,ArbeitNr,0)))))</f>
      </c>
      <c r="Z87" s="1">
        <f>IF($AM39="","",IF(OR(Z$51&gt;=6,Z$50=1),N(INDEX(MinFrei,MATCH(2,ArbeitNr,0))),N(INDEX(MinWerktag,MATCH(2,ArbeitNr,0)))))</f>
      </c>
      <c r="AA87" s="1">
        <f>IF($AM39="","",IF(OR(AA$51&gt;=6,AA$50=1),N(INDEX(MinFrei,MATCH(2,ArbeitNr,0))),N(INDEX(MinWerktag,MATCH(2,ArbeitNr,0)))))</f>
      </c>
      <c r="AB87" s="1">
        <f>IF($AM39="","",IF(OR(AB$51&gt;=6,AB$50=1),N(INDEX(MinFrei,MATCH(2,ArbeitNr,0))),N(INDEX(MinWerktag,MATCH(2,ArbeitNr,0)))))</f>
      </c>
      <c r="AC87" s="1">
        <f>IF($AM39="","",IF(OR(AC$51&gt;=6,AC$50=1),N(INDEX(MinFrei,MATCH(2,ArbeitNr,0))),N(INDEX(MinWerktag,MATCH(2,ArbeitNr,0)))))</f>
      </c>
      <c r="AD87" s="1">
        <f>IF($AM39="","",IF(OR(AD$51&gt;=6,AD$50=1),N(INDEX(MinFrei,MATCH(2,ArbeitNr,0))),N(INDEX(MinWerktag,MATCH(2,ArbeitNr,0)))))</f>
      </c>
      <c r="AE87" s="1">
        <f>IF($AM39="","",IF(OR(AE$51&gt;=6,AE$50=1),N(INDEX(MinFrei,MATCH(2,ArbeitNr,0))),N(INDEX(MinWerktag,MATCH(2,ArbeitNr,0)))))</f>
      </c>
      <c r="AF87" s="1">
        <f>IF($AM39="","",IF(OR(AF$51&gt;=6,AF$50=1),N(INDEX(MinFrei,MATCH(2,ArbeitNr,0))),N(INDEX(MinWerktag,MATCH(2,ArbeitNr,0)))))</f>
      </c>
    </row>
    <row r="88" hidden="1" spans="1:32" x14ac:dyDescent="0.25">
      <c r="A88" s="1"/>
      <c r="B88" s="1">
        <f>IF($AM40="","",IF(OR(B$51&gt;=6,B$50=1),N(INDEX(MinFrei,MATCH(3,ArbeitNr,0))),N(INDEX(MinWerktag,MATCH(3,ArbeitNr,0)))))</f>
      </c>
      <c r="C88" s="1">
        <f>IF($AM40="","",IF(OR(C$51&gt;=6,C$50=1),N(INDEX(MinFrei,MATCH(3,ArbeitNr,0))),N(INDEX(MinWerktag,MATCH(3,ArbeitNr,0)))))</f>
      </c>
      <c r="D88" s="1">
        <f>IF($AM40="","",IF(OR(D$51&gt;=6,D$50=1),N(INDEX(MinFrei,MATCH(3,ArbeitNr,0))),N(INDEX(MinWerktag,MATCH(3,ArbeitNr,0)))))</f>
      </c>
      <c r="E88" s="1">
        <f>IF($AM40="","",IF(OR(E$51&gt;=6,E$50=1),N(INDEX(MinFrei,MATCH(3,ArbeitNr,0))),N(INDEX(MinWerktag,MATCH(3,ArbeitNr,0)))))</f>
      </c>
      <c r="F88" s="1">
        <f>IF($AM40="","",IF(OR(F$51&gt;=6,F$50=1),N(INDEX(MinFrei,MATCH(3,ArbeitNr,0))),N(INDEX(MinWerktag,MATCH(3,ArbeitNr,0)))))</f>
      </c>
      <c r="G88" s="1">
        <f>IF($AM40="","",IF(OR(G$51&gt;=6,G$50=1),N(INDEX(MinFrei,MATCH(3,ArbeitNr,0))),N(INDEX(MinWerktag,MATCH(3,ArbeitNr,0)))))</f>
      </c>
      <c r="H88" s="1">
        <f>IF($AM40="","",IF(OR(H$51&gt;=6,H$50=1),N(INDEX(MinFrei,MATCH(3,ArbeitNr,0))),N(INDEX(MinWerktag,MATCH(3,ArbeitNr,0)))))</f>
      </c>
      <c r="I88" s="1">
        <f>IF($AM40="","",IF(OR(I$51&gt;=6,I$50=1),N(INDEX(MinFrei,MATCH(3,ArbeitNr,0))),N(INDEX(MinWerktag,MATCH(3,ArbeitNr,0)))))</f>
      </c>
      <c r="J88" s="1">
        <f>IF($AM40="","",IF(OR(J$51&gt;=6,J$50=1),N(INDEX(MinFrei,MATCH(3,ArbeitNr,0))),N(INDEX(MinWerktag,MATCH(3,ArbeitNr,0)))))</f>
      </c>
      <c r="K88" s="1">
        <f>IF($AM40="","",IF(OR(K$51&gt;=6,K$50=1),N(INDEX(MinFrei,MATCH(3,ArbeitNr,0))),N(INDEX(MinWerktag,MATCH(3,ArbeitNr,0)))))</f>
      </c>
      <c r="L88" s="1">
        <f>IF($AM40="","",IF(OR(L$51&gt;=6,L$50=1),N(INDEX(MinFrei,MATCH(3,ArbeitNr,0))),N(INDEX(MinWerktag,MATCH(3,ArbeitNr,0)))))</f>
      </c>
      <c r="M88" s="1">
        <f>IF($AM40="","",IF(OR(M$51&gt;=6,M$50=1),N(INDEX(MinFrei,MATCH(3,ArbeitNr,0))),N(INDEX(MinWerktag,MATCH(3,ArbeitNr,0)))))</f>
      </c>
      <c r="N88" s="1">
        <f>IF($AM40="","",IF(OR(N$51&gt;=6,N$50=1),N(INDEX(MinFrei,MATCH(3,ArbeitNr,0))),N(INDEX(MinWerktag,MATCH(3,ArbeitNr,0)))))</f>
      </c>
      <c r="O88" s="1">
        <f>IF($AM40="","",IF(OR(O$51&gt;=6,O$50=1),N(INDEX(MinFrei,MATCH(3,ArbeitNr,0))),N(INDEX(MinWerktag,MATCH(3,ArbeitNr,0)))))</f>
      </c>
      <c r="P88" s="1">
        <f>IF($AM40="","",IF(OR(P$51&gt;=6,P$50=1),N(INDEX(MinFrei,MATCH(3,ArbeitNr,0))),N(INDEX(MinWerktag,MATCH(3,ArbeitNr,0)))))</f>
      </c>
      <c r="Q88" s="1">
        <f>IF($AM40="","",IF(OR(Q$51&gt;=6,Q$50=1),N(INDEX(MinFrei,MATCH(3,ArbeitNr,0))),N(INDEX(MinWerktag,MATCH(3,ArbeitNr,0)))))</f>
      </c>
      <c r="R88" s="1">
        <f>IF($AM40="","",IF(OR(R$51&gt;=6,R$50=1),N(INDEX(MinFrei,MATCH(3,ArbeitNr,0))),N(INDEX(MinWerktag,MATCH(3,ArbeitNr,0)))))</f>
      </c>
      <c r="S88" s="1">
        <f>IF($AM40="","",IF(OR(S$51&gt;=6,S$50=1),N(INDEX(MinFrei,MATCH(3,ArbeitNr,0))),N(INDEX(MinWerktag,MATCH(3,ArbeitNr,0)))))</f>
      </c>
      <c r="T88" s="1">
        <f>IF($AM40="","",IF(OR(T$51&gt;=6,T$50=1),N(INDEX(MinFrei,MATCH(3,ArbeitNr,0))),N(INDEX(MinWerktag,MATCH(3,ArbeitNr,0)))))</f>
      </c>
      <c r="U88" s="1">
        <f>IF($AM40="","",IF(OR(U$51&gt;=6,U$50=1),N(INDEX(MinFrei,MATCH(3,ArbeitNr,0))),N(INDEX(MinWerktag,MATCH(3,ArbeitNr,0)))))</f>
      </c>
      <c r="V88" s="1">
        <f>IF($AM40="","",IF(OR(V$51&gt;=6,V$50=1),N(INDEX(MinFrei,MATCH(3,ArbeitNr,0))),N(INDEX(MinWerktag,MATCH(3,ArbeitNr,0)))))</f>
      </c>
      <c r="W88" s="1">
        <f>IF($AM40="","",IF(OR(W$51&gt;=6,W$50=1),N(INDEX(MinFrei,MATCH(3,ArbeitNr,0))),N(INDEX(MinWerktag,MATCH(3,ArbeitNr,0)))))</f>
      </c>
      <c r="X88" s="1">
        <f>IF($AM40="","",IF(OR(X$51&gt;=6,X$50=1),N(INDEX(MinFrei,MATCH(3,ArbeitNr,0))),N(INDEX(MinWerktag,MATCH(3,ArbeitNr,0)))))</f>
      </c>
      <c r="Y88" s="1">
        <f>IF($AM40="","",IF(OR(Y$51&gt;=6,Y$50=1),N(INDEX(MinFrei,MATCH(3,ArbeitNr,0))),N(INDEX(MinWerktag,MATCH(3,ArbeitNr,0)))))</f>
      </c>
      <c r="Z88" s="1">
        <f>IF($AM40="","",IF(OR(Z$51&gt;=6,Z$50=1),N(INDEX(MinFrei,MATCH(3,ArbeitNr,0))),N(INDEX(MinWerktag,MATCH(3,ArbeitNr,0)))))</f>
      </c>
      <c r="AA88" s="1">
        <f>IF($AM40="","",IF(OR(AA$51&gt;=6,AA$50=1),N(INDEX(MinFrei,MATCH(3,ArbeitNr,0))),N(INDEX(MinWerktag,MATCH(3,ArbeitNr,0)))))</f>
      </c>
      <c r="AB88" s="1">
        <f>IF($AM40="","",IF(OR(AB$51&gt;=6,AB$50=1),N(INDEX(MinFrei,MATCH(3,ArbeitNr,0))),N(INDEX(MinWerktag,MATCH(3,ArbeitNr,0)))))</f>
      </c>
      <c r="AC88" s="1">
        <f>IF($AM40="","",IF(OR(AC$51&gt;=6,AC$50=1),N(INDEX(MinFrei,MATCH(3,ArbeitNr,0))),N(INDEX(MinWerktag,MATCH(3,ArbeitNr,0)))))</f>
      </c>
      <c r="AD88" s="1">
        <f>IF($AM40="","",IF(OR(AD$51&gt;=6,AD$50=1),N(INDEX(MinFrei,MATCH(3,ArbeitNr,0))),N(INDEX(MinWerktag,MATCH(3,ArbeitNr,0)))))</f>
      </c>
      <c r="AE88" s="1">
        <f>IF($AM40="","",IF(OR(AE$51&gt;=6,AE$50=1),N(INDEX(MinFrei,MATCH(3,ArbeitNr,0))),N(INDEX(MinWerktag,MATCH(3,ArbeitNr,0)))))</f>
      </c>
      <c r="AF88" s="1">
        <f>IF($AM40="","",IF(OR(AF$51&gt;=6,AF$50=1),N(INDEX(MinFrei,MATCH(3,ArbeitNr,0))),N(INDEX(MinWerktag,MATCH(3,ArbeitNr,0)))))</f>
      </c>
    </row>
    <row r="89" hidden="1" spans="1:32" x14ac:dyDescent="0.25">
      <c r="A89" s="1"/>
      <c r="B89" s="1">
        <f>IF($AM41="","",IF(OR(B$51&gt;=6,B$50=1),N(INDEX(MinFrei,MATCH(4,ArbeitNr,0))),N(INDEX(MinWerktag,MATCH(4,ArbeitNr,0)))))</f>
      </c>
      <c r="C89" s="1">
        <f>IF($AM41="","",IF(OR(C$51&gt;=6,C$50=1),N(INDEX(MinFrei,MATCH(4,ArbeitNr,0))),N(INDEX(MinWerktag,MATCH(4,ArbeitNr,0)))))</f>
      </c>
      <c r="D89" s="1">
        <f>IF($AM41="","",IF(OR(D$51&gt;=6,D$50=1),N(INDEX(MinFrei,MATCH(4,ArbeitNr,0))),N(INDEX(MinWerktag,MATCH(4,ArbeitNr,0)))))</f>
      </c>
      <c r="E89" s="1">
        <f>IF($AM41="","",IF(OR(E$51&gt;=6,E$50=1),N(INDEX(MinFrei,MATCH(4,ArbeitNr,0))),N(INDEX(MinWerktag,MATCH(4,ArbeitNr,0)))))</f>
      </c>
      <c r="F89" s="1">
        <f>IF($AM41="","",IF(OR(F$51&gt;=6,F$50=1),N(INDEX(MinFrei,MATCH(4,ArbeitNr,0))),N(INDEX(MinWerktag,MATCH(4,ArbeitNr,0)))))</f>
      </c>
      <c r="G89" s="1">
        <f>IF($AM41="","",IF(OR(G$51&gt;=6,G$50=1),N(INDEX(MinFrei,MATCH(4,ArbeitNr,0))),N(INDEX(MinWerktag,MATCH(4,ArbeitNr,0)))))</f>
      </c>
      <c r="H89" s="1">
        <f>IF($AM41="","",IF(OR(H$51&gt;=6,H$50=1),N(INDEX(MinFrei,MATCH(4,ArbeitNr,0))),N(INDEX(MinWerktag,MATCH(4,ArbeitNr,0)))))</f>
      </c>
      <c r="I89" s="1">
        <f>IF($AM41="","",IF(OR(I$51&gt;=6,I$50=1),N(INDEX(MinFrei,MATCH(4,ArbeitNr,0))),N(INDEX(MinWerktag,MATCH(4,ArbeitNr,0)))))</f>
      </c>
      <c r="J89" s="1">
        <f>IF($AM41="","",IF(OR(J$51&gt;=6,J$50=1),N(INDEX(MinFrei,MATCH(4,ArbeitNr,0))),N(INDEX(MinWerktag,MATCH(4,ArbeitNr,0)))))</f>
      </c>
      <c r="K89" s="1">
        <f>IF($AM41="","",IF(OR(K$51&gt;=6,K$50=1),N(INDEX(MinFrei,MATCH(4,ArbeitNr,0))),N(INDEX(MinWerktag,MATCH(4,ArbeitNr,0)))))</f>
      </c>
      <c r="L89" s="1">
        <f>IF($AM41="","",IF(OR(L$51&gt;=6,L$50=1),N(INDEX(MinFrei,MATCH(4,ArbeitNr,0))),N(INDEX(MinWerktag,MATCH(4,ArbeitNr,0)))))</f>
      </c>
      <c r="M89" s="1">
        <f>IF($AM41="","",IF(OR(M$51&gt;=6,M$50=1),N(INDEX(MinFrei,MATCH(4,ArbeitNr,0))),N(INDEX(MinWerktag,MATCH(4,ArbeitNr,0)))))</f>
      </c>
      <c r="N89" s="1">
        <f>IF($AM41="","",IF(OR(N$51&gt;=6,N$50=1),N(INDEX(MinFrei,MATCH(4,ArbeitNr,0))),N(INDEX(MinWerktag,MATCH(4,ArbeitNr,0)))))</f>
      </c>
      <c r="O89" s="1">
        <f>IF($AM41="","",IF(OR(O$51&gt;=6,O$50=1),N(INDEX(MinFrei,MATCH(4,ArbeitNr,0))),N(INDEX(MinWerktag,MATCH(4,ArbeitNr,0)))))</f>
      </c>
      <c r="P89" s="1">
        <f>IF($AM41="","",IF(OR(P$51&gt;=6,P$50=1),N(INDEX(MinFrei,MATCH(4,ArbeitNr,0))),N(INDEX(MinWerktag,MATCH(4,ArbeitNr,0)))))</f>
      </c>
      <c r="Q89" s="1">
        <f>IF($AM41="","",IF(OR(Q$51&gt;=6,Q$50=1),N(INDEX(MinFrei,MATCH(4,ArbeitNr,0))),N(INDEX(MinWerktag,MATCH(4,ArbeitNr,0)))))</f>
      </c>
      <c r="R89" s="1">
        <f>IF($AM41="","",IF(OR(R$51&gt;=6,R$50=1),N(INDEX(MinFrei,MATCH(4,ArbeitNr,0))),N(INDEX(MinWerktag,MATCH(4,ArbeitNr,0)))))</f>
      </c>
      <c r="S89" s="1">
        <f>IF($AM41="","",IF(OR(S$51&gt;=6,S$50=1),N(INDEX(MinFrei,MATCH(4,ArbeitNr,0))),N(INDEX(MinWerktag,MATCH(4,ArbeitNr,0)))))</f>
      </c>
      <c r="T89" s="1">
        <f>IF($AM41="","",IF(OR(T$51&gt;=6,T$50=1),N(INDEX(MinFrei,MATCH(4,ArbeitNr,0))),N(INDEX(MinWerktag,MATCH(4,ArbeitNr,0)))))</f>
      </c>
      <c r="U89" s="1">
        <f>IF($AM41="","",IF(OR(U$51&gt;=6,U$50=1),N(INDEX(MinFrei,MATCH(4,ArbeitNr,0))),N(INDEX(MinWerktag,MATCH(4,ArbeitNr,0)))))</f>
      </c>
      <c r="V89" s="1">
        <f>IF($AM41="","",IF(OR(V$51&gt;=6,V$50=1),N(INDEX(MinFrei,MATCH(4,ArbeitNr,0))),N(INDEX(MinWerktag,MATCH(4,ArbeitNr,0)))))</f>
      </c>
      <c r="W89" s="1">
        <f>IF($AM41="","",IF(OR(W$51&gt;=6,W$50=1),N(INDEX(MinFrei,MATCH(4,ArbeitNr,0))),N(INDEX(MinWerktag,MATCH(4,ArbeitNr,0)))))</f>
      </c>
      <c r="X89" s="1">
        <f>IF($AM41="","",IF(OR(X$51&gt;=6,X$50=1),N(INDEX(MinFrei,MATCH(4,ArbeitNr,0))),N(INDEX(MinWerktag,MATCH(4,ArbeitNr,0)))))</f>
      </c>
      <c r="Y89" s="1">
        <f>IF($AM41="","",IF(OR(Y$51&gt;=6,Y$50=1),N(INDEX(MinFrei,MATCH(4,ArbeitNr,0))),N(INDEX(MinWerktag,MATCH(4,ArbeitNr,0)))))</f>
      </c>
      <c r="Z89" s="1">
        <f>IF($AM41="","",IF(OR(Z$51&gt;=6,Z$50=1),N(INDEX(MinFrei,MATCH(4,ArbeitNr,0))),N(INDEX(MinWerktag,MATCH(4,ArbeitNr,0)))))</f>
      </c>
      <c r="AA89" s="1">
        <f>IF($AM41="","",IF(OR(AA$51&gt;=6,AA$50=1),N(INDEX(MinFrei,MATCH(4,ArbeitNr,0))),N(INDEX(MinWerktag,MATCH(4,ArbeitNr,0)))))</f>
      </c>
      <c r="AB89" s="1">
        <f>IF($AM41="","",IF(OR(AB$51&gt;=6,AB$50=1),N(INDEX(MinFrei,MATCH(4,ArbeitNr,0))),N(INDEX(MinWerktag,MATCH(4,ArbeitNr,0)))))</f>
      </c>
      <c r="AC89" s="1">
        <f>IF($AM41="","",IF(OR(AC$51&gt;=6,AC$50=1),N(INDEX(MinFrei,MATCH(4,ArbeitNr,0))),N(INDEX(MinWerktag,MATCH(4,ArbeitNr,0)))))</f>
      </c>
      <c r="AD89" s="1">
        <f>IF($AM41="","",IF(OR(AD$51&gt;=6,AD$50=1),N(INDEX(MinFrei,MATCH(4,ArbeitNr,0))),N(INDEX(MinWerktag,MATCH(4,ArbeitNr,0)))))</f>
      </c>
      <c r="AE89" s="1">
        <f>IF($AM41="","",IF(OR(AE$51&gt;=6,AE$50=1),N(INDEX(MinFrei,MATCH(4,ArbeitNr,0))),N(INDEX(MinWerktag,MATCH(4,ArbeitNr,0)))))</f>
      </c>
      <c r="AF89" s="1">
        <f>IF($AM41="","",IF(OR(AF$51&gt;=6,AF$50=1),N(INDEX(MinFrei,MATCH(4,ArbeitNr,0))),N(INDEX(MinWerktag,MATCH(4,ArbeitNr,0)))))</f>
      </c>
    </row>
    <row r="90" hidden="1" spans="1:32" x14ac:dyDescent="0.25">
      <c r="A90" s="1"/>
      <c r="B90" s="1">
        <f>IF($AM42="","",IF(OR(B$51&gt;=6,B$50=1),N(INDEX(MinFrei,MATCH(5,ArbeitNr,0))),N(INDEX(MinWerktag,MATCH(5,ArbeitNr,0)))))</f>
      </c>
      <c r="C90" s="1">
        <f>IF($AM42="","",IF(OR(C$51&gt;=6,C$50=1),N(INDEX(MinFrei,MATCH(5,ArbeitNr,0))),N(INDEX(MinWerktag,MATCH(5,ArbeitNr,0)))))</f>
      </c>
      <c r="D90" s="1">
        <f>IF($AM42="","",IF(OR(D$51&gt;=6,D$50=1),N(INDEX(MinFrei,MATCH(5,ArbeitNr,0))),N(INDEX(MinWerktag,MATCH(5,ArbeitNr,0)))))</f>
      </c>
      <c r="E90" s="1">
        <f>IF($AM42="","",IF(OR(E$51&gt;=6,E$50=1),N(INDEX(MinFrei,MATCH(5,ArbeitNr,0))),N(INDEX(MinWerktag,MATCH(5,ArbeitNr,0)))))</f>
      </c>
      <c r="F90" s="1">
        <f>IF($AM42="","",IF(OR(F$51&gt;=6,F$50=1),N(INDEX(MinFrei,MATCH(5,ArbeitNr,0))),N(INDEX(MinWerktag,MATCH(5,ArbeitNr,0)))))</f>
      </c>
      <c r="G90" s="1">
        <f>IF($AM42="","",IF(OR(G$51&gt;=6,G$50=1),N(INDEX(MinFrei,MATCH(5,ArbeitNr,0))),N(INDEX(MinWerktag,MATCH(5,ArbeitNr,0)))))</f>
      </c>
      <c r="H90" s="1">
        <f>IF($AM42="","",IF(OR(H$51&gt;=6,H$50=1),N(INDEX(MinFrei,MATCH(5,ArbeitNr,0))),N(INDEX(MinWerktag,MATCH(5,ArbeitNr,0)))))</f>
      </c>
      <c r="I90" s="1">
        <f>IF($AM42="","",IF(OR(I$51&gt;=6,I$50=1),N(INDEX(MinFrei,MATCH(5,ArbeitNr,0))),N(INDEX(MinWerktag,MATCH(5,ArbeitNr,0)))))</f>
      </c>
      <c r="J90" s="1">
        <f>IF($AM42="","",IF(OR(J$51&gt;=6,J$50=1),N(INDEX(MinFrei,MATCH(5,ArbeitNr,0))),N(INDEX(MinWerktag,MATCH(5,ArbeitNr,0)))))</f>
      </c>
      <c r="K90" s="1">
        <f>IF($AM42="","",IF(OR(K$51&gt;=6,K$50=1),N(INDEX(MinFrei,MATCH(5,ArbeitNr,0))),N(INDEX(MinWerktag,MATCH(5,ArbeitNr,0)))))</f>
      </c>
      <c r="L90" s="1">
        <f>IF($AM42="","",IF(OR(L$51&gt;=6,L$50=1),N(INDEX(MinFrei,MATCH(5,ArbeitNr,0))),N(INDEX(MinWerktag,MATCH(5,ArbeitNr,0)))))</f>
      </c>
      <c r="M90" s="1">
        <f>IF($AM42="","",IF(OR(M$51&gt;=6,M$50=1),N(INDEX(MinFrei,MATCH(5,ArbeitNr,0))),N(INDEX(MinWerktag,MATCH(5,ArbeitNr,0)))))</f>
      </c>
      <c r="N90" s="1">
        <f>IF($AM42="","",IF(OR(N$51&gt;=6,N$50=1),N(INDEX(MinFrei,MATCH(5,ArbeitNr,0))),N(INDEX(MinWerktag,MATCH(5,ArbeitNr,0)))))</f>
      </c>
      <c r="O90" s="1">
        <f>IF($AM42="","",IF(OR(O$51&gt;=6,O$50=1),N(INDEX(MinFrei,MATCH(5,ArbeitNr,0))),N(INDEX(MinWerktag,MATCH(5,ArbeitNr,0)))))</f>
      </c>
      <c r="P90" s="1">
        <f>IF($AM42="","",IF(OR(P$51&gt;=6,P$50=1),N(INDEX(MinFrei,MATCH(5,ArbeitNr,0))),N(INDEX(MinWerktag,MATCH(5,ArbeitNr,0)))))</f>
      </c>
      <c r="Q90" s="1">
        <f>IF($AM42="","",IF(OR(Q$51&gt;=6,Q$50=1),N(INDEX(MinFrei,MATCH(5,ArbeitNr,0))),N(INDEX(MinWerktag,MATCH(5,ArbeitNr,0)))))</f>
      </c>
      <c r="R90" s="1">
        <f>IF($AM42="","",IF(OR(R$51&gt;=6,R$50=1),N(INDEX(MinFrei,MATCH(5,ArbeitNr,0))),N(INDEX(MinWerktag,MATCH(5,ArbeitNr,0)))))</f>
      </c>
      <c r="S90" s="1">
        <f>IF($AM42="","",IF(OR(S$51&gt;=6,S$50=1),N(INDEX(MinFrei,MATCH(5,ArbeitNr,0))),N(INDEX(MinWerktag,MATCH(5,ArbeitNr,0)))))</f>
      </c>
      <c r="T90" s="1">
        <f>IF($AM42="","",IF(OR(T$51&gt;=6,T$50=1),N(INDEX(MinFrei,MATCH(5,ArbeitNr,0))),N(INDEX(MinWerktag,MATCH(5,ArbeitNr,0)))))</f>
      </c>
      <c r="U90" s="1">
        <f>IF($AM42="","",IF(OR(U$51&gt;=6,U$50=1),N(INDEX(MinFrei,MATCH(5,ArbeitNr,0))),N(INDEX(MinWerktag,MATCH(5,ArbeitNr,0)))))</f>
      </c>
      <c r="V90" s="1">
        <f>IF($AM42="","",IF(OR(V$51&gt;=6,V$50=1),N(INDEX(MinFrei,MATCH(5,ArbeitNr,0))),N(INDEX(MinWerktag,MATCH(5,ArbeitNr,0)))))</f>
      </c>
      <c r="W90" s="1">
        <f>IF($AM42="","",IF(OR(W$51&gt;=6,W$50=1),N(INDEX(MinFrei,MATCH(5,ArbeitNr,0))),N(INDEX(MinWerktag,MATCH(5,ArbeitNr,0)))))</f>
      </c>
      <c r="X90" s="1">
        <f>IF($AM42="","",IF(OR(X$51&gt;=6,X$50=1),N(INDEX(MinFrei,MATCH(5,ArbeitNr,0))),N(INDEX(MinWerktag,MATCH(5,ArbeitNr,0)))))</f>
      </c>
      <c r="Y90" s="1">
        <f>IF($AM42="","",IF(OR(Y$51&gt;=6,Y$50=1),N(INDEX(MinFrei,MATCH(5,ArbeitNr,0))),N(INDEX(MinWerktag,MATCH(5,ArbeitNr,0)))))</f>
      </c>
      <c r="Z90" s="1">
        <f>IF($AM42="","",IF(OR(Z$51&gt;=6,Z$50=1),N(INDEX(MinFrei,MATCH(5,ArbeitNr,0))),N(INDEX(MinWerktag,MATCH(5,ArbeitNr,0)))))</f>
      </c>
      <c r="AA90" s="1">
        <f>IF($AM42="","",IF(OR(AA$51&gt;=6,AA$50=1),N(INDEX(MinFrei,MATCH(5,ArbeitNr,0))),N(INDEX(MinWerktag,MATCH(5,ArbeitNr,0)))))</f>
      </c>
      <c r="AB90" s="1">
        <f>IF($AM42="","",IF(OR(AB$51&gt;=6,AB$50=1),N(INDEX(MinFrei,MATCH(5,ArbeitNr,0))),N(INDEX(MinWerktag,MATCH(5,ArbeitNr,0)))))</f>
      </c>
      <c r="AC90" s="1">
        <f>IF($AM42="","",IF(OR(AC$51&gt;=6,AC$50=1),N(INDEX(MinFrei,MATCH(5,ArbeitNr,0))),N(INDEX(MinWerktag,MATCH(5,ArbeitNr,0)))))</f>
      </c>
      <c r="AD90" s="1">
        <f>IF($AM42="","",IF(OR(AD$51&gt;=6,AD$50=1),N(INDEX(MinFrei,MATCH(5,ArbeitNr,0))),N(INDEX(MinWerktag,MATCH(5,ArbeitNr,0)))))</f>
      </c>
      <c r="AE90" s="1">
        <f>IF($AM42="","",IF(OR(AE$51&gt;=6,AE$50=1),N(INDEX(MinFrei,MATCH(5,ArbeitNr,0))),N(INDEX(MinWerktag,MATCH(5,ArbeitNr,0)))))</f>
      </c>
      <c r="AF90" s="1">
        <f>IF($AM42="","",IF(OR(AF$51&gt;=6,AF$50=1),N(INDEX(MinFrei,MATCH(5,ArbeitNr,0))),N(INDEX(MinWerktag,MATCH(5,ArbeitNr,0)))))</f>
      </c>
    </row>
    <row r="91" hidden="1" spans="1:32" x14ac:dyDescent="0.25">
      <c r="A91" s="1"/>
      <c r="B91" s="1">
        <f>IF($AM43="","",IF(OR(B$51&gt;=6,B$50=1),N(INDEX(MinFrei,MATCH(6,ArbeitNr,0))),N(INDEX(MinWerktag,MATCH(6,ArbeitNr,0)))))</f>
      </c>
      <c r="C91" s="1">
        <f>IF($AM43="","",IF(OR(C$51&gt;=6,C$50=1),N(INDEX(MinFrei,MATCH(6,ArbeitNr,0))),N(INDEX(MinWerktag,MATCH(6,ArbeitNr,0)))))</f>
      </c>
      <c r="D91" s="1">
        <f>IF($AM43="","",IF(OR(D$51&gt;=6,D$50=1),N(INDEX(MinFrei,MATCH(6,ArbeitNr,0))),N(INDEX(MinWerktag,MATCH(6,ArbeitNr,0)))))</f>
      </c>
      <c r="E91" s="1">
        <f>IF($AM43="","",IF(OR(E$51&gt;=6,E$50=1),N(INDEX(MinFrei,MATCH(6,ArbeitNr,0))),N(INDEX(MinWerktag,MATCH(6,ArbeitNr,0)))))</f>
      </c>
      <c r="F91" s="1">
        <f>IF($AM43="","",IF(OR(F$51&gt;=6,F$50=1),N(INDEX(MinFrei,MATCH(6,ArbeitNr,0))),N(INDEX(MinWerktag,MATCH(6,ArbeitNr,0)))))</f>
      </c>
      <c r="G91" s="1">
        <f>IF($AM43="","",IF(OR(G$51&gt;=6,G$50=1),N(INDEX(MinFrei,MATCH(6,ArbeitNr,0))),N(INDEX(MinWerktag,MATCH(6,ArbeitNr,0)))))</f>
      </c>
      <c r="H91" s="1">
        <f>IF($AM43="","",IF(OR(H$51&gt;=6,H$50=1),N(INDEX(MinFrei,MATCH(6,ArbeitNr,0))),N(INDEX(MinWerktag,MATCH(6,ArbeitNr,0)))))</f>
      </c>
      <c r="I91" s="1">
        <f>IF($AM43="","",IF(OR(I$51&gt;=6,I$50=1),N(INDEX(MinFrei,MATCH(6,ArbeitNr,0))),N(INDEX(MinWerktag,MATCH(6,ArbeitNr,0)))))</f>
      </c>
      <c r="J91" s="1">
        <f>IF($AM43="","",IF(OR(J$51&gt;=6,J$50=1),N(INDEX(MinFrei,MATCH(6,ArbeitNr,0))),N(INDEX(MinWerktag,MATCH(6,ArbeitNr,0)))))</f>
      </c>
      <c r="K91" s="1">
        <f>IF($AM43="","",IF(OR(K$51&gt;=6,K$50=1),N(INDEX(MinFrei,MATCH(6,ArbeitNr,0))),N(INDEX(MinWerktag,MATCH(6,ArbeitNr,0)))))</f>
      </c>
      <c r="L91" s="1">
        <f>IF($AM43="","",IF(OR(L$51&gt;=6,L$50=1),N(INDEX(MinFrei,MATCH(6,ArbeitNr,0))),N(INDEX(MinWerktag,MATCH(6,ArbeitNr,0)))))</f>
      </c>
      <c r="M91" s="1">
        <f>IF($AM43="","",IF(OR(M$51&gt;=6,M$50=1),N(INDEX(MinFrei,MATCH(6,ArbeitNr,0))),N(INDEX(MinWerktag,MATCH(6,ArbeitNr,0)))))</f>
      </c>
      <c r="N91" s="1">
        <f>IF($AM43="","",IF(OR(N$51&gt;=6,N$50=1),N(INDEX(MinFrei,MATCH(6,ArbeitNr,0))),N(INDEX(MinWerktag,MATCH(6,ArbeitNr,0)))))</f>
      </c>
      <c r="O91" s="1">
        <f>IF($AM43="","",IF(OR(O$51&gt;=6,O$50=1),N(INDEX(MinFrei,MATCH(6,ArbeitNr,0))),N(INDEX(MinWerktag,MATCH(6,ArbeitNr,0)))))</f>
      </c>
      <c r="P91" s="1">
        <f>IF($AM43="","",IF(OR(P$51&gt;=6,P$50=1),N(INDEX(MinFrei,MATCH(6,ArbeitNr,0))),N(INDEX(MinWerktag,MATCH(6,ArbeitNr,0)))))</f>
      </c>
      <c r="Q91" s="1">
        <f>IF($AM43="","",IF(OR(Q$51&gt;=6,Q$50=1),N(INDEX(MinFrei,MATCH(6,ArbeitNr,0))),N(INDEX(MinWerktag,MATCH(6,ArbeitNr,0)))))</f>
      </c>
      <c r="R91" s="1">
        <f>IF($AM43="","",IF(OR(R$51&gt;=6,R$50=1),N(INDEX(MinFrei,MATCH(6,ArbeitNr,0))),N(INDEX(MinWerktag,MATCH(6,ArbeitNr,0)))))</f>
      </c>
      <c r="S91" s="1">
        <f>IF($AM43="","",IF(OR(S$51&gt;=6,S$50=1),N(INDEX(MinFrei,MATCH(6,ArbeitNr,0))),N(INDEX(MinWerktag,MATCH(6,ArbeitNr,0)))))</f>
      </c>
      <c r="T91" s="1">
        <f>IF($AM43="","",IF(OR(T$51&gt;=6,T$50=1),N(INDEX(MinFrei,MATCH(6,ArbeitNr,0))),N(INDEX(MinWerktag,MATCH(6,ArbeitNr,0)))))</f>
      </c>
      <c r="U91" s="1">
        <f>IF($AM43="","",IF(OR(U$51&gt;=6,U$50=1),N(INDEX(MinFrei,MATCH(6,ArbeitNr,0))),N(INDEX(MinWerktag,MATCH(6,ArbeitNr,0)))))</f>
      </c>
      <c r="V91" s="1">
        <f>IF($AM43="","",IF(OR(V$51&gt;=6,V$50=1),N(INDEX(MinFrei,MATCH(6,ArbeitNr,0))),N(INDEX(MinWerktag,MATCH(6,ArbeitNr,0)))))</f>
      </c>
      <c r="W91" s="1">
        <f>IF($AM43="","",IF(OR(W$51&gt;=6,W$50=1),N(INDEX(MinFrei,MATCH(6,ArbeitNr,0))),N(INDEX(MinWerktag,MATCH(6,ArbeitNr,0)))))</f>
      </c>
      <c r="X91" s="1">
        <f>IF($AM43="","",IF(OR(X$51&gt;=6,X$50=1),N(INDEX(MinFrei,MATCH(6,ArbeitNr,0))),N(INDEX(MinWerktag,MATCH(6,ArbeitNr,0)))))</f>
      </c>
      <c r="Y91" s="1">
        <f>IF($AM43="","",IF(OR(Y$51&gt;=6,Y$50=1),N(INDEX(MinFrei,MATCH(6,ArbeitNr,0))),N(INDEX(MinWerktag,MATCH(6,ArbeitNr,0)))))</f>
      </c>
      <c r="Z91" s="1">
        <f>IF($AM43="","",IF(OR(Z$51&gt;=6,Z$50=1),N(INDEX(MinFrei,MATCH(6,ArbeitNr,0))),N(INDEX(MinWerktag,MATCH(6,ArbeitNr,0)))))</f>
      </c>
      <c r="AA91" s="1">
        <f>IF($AM43="","",IF(OR(AA$51&gt;=6,AA$50=1),N(INDEX(MinFrei,MATCH(6,ArbeitNr,0))),N(INDEX(MinWerktag,MATCH(6,ArbeitNr,0)))))</f>
      </c>
      <c r="AB91" s="1">
        <f>IF($AM43="","",IF(OR(AB$51&gt;=6,AB$50=1),N(INDEX(MinFrei,MATCH(6,ArbeitNr,0))),N(INDEX(MinWerktag,MATCH(6,ArbeitNr,0)))))</f>
      </c>
      <c r="AC91" s="1">
        <f>IF($AM43="","",IF(OR(AC$51&gt;=6,AC$50=1),N(INDEX(MinFrei,MATCH(6,ArbeitNr,0))),N(INDEX(MinWerktag,MATCH(6,ArbeitNr,0)))))</f>
      </c>
      <c r="AD91" s="1">
        <f>IF($AM43="","",IF(OR(AD$51&gt;=6,AD$50=1),N(INDEX(MinFrei,MATCH(6,ArbeitNr,0))),N(INDEX(MinWerktag,MATCH(6,ArbeitNr,0)))))</f>
      </c>
      <c r="AE91" s="1">
        <f>IF($AM43="","",IF(OR(AE$51&gt;=6,AE$50=1),N(INDEX(MinFrei,MATCH(6,ArbeitNr,0))),N(INDEX(MinWerktag,MATCH(6,ArbeitNr,0)))))</f>
      </c>
      <c r="AF91" s="1">
        <f>IF($AM43="","",IF(OR(AF$51&gt;=6,AF$50=1),N(INDEX(MinFrei,MATCH(6,ArbeitNr,0))),N(INDEX(MinWerktag,MATCH(6,ArbeitNr,0)))))</f>
      </c>
    </row>
    <row r="92" hidden="1" spans="1:32" x14ac:dyDescent="0.25">
      <c r="A92" s="1"/>
      <c r="B92" s="1">
        <f>IF($AM44="","",IF(OR(B$51&gt;=6,B$50=1),N(INDEX(MinFrei,MATCH(7,ArbeitNr,0))),N(INDEX(MinWerktag,MATCH(7,ArbeitNr,0)))))</f>
      </c>
      <c r="C92" s="1">
        <f>IF($AM44="","",IF(OR(C$51&gt;=6,C$50=1),N(INDEX(MinFrei,MATCH(7,ArbeitNr,0))),N(INDEX(MinWerktag,MATCH(7,ArbeitNr,0)))))</f>
      </c>
      <c r="D92" s="1">
        <f>IF($AM44="","",IF(OR(D$51&gt;=6,D$50=1),N(INDEX(MinFrei,MATCH(7,ArbeitNr,0))),N(INDEX(MinWerktag,MATCH(7,ArbeitNr,0)))))</f>
      </c>
      <c r="E92" s="1">
        <f>IF($AM44="","",IF(OR(E$51&gt;=6,E$50=1),N(INDEX(MinFrei,MATCH(7,ArbeitNr,0))),N(INDEX(MinWerktag,MATCH(7,ArbeitNr,0)))))</f>
      </c>
      <c r="F92" s="1">
        <f>IF($AM44="","",IF(OR(F$51&gt;=6,F$50=1),N(INDEX(MinFrei,MATCH(7,ArbeitNr,0))),N(INDEX(MinWerktag,MATCH(7,ArbeitNr,0)))))</f>
      </c>
      <c r="G92" s="1">
        <f>IF($AM44="","",IF(OR(G$51&gt;=6,G$50=1),N(INDEX(MinFrei,MATCH(7,ArbeitNr,0))),N(INDEX(MinWerktag,MATCH(7,ArbeitNr,0)))))</f>
      </c>
      <c r="H92" s="1">
        <f>IF($AM44="","",IF(OR(H$51&gt;=6,H$50=1),N(INDEX(MinFrei,MATCH(7,ArbeitNr,0))),N(INDEX(MinWerktag,MATCH(7,ArbeitNr,0)))))</f>
      </c>
      <c r="I92" s="1">
        <f>IF($AM44="","",IF(OR(I$51&gt;=6,I$50=1),N(INDEX(MinFrei,MATCH(7,ArbeitNr,0))),N(INDEX(MinWerktag,MATCH(7,ArbeitNr,0)))))</f>
      </c>
      <c r="J92" s="1">
        <f>IF($AM44="","",IF(OR(J$51&gt;=6,J$50=1),N(INDEX(MinFrei,MATCH(7,ArbeitNr,0))),N(INDEX(MinWerktag,MATCH(7,ArbeitNr,0)))))</f>
      </c>
      <c r="K92" s="1">
        <f>IF($AM44="","",IF(OR(K$51&gt;=6,K$50=1),N(INDEX(MinFrei,MATCH(7,ArbeitNr,0))),N(INDEX(MinWerktag,MATCH(7,ArbeitNr,0)))))</f>
      </c>
      <c r="L92" s="1">
        <f>IF($AM44="","",IF(OR(L$51&gt;=6,L$50=1),N(INDEX(MinFrei,MATCH(7,ArbeitNr,0))),N(INDEX(MinWerktag,MATCH(7,ArbeitNr,0)))))</f>
      </c>
      <c r="M92" s="1">
        <f>IF($AM44="","",IF(OR(M$51&gt;=6,M$50=1),N(INDEX(MinFrei,MATCH(7,ArbeitNr,0))),N(INDEX(MinWerktag,MATCH(7,ArbeitNr,0)))))</f>
      </c>
      <c r="N92" s="1">
        <f>IF($AM44="","",IF(OR(N$51&gt;=6,N$50=1),N(INDEX(MinFrei,MATCH(7,ArbeitNr,0))),N(INDEX(MinWerktag,MATCH(7,ArbeitNr,0)))))</f>
      </c>
      <c r="O92" s="1">
        <f>IF($AM44="","",IF(OR(O$51&gt;=6,O$50=1),N(INDEX(MinFrei,MATCH(7,ArbeitNr,0))),N(INDEX(MinWerktag,MATCH(7,ArbeitNr,0)))))</f>
      </c>
      <c r="P92" s="1">
        <f>IF($AM44="","",IF(OR(P$51&gt;=6,P$50=1),N(INDEX(MinFrei,MATCH(7,ArbeitNr,0))),N(INDEX(MinWerktag,MATCH(7,ArbeitNr,0)))))</f>
      </c>
      <c r="Q92" s="1">
        <f>IF($AM44="","",IF(OR(Q$51&gt;=6,Q$50=1),N(INDEX(MinFrei,MATCH(7,ArbeitNr,0))),N(INDEX(MinWerktag,MATCH(7,ArbeitNr,0)))))</f>
      </c>
      <c r="R92" s="1">
        <f>IF($AM44="","",IF(OR(R$51&gt;=6,R$50=1),N(INDEX(MinFrei,MATCH(7,ArbeitNr,0))),N(INDEX(MinWerktag,MATCH(7,ArbeitNr,0)))))</f>
      </c>
      <c r="S92" s="1">
        <f>IF($AM44="","",IF(OR(S$51&gt;=6,S$50=1),N(INDEX(MinFrei,MATCH(7,ArbeitNr,0))),N(INDEX(MinWerktag,MATCH(7,ArbeitNr,0)))))</f>
      </c>
      <c r="T92" s="1">
        <f>IF($AM44="","",IF(OR(T$51&gt;=6,T$50=1),N(INDEX(MinFrei,MATCH(7,ArbeitNr,0))),N(INDEX(MinWerktag,MATCH(7,ArbeitNr,0)))))</f>
      </c>
      <c r="U92" s="1">
        <f>IF($AM44="","",IF(OR(U$51&gt;=6,U$50=1),N(INDEX(MinFrei,MATCH(7,ArbeitNr,0))),N(INDEX(MinWerktag,MATCH(7,ArbeitNr,0)))))</f>
      </c>
      <c r="V92" s="1">
        <f>IF($AM44="","",IF(OR(V$51&gt;=6,V$50=1),N(INDEX(MinFrei,MATCH(7,ArbeitNr,0))),N(INDEX(MinWerktag,MATCH(7,ArbeitNr,0)))))</f>
      </c>
      <c r="W92" s="1">
        <f>IF($AM44="","",IF(OR(W$51&gt;=6,W$50=1),N(INDEX(MinFrei,MATCH(7,ArbeitNr,0))),N(INDEX(MinWerktag,MATCH(7,ArbeitNr,0)))))</f>
      </c>
      <c r="X92" s="1">
        <f>IF($AM44="","",IF(OR(X$51&gt;=6,X$50=1),N(INDEX(MinFrei,MATCH(7,ArbeitNr,0))),N(INDEX(MinWerktag,MATCH(7,ArbeitNr,0)))))</f>
      </c>
      <c r="Y92" s="1">
        <f>IF($AM44="","",IF(OR(Y$51&gt;=6,Y$50=1),N(INDEX(MinFrei,MATCH(7,ArbeitNr,0))),N(INDEX(MinWerktag,MATCH(7,ArbeitNr,0)))))</f>
      </c>
      <c r="Z92" s="1">
        <f>IF($AM44="","",IF(OR(Z$51&gt;=6,Z$50=1),N(INDEX(MinFrei,MATCH(7,ArbeitNr,0))),N(INDEX(MinWerktag,MATCH(7,ArbeitNr,0)))))</f>
      </c>
      <c r="AA92" s="1">
        <f>IF($AM44="","",IF(OR(AA$51&gt;=6,AA$50=1),N(INDEX(MinFrei,MATCH(7,ArbeitNr,0))),N(INDEX(MinWerktag,MATCH(7,ArbeitNr,0)))))</f>
      </c>
      <c r="AB92" s="1">
        <f>IF($AM44="","",IF(OR(AB$51&gt;=6,AB$50=1),N(INDEX(MinFrei,MATCH(7,ArbeitNr,0))),N(INDEX(MinWerktag,MATCH(7,ArbeitNr,0)))))</f>
      </c>
      <c r="AC92" s="1">
        <f>IF($AM44="","",IF(OR(AC$51&gt;=6,AC$50=1),N(INDEX(MinFrei,MATCH(7,ArbeitNr,0))),N(INDEX(MinWerktag,MATCH(7,ArbeitNr,0)))))</f>
      </c>
      <c r="AD92" s="1">
        <f>IF($AM44="","",IF(OR(AD$51&gt;=6,AD$50=1),N(INDEX(MinFrei,MATCH(7,ArbeitNr,0))),N(INDEX(MinWerktag,MATCH(7,ArbeitNr,0)))))</f>
      </c>
      <c r="AE92" s="1">
        <f>IF($AM44="","",IF(OR(AE$51&gt;=6,AE$50=1),N(INDEX(MinFrei,MATCH(7,ArbeitNr,0))),N(INDEX(MinWerktag,MATCH(7,ArbeitNr,0)))))</f>
      </c>
      <c r="AF92" s="1">
        <f>IF($AM44="","",IF(OR(AF$51&gt;=6,AF$50=1),N(INDEX(MinFrei,MATCH(7,ArbeitNr,0))),N(INDEX(MinWerktag,MATCH(7,ArbeitNr,0)))))</f>
      </c>
    </row>
    <row r="93" hidden="1" spans="1:32" x14ac:dyDescent="0.25">
      <c r="A93" s="1"/>
      <c r="B93" s="1">
        <f>IF($AM45="","",IF(OR(B$51&gt;=6,B$50=1),N(INDEX(MinFrei,MATCH(8,ArbeitNr,0))),N(INDEX(MinWerktag,MATCH(8,ArbeitNr,0)))))</f>
      </c>
      <c r="C93" s="1">
        <f>IF($AM45="","",IF(OR(C$51&gt;=6,C$50=1),N(INDEX(MinFrei,MATCH(8,ArbeitNr,0))),N(INDEX(MinWerktag,MATCH(8,ArbeitNr,0)))))</f>
      </c>
      <c r="D93" s="1">
        <f>IF($AM45="","",IF(OR(D$51&gt;=6,D$50=1),N(INDEX(MinFrei,MATCH(8,ArbeitNr,0))),N(INDEX(MinWerktag,MATCH(8,ArbeitNr,0)))))</f>
      </c>
      <c r="E93" s="1">
        <f>IF($AM45="","",IF(OR(E$51&gt;=6,E$50=1),N(INDEX(MinFrei,MATCH(8,ArbeitNr,0))),N(INDEX(MinWerktag,MATCH(8,ArbeitNr,0)))))</f>
      </c>
      <c r="F93" s="1">
        <f>IF($AM45="","",IF(OR(F$51&gt;=6,F$50=1),N(INDEX(MinFrei,MATCH(8,ArbeitNr,0))),N(INDEX(MinWerktag,MATCH(8,ArbeitNr,0)))))</f>
      </c>
      <c r="G93" s="1">
        <f>IF($AM45="","",IF(OR(G$51&gt;=6,G$50=1),N(INDEX(MinFrei,MATCH(8,ArbeitNr,0))),N(INDEX(MinWerktag,MATCH(8,ArbeitNr,0)))))</f>
      </c>
      <c r="H93" s="1">
        <f>IF($AM45="","",IF(OR(H$51&gt;=6,H$50=1),N(INDEX(MinFrei,MATCH(8,ArbeitNr,0))),N(INDEX(MinWerktag,MATCH(8,ArbeitNr,0)))))</f>
      </c>
      <c r="I93" s="1">
        <f>IF($AM45="","",IF(OR(I$51&gt;=6,I$50=1),N(INDEX(MinFrei,MATCH(8,ArbeitNr,0))),N(INDEX(MinWerktag,MATCH(8,ArbeitNr,0)))))</f>
      </c>
      <c r="J93" s="1">
        <f>IF($AM45="","",IF(OR(J$51&gt;=6,J$50=1),N(INDEX(MinFrei,MATCH(8,ArbeitNr,0))),N(INDEX(MinWerktag,MATCH(8,ArbeitNr,0)))))</f>
      </c>
      <c r="K93" s="1">
        <f>IF($AM45="","",IF(OR(K$51&gt;=6,K$50=1),N(INDEX(MinFrei,MATCH(8,ArbeitNr,0))),N(INDEX(MinWerktag,MATCH(8,ArbeitNr,0)))))</f>
      </c>
      <c r="L93" s="1">
        <f>IF($AM45="","",IF(OR(L$51&gt;=6,L$50=1),N(INDEX(MinFrei,MATCH(8,ArbeitNr,0))),N(INDEX(MinWerktag,MATCH(8,ArbeitNr,0)))))</f>
      </c>
      <c r="M93" s="1">
        <f>IF($AM45="","",IF(OR(M$51&gt;=6,M$50=1),N(INDEX(MinFrei,MATCH(8,ArbeitNr,0))),N(INDEX(MinWerktag,MATCH(8,ArbeitNr,0)))))</f>
      </c>
      <c r="N93" s="1">
        <f>IF($AM45="","",IF(OR(N$51&gt;=6,N$50=1),N(INDEX(MinFrei,MATCH(8,ArbeitNr,0))),N(INDEX(MinWerktag,MATCH(8,ArbeitNr,0)))))</f>
      </c>
      <c r="O93" s="1">
        <f>IF($AM45="","",IF(OR(O$51&gt;=6,O$50=1),N(INDEX(MinFrei,MATCH(8,ArbeitNr,0))),N(INDEX(MinWerktag,MATCH(8,ArbeitNr,0)))))</f>
      </c>
      <c r="P93" s="1">
        <f>IF($AM45="","",IF(OR(P$51&gt;=6,P$50=1),N(INDEX(MinFrei,MATCH(8,ArbeitNr,0))),N(INDEX(MinWerktag,MATCH(8,ArbeitNr,0)))))</f>
      </c>
      <c r="Q93" s="1">
        <f>IF($AM45="","",IF(OR(Q$51&gt;=6,Q$50=1),N(INDEX(MinFrei,MATCH(8,ArbeitNr,0))),N(INDEX(MinWerktag,MATCH(8,ArbeitNr,0)))))</f>
      </c>
      <c r="R93" s="1">
        <f>IF($AM45="","",IF(OR(R$51&gt;=6,R$50=1),N(INDEX(MinFrei,MATCH(8,ArbeitNr,0))),N(INDEX(MinWerktag,MATCH(8,ArbeitNr,0)))))</f>
      </c>
      <c r="S93" s="1">
        <f>IF($AM45="","",IF(OR(S$51&gt;=6,S$50=1),N(INDEX(MinFrei,MATCH(8,ArbeitNr,0))),N(INDEX(MinWerktag,MATCH(8,ArbeitNr,0)))))</f>
      </c>
      <c r="T93" s="1">
        <f>IF($AM45="","",IF(OR(T$51&gt;=6,T$50=1),N(INDEX(MinFrei,MATCH(8,ArbeitNr,0))),N(INDEX(MinWerktag,MATCH(8,ArbeitNr,0)))))</f>
      </c>
      <c r="U93" s="1">
        <f>IF($AM45="","",IF(OR(U$51&gt;=6,U$50=1),N(INDEX(MinFrei,MATCH(8,ArbeitNr,0))),N(INDEX(MinWerktag,MATCH(8,ArbeitNr,0)))))</f>
      </c>
      <c r="V93" s="1">
        <f>IF($AM45="","",IF(OR(V$51&gt;=6,V$50=1),N(INDEX(MinFrei,MATCH(8,ArbeitNr,0))),N(INDEX(MinWerktag,MATCH(8,ArbeitNr,0)))))</f>
      </c>
      <c r="W93" s="1">
        <f>IF($AM45="","",IF(OR(W$51&gt;=6,W$50=1),N(INDEX(MinFrei,MATCH(8,ArbeitNr,0))),N(INDEX(MinWerktag,MATCH(8,ArbeitNr,0)))))</f>
      </c>
      <c r="X93" s="1">
        <f>IF($AM45="","",IF(OR(X$51&gt;=6,X$50=1),N(INDEX(MinFrei,MATCH(8,ArbeitNr,0))),N(INDEX(MinWerktag,MATCH(8,ArbeitNr,0)))))</f>
      </c>
      <c r="Y93" s="1">
        <f>IF($AM45="","",IF(OR(Y$51&gt;=6,Y$50=1),N(INDEX(MinFrei,MATCH(8,ArbeitNr,0))),N(INDEX(MinWerktag,MATCH(8,ArbeitNr,0)))))</f>
      </c>
      <c r="Z93" s="1">
        <f>IF($AM45="","",IF(OR(Z$51&gt;=6,Z$50=1),N(INDEX(MinFrei,MATCH(8,ArbeitNr,0))),N(INDEX(MinWerktag,MATCH(8,ArbeitNr,0)))))</f>
      </c>
      <c r="AA93" s="1">
        <f>IF($AM45="","",IF(OR(AA$51&gt;=6,AA$50=1),N(INDEX(MinFrei,MATCH(8,ArbeitNr,0))),N(INDEX(MinWerktag,MATCH(8,ArbeitNr,0)))))</f>
      </c>
      <c r="AB93" s="1">
        <f>IF($AM45="","",IF(OR(AB$51&gt;=6,AB$50=1),N(INDEX(MinFrei,MATCH(8,ArbeitNr,0))),N(INDEX(MinWerktag,MATCH(8,ArbeitNr,0)))))</f>
      </c>
      <c r="AC93" s="1">
        <f>IF($AM45="","",IF(OR(AC$51&gt;=6,AC$50=1),N(INDEX(MinFrei,MATCH(8,ArbeitNr,0))),N(INDEX(MinWerktag,MATCH(8,ArbeitNr,0)))))</f>
      </c>
      <c r="AD93" s="1">
        <f>IF($AM45="","",IF(OR(AD$51&gt;=6,AD$50=1),N(INDEX(MinFrei,MATCH(8,ArbeitNr,0))),N(INDEX(MinWerktag,MATCH(8,ArbeitNr,0)))))</f>
      </c>
      <c r="AE93" s="1">
        <f>IF($AM45="","",IF(OR(AE$51&gt;=6,AE$50=1),N(INDEX(MinFrei,MATCH(8,ArbeitNr,0))),N(INDEX(MinWerktag,MATCH(8,ArbeitNr,0)))))</f>
      </c>
      <c r="AF93" s="1">
        <f>IF($AM45="","",IF(OR(AF$51&gt;=6,AF$50=1),N(INDEX(MinFrei,MATCH(8,ArbeitNr,0))),N(INDEX(MinWerktag,MATCH(8,ArbeitNr,0)))))</f>
      </c>
    </row>
  </sheetData>
  <sheetProtection sheet="1" formatCells="0" formatColumns="0" formatRows="0"/>
  <mergeCells count="1">
    <mergeCell ref="B48:U48"/>
  </mergeCells>
  <conditionalFormatting sqref="B6:AF35">
    <cfRule type="expression" dxfId="20" priority="1">
      <formula>B$52=0</formula>
    </cfRule>
    <cfRule type="expression" dxfId="21" priority="2">
      <formula>B55=1</formula>
    </cfRule>
    <cfRule type="expression" dxfId="22" priority="3">
      <formula>AND(B6&lt;&gt;"",UPPER(B6)=UPPER(Einstellungen!$A$9))</formula>
    </cfRule>
    <cfRule type="expression" dxfId="23" priority="4">
      <formula>AND(B6&lt;&gt;"",UPPER(B6)=UPPER(Einstellungen!$A$10))</formula>
    </cfRule>
    <cfRule type="expression" dxfId="24" priority="5">
      <formula>AND(B6&lt;&gt;"",UPPER(B6)=UPPER(Einstellungen!$A$11))</formula>
    </cfRule>
    <cfRule type="expression" dxfId="25" priority="6">
      <formula>AND(B6&lt;&gt;"",UPPER(B6)=UPPER(Einstellungen!$A$12))</formula>
    </cfRule>
    <cfRule type="expression" dxfId="26" priority="7">
      <formula>AND(B6&lt;&gt;"",UPPER(B6)=UPPER(Einstellungen!$A$13))</formula>
    </cfRule>
    <cfRule type="expression" dxfId="27" priority="8">
      <formula>AND(B6&lt;&gt;"",UPPER(B6)=UPPER(Einstellungen!$A$14))</formula>
    </cfRule>
    <cfRule type="expression" dxfId="28" priority="9">
      <formula>AND(B6&lt;&gt;"",UPPER(B6)=UPPER(Einstellungen!$A$15))</formula>
    </cfRule>
    <cfRule type="expression" dxfId="29" priority="10">
      <formula>AND(B6&lt;&gt;"",UPPER(B6)=UPPER(Einstellungen!$A$16))</formula>
    </cfRule>
    <cfRule type="expression" dxfId="30" priority="11">
      <formula>AND(B6&lt;&gt;"",UPPER(B6)=UPPER(Einstellungen!$A$17))</formula>
    </cfRule>
    <cfRule type="expression" dxfId="31" priority="12">
      <formula>AND(B6&lt;&gt;"",UPPER(B6)=UPPER(Einstellungen!$A$18))</formula>
    </cfRule>
    <cfRule type="expression" dxfId="32" priority="13">
      <formula>AND(B6&lt;&gt;"",UPPER(B6)=UPPER(Einstellungen!$A$19))</formula>
    </cfRule>
    <cfRule type="expression" dxfId="33" priority="14">
      <formula>AND(B6&lt;&gt;"",UPPER(B6)=UPPER(Einstellungen!$A$20))</formula>
    </cfRule>
    <cfRule type="expression" dxfId="34" priority="20">
      <formula>B$50=1</formula>
    </cfRule>
    <cfRule type="expression" dxfId="35" priority="21">
      <formula>B$51&gt;=6</formula>
    </cfRule>
  </conditionalFormatting>
  <conditionalFormatting sqref="B4:AF5">
    <cfRule type="expression" dxfId="36" priority="22">
      <formula>B$52=0</formula>
    </cfRule>
    <cfRule type="expression" dxfId="37" priority="23">
      <formula>B$50=1</formula>
    </cfRule>
    <cfRule type="expression" dxfId="38" priority="24">
      <formula>B$51&gt;=6</formula>
    </cfRule>
  </conditionalFormatting>
  <conditionalFormatting sqref="B38:AF45">
    <cfRule type="expression" dxfId="39" priority="25">
      <formula>AND(B38&lt;&gt;"",N(B38)&lt;N(B86))</formula>
    </cfRule>
  </conditionalFormatting>
  <dataValidations count="4">
    <dataValidation type="list" allowBlank="1" showErrorMessage="1" errorTitle="Schicht" error="Bitte ein Kürzel aus den Einstellungen wählen (z. B. F, S, N, U, K)." sqref="AA10:AF35">
      <formula1>Codes</formula1>
    </dataValidation>
    <dataValidation type="list" allowBlank="1" showErrorMessage="1" errorTitle="Schicht" error="Bitte ein Kürzel aus den Einstellungen wählen (z. B. F, S, N, U, K)." sqref="AA6:AF35">
      <formula1>Codes</formula1>
    </dataValidation>
    <dataValidation type="list" allowBlank="1" showErrorMessage="1" errorTitle="Schicht" error="Bitte ein Kürzel aus den Einstellungen wählen (z. B. F, S, N, U, K)." sqref="B10:AF35">
      <formula1>Codes</formula1>
    </dataValidation>
    <dataValidation type="list" allowBlank="1" showErrorMessage="1" errorTitle="Schicht" error="Bitte ein Kürzel aus den Einstellungen wählen (z. B. F, S, N, U, K)." sqref="B6:AF35">
      <formula1>Codes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93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32" width="4.2" customWidth="1"/>
    <col min="36" max="37" width="7" customWidth="1"/>
    <col min="38" max="38" width="30" customWidth="1"/>
    <col min="39" max="39" width="9" hidden="1" customWidth="1"/>
  </cols>
  <sheetData>
    <row r="1" spans="1:1" x14ac:dyDescent="0.25">
      <c r="A1" s="5">
        <f>"Dienstplan März "&amp;Jahr&amp;IF(Team="",""," · "&amp;Team)</f>
      </c>
    </row>
    <row r="2" spans="1:1" x14ac:dyDescent="0.25">
      <c r="A2" s="7">
        <f>IF(Bundesland="","Bitte in den Einstellungen das Bundesland wählen, damit die Feiertage stimmen.","Feiertage: "&amp;Bundesland)</f>
      </c>
    </row>
    <row r="3" spans="1:1" x14ac:dyDescent="0.25">
      <c r="A3" s="30">
        <f>Legende</f>
      </c>
    </row>
    <row r="4" spans="1:32" x14ac:dyDescent="0.25">
      <c r="A4" s="1"/>
      <c r="B4" s="31">
        <f>IF(B$5="","",CHOOSE(WEEKDAY(B$5,2),"Mo","Di","Mi","Do","Fr","Sa","So"))</f>
      </c>
      <c r="C4" s="31">
        <f>IF(C$5="","",CHOOSE(WEEKDAY(C$5,2),"Mo","Di","Mi","Do","Fr","Sa","So"))</f>
      </c>
      <c r="D4" s="31">
        <f>IF(D$5="","",CHOOSE(WEEKDAY(D$5,2),"Mo","Di","Mi","Do","Fr","Sa","So"))</f>
      </c>
      <c r="E4" s="31">
        <f>IF(E$5="","",CHOOSE(WEEKDAY(E$5,2),"Mo","Di","Mi","Do","Fr","Sa","So"))</f>
      </c>
      <c r="F4" s="31">
        <f>IF(F$5="","",CHOOSE(WEEKDAY(F$5,2),"Mo","Di","Mi","Do","Fr","Sa","So"))</f>
      </c>
      <c r="G4" s="31">
        <f>IF(G$5="","",CHOOSE(WEEKDAY(G$5,2),"Mo","Di","Mi","Do","Fr","Sa","So"))</f>
      </c>
      <c r="H4" s="31">
        <f>IF(H$5="","",CHOOSE(WEEKDAY(H$5,2),"Mo","Di","Mi","Do","Fr","Sa","So"))</f>
      </c>
      <c r="I4" s="31">
        <f>IF(I$5="","",CHOOSE(WEEKDAY(I$5,2),"Mo","Di","Mi","Do","Fr","Sa","So"))</f>
      </c>
      <c r="J4" s="31">
        <f>IF(J$5="","",CHOOSE(WEEKDAY(J$5,2),"Mo","Di","Mi","Do","Fr","Sa","So"))</f>
      </c>
      <c r="K4" s="31">
        <f>IF(K$5="","",CHOOSE(WEEKDAY(K$5,2),"Mo","Di","Mi","Do","Fr","Sa","So"))</f>
      </c>
      <c r="L4" s="31">
        <f>IF(L$5="","",CHOOSE(WEEKDAY(L$5,2),"Mo","Di","Mi","Do","Fr","Sa","So"))</f>
      </c>
      <c r="M4" s="31">
        <f>IF(M$5="","",CHOOSE(WEEKDAY(M$5,2),"Mo","Di","Mi","Do","Fr","Sa","So"))</f>
      </c>
      <c r="N4" s="31">
        <f>IF(N$5="","",CHOOSE(WEEKDAY(N$5,2),"Mo","Di","Mi","Do","Fr","Sa","So"))</f>
      </c>
      <c r="O4" s="31">
        <f>IF(O$5="","",CHOOSE(WEEKDAY(O$5,2),"Mo","Di","Mi","Do","Fr","Sa","So"))</f>
      </c>
      <c r="P4" s="31">
        <f>IF(P$5="","",CHOOSE(WEEKDAY(P$5,2),"Mo","Di","Mi","Do","Fr","Sa","So"))</f>
      </c>
      <c r="Q4" s="31">
        <f>IF(Q$5="","",CHOOSE(WEEKDAY(Q$5,2),"Mo","Di","Mi","Do","Fr","Sa","So"))</f>
      </c>
      <c r="R4" s="31">
        <f>IF(R$5="","",CHOOSE(WEEKDAY(R$5,2),"Mo","Di","Mi","Do","Fr","Sa","So"))</f>
      </c>
      <c r="S4" s="31">
        <f>IF(S$5="","",CHOOSE(WEEKDAY(S$5,2),"Mo","Di","Mi","Do","Fr","Sa","So"))</f>
      </c>
      <c r="T4" s="31">
        <f>IF(T$5="","",CHOOSE(WEEKDAY(T$5,2),"Mo","Di","Mi","Do","Fr","Sa","So"))</f>
      </c>
      <c r="U4" s="31">
        <f>IF(U$5="","",CHOOSE(WEEKDAY(U$5,2),"Mo","Di","Mi","Do","Fr","Sa","So"))</f>
      </c>
      <c r="V4" s="31">
        <f>IF(V$5="","",CHOOSE(WEEKDAY(V$5,2),"Mo","Di","Mi","Do","Fr","Sa","So"))</f>
      </c>
      <c r="W4" s="31">
        <f>IF(W$5="","",CHOOSE(WEEKDAY(W$5,2),"Mo","Di","Mi","Do","Fr","Sa","So"))</f>
      </c>
      <c r="X4" s="31">
        <f>IF(X$5="","",CHOOSE(WEEKDAY(X$5,2),"Mo","Di","Mi","Do","Fr","Sa","So"))</f>
      </c>
      <c r="Y4" s="31">
        <f>IF(Y$5="","",CHOOSE(WEEKDAY(Y$5,2),"Mo","Di","Mi","Do","Fr","Sa","So"))</f>
      </c>
      <c r="Z4" s="31">
        <f>IF(Z$5="","",CHOOSE(WEEKDAY(Z$5,2),"Mo","Di","Mi","Do","Fr","Sa","So"))</f>
      </c>
      <c r="AA4" s="31">
        <f>IF(AA$5="","",CHOOSE(WEEKDAY(AA$5,2),"Mo","Di","Mi","Do","Fr","Sa","So"))</f>
      </c>
      <c r="AB4" s="31">
        <f>IF(AB$5="","",CHOOSE(WEEKDAY(AB$5,2),"Mo","Di","Mi","Do","Fr","Sa","So"))</f>
      </c>
      <c r="AC4" s="31">
        <f>IF(AC$5="","",CHOOSE(WEEKDAY(AC$5,2),"Mo","Di","Mi","Do","Fr","Sa","So"))</f>
      </c>
      <c r="AD4" s="31">
        <f>IF(AD$5="","",CHOOSE(WEEKDAY(AD$5,2),"Mo","Di","Mi","Do","Fr","Sa","So"))</f>
      </c>
      <c r="AE4" s="31">
        <f>IF(AE$5="","",CHOOSE(WEEKDAY(AE$5,2),"Mo","Di","Mi","Do","Fr","Sa","So"))</f>
      </c>
      <c r="AF4" s="31">
        <f>IF(AF$5="","",CHOOSE(WEEKDAY(AF$5,2),"Mo","Di","Mi","Do","Fr","Sa","So"))</f>
      </c>
    </row>
    <row r="5" ht="18" customHeight="1" spans="1:38" x14ac:dyDescent="0.25">
      <c r="A5" s="10" t="s">
        <v>52</v>
      </c>
      <c r="B5" s="32">
        <f>IF(MONTH(DATE(Jahr,3,1))=3,DATE(Jahr,3,1),"")</f>
      </c>
      <c r="C5" s="32">
        <f>IF(MONTH(DATE(Jahr,3,2))=3,DATE(Jahr,3,2),"")</f>
      </c>
      <c r="D5" s="32">
        <f>IF(MONTH(DATE(Jahr,3,3))=3,DATE(Jahr,3,3),"")</f>
      </c>
      <c r="E5" s="32">
        <f>IF(MONTH(DATE(Jahr,3,4))=3,DATE(Jahr,3,4),"")</f>
      </c>
      <c r="F5" s="32">
        <f>IF(MONTH(DATE(Jahr,3,5))=3,DATE(Jahr,3,5),"")</f>
      </c>
      <c r="G5" s="32">
        <f>IF(MONTH(DATE(Jahr,3,6))=3,DATE(Jahr,3,6),"")</f>
      </c>
      <c r="H5" s="32">
        <f>IF(MONTH(DATE(Jahr,3,7))=3,DATE(Jahr,3,7),"")</f>
      </c>
      <c r="I5" s="32">
        <f>IF(MONTH(DATE(Jahr,3,8))=3,DATE(Jahr,3,8),"")</f>
      </c>
      <c r="J5" s="32">
        <f>IF(MONTH(DATE(Jahr,3,9))=3,DATE(Jahr,3,9),"")</f>
      </c>
      <c r="K5" s="32">
        <f>IF(MONTH(DATE(Jahr,3,10))=3,DATE(Jahr,3,10),"")</f>
      </c>
      <c r="L5" s="32">
        <f>IF(MONTH(DATE(Jahr,3,11))=3,DATE(Jahr,3,11),"")</f>
      </c>
      <c r="M5" s="32">
        <f>IF(MONTH(DATE(Jahr,3,12))=3,DATE(Jahr,3,12),"")</f>
      </c>
      <c r="N5" s="32">
        <f>IF(MONTH(DATE(Jahr,3,13))=3,DATE(Jahr,3,13),"")</f>
      </c>
      <c r="O5" s="32">
        <f>IF(MONTH(DATE(Jahr,3,14))=3,DATE(Jahr,3,14),"")</f>
      </c>
      <c r="P5" s="32">
        <f>IF(MONTH(DATE(Jahr,3,15))=3,DATE(Jahr,3,15),"")</f>
      </c>
      <c r="Q5" s="32">
        <f>IF(MONTH(DATE(Jahr,3,16))=3,DATE(Jahr,3,16),"")</f>
      </c>
      <c r="R5" s="32">
        <f>IF(MONTH(DATE(Jahr,3,17))=3,DATE(Jahr,3,17),"")</f>
      </c>
      <c r="S5" s="32">
        <f>IF(MONTH(DATE(Jahr,3,18))=3,DATE(Jahr,3,18),"")</f>
      </c>
      <c r="T5" s="32">
        <f>IF(MONTH(DATE(Jahr,3,19))=3,DATE(Jahr,3,19),"")</f>
      </c>
      <c r="U5" s="32">
        <f>IF(MONTH(DATE(Jahr,3,20))=3,DATE(Jahr,3,20),"")</f>
      </c>
      <c r="V5" s="32">
        <f>IF(MONTH(DATE(Jahr,3,21))=3,DATE(Jahr,3,21),"")</f>
      </c>
      <c r="W5" s="32">
        <f>IF(MONTH(DATE(Jahr,3,22))=3,DATE(Jahr,3,22),"")</f>
      </c>
      <c r="X5" s="32">
        <f>IF(MONTH(DATE(Jahr,3,23))=3,DATE(Jahr,3,23),"")</f>
      </c>
      <c r="Y5" s="32">
        <f>IF(MONTH(DATE(Jahr,3,24))=3,DATE(Jahr,3,24),"")</f>
      </c>
      <c r="Z5" s="32">
        <f>IF(MONTH(DATE(Jahr,3,25))=3,DATE(Jahr,3,25),"")</f>
      </c>
      <c r="AA5" s="32">
        <f>IF(MONTH(DATE(Jahr,3,26))=3,DATE(Jahr,3,26),"")</f>
      </c>
      <c r="AB5" s="32">
        <f>IF(MONTH(DATE(Jahr,3,27))=3,DATE(Jahr,3,27),"")</f>
      </c>
      <c r="AC5" s="32">
        <f>IF(MONTH(DATE(Jahr,3,28))=3,DATE(Jahr,3,28),"")</f>
      </c>
      <c r="AD5" s="32">
        <f>IF(MONTH(DATE(Jahr,3,29))=3,DATE(Jahr,3,29),"")</f>
      </c>
      <c r="AE5" s="32">
        <f>IF(MONTH(DATE(Jahr,3,30))=3,DATE(Jahr,3,30),"")</f>
      </c>
      <c r="AF5" s="32">
        <f>IF(MONTH(DATE(Jahr,3,31))=3,DATE(Jahr,3,31),"")</f>
      </c>
      <c r="AG5" s="10" t="s">
        <v>60</v>
      </c>
      <c r="AH5" s="10" t="s">
        <v>61</v>
      </c>
      <c r="AI5" s="10" t="s">
        <v>62</v>
      </c>
      <c r="AJ5" s="10" t="s">
        <v>44</v>
      </c>
      <c r="AK5" s="10" t="s">
        <v>46</v>
      </c>
      <c r="AL5" s="10" t="s">
        <v>33</v>
      </c>
    </row>
    <row r="6" spans="1:38" x14ac:dyDescent="0.25">
      <c r="A6" s="33">
        <f>Mitarbeiter!$A$5&amp;""</f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5">
        <f>IF($A6="","",SUMPRODUCT(COUNTIFS(B6:AF6,Codes,$B$52:$AF$52,1)*(Arten="Arbeit")*Erste*NettoTage)+SUMPRODUCT(COUNTIFS(B6:AF6,Codes,$B$53:$AF$53,1)*((Arten="Urlaub")+(Arten="Krank")+(Arten="Bezahlt abwesend"))*Erste)*N(Mitarbeiter!$B$5)/5/24)</f>
      </c>
      <c r="AH6" s="35">
        <f>IF($A6="","",N(Mitarbeiter!$B$5)/5/24*SUM($B$53:$AF$53))</f>
      </c>
      <c r="AI6" s="36">
        <f>IF($A6="","",IF((AG6-AH6)&lt;0,"-","+")&amp;TEXT(ABS((AG6-AH6)),"[h]:mm"))</f>
      </c>
      <c r="AJ6" s="37">
        <f>IF($A6="","",SUMPRODUCT(COUNTIFS(B6:AF6,Codes,$B$53:$AF$53,1)*(Arten="Urlaub")*Erste))</f>
      </c>
      <c r="AK6" s="37">
        <f>IF($A6="","",SUMPRODUCT(COUNTIFS(B6:AF6,Codes,$B$53:$AF$53,1)*(Arten="Krank")*Erste))</f>
      </c>
      <c r="AL6" s="38">
        <f>IF($A6="","",IF(COUNTIF(B55:AF55,1)&gt;0,COUNTIF(B55:AF55,1)&amp;"× Ruhezeit unter 11 Std. (§ 5)","")&amp;IF((COUNTIFS(B6:AF6,"?*",$B$52:$AF$52,1)-SUMPRODUCT(COUNTIFS(B6:AF6,Codes,$B$52:$AF$52,1)*(Codes&lt;&gt;"")*Erste))&gt;0,IF(COUNTIF(B55:AF55,1)&gt;0,"; ","")&amp;(COUNTIFS(B6:AF6,"?*",$B$52:$AF$52,1)-SUMPRODUCT(COUNTIFS(B6:AF6,Codes,$B$52:$AF$52,1)*(Codes&lt;&gt;"")*Erste))&amp;"× unbekanntes Kürzel",""))</f>
      </c>
    </row>
    <row r="7" spans="1:38" x14ac:dyDescent="0.25">
      <c r="A7" s="33">
        <f>Mitarbeiter!$A$6&amp;""</f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5">
        <f>IF($A7="","",SUMPRODUCT(COUNTIFS(B7:AF7,Codes,$B$52:$AF$52,1)*(Arten="Arbeit")*Erste*NettoTage)+SUMPRODUCT(COUNTIFS(B7:AF7,Codes,$B$53:$AF$53,1)*((Arten="Urlaub")+(Arten="Krank")+(Arten="Bezahlt abwesend"))*Erste)*N(Mitarbeiter!$B$6)/5/24)</f>
      </c>
      <c r="AH7" s="35">
        <f>IF($A7="","",N(Mitarbeiter!$B$6)/5/24*SUM($B$53:$AF$53))</f>
      </c>
      <c r="AI7" s="36">
        <f>IF($A7="","",IF((AG7-AH7)&lt;0,"-","+")&amp;TEXT(ABS((AG7-AH7)),"[h]:mm"))</f>
      </c>
      <c r="AJ7" s="37">
        <f>IF($A7="","",SUMPRODUCT(COUNTIFS(B7:AF7,Codes,$B$53:$AF$53,1)*(Arten="Urlaub")*Erste))</f>
      </c>
      <c r="AK7" s="37">
        <f>IF($A7="","",SUMPRODUCT(COUNTIFS(B7:AF7,Codes,$B$53:$AF$53,1)*(Arten="Krank")*Erste))</f>
      </c>
      <c r="AL7" s="38">
        <f>IF($A7="","",IF(COUNTIF(B56:AF56,1)&gt;0,COUNTIF(B56:AF56,1)&amp;"× Ruhezeit unter 11 Std. (§ 5)","")&amp;IF((COUNTIFS(B7:AF7,"?*",$B$52:$AF$52,1)-SUMPRODUCT(COUNTIFS(B7:AF7,Codes,$B$52:$AF$52,1)*(Codes&lt;&gt;"")*Erste))&gt;0,IF(COUNTIF(B56:AF56,1)&gt;0,"; ","")&amp;(COUNTIFS(B7:AF7,"?*",$B$52:$AF$52,1)-SUMPRODUCT(COUNTIFS(B7:AF7,Codes,$B$52:$AF$52,1)*(Codes&lt;&gt;"")*Erste))&amp;"× unbekanntes Kürzel",""))</f>
      </c>
    </row>
    <row r="8" spans="1:38" x14ac:dyDescent="0.25">
      <c r="A8" s="33">
        <f>Mitarbeiter!$A$7&amp;""</f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5">
        <f>IF($A8="","",SUMPRODUCT(COUNTIFS(B8:AF8,Codes,$B$52:$AF$52,1)*(Arten="Arbeit")*Erste*NettoTage)+SUMPRODUCT(COUNTIFS(B8:AF8,Codes,$B$53:$AF$53,1)*((Arten="Urlaub")+(Arten="Krank")+(Arten="Bezahlt abwesend"))*Erste)*N(Mitarbeiter!$B$7)/5/24)</f>
      </c>
      <c r="AH8" s="35">
        <f>IF($A8="","",N(Mitarbeiter!$B$7)/5/24*SUM($B$53:$AF$53))</f>
      </c>
      <c r="AI8" s="36">
        <f>IF($A8="","",IF((AG8-AH8)&lt;0,"-","+")&amp;TEXT(ABS((AG8-AH8)),"[h]:mm"))</f>
      </c>
      <c r="AJ8" s="37">
        <f>IF($A8="","",SUMPRODUCT(COUNTIFS(B8:AF8,Codes,$B$53:$AF$53,1)*(Arten="Urlaub")*Erste))</f>
      </c>
      <c r="AK8" s="37">
        <f>IF($A8="","",SUMPRODUCT(COUNTIFS(B8:AF8,Codes,$B$53:$AF$53,1)*(Arten="Krank")*Erste))</f>
      </c>
      <c r="AL8" s="38">
        <f>IF($A8="","",IF(COUNTIF(B57:AF57,1)&gt;0,COUNTIF(B57:AF57,1)&amp;"× Ruhezeit unter 11 Std. (§ 5)","")&amp;IF((COUNTIFS(B8:AF8,"?*",$B$52:$AF$52,1)-SUMPRODUCT(COUNTIFS(B8:AF8,Codes,$B$52:$AF$52,1)*(Codes&lt;&gt;"")*Erste))&gt;0,IF(COUNTIF(B57:AF57,1)&gt;0,"; ","")&amp;(COUNTIFS(B8:AF8,"?*",$B$52:$AF$52,1)-SUMPRODUCT(COUNTIFS(B8:AF8,Codes,$B$52:$AF$52,1)*(Codes&lt;&gt;"")*Erste))&amp;"× unbekanntes Kürzel",""))</f>
      </c>
    </row>
    <row r="9" spans="1:38" x14ac:dyDescent="0.25">
      <c r="A9" s="33">
        <f>Mitarbeiter!$A$8&amp;""</f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5">
        <f>IF($A9="","",SUMPRODUCT(COUNTIFS(B9:AF9,Codes,$B$52:$AF$52,1)*(Arten="Arbeit")*Erste*NettoTage)+SUMPRODUCT(COUNTIFS(B9:AF9,Codes,$B$53:$AF$53,1)*((Arten="Urlaub")+(Arten="Krank")+(Arten="Bezahlt abwesend"))*Erste)*N(Mitarbeiter!$B$8)/5/24)</f>
      </c>
      <c r="AH9" s="35">
        <f>IF($A9="","",N(Mitarbeiter!$B$8)/5/24*SUM($B$53:$AF$53))</f>
      </c>
      <c r="AI9" s="36">
        <f>IF($A9="","",IF((AG9-AH9)&lt;0,"-","+")&amp;TEXT(ABS((AG9-AH9)),"[h]:mm"))</f>
      </c>
      <c r="AJ9" s="37">
        <f>IF($A9="","",SUMPRODUCT(COUNTIFS(B9:AF9,Codes,$B$53:$AF$53,1)*(Arten="Urlaub")*Erste))</f>
      </c>
      <c r="AK9" s="37">
        <f>IF($A9="","",SUMPRODUCT(COUNTIFS(B9:AF9,Codes,$B$53:$AF$53,1)*(Arten="Krank")*Erste))</f>
      </c>
      <c r="AL9" s="38">
        <f>IF($A9="","",IF(COUNTIF(B58:AF58,1)&gt;0,COUNTIF(B58:AF58,1)&amp;"× Ruhezeit unter 11 Std. (§ 5)","")&amp;IF((COUNTIFS(B9:AF9,"?*",$B$52:$AF$52,1)-SUMPRODUCT(COUNTIFS(B9:AF9,Codes,$B$52:$AF$52,1)*(Codes&lt;&gt;"")*Erste))&gt;0,IF(COUNTIF(B58:AF58,1)&gt;0,"; ","")&amp;(COUNTIFS(B9:AF9,"?*",$B$52:$AF$52,1)-SUMPRODUCT(COUNTIFS(B9:AF9,Codes,$B$52:$AF$52,1)*(Codes&lt;&gt;"")*Erste))&amp;"× unbekanntes Kürzel",""))</f>
      </c>
    </row>
    <row r="10" spans="1:38" x14ac:dyDescent="0.25">
      <c r="A10" s="33">
        <f>Mitarbeiter!$A$9&amp;""</f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5">
        <f>IF($A10="","",SUMPRODUCT(COUNTIFS(B10:AF10,Codes,$B$52:$AF$52,1)*(Arten="Arbeit")*Erste*NettoTage)+SUMPRODUCT(COUNTIFS(B10:AF10,Codes,$B$53:$AF$53,1)*((Arten="Urlaub")+(Arten="Krank")+(Arten="Bezahlt abwesend"))*Erste)*N(Mitarbeiter!$B$9)/5/24)</f>
      </c>
      <c r="AH10" s="35">
        <f>IF($A10="","",N(Mitarbeiter!$B$9)/5/24*SUM($B$53:$AF$53))</f>
      </c>
      <c r="AI10" s="36">
        <f>IF($A10="","",IF((AG10-AH10)&lt;0,"-","+")&amp;TEXT(ABS((AG10-AH10)),"[h]:mm"))</f>
      </c>
      <c r="AJ10" s="37">
        <f>IF($A10="","",SUMPRODUCT(COUNTIFS(B10:AF10,Codes,$B$53:$AF$53,1)*(Arten="Urlaub")*Erste))</f>
      </c>
      <c r="AK10" s="37">
        <f>IF($A10="","",SUMPRODUCT(COUNTIFS(B10:AF10,Codes,$B$53:$AF$53,1)*(Arten="Krank")*Erste))</f>
      </c>
      <c r="AL10" s="38">
        <f>IF($A10="","",IF(COUNTIF(B59:AF59,1)&gt;0,COUNTIF(B59:AF59,1)&amp;"× Ruhezeit unter 11 Std. (§ 5)","")&amp;IF((COUNTIFS(B10:AF10,"?*",$B$52:$AF$52,1)-SUMPRODUCT(COUNTIFS(B10:AF10,Codes,$B$52:$AF$52,1)*(Codes&lt;&gt;"")*Erste))&gt;0,IF(COUNTIF(B59:AF59,1)&gt;0,"; ","")&amp;(COUNTIFS(B10:AF10,"?*",$B$52:$AF$52,1)-SUMPRODUCT(COUNTIFS(B10:AF10,Codes,$B$52:$AF$52,1)*(Codes&lt;&gt;"")*Erste))&amp;"× unbekanntes Kürzel",""))</f>
      </c>
    </row>
    <row r="11" spans="1:38" x14ac:dyDescent="0.25">
      <c r="A11" s="33">
        <f>Mitarbeiter!$A$10&amp;""</f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5">
        <f>IF($A11="","",SUMPRODUCT(COUNTIFS(B11:AF11,Codes,$B$52:$AF$52,1)*(Arten="Arbeit")*Erste*NettoTage)+SUMPRODUCT(COUNTIFS(B11:AF11,Codes,$B$53:$AF$53,1)*((Arten="Urlaub")+(Arten="Krank")+(Arten="Bezahlt abwesend"))*Erste)*N(Mitarbeiter!$B$10)/5/24)</f>
      </c>
      <c r="AH11" s="35">
        <f>IF($A11="","",N(Mitarbeiter!$B$10)/5/24*SUM($B$53:$AF$53))</f>
      </c>
      <c r="AI11" s="36">
        <f>IF($A11="","",IF((AG11-AH11)&lt;0,"-","+")&amp;TEXT(ABS((AG11-AH11)),"[h]:mm"))</f>
      </c>
      <c r="AJ11" s="37">
        <f>IF($A11="","",SUMPRODUCT(COUNTIFS(B11:AF11,Codes,$B$53:$AF$53,1)*(Arten="Urlaub")*Erste))</f>
      </c>
      <c r="AK11" s="37">
        <f>IF($A11="","",SUMPRODUCT(COUNTIFS(B11:AF11,Codes,$B$53:$AF$53,1)*(Arten="Krank")*Erste))</f>
      </c>
      <c r="AL11" s="38">
        <f>IF($A11="","",IF(COUNTIF(B60:AF60,1)&gt;0,COUNTIF(B60:AF60,1)&amp;"× Ruhezeit unter 11 Std. (§ 5)","")&amp;IF((COUNTIFS(B11:AF11,"?*",$B$52:$AF$52,1)-SUMPRODUCT(COUNTIFS(B11:AF11,Codes,$B$52:$AF$52,1)*(Codes&lt;&gt;"")*Erste))&gt;0,IF(COUNTIF(B60:AF60,1)&gt;0,"; ","")&amp;(COUNTIFS(B11:AF11,"?*",$B$52:$AF$52,1)-SUMPRODUCT(COUNTIFS(B11:AF11,Codes,$B$52:$AF$52,1)*(Codes&lt;&gt;"")*Erste))&amp;"× unbekanntes Kürzel",""))</f>
      </c>
    </row>
    <row r="12" spans="1:38" x14ac:dyDescent="0.25">
      <c r="A12" s="33">
        <f>Mitarbeiter!$A$11&amp;""</f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5">
        <f>IF($A12="","",SUMPRODUCT(COUNTIFS(B12:AF12,Codes,$B$52:$AF$52,1)*(Arten="Arbeit")*Erste*NettoTage)+SUMPRODUCT(COUNTIFS(B12:AF12,Codes,$B$53:$AF$53,1)*((Arten="Urlaub")+(Arten="Krank")+(Arten="Bezahlt abwesend"))*Erste)*N(Mitarbeiter!$B$11)/5/24)</f>
      </c>
      <c r="AH12" s="35">
        <f>IF($A12="","",N(Mitarbeiter!$B$11)/5/24*SUM($B$53:$AF$53))</f>
      </c>
      <c r="AI12" s="36">
        <f>IF($A12="","",IF((AG12-AH12)&lt;0,"-","+")&amp;TEXT(ABS((AG12-AH12)),"[h]:mm"))</f>
      </c>
      <c r="AJ12" s="37">
        <f>IF($A12="","",SUMPRODUCT(COUNTIFS(B12:AF12,Codes,$B$53:$AF$53,1)*(Arten="Urlaub")*Erste))</f>
      </c>
      <c r="AK12" s="37">
        <f>IF($A12="","",SUMPRODUCT(COUNTIFS(B12:AF12,Codes,$B$53:$AF$53,1)*(Arten="Krank")*Erste))</f>
      </c>
      <c r="AL12" s="38">
        <f>IF($A12="","",IF(COUNTIF(B61:AF61,1)&gt;0,COUNTIF(B61:AF61,1)&amp;"× Ruhezeit unter 11 Std. (§ 5)","")&amp;IF((COUNTIFS(B12:AF12,"?*",$B$52:$AF$52,1)-SUMPRODUCT(COUNTIFS(B12:AF12,Codes,$B$52:$AF$52,1)*(Codes&lt;&gt;"")*Erste))&gt;0,IF(COUNTIF(B61:AF61,1)&gt;0,"; ","")&amp;(COUNTIFS(B12:AF12,"?*",$B$52:$AF$52,1)-SUMPRODUCT(COUNTIFS(B12:AF12,Codes,$B$52:$AF$52,1)*(Codes&lt;&gt;"")*Erste))&amp;"× unbekanntes Kürzel",""))</f>
      </c>
    </row>
    <row r="13" spans="1:38" x14ac:dyDescent="0.25">
      <c r="A13" s="33">
        <f>Mitarbeiter!$A$12&amp;""</f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5">
        <f>IF($A13="","",SUMPRODUCT(COUNTIFS(B13:AF13,Codes,$B$52:$AF$52,1)*(Arten="Arbeit")*Erste*NettoTage)+SUMPRODUCT(COUNTIFS(B13:AF13,Codes,$B$53:$AF$53,1)*((Arten="Urlaub")+(Arten="Krank")+(Arten="Bezahlt abwesend"))*Erste)*N(Mitarbeiter!$B$12)/5/24)</f>
      </c>
      <c r="AH13" s="35">
        <f>IF($A13="","",N(Mitarbeiter!$B$12)/5/24*SUM($B$53:$AF$53))</f>
      </c>
      <c r="AI13" s="36">
        <f>IF($A13="","",IF((AG13-AH13)&lt;0,"-","+")&amp;TEXT(ABS((AG13-AH13)),"[h]:mm"))</f>
      </c>
      <c r="AJ13" s="37">
        <f>IF($A13="","",SUMPRODUCT(COUNTIFS(B13:AF13,Codes,$B$53:$AF$53,1)*(Arten="Urlaub")*Erste))</f>
      </c>
      <c r="AK13" s="37">
        <f>IF($A13="","",SUMPRODUCT(COUNTIFS(B13:AF13,Codes,$B$53:$AF$53,1)*(Arten="Krank")*Erste))</f>
      </c>
      <c r="AL13" s="38">
        <f>IF($A13="","",IF(COUNTIF(B62:AF62,1)&gt;0,COUNTIF(B62:AF62,1)&amp;"× Ruhezeit unter 11 Std. (§ 5)","")&amp;IF((COUNTIFS(B13:AF13,"?*",$B$52:$AF$52,1)-SUMPRODUCT(COUNTIFS(B13:AF13,Codes,$B$52:$AF$52,1)*(Codes&lt;&gt;"")*Erste))&gt;0,IF(COUNTIF(B62:AF62,1)&gt;0,"; ","")&amp;(COUNTIFS(B13:AF13,"?*",$B$52:$AF$52,1)-SUMPRODUCT(COUNTIFS(B13:AF13,Codes,$B$52:$AF$52,1)*(Codes&lt;&gt;"")*Erste))&amp;"× unbekanntes Kürzel",""))</f>
      </c>
    </row>
    <row r="14" spans="1:38" x14ac:dyDescent="0.25">
      <c r="A14" s="33">
        <f>Mitarbeiter!$A$13&amp;""</f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5">
        <f>IF($A14="","",SUMPRODUCT(COUNTIFS(B14:AF14,Codes,$B$52:$AF$52,1)*(Arten="Arbeit")*Erste*NettoTage)+SUMPRODUCT(COUNTIFS(B14:AF14,Codes,$B$53:$AF$53,1)*((Arten="Urlaub")+(Arten="Krank")+(Arten="Bezahlt abwesend"))*Erste)*N(Mitarbeiter!$B$13)/5/24)</f>
      </c>
      <c r="AH14" s="35">
        <f>IF($A14="","",N(Mitarbeiter!$B$13)/5/24*SUM($B$53:$AF$53))</f>
      </c>
      <c r="AI14" s="36">
        <f>IF($A14="","",IF((AG14-AH14)&lt;0,"-","+")&amp;TEXT(ABS((AG14-AH14)),"[h]:mm"))</f>
      </c>
      <c r="AJ14" s="37">
        <f>IF($A14="","",SUMPRODUCT(COUNTIFS(B14:AF14,Codes,$B$53:$AF$53,1)*(Arten="Urlaub")*Erste))</f>
      </c>
      <c r="AK14" s="37">
        <f>IF($A14="","",SUMPRODUCT(COUNTIFS(B14:AF14,Codes,$B$53:$AF$53,1)*(Arten="Krank")*Erste))</f>
      </c>
      <c r="AL14" s="38">
        <f>IF($A14="","",IF(COUNTIF(B63:AF63,1)&gt;0,COUNTIF(B63:AF63,1)&amp;"× Ruhezeit unter 11 Std. (§ 5)","")&amp;IF((COUNTIFS(B14:AF14,"?*",$B$52:$AF$52,1)-SUMPRODUCT(COUNTIFS(B14:AF14,Codes,$B$52:$AF$52,1)*(Codes&lt;&gt;"")*Erste))&gt;0,IF(COUNTIF(B63:AF63,1)&gt;0,"; ","")&amp;(COUNTIFS(B14:AF14,"?*",$B$52:$AF$52,1)-SUMPRODUCT(COUNTIFS(B14:AF14,Codes,$B$52:$AF$52,1)*(Codes&lt;&gt;"")*Erste))&amp;"× unbekanntes Kürzel",""))</f>
      </c>
    </row>
    <row r="15" spans="1:38" x14ac:dyDescent="0.25">
      <c r="A15" s="33">
        <f>Mitarbeiter!$A$14&amp;""</f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5">
        <f>IF($A15="","",SUMPRODUCT(COUNTIFS(B15:AF15,Codes,$B$52:$AF$52,1)*(Arten="Arbeit")*Erste*NettoTage)+SUMPRODUCT(COUNTIFS(B15:AF15,Codes,$B$53:$AF$53,1)*((Arten="Urlaub")+(Arten="Krank")+(Arten="Bezahlt abwesend"))*Erste)*N(Mitarbeiter!$B$14)/5/24)</f>
      </c>
      <c r="AH15" s="35">
        <f>IF($A15="","",N(Mitarbeiter!$B$14)/5/24*SUM($B$53:$AF$53))</f>
      </c>
      <c r="AI15" s="36">
        <f>IF($A15="","",IF((AG15-AH15)&lt;0,"-","+")&amp;TEXT(ABS((AG15-AH15)),"[h]:mm"))</f>
      </c>
      <c r="AJ15" s="37">
        <f>IF($A15="","",SUMPRODUCT(COUNTIFS(B15:AF15,Codes,$B$53:$AF$53,1)*(Arten="Urlaub")*Erste))</f>
      </c>
      <c r="AK15" s="37">
        <f>IF($A15="","",SUMPRODUCT(COUNTIFS(B15:AF15,Codes,$B$53:$AF$53,1)*(Arten="Krank")*Erste))</f>
      </c>
      <c r="AL15" s="38">
        <f>IF($A15="","",IF(COUNTIF(B64:AF64,1)&gt;0,COUNTIF(B64:AF64,1)&amp;"× Ruhezeit unter 11 Std. (§ 5)","")&amp;IF((COUNTIFS(B15:AF15,"?*",$B$52:$AF$52,1)-SUMPRODUCT(COUNTIFS(B15:AF15,Codes,$B$52:$AF$52,1)*(Codes&lt;&gt;"")*Erste))&gt;0,IF(COUNTIF(B64:AF64,1)&gt;0,"; ","")&amp;(COUNTIFS(B15:AF15,"?*",$B$52:$AF$52,1)-SUMPRODUCT(COUNTIFS(B15:AF15,Codes,$B$52:$AF$52,1)*(Codes&lt;&gt;"")*Erste))&amp;"× unbekanntes Kürzel",""))</f>
      </c>
    </row>
    <row r="16" spans="1:38" x14ac:dyDescent="0.25">
      <c r="A16" s="33">
        <f>Mitarbeiter!$A$15&amp;""</f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5">
        <f>IF($A16="","",SUMPRODUCT(COUNTIFS(B16:AF16,Codes,$B$52:$AF$52,1)*(Arten="Arbeit")*Erste*NettoTage)+SUMPRODUCT(COUNTIFS(B16:AF16,Codes,$B$53:$AF$53,1)*((Arten="Urlaub")+(Arten="Krank")+(Arten="Bezahlt abwesend"))*Erste)*N(Mitarbeiter!$B$15)/5/24)</f>
      </c>
      <c r="AH16" s="35">
        <f>IF($A16="","",N(Mitarbeiter!$B$15)/5/24*SUM($B$53:$AF$53))</f>
      </c>
      <c r="AI16" s="36">
        <f>IF($A16="","",IF((AG16-AH16)&lt;0,"-","+")&amp;TEXT(ABS((AG16-AH16)),"[h]:mm"))</f>
      </c>
      <c r="AJ16" s="37">
        <f>IF($A16="","",SUMPRODUCT(COUNTIFS(B16:AF16,Codes,$B$53:$AF$53,1)*(Arten="Urlaub")*Erste))</f>
      </c>
      <c r="AK16" s="37">
        <f>IF($A16="","",SUMPRODUCT(COUNTIFS(B16:AF16,Codes,$B$53:$AF$53,1)*(Arten="Krank")*Erste))</f>
      </c>
      <c r="AL16" s="38">
        <f>IF($A16="","",IF(COUNTIF(B65:AF65,1)&gt;0,COUNTIF(B65:AF65,1)&amp;"× Ruhezeit unter 11 Std. (§ 5)","")&amp;IF((COUNTIFS(B16:AF16,"?*",$B$52:$AF$52,1)-SUMPRODUCT(COUNTIFS(B16:AF16,Codes,$B$52:$AF$52,1)*(Codes&lt;&gt;"")*Erste))&gt;0,IF(COUNTIF(B65:AF65,1)&gt;0,"; ","")&amp;(COUNTIFS(B16:AF16,"?*",$B$52:$AF$52,1)-SUMPRODUCT(COUNTIFS(B16:AF16,Codes,$B$52:$AF$52,1)*(Codes&lt;&gt;"")*Erste))&amp;"× unbekanntes Kürzel",""))</f>
      </c>
    </row>
    <row r="17" spans="1:38" x14ac:dyDescent="0.25">
      <c r="A17" s="33">
        <f>Mitarbeiter!$A$16&amp;""</f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5">
        <f>IF($A17="","",SUMPRODUCT(COUNTIFS(B17:AF17,Codes,$B$52:$AF$52,1)*(Arten="Arbeit")*Erste*NettoTage)+SUMPRODUCT(COUNTIFS(B17:AF17,Codes,$B$53:$AF$53,1)*((Arten="Urlaub")+(Arten="Krank")+(Arten="Bezahlt abwesend"))*Erste)*N(Mitarbeiter!$B$16)/5/24)</f>
      </c>
      <c r="AH17" s="35">
        <f>IF($A17="","",N(Mitarbeiter!$B$16)/5/24*SUM($B$53:$AF$53))</f>
      </c>
      <c r="AI17" s="36">
        <f>IF($A17="","",IF((AG17-AH17)&lt;0,"-","+")&amp;TEXT(ABS((AG17-AH17)),"[h]:mm"))</f>
      </c>
      <c r="AJ17" s="37">
        <f>IF($A17="","",SUMPRODUCT(COUNTIFS(B17:AF17,Codes,$B$53:$AF$53,1)*(Arten="Urlaub")*Erste))</f>
      </c>
      <c r="AK17" s="37">
        <f>IF($A17="","",SUMPRODUCT(COUNTIFS(B17:AF17,Codes,$B$53:$AF$53,1)*(Arten="Krank")*Erste))</f>
      </c>
      <c r="AL17" s="38">
        <f>IF($A17="","",IF(COUNTIF(B66:AF66,1)&gt;0,COUNTIF(B66:AF66,1)&amp;"× Ruhezeit unter 11 Std. (§ 5)","")&amp;IF((COUNTIFS(B17:AF17,"?*",$B$52:$AF$52,1)-SUMPRODUCT(COUNTIFS(B17:AF17,Codes,$B$52:$AF$52,1)*(Codes&lt;&gt;"")*Erste))&gt;0,IF(COUNTIF(B66:AF66,1)&gt;0,"; ","")&amp;(COUNTIFS(B17:AF17,"?*",$B$52:$AF$52,1)-SUMPRODUCT(COUNTIFS(B17:AF17,Codes,$B$52:$AF$52,1)*(Codes&lt;&gt;"")*Erste))&amp;"× unbekanntes Kürzel",""))</f>
      </c>
    </row>
    <row r="18" spans="1:38" x14ac:dyDescent="0.25">
      <c r="A18" s="33">
        <f>Mitarbeiter!$A$17&amp;""</f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5">
        <f>IF($A18="","",SUMPRODUCT(COUNTIFS(B18:AF18,Codes,$B$52:$AF$52,1)*(Arten="Arbeit")*Erste*NettoTage)+SUMPRODUCT(COUNTIFS(B18:AF18,Codes,$B$53:$AF$53,1)*((Arten="Urlaub")+(Arten="Krank")+(Arten="Bezahlt abwesend"))*Erste)*N(Mitarbeiter!$B$17)/5/24)</f>
      </c>
      <c r="AH18" s="35">
        <f>IF($A18="","",N(Mitarbeiter!$B$17)/5/24*SUM($B$53:$AF$53))</f>
      </c>
      <c r="AI18" s="36">
        <f>IF($A18="","",IF((AG18-AH18)&lt;0,"-","+")&amp;TEXT(ABS((AG18-AH18)),"[h]:mm"))</f>
      </c>
      <c r="AJ18" s="37">
        <f>IF($A18="","",SUMPRODUCT(COUNTIFS(B18:AF18,Codes,$B$53:$AF$53,1)*(Arten="Urlaub")*Erste))</f>
      </c>
      <c r="AK18" s="37">
        <f>IF($A18="","",SUMPRODUCT(COUNTIFS(B18:AF18,Codes,$B$53:$AF$53,1)*(Arten="Krank")*Erste))</f>
      </c>
      <c r="AL18" s="38">
        <f>IF($A18="","",IF(COUNTIF(B67:AF67,1)&gt;0,COUNTIF(B67:AF67,1)&amp;"× Ruhezeit unter 11 Std. (§ 5)","")&amp;IF((COUNTIFS(B18:AF18,"?*",$B$52:$AF$52,1)-SUMPRODUCT(COUNTIFS(B18:AF18,Codes,$B$52:$AF$52,1)*(Codes&lt;&gt;"")*Erste))&gt;0,IF(COUNTIF(B67:AF67,1)&gt;0,"; ","")&amp;(COUNTIFS(B18:AF18,"?*",$B$52:$AF$52,1)-SUMPRODUCT(COUNTIFS(B18:AF18,Codes,$B$52:$AF$52,1)*(Codes&lt;&gt;"")*Erste))&amp;"× unbekanntes Kürzel",""))</f>
      </c>
    </row>
    <row r="19" spans="1:38" x14ac:dyDescent="0.25">
      <c r="A19" s="33">
        <f>Mitarbeiter!$A$18&amp;""</f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5">
        <f>IF($A19="","",SUMPRODUCT(COUNTIFS(B19:AF19,Codes,$B$52:$AF$52,1)*(Arten="Arbeit")*Erste*NettoTage)+SUMPRODUCT(COUNTIFS(B19:AF19,Codes,$B$53:$AF$53,1)*((Arten="Urlaub")+(Arten="Krank")+(Arten="Bezahlt abwesend"))*Erste)*N(Mitarbeiter!$B$18)/5/24)</f>
      </c>
      <c r="AH19" s="35">
        <f>IF($A19="","",N(Mitarbeiter!$B$18)/5/24*SUM($B$53:$AF$53))</f>
      </c>
      <c r="AI19" s="36">
        <f>IF($A19="","",IF((AG19-AH19)&lt;0,"-","+")&amp;TEXT(ABS((AG19-AH19)),"[h]:mm"))</f>
      </c>
      <c r="AJ19" s="37">
        <f>IF($A19="","",SUMPRODUCT(COUNTIFS(B19:AF19,Codes,$B$53:$AF$53,1)*(Arten="Urlaub")*Erste))</f>
      </c>
      <c r="AK19" s="37">
        <f>IF($A19="","",SUMPRODUCT(COUNTIFS(B19:AF19,Codes,$B$53:$AF$53,1)*(Arten="Krank")*Erste))</f>
      </c>
      <c r="AL19" s="38">
        <f>IF($A19="","",IF(COUNTIF(B68:AF68,1)&gt;0,COUNTIF(B68:AF68,1)&amp;"× Ruhezeit unter 11 Std. (§ 5)","")&amp;IF((COUNTIFS(B19:AF19,"?*",$B$52:$AF$52,1)-SUMPRODUCT(COUNTIFS(B19:AF19,Codes,$B$52:$AF$52,1)*(Codes&lt;&gt;"")*Erste))&gt;0,IF(COUNTIF(B68:AF68,1)&gt;0,"; ","")&amp;(COUNTIFS(B19:AF19,"?*",$B$52:$AF$52,1)-SUMPRODUCT(COUNTIFS(B19:AF19,Codes,$B$52:$AF$52,1)*(Codes&lt;&gt;"")*Erste))&amp;"× unbekanntes Kürzel",""))</f>
      </c>
    </row>
    <row r="20" spans="1:38" x14ac:dyDescent="0.25">
      <c r="A20" s="33">
        <f>Mitarbeiter!$A$19&amp;""</f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5">
        <f>IF($A20="","",SUMPRODUCT(COUNTIFS(B20:AF20,Codes,$B$52:$AF$52,1)*(Arten="Arbeit")*Erste*NettoTage)+SUMPRODUCT(COUNTIFS(B20:AF20,Codes,$B$53:$AF$53,1)*((Arten="Urlaub")+(Arten="Krank")+(Arten="Bezahlt abwesend"))*Erste)*N(Mitarbeiter!$B$19)/5/24)</f>
      </c>
      <c r="AH20" s="35">
        <f>IF($A20="","",N(Mitarbeiter!$B$19)/5/24*SUM($B$53:$AF$53))</f>
      </c>
      <c r="AI20" s="36">
        <f>IF($A20="","",IF((AG20-AH20)&lt;0,"-","+")&amp;TEXT(ABS((AG20-AH20)),"[h]:mm"))</f>
      </c>
      <c r="AJ20" s="37">
        <f>IF($A20="","",SUMPRODUCT(COUNTIFS(B20:AF20,Codes,$B$53:$AF$53,1)*(Arten="Urlaub")*Erste))</f>
      </c>
      <c r="AK20" s="37">
        <f>IF($A20="","",SUMPRODUCT(COUNTIFS(B20:AF20,Codes,$B$53:$AF$53,1)*(Arten="Krank")*Erste))</f>
      </c>
      <c r="AL20" s="38">
        <f>IF($A20="","",IF(COUNTIF(B69:AF69,1)&gt;0,COUNTIF(B69:AF69,1)&amp;"× Ruhezeit unter 11 Std. (§ 5)","")&amp;IF((COUNTIFS(B20:AF20,"?*",$B$52:$AF$52,1)-SUMPRODUCT(COUNTIFS(B20:AF20,Codes,$B$52:$AF$52,1)*(Codes&lt;&gt;"")*Erste))&gt;0,IF(COUNTIF(B69:AF69,1)&gt;0,"; ","")&amp;(COUNTIFS(B20:AF20,"?*",$B$52:$AF$52,1)-SUMPRODUCT(COUNTIFS(B20:AF20,Codes,$B$52:$AF$52,1)*(Codes&lt;&gt;"")*Erste))&amp;"× unbekanntes Kürzel",""))</f>
      </c>
    </row>
    <row r="21" spans="1:38" x14ac:dyDescent="0.25">
      <c r="A21" s="33">
        <f>Mitarbeiter!$A$20&amp;""</f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5">
        <f>IF($A21="","",SUMPRODUCT(COUNTIFS(B21:AF21,Codes,$B$52:$AF$52,1)*(Arten="Arbeit")*Erste*NettoTage)+SUMPRODUCT(COUNTIFS(B21:AF21,Codes,$B$53:$AF$53,1)*((Arten="Urlaub")+(Arten="Krank")+(Arten="Bezahlt abwesend"))*Erste)*N(Mitarbeiter!$B$20)/5/24)</f>
      </c>
      <c r="AH21" s="35">
        <f>IF($A21="","",N(Mitarbeiter!$B$20)/5/24*SUM($B$53:$AF$53))</f>
      </c>
      <c r="AI21" s="36">
        <f>IF($A21="","",IF((AG21-AH21)&lt;0,"-","+")&amp;TEXT(ABS((AG21-AH21)),"[h]:mm"))</f>
      </c>
      <c r="AJ21" s="37">
        <f>IF($A21="","",SUMPRODUCT(COUNTIFS(B21:AF21,Codes,$B$53:$AF$53,1)*(Arten="Urlaub")*Erste))</f>
      </c>
      <c r="AK21" s="37">
        <f>IF($A21="","",SUMPRODUCT(COUNTIFS(B21:AF21,Codes,$B$53:$AF$53,1)*(Arten="Krank")*Erste))</f>
      </c>
      <c r="AL21" s="38">
        <f>IF($A21="","",IF(COUNTIF(B70:AF70,1)&gt;0,COUNTIF(B70:AF70,1)&amp;"× Ruhezeit unter 11 Std. (§ 5)","")&amp;IF((COUNTIFS(B21:AF21,"?*",$B$52:$AF$52,1)-SUMPRODUCT(COUNTIFS(B21:AF21,Codes,$B$52:$AF$52,1)*(Codes&lt;&gt;"")*Erste))&gt;0,IF(COUNTIF(B70:AF70,1)&gt;0,"; ","")&amp;(COUNTIFS(B21:AF21,"?*",$B$52:$AF$52,1)-SUMPRODUCT(COUNTIFS(B21:AF21,Codes,$B$52:$AF$52,1)*(Codes&lt;&gt;"")*Erste))&amp;"× unbekanntes Kürzel",""))</f>
      </c>
    </row>
    <row r="22" spans="1:38" x14ac:dyDescent="0.25">
      <c r="A22" s="33">
        <f>Mitarbeiter!$A$21&amp;""</f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5">
        <f>IF($A22="","",SUMPRODUCT(COUNTIFS(B22:AF22,Codes,$B$52:$AF$52,1)*(Arten="Arbeit")*Erste*NettoTage)+SUMPRODUCT(COUNTIFS(B22:AF22,Codes,$B$53:$AF$53,1)*((Arten="Urlaub")+(Arten="Krank")+(Arten="Bezahlt abwesend"))*Erste)*N(Mitarbeiter!$B$21)/5/24)</f>
      </c>
      <c r="AH22" s="35">
        <f>IF($A22="","",N(Mitarbeiter!$B$21)/5/24*SUM($B$53:$AF$53))</f>
      </c>
      <c r="AI22" s="36">
        <f>IF($A22="","",IF((AG22-AH22)&lt;0,"-","+")&amp;TEXT(ABS((AG22-AH22)),"[h]:mm"))</f>
      </c>
      <c r="AJ22" s="37">
        <f>IF($A22="","",SUMPRODUCT(COUNTIFS(B22:AF22,Codes,$B$53:$AF$53,1)*(Arten="Urlaub")*Erste))</f>
      </c>
      <c r="AK22" s="37">
        <f>IF($A22="","",SUMPRODUCT(COUNTIFS(B22:AF22,Codes,$B$53:$AF$53,1)*(Arten="Krank")*Erste))</f>
      </c>
      <c r="AL22" s="38">
        <f>IF($A22="","",IF(COUNTIF(B71:AF71,1)&gt;0,COUNTIF(B71:AF71,1)&amp;"× Ruhezeit unter 11 Std. (§ 5)","")&amp;IF((COUNTIFS(B22:AF22,"?*",$B$52:$AF$52,1)-SUMPRODUCT(COUNTIFS(B22:AF22,Codes,$B$52:$AF$52,1)*(Codes&lt;&gt;"")*Erste))&gt;0,IF(COUNTIF(B71:AF71,1)&gt;0,"; ","")&amp;(COUNTIFS(B22:AF22,"?*",$B$52:$AF$52,1)-SUMPRODUCT(COUNTIFS(B22:AF22,Codes,$B$52:$AF$52,1)*(Codes&lt;&gt;"")*Erste))&amp;"× unbekanntes Kürzel",""))</f>
      </c>
    </row>
    <row r="23" spans="1:38" x14ac:dyDescent="0.25">
      <c r="A23" s="33">
        <f>Mitarbeiter!$A$22&amp;""</f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5">
        <f>IF($A23="","",SUMPRODUCT(COUNTIFS(B23:AF23,Codes,$B$52:$AF$52,1)*(Arten="Arbeit")*Erste*NettoTage)+SUMPRODUCT(COUNTIFS(B23:AF23,Codes,$B$53:$AF$53,1)*((Arten="Urlaub")+(Arten="Krank")+(Arten="Bezahlt abwesend"))*Erste)*N(Mitarbeiter!$B$22)/5/24)</f>
      </c>
      <c r="AH23" s="35">
        <f>IF($A23="","",N(Mitarbeiter!$B$22)/5/24*SUM($B$53:$AF$53))</f>
      </c>
      <c r="AI23" s="36">
        <f>IF($A23="","",IF((AG23-AH23)&lt;0,"-","+")&amp;TEXT(ABS((AG23-AH23)),"[h]:mm"))</f>
      </c>
      <c r="AJ23" s="37">
        <f>IF($A23="","",SUMPRODUCT(COUNTIFS(B23:AF23,Codes,$B$53:$AF$53,1)*(Arten="Urlaub")*Erste))</f>
      </c>
      <c r="AK23" s="37">
        <f>IF($A23="","",SUMPRODUCT(COUNTIFS(B23:AF23,Codes,$B$53:$AF$53,1)*(Arten="Krank")*Erste))</f>
      </c>
      <c r="AL23" s="38">
        <f>IF($A23="","",IF(COUNTIF(B72:AF72,1)&gt;0,COUNTIF(B72:AF72,1)&amp;"× Ruhezeit unter 11 Std. (§ 5)","")&amp;IF((COUNTIFS(B23:AF23,"?*",$B$52:$AF$52,1)-SUMPRODUCT(COUNTIFS(B23:AF23,Codes,$B$52:$AF$52,1)*(Codes&lt;&gt;"")*Erste))&gt;0,IF(COUNTIF(B72:AF72,1)&gt;0,"; ","")&amp;(COUNTIFS(B23:AF23,"?*",$B$52:$AF$52,1)-SUMPRODUCT(COUNTIFS(B23:AF23,Codes,$B$52:$AF$52,1)*(Codes&lt;&gt;"")*Erste))&amp;"× unbekanntes Kürzel",""))</f>
      </c>
    </row>
    <row r="24" spans="1:38" x14ac:dyDescent="0.25">
      <c r="A24" s="33">
        <f>Mitarbeiter!$A$23&amp;""</f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5">
        <f>IF($A24="","",SUMPRODUCT(COUNTIFS(B24:AF24,Codes,$B$52:$AF$52,1)*(Arten="Arbeit")*Erste*NettoTage)+SUMPRODUCT(COUNTIFS(B24:AF24,Codes,$B$53:$AF$53,1)*((Arten="Urlaub")+(Arten="Krank")+(Arten="Bezahlt abwesend"))*Erste)*N(Mitarbeiter!$B$23)/5/24)</f>
      </c>
      <c r="AH24" s="35">
        <f>IF($A24="","",N(Mitarbeiter!$B$23)/5/24*SUM($B$53:$AF$53))</f>
      </c>
      <c r="AI24" s="36">
        <f>IF($A24="","",IF((AG24-AH24)&lt;0,"-","+")&amp;TEXT(ABS((AG24-AH24)),"[h]:mm"))</f>
      </c>
      <c r="AJ24" s="37">
        <f>IF($A24="","",SUMPRODUCT(COUNTIFS(B24:AF24,Codes,$B$53:$AF$53,1)*(Arten="Urlaub")*Erste))</f>
      </c>
      <c r="AK24" s="37">
        <f>IF($A24="","",SUMPRODUCT(COUNTIFS(B24:AF24,Codes,$B$53:$AF$53,1)*(Arten="Krank")*Erste))</f>
      </c>
      <c r="AL24" s="38">
        <f>IF($A24="","",IF(COUNTIF(B73:AF73,1)&gt;0,COUNTIF(B73:AF73,1)&amp;"× Ruhezeit unter 11 Std. (§ 5)","")&amp;IF((COUNTIFS(B24:AF24,"?*",$B$52:$AF$52,1)-SUMPRODUCT(COUNTIFS(B24:AF24,Codes,$B$52:$AF$52,1)*(Codes&lt;&gt;"")*Erste))&gt;0,IF(COUNTIF(B73:AF73,1)&gt;0,"; ","")&amp;(COUNTIFS(B24:AF24,"?*",$B$52:$AF$52,1)-SUMPRODUCT(COUNTIFS(B24:AF24,Codes,$B$52:$AF$52,1)*(Codes&lt;&gt;"")*Erste))&amp;"× unbekanntes Kürzel",""))</f>
      </c>
    </row>
    <row r="25" spans="1:38" x14ac:dyDescent="0.25">
      <c r="A25" s="33">
        <f>Mitarbeiter!$A$24&amp;""</f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5">
        <f>IF($A25="","",SUMPRODUCT(COUNTIFS(B25:AF25,Codes,$B$52:$AF$52,1)*(Arten="Arbeit")*Erste*NettoTage)+SUMPRODUCT(COUNTIFS(B25:AF25,Codes,$B$53:$AF$53,1)*((Arten="Urlaub")+(Arten="Krank")+(Arten="Bezahlt abwesend"))*Erste)*N(Mitarbeiter!$B$24)/5/24)</f>
      </c>
      <c r="AH25" s="35">
        <f>IF($A25="","",N(Mitarbeiter!$B$24)/5/24*SUM($B$53:$AF$53))</f>
      </c>
      <c r="AI25" s="36">
        <f>IF($A25="","",IF((AG25-AH25)&lt;0,"-","+")&amp;TEXT(ABS((AG25-AH25)),"[h]:mm"))</f>
      </c>
      <c r="AJ25" s="37">
        <f>IF($A25="","",SUMPRODUCT(COUNTIFS(B25:AF25,Codes,$B$53:$AF$53,1)*(Arten="Urlaub")*Erste))</f>
      </c>
      <c r="AK25" s="37">
        <f>IF($A25="","",SUMPRODUCT(COUNTIFS(B25:AF25,Codes,$B$53:$AF$53,1)*(Arten="Krank")*Erste))</f>
      </c>
      <c r="AL25" s="38">
        <f>IF($A25="","",IF(COUNTIF(B74:AF74,1)&gt;0,COUNTIF(B74:AF74,1)&amp;"× Ruhezeit unter 11 Std. (§ 5)","")&amp;IF((COUNTIFS(B25:AF25,"?*",$B$52:$AF$52,1)-SUMPRODUCT(COUNTIFS(B25:AF25,Codes,$B$52:$AF$52,1)*(Codes&lt;&gt;"")*Erste))&gt;0,IF(COUNTIF(B74:AF74,1)&gt;0,"; ","")&amp;(COUNTIFS(B25:AF25,"?*",$B$52:$AF$52,1)-SUMPRODUCT(COUNTIFS(B25:AF25,Codes,$B$52:$AF$52,1)*(Codes&lt;&gt;"")*Erste))&amp;"× unbekanntes Kürzel",""))</f>
      </c>
    </row>
    <row r="26" spans="1:38" x14ac:dyDescent="0.25">
      <c r="A26" s="33">
        <f>Mitarbeiter!$A$25&amp;""</f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5">
        <f>IF($A26="","",SUMPRODUCT(COUNTIFS(B26:AF26,Codes,$B$52:$AF$52,1)*(Arten="Arbeit")*Erste*NettoTage)+SUMPRODUCT(COUNTIFS(B26:AF26,Codes,$B$53:$AF$53,1)*((Arten="Urlaub")+(Arten="Krank")+(Arten="Bezahlt abwesend"))*Erste)*N(Mitarbeiter!$B$25)/5/24)</f>
      </c>
      <c r="AH26" s="35">
        <f>IF($A26="","",N(Mitarbeiter!$B$25)/5/24*SUM($B$53:$AF$53))</f>
      </c>
      <c r="AI26" s="36">
        <f>IF($A26="","",IF((AG26-AH26)&lt;0,"-","+")&amp;TEXT(ABS((AG26-AH26)),"[h]:mm"))</f>
      </c>
      <c r="AJ26" s="37">
        <f>IF($A26="","",SUMPRODUCT(COUNTIFS(B26:AF26,Codes,$B$53:$AF$53,1)*(Arten="Urlaub")*Erste))</f>
      </c>
      <c r="AK26" s="37">
        <f>IF($A26="","",SUMPRODUCT(COUNTIFS(B26:AF26,Codes,$B$53:$AF$53,1)*(Arten="Krank")*Erste))</f>
      </c>
      <c r="AL26" s="38">
        <f>IF($A26="","",IF(COUNTIF(B75:AF75,1)&gt;0,COUNTIF(B75:AF75,1)&amp;"× Ruhezeit unter 11 Std. (§ 5)","")&amp;IF((COUNTIFS(B26:AF26,"?*",$B$52:$AF$52,1)-SUMPRODUCT(COUNTIFS(B26:AF26,Codes,$B$52:$AF$52,1)*(Codes&lt;&gt;"")*Erste))&gt;0,IF(COUNTIF(B75:AF75,1)&gt;0,"; ","")&amp;(COUNTIFS(B26:AF26,"?*",$B$52:$AF$52,1)-SUMPRODUCT(COUNTIFS(B26:AF26,Codes,$B$52:$AF$52,1)*(Codes&lt;&gt;"")*Erste))&amp;"× unbekanntes Kürzel",""))</f>
      </c>
    </row>
    <row r="27" spans="1:38" x14ac:dyDescent="0.25">
      <c r="A27" s="33">
        <f>Mitarbeiter!$A$26&amp;""</f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5">
        <f>IF($A27="","",SUMPRODUCT(COUNTIFS(B27:AF27,Codes,$B$52:$AF$52,1)*(Arten="Arbeit")*Erste*NettoTage)+SUMPRODUCT(COUNTIFS(B27:AF27,Codes,$B$53:$AF$53,1)*((Arten="Urlaub")+(Arten="Krank")+(Arten="Bezahlt abwesend"))*Erste)*N(Mitarbeiter!$B$26)/5/24)</f>
      </c>
      <c r="AH27" s="35">
        <f>IF($A27="","",N(Mitarbeiter!$B$26)/5/24*SUM($B$53:$AF$53))</f>
      </c>
      <c r="AI27" s="36">
        <f>IF($A27="","",IF((AG27-AH27)&lt;0,"-","+")&amp;TEXT(ABS((AG27-AH27)),"[h]:mm"))</f>
      </c>
      <c r="AJ27" s="37">
        <f>IF($A27="","",SUMPRODUCT(COUNTIFS(B27:AF27,Codes,$B$53:$AF$53,1)*(Arten="Urlaub")*Erste))</f>
      </c>
      <c r="AK27" s="37">
        <f>IF($A27="","",SUMPRODUCT(COUNTIFS(B27:AF27,Codes,$B$53:$AF$53,1)*(Arten="Krank")*Erste))</f>
      </c>
      <c r="AL27" s="38">
        <f>IF($A27="","",IF(COUNTIF(B76:AF76,1)&gt;0,COUNTIF(B76:AF76,1)&amp;"× Ruhezeit unter 11 Std. (§ 5)","")&amp;IF((COUNTIFS(B27:AF27,"?*",$B$52:$AF$52,1)-SUMPRODUCT(COUNTIFS(B27:AF27,Codes,$B$52:$AF$52,1)*(Codes&lt;&gt;"")*Erste))&gt;0,IF(COUNTIF(B76:AF76,1)&gt;0,"; ","")&amp;(COUNTIFS(B27:AF27,"?*",$B$52:$AF$52,1)-SUMPRODUCT(COUNTIFS(B27:AF27,Codes,$B$52:$AF$52,1)*(Codes&lt;&gt;"")*Erste))&amp;"× unbekanntes Kürzel",""))</f>
      </c>
    </row>
    <row r="28" spans="1:38" x14ac:dyDescent="0.25">
      <c r="A28" s="33">
        <f>Mitarbeiter!$A$27&amp;""</f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5">
        <f>IF($A28="","",SUMPRODUCT(COUNTIFS(B28:AF28,Codes,$B$52:$AF$52,1)*(Arten="Arbeit")*Erste*NettoTage)+SUMPRODUCT(COUNTIFS(B28:AF28,Codes,$B$53:$AF$53,1)*((Arten="Urlaub")+(Arten="Krank")+(Arten="Bezahlt abwesend"))*Erste)*N(Mitarbeiter!$B$27)/5/24)</f>
      </c>
      <c r="AH28" s="35">
        <f>IF($A28="","",N(Mitarbeiter!$B$27)/5/24*SUM($B$53:$AF$53))</f>
      </c>
      <c r="AI28" s="36">
        <f>IF($A28="","",IF((AG28-AH28)&lt;0,"-","+")&amp;TEXT(ABS((AG28-AH28)),"[h]:mm"))</f>
      </c>
      <c r="AJ28" s="37">
        <f>IF($A28="","",SUMPRODUCT(COUNTIFS(B28:AF28,Codes,$B$53:$AF$53,1)*(Arten="Urlaub")*Erste))</f>
      </c>
      <c r="AK28" s="37">
        <f>IF($A28="","",SUMPRODUCT(COUNTIFS(B28:AF28,Codes,$B$53:$AF$53,1)*(Arten="Krank")*Erste))</f>
      </c>
      <c r="AL28" s="38">
        <f>IF($A28="","",IF(COUNTIF(B77:AF77,1)&gt;0,COUNTIF(B77:AF77,1)&amp;"× Ruhezeit unter 11 Std. (§ 5)","")&amp;IF((COUNTIFS(B28:AF28,"?*",$B$52:$AF$52,1)-SUMPRODUCT(COUNTIFS(B28:AF28,Codes,$B$52:$AF$52,1)*(Codes&lt;&gt;"")*Erste))&gt;0,IF(COUNTIF(B77:AF77,1)&gt;0,"; ","")&amp;(COUNTIFS(B28:AF28,"?*",$B$52:$AF$52,1)-SUMPRODUCT(COUNTIFS(B28:AF28,Codes,$B$52:$AF$52,1)*(Codes&lt;&gt;"")*Erste))&amp;"× unbekanntes Kürzel",""))</f>
      </c>
    </row>
    <row r="29" spans="1:38" x14ac:dyDescent="0.25">
      <c r="A29" s="33">
        <f>Mitarbeiter!$A$28&amp;""</f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5">
        <f>IF($A29="","",SUMPRODUCT(COUNTIFS(B29:AF29,Codes,$B$52:$AF$52,1)*(Arten="Arbeit")*Erste*NettoTage)+SUMPRODUCT(COUNTIFS(B29:AF29,Codes,$B$53:$AF$53,1)*((Arten="Urlaub")+(Arten="Krank")+(Arten="Bezahlt abwesend"))*Erste)*N(Mitarbeiter!$B$28)/5/24)</f>
      </c>
      <c r="AH29" s="35">
        <f>IF($A29="","",N(Mitarbeiter!$B$28)/5/24*SUM($B$53:$AF$53))</f>
      </c>
      <c r="AI29" s="36">
        <f>IF($A29="","",IF((AG29-AH29)&lt;0,"-","+")&amp;TEXT(ABS((AG29-AH29)),"[h]:mm"))</f>
      </c>
      <c r="AJ29" s="37">
        <f>IF($A29="","",SUMPRODUCT(COUNTIFS(B29:AF29,Codes,$B$53:$AF$53,1)*(Arten="Urlaub")*Erste))</f>
      </c>
      <c r="AK29" s="37">
        <f>IF($A29="","",SUMPRODUCT(COUNTIFS(B29:AF29,Codes,$B$53:$AF$53,1)*(Arten="Krank")*Erste))</f>
      </c>
      <c r="AL29" s="38">
        <f>IF($A29="","",IF(COUNTIF(B78:AF78,1)&gt;0,COUNTIF(B78:AF78,1)&amp;"× Ruhezeit unter 11 Std. (§ 5)","")&amp;IF((COUNTIFS(B29:AF29,"?*",$B$52:$AF$52,1)-SUMPRODUCT(COUNTIFS(B29:AF29,Codes,$B$52:$AF$52,1)*(Codes&lt;&gt;"")*Erste))&gt;0,IF(COUNTIF(B78:AF78,1)&gt;0,"; ","")&amp;(COUNTIFS(B29:AF29,"?*",$B$52:$AF$52,1)-SUMPRODUCT(COUNTIFS(B29:AF29,Codes,$B$52:$AF$52,1)*(Codes&lt;&gt;"")*Erste))&amp;"× unbekanntes Kürzel",""))</f>
      </c>
    </row>
    <row r="30" spans="1:38" x14ac:dyDescent="0.25">
      <c r="A30" s="33">
        <f>Mitarbeiter!$A$29&amp;""</f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5">
        <f>IF($A30="","",SUMPRODUCT(COUNTIFS(B30:AF30,Codes,$B$52:$AF$52,1)*(Arten="Arbeit")*Erste*NettoTage)+SUMPRODUCT(COUNTIFS(B30:AF30,Codes,$B$53:$AF$53,1)*((Arten="Urlaub")+(Arten="Krank")+(Arten="Bezahlt abwesend"))*Erste)*N(Mitarbeiter!$B$29)/5/24)</f>
      </c>
      <c r="AH30" s="35">
        <f>IF($A30="","",N(Mitarbeiter!$B$29)/5/24*SUM($B$53:$AF$53))</f>
      </c>
      <c r="AI30" s="36">
        <f>IF($A30="","",IF((AG30-AH30)&lt;0,"-","+")&amp;TEXT(ABS((AG30-AH30)),"[h]:mm"))</f>
      </c>
      <c r="AJ30" s="37">
        <f>IF($A30="","",SUMPRODUCT(COUNTIFS(B30:AF30,Codes,$B$53:$AF$53,1)*(Arten="Urlaub")*Erste))</f>
      </c>
      <c r="AK30" s="37">
        <f>IF($A30="","",SUMPRODUCT(COUNTIFS(B30:AF30,Codes,$B$53:$AF$53,1)*(Arten="Krank")*Erste))</f>
      </c>
      <c r="AL30" s="38">
        <f>IF($A30="","",IF(COUNTIF(B79:AF79,1)&gt;0,COUNTIF(B79:AF79,1)&amp;"× Ruhezeit unter 11 Std. (§ 5)","")&amp;IF((COUNTIFS(B30:AF30,"?*",$B$52:$AF$52,1)-SUMPRODUCT(COUNTIFS(B30:AF30,Codes,$B$52:$AF$52,1)*(Codes&lt;&gt;"")*Erste))&gt;0,IF(COUNTIF(B79:AF79,1)&gt;0,"; ","")&amp;(COUNTIFS(B30:AF30,"?*",$B$52:$AF$52,1)-SUMPRODUCT(COUNTIFS(B30:AF30,Codes,$B$52:$AF$52,1)*(Codes&lt;&gt;"")*Erste))&amp;"× unbekanntes Kürzel",""))</f>
      </c>
    </row>
    <row r="31" spans="1:38" x14ac:dyDescent="0.25">
      <c r="A31" s="33">
        <f>Mitarbeiter!$A$30&amp;""</f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5">
        <f>IF($A31="","",SUMPRODUCT(COUNTIFS(B31:AF31,Codes,$B$52:$AF$52,1)*(Arten="Arbeit")*Erste*NettoTage)+SUMPRODUCT(COUNTIFS(B31:AF31,Codes,$B$53:$AF$53,1)*((Arten="Urlaub")+(Arten="Krank")+(Arten="Bezahlt abwesend"))*Erste)*N(Mitarbeiter!$B$30)/5/24)</f>
      </c>
      <c r="AH31" s="35">
        <f>IF($A31="","",N(Mitarbeiter!$B$30)/5/24*SUM($B$53:$AF$53))</f>
      </c>
      <c r="AI31" s="36">
        <f>IF($A31="","",IF((AG31-AH31)&lt;0,"-","+")&amp;TEXT(ABS((AG31-AH31)),"[h]:mm"))</f>
      </c>
      <c r="AJ31" s="37">
        <f>IF($A31="","",SUMPRODUCT(COUNTIFS(B31:AF31,Codes,$B$53:$AF$53,1)*(Arten="Urlaub")*Erste))</f>
      </c>
      <c r="AK31" s="37">
        <f>IF($A31="","",SUMPRODUCT(COUNTIFS(B31:AF31,Codes,$B$53:$AF$53,1)*(Arten="Krank")*Erste))</f>
      </c>
      <c r="AL31" s="38">
        <f>IF($A31="","",IF(COUNTIF(B80:AF80,1)&gt;0,COUNTIF(B80:AF80,1)&amp;"× Ruhezeit unter 11 Std. (§ 5)","")&amp;IF((COUNTIFS(B31:AF31,"?*",$B$52:$AF$52,1)-SUMPRODUCT(COUNTIFS(B31:AF31,Codes,$B$52:$AF$52,1)*(Codes&lt;&gt;"")*Erste))&gt;0,IF(COUNTIF(B80:AF80,1)&gt;0,"; ","")&amp;(COUNTIFS(B31:AF31,"?*",$B$52:$AF$52,1)-SUMPRODUCT(COUNTIFS(B31:AF31,Codes,$B$52:$AF$52,1)*(Codes&lt;&gt;"")*Erste))&amp;"× unbekanntes Kürzel",""))</f>
      </c>
    </row>
    <row r="32" spans="1:38" x14ac:dyDescent="0.25">
      <c r="A32" s="33">
        <f>Mitarbeiter!$A$31&amp;""</f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5">
        <f>IF($A32="","",SUMPRODUCT(COUNTIFS(B32:AF32,Codes,$B$52:$AF$52,1)*(Arten="Arbeit")*Erste*NettoTage)+SUMPRODUCT(COUNTIFS(B32:AF32,Codes,$B$53:$AF$53,1)*((Arten="Urlaub")+(Arten="Krank")+(Arten="Bezahlt abwesend"))*Erste)*N(Mitarbeiter!$B$31)/5/24)</f>
      </c>
      <c r="AH32" s="35">
        <f>IF($A32="","",N(Mitarbeiter!$B$31)/5/24*SUM($B$53:$AF$53))</f>
      </c>
      <c r="AI32" s="36">
        <f>IF($A32="","",IF((AG32-AH32)&lt;0,"-","+")&amp;TEXT(ABS((AG32-AH32)),"[h]:mm"))</f>
      </c>
      <c r="AJ32" s="37">
        <f>IF($A32="","",SUMPRODUCT(COUNTIFS(B32:AF32,Codes,$B$53:$AF$53,1)*(Arten="Urlaub")*Erste))</f>
      </c>
      <c r="AK32" s="37">
        <f>IF($A32="","",SUMPRODUCT(COUNTIFS(B32:AF32,Codes,$B$53:$AF$53,1)*(Arten="Krank")*Erste))</f>
      </c>
      <c r="AL32" s="38">
        <f>IF($A32="","",IF(COUNTIF(B81:AF81,1)&gt;0,COUNTIF(B81:AF81,1)&amp;"× Ruhezeit unter 11 Std. (§ 5)","")&amp;IF((COUNTIFS(B32:AF32,"?*",$B$52:$AF$52,1)-SUMPRODUCT(COUNTIFS(B32:AF32,Codes,$B$52:$AF$52,1)*(Codes&lt;&gt;"")*Erste))&gt;0,IF(COUNTIF(B81:AF81,1)&gt;0,"; ","")&amp;(COUNTIFS(B32:AF32,"?*",$B$52:$AF$52,1)-SUMPRODUCT(COUNTIFS(B32:AF32,Codes,$B$52:$AF$52,1)*(Codes&lt;&gt;"")*Erste))&amp;"× unbekanntes Kürzel",""))</f>
      </c>
    </row>
    <row r="33" spans="1:38" x14ac:dyDescent="0.25">
      <c r="A33" s="33">
        <f>Mitarbeiter!$A$32&amp;""</f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5">
        <f>IF($A33="","",SUMPRODUCT(COUNTIFS(B33:AF33,Codes,$B$52:$AF$52,1)*(Arten="Arbeit")*Erste*NettoTage)+SUMPRODUCT(COUNTIFS(B33:AF33,Codes,$B$53:$AF$53,1)*((Arten="Urlaub")+(Arten="Krank")+(Arten="Bezahlt abwesend"))*Erste)*N(Mitarbeiter!$B$32)/5/24)</f>
      </c>
      <c r="AH33" s="35">
        <f>IF($A33="","",N(Mitarbeiter!$B$32)/5/24*SUM($B$53:$AF$53))</f>
      </c>
      <c r="AI33" s="36">
        <f>IF($A33="","",IF((AG33-AH33)&lt;0,"-","+")&amp;TEXT(ABS((AG33-AH33)),"[h]:mm"))</f>
      </c>
      <c r="AJ33" s="37">
        <f>IF($A33="","",SUMPRODUCT(COUNTIFS(B33:AF33,Codes,$B$53:$AF$53,1)*(Arten="Urlaub")*Erste))</f>
      </c>
      <c r="AK33" s="37">
        <f>IF($A33="","",SUMPRODUCT(COUNTIFS(B33:AF33,Codes,$B$53:$AF$53,1)*(Arten="Krank")*Erste))</f>
      </c>
      <c r="AL33" s="38">
        <f>IF($A33="","",IF(COUNTIF(B82:AF82,1)&gt;0,COUNTIF(B82:AF82,1)&amp;"× Ruhezeit unter 11 Std. (§ 5)","")&amp;IF((COUNTIFS(B33:AF33,"?*",$B$52:$AF$52,1)-SUMPRODUCT(COUNTIFS(B33:AF33,Codes,$B$52:$AF$52,1)*(Codes&lt;&gt;"")*Erste))&gt;0,IF(COUNTIF(B82:AF82,1)&gt;0,"; ","")&amp;(COUNTIFS(B33:AF33,"?*",$B$52:$AF$52,1)-SUMPRODUCT(COUNTIFS(B33:AF33,Codes,$B$52:$AF$52,1)*(Codes&lt;&gt;"")*Erste))&amp;"× unbekanntes Kürzel",""))</f>
      </c>
    </row>
    <row r="34" spans="1:38" x14ac:dyDescent="0.25">
      <c r="A34" s="33">
        <f>Mitarbeiter!$A$33&amp;""</f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5">
        <f>IF($A34="","",SUMPRODUCT(COUNTIFS(B34:AF34,Codes,$B$52:$AF$52,1)*(Arten="Arbeit")*Erste*NettoTage)+SUMPRODUCT(COUNTIFS(B34:AF34,Codes,$B$53:$AF$53,1)*((Arten="Urlaub")+(Arten="Krank")+(Arten="Bezahlt abwesend"))*Erste)*N(Mitarbeiter!$B$33)/5/24)</f>
      </c>
      <c r="AH34" s="35">
        <f>IF($A34="","",N(Mitarbeiter!$B$33)/5/24*SUM($B$53:$AF$53))</f>
      </c>
      <c r="AI34" s="36">
        <f>IF($A34="","",IF((AG34-AH34)&lt;0,"-","+")&amp;TEXT(ABS((AG34-AH34)),"[h]:mm"))</f>
      </c>
      <c r="AJ34" s="37">
        <f>IF($A34="","",SUMPRODUCT(COUNTIFS(B34:AF34,Codes,$B$53:$AF$53,1)*(Arten="Urlaub")*Erste))</f>
      </c>
      <c r="AK34" s="37">
        <f>IF($A34="","",SUMPRODUCT(COUNTIFS(B34:AF34,Codes,$B$53:$AF$53,1)*(Arten="Krank")*Erste))</f>
      </c>
      <c r="AL34" s="38">
        <f>IF($A34="","",IF(COUNTIF(B83:AF83,1)&gt;0,COUNTIF(B83:AF83,1)&amp;"× Ruhezeit unter 11 Std. (§ 5)","")&amp;IF((COUNTIFS(B34:AF34,"?*",$B$52:$AF$52,1)-SUMPRODUCT(COUNTIFS(B34:AF34,Codes,$B$52:$AF$52,1)*(Codes&lt;&gt;"")*Erste))&gt;0,IF(COUNTIF(B83:AF83,1)&gt;0,"; ","")&amp;(COUNTIFS(B34:AF34,"?*",$B$52:$AF$52,1)-SUMPRODUCT(COUNTIFS(B34:AF34,Codes,$B$52:$AF$52,1)*(Codes&lt;&gt;"")*Erste))&amp;"× unbekanntes Kürzel",""))</f>
      </c>
    </row>
    <row r="35" spans="1:38" x14ac:dyDescent="0.25">
      <c r="A35" s="33">
        <f>Mitarbeiter!$A$34&amp;""</f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5">
        <f>IF($A35="","",SUMPRODUCT(COUNTIFS(B35:AF35,Codes,$B$52:$AF$52,1)*(Arten="Arbeit")*Erste*NettoTage)+SUMPRODUCT(COUNTIFS(B35:AF35,Codes,$B$53:$AF$53,1)*((Arten="Urlaub")+(Arten="Krank")+(Arten="Bezahlt abwesend"))*Erste)*N(Mitarbeiter!$B$34)/5/24)</f>
      </c>
      <c r="AH35" s="35">
        <f>IF($A35="","",N(Mitarbeiter!$B$34)/5/24*SUM($B$53:$AF$53))</f>
      </c>
      <c r="AI35" s="36">
        <f>IF($A35="","",IF((AG35-AH35)&lt;0,"-","+")&amp;TEXT(ABS((AG35-AH35)),"[h]:mm"))</f>
      </c>
      <c r="AJ35" s="37">
        <f>IF($A35="","",SUMPRODUCT(COUNTIFS(B35:AF35,Codes,$B$53:$AF$53,1)*(Arten="Urlaub")*Erste))</f>
      </c>
      <c r="AK35" s="37">
        <f>IF($A35="","",SUMPRODUCT(COUNTIFS(B35:AF35,Codes,$B$53:$AF$53,1)*(Arten="Krank")*Erste))</f>
      </c>
      <c r="AL35" s="38">
        <f>IF($A35="","",IF(COUNTIF(B84:AF84,1)&gt;0,COUNTIF(B84:AF84,1)&amp;"× Ruhezeit unter 11 Std. (§ 5)","")&amp;IF((COUNTIFS(B35:AF35,"?*",$B$52:$AF$52,1)-SUMPRODUCT(COUNTIFS(B35:AF35,Codes,$B$52:$AF$52,1)*(Codes&lt;&gt;"")*Erste))&gt;0,IF(COUNTIF(B84:AF84,1)&gt;0,"; ","")&amp;(COUNTIFS(B35:AF35,"?*",$B$52:$AF$52,1)-SUMPRODUCT(COUNTIFS(B35:AF35,Codes,$B$52:$AF$52,1)*(Codes&lt;&gt;"")*Erste))&amp;"× unbekanntes Kürzel",""))</f>
      </c>
    </row>
    <row r="37" spans="1:1" x14ac:dyDescent="0.25">
      <c r="A37" s="39" t="s">
        <v>63</v>
      </c>
    </row>
    <row r="38" spans="1:39" x14ac:dyDescent="0.25">
      <c r="A38" s="40">
        <f>IFERROR(INDEX(Codes,MATCH(1,ArbeitNr,0))&amp;" "&amp;INDEX(Bezeichnungen,MATCH(1,ArbeitNr,0)),"")</f>
      </c>
      <c r="B38" s="41">
        <f>IF(OR($AM38="",B$52=0),"",COUNTIF(B$6:B$35,$AM38))</f>
      </c>
      <c r="C38" s="41">
        <f>IF(OR($AM38="",C$52=0),"",COUNTIF(C$6:C$35,$AM38))</f>
      </c>
      <c r="D38" s="41">
        <f>IF(OR($AM38="",D$52=0),"",COUNTIF(D$6:D$35,$AM38))</f>
      </c>
      <c r="E38" s="41">
        <f>IF(OR($AM38="",E$52=0),"",COUNTIF(E$6:E$35,$AM38))</f>
      </c>
      <c r="F38" s="41">
        <f>IF(OR($AM38="",F$52=0),"",COUNTIF(F$6:F$35,$AM38))</f>
      </c>
      <c r="G38" s="41">
        <f>IF(OR($AM38="",G$52=0),"",COUNTIF(G$6:G$35,$AM38))</f>
      </c>
      <c r="H38" s="41">
        <f>IF(OR($AM38="",H$52=0),"",COUNTIF(H$6:H$35,$AM38))</f>
      </c>
      <c r="I38" s="41">
        <f>IF(OR($AM38="",I$52=0),"",COUNTIF(I$6:I$35,$AM38))</f>
      </c>
      <c r="J38" s="41">
        <f>IF(OR($AM38="",J$52=0),"",COUNTIF(J$6:J$35,$AM38))</f>
      </c>
      <c r="K38" s="41">
        <f>IF(OR($AM38="",K$52=0),"",COUNTIF(K$6:K$35,$AM38))</f>
      </c>
      <c r="L38" s="41">
        <f>IF(OR($AM38="",L$52=0),"",COUNTIF(L$6:L$35,$AM38))</f>
      </c>
      <c r="M38" s="41">
        <f>IF(OR($AM38="",M$52=0),"",COUNTIF(M$6:M$35,$AM38))</f>
      </c>
      <c r="N38" s="41">
        <f>IF(OR($AM38="",N$52=0),"",COUNTIF(N$6:N$35,$AM38))</f>
      </c>
      <c r="O38" s="41">
        <f>IF(OR($AM38="",O$52=0),"",COUNTIF(O$6:O$35,$AM38))</f>
      </c>
      <c r="P38" s="41">
        <f>IF(OR($AM38="",P$52=0),"",COUNTIF(P$6:P$35,$AM38))</f>
      </c>
      <c r="Q38" s="41">
        <f>IF(OR($AM38="",Q$52=0),"",COUNTIF(Q$6:Q$35,$AM38))</f>
      </c>
      <c r="R38" s="41">
        <f>IF(OR($AM38="",R$52=0),"",COUNTIF(R$6:R$35,$AM38))</f>
      </c>
      <c r="S38" s="41">
        <f>IF(OR($AM38="",S$52=0),"",COUNTIF(S$6:S$35,$AM38))</f>
      </c>
      <c r="T38" s="41">
        <f>IF(OR($AM38="",T$52=0),"",COUNTIF(T$6:T$35,$AM38))</f>
      </c>
      <c r="U38" s="41">
        <f>IF(OR($AM38="",U$52=0),"",COUNTIF(U$6:U$35,$AM38))</f>
      </c>
      <c r="V38" s="41">
        <f>IF(OR($AM38="",V$52=0),"",COUNTIF(V$6:V$35,$AM38))</f>
      </c>
      <c r="W38" s="41">
        <f>IF(OR($AM38="",W$52=0),"",COUNTIF(W$6:W$35,$AM38))</f>
      </c>
      <c r="X38" s="41">
        <f>IF(OR($AM38="",X$52=0),"",COUNTIF(X$6:X$35,$AM38))</f>
      </c>
      <c r="Y38" s="41">
        <f>IF(OR($AM38="",Y$52=0),"",COUNTIF(Y$6:Y$35,$AM38))</f>
      </c>
      <c r="Z38" s="41">
        <f>IF(OR($AM38="",Z$52=0),"",COUNTIF(Z$6:Z$35,$AM38))</f>
      </c>
      <c r="AA38" s="41">
        <f>IF(OR($AM38="",AA$52=0),"",COUNTIF(AA$6:AA$35,$AM38))</f>
      </c>
      <c r="AB38" s="41">
        <f>IF(OR($AM38="",AB$52=0),"",COUNTIF(AB$6:AB$35,$AM38))</f>
      </c>
      <c r="AC38" s="41">
        <f>IF(OR($AM38="",AC$52=0),"",COUNTIF(AC$6:AC$35,$AM38))</f>
      </c>
      <c r="AD38" s="41">
        <f>IF(OR($AM38="",AD$52=0),"",COUNTIF(AD$6:AD$35,$AM38))</f>
      </c>
      <c r="AE38" s="41">
        <f>IF(OR($AM38="",AE$52=0),"",COUNTIF(AE$6:AE$35,$AM38))</f>
      </c>
      <c r="AF38" s="41">
        <f>IF(OR($AM38="",AF$52=0),"",COUNTIF(AF$6:AF$35,$AM38))</f>
      </c>
      <c r="AG38" s="1"/>
      <c r="AH38" s="1"/>
      <c r="AI38" s="1"/>
      <c r="AJ38" s="1"/>
      <c r="AK38" s="1"/>
      <c r="AL38" s="1"/>
      <c r="AM38" s="1">
        <f>IFERROR(INDEX(Codes,MATCH(1,ArbeitNr,0)),"")</f>
      </c>
    </row>
    <row r="39" spans="1:39" x14ac:dyDescent="0.25">
      <c r="A39" s="40">
        <f>IFERROR(INDEX(Codes,MATCH(2,ArbeitNr,0))&amp;" "&amp;INDEX(Bezeichnungen,MATCH(2,ArbeitNr,0)),"")</f>
      </c>
      <c r="B39" s="41">
        <f>IF(OR($AM39="",B$52=0),"",COUNTIF(B$6:B$35,$AM39))</f>
      </c>
      <c r="C39" s="41">
        <f>IF(OR($AM39="",C$52=0),"",COUNTIF(C$6:C$35,$AM39))</f>
      </c>
      <c r="D39" s="41">
        <f>IF(OR($AM39="",D$52=0),"",COUNTIF(D$6:D$35,$AM39))</f>
      </c>
      <c r="E39" s="41">
        <f>IF(OR($AM39="",E$52=0),"",COUNTIF(E$6:E$35,$AM39))</f>
      </c>
      <c r="F39" s="41">
        <f>IF(OR($AM39="",F$52=0),"",COUNTIF(F$6:F$35,$AM39))</f>
      </c>
      <c r="G39" s="41">
        <f>IF(OR($AM39="",G$52=0),"",COUNTIF(G$6:G$35,$AM39))</f>
      </c>
      <c r="H39" s="41">
        <f>IF(OR($AM39="",H$52=0),"",COUNTIF(H$6:H$35,$AM39))</f>
      </c>
      <c r="I39" s="41">
        <f>IF(OR($AM39="",I$52=0),"",COUNTIF(I$6:I$35,$AM39))</f>
      </c>
      <c r="J39" s="41">
        <f>IF(OR($AM39="",J$52=0),"",COUNTIF(J$6:J$35,$AM39))</f>
      </c>
      <c r="K39" s="41">
        <f>IF(OR($AM39="",K$52=0),"",COUNTIF(K$6:K$35,$AM39))</f>
      </c>
      <c r="L39" s="41">
        <f>IF(OR($AM39="",L$52=0),"",COUNTIF(L$6:L$35,$AM39))</f>
      </c>
      <c r="M39" s="41">
        <f>IF(OR($AM39="",M$52=0),"",COUNTIF(M$6:M$35,$AM39))</f>
      </c>
      <c r="N39" s="41">
        <f>IF(OR($AM39="",N$52=0),"",COUNTIF(N$6:N$35,$AM39))</f>
      </c>
      <c r="O39" s="41">
        <f>IF(OR($AM39="",O$52=0),"",COUNTIF(O$6:O$35,$AM39))</f>
      </c>
      <c r="P39" s="41">
        <f>IF(OR($AM39="",P$52=0),"",COUNTIF(P$6:P$35,$AM39))</f>
      </c>
      <c r="Q39" s="41">
        <f>IF(OR($AM39="",Q$52=0),"",COUNTIF(Q$6:Q$35,$AM39))</f>
      </c>
      <c r="R39" s="41">
        <f>IF(OR($AM39="",R$52=0),"",COUNTIF(R$6:R$35,$AM39))</f>
      </c>
      <c r="S39" s="41">
        <f>IF(OR($AM39="",S$52=0),"",COUNTIF(S$6:S$35,$AM39))</f>
      </c>
      <c r="T39" s="41">
        <f>IF(OR($AM39="",T$52=0),"",COUNTIF(T$6:T$35,$AM39))</f>
      </c>
      <c r="U39" s="41">
        <f>IF(OR($AM39="",U$52=0),"",COUNTIF(U$6:U$35,$AM39))</f>
      </c>
      <c r="V39" s="41">
        <f>IF(OR($AM39="",V$52=0),"",COUNTIF(V$6:V$35,$AM39))</f>
      </c>
      <c r="W39" s="41">
        <f>IF(OR($AM39="",W$52=0),"",COUNTIF(W$6:W$35,$AM39))</f>
      </c>
      <c r="X39" s="41">
        <f>IF(OR($AM39="",X$52=0),"",COUNTIF(X$6:X$35,$AM39))</f>
      </c>
      <c r="Y39" s="41">
        <f>IF(OR($AM39="",Y$52=0),"",COUNTIF(Y$6:Y$35,$AM39))</f>
      </c>
      <c r="Z39" s="41">
        <f>IF(OR($AM39="",Z$52=0),"",COUNTIF(Z$6:Z$35,$AM39))</f>
      </c>
      <c r="AA39" s="41">
        <f>IF(OR($AM39="",AA$52=0),"",COUNTIF(AA$6:AA$35,$AM39))</f>
      </c>
      <c r="AB39" s="41">
        <f>IF(OR($AM39="",AB$52=0),"",COUNTIF(AB$6:AB$35,$AM39))</f>
      </c>
      <c r="AC39" s="41">
        <f>IF(OR($AM39="",AC$52=0),"",COUNTIF(AC$6:AC$35,$AM39))</f>
      </c>
      <c r="AD39" s="41">
        <f>IF(OR($AM39="",AD$52=0),"",COUNTIF(AD$6:AD$35,$AM39))</f>
      </c>
      <c r="AE39" s="41">
        <f>IF(OR($AM39="",AE$52=0),"",COUNTIF(AE$6:AE$35,$AM39))</f>
      </c>
      <c r="AF39" s="41">
        <f>IF(OR($AM39="",AF$52=0),"",COUNTIF(AF$6:AF$35,$AM39))</f>
      </c>
      <c r="AG39" s="1"/>
      <c r="AH39" s="1"/>
      <c r="AI39" s="1"/>
      <c r="AJ39" s="1"/>
      <c r="AK39" s="1"/>
      <c r="AL39" s="1"/>
      <c r="AM39" s="1">
        <f>IFERROR(INDEX(Codes,MATCH(2,ArbeitNr,0)),"")</f>
      </c>
    </row>
    <row r="40" spans="1:39" x14ac:dyDescent="0.25">
      <c r="A40" s="40">
        <f>IFERROR(INDEX(Codes,MATCH(3,ArbeitNr,0))&amp;" "&amp;INDEX(Bezeichnungen,MATCH(3,ArbeitNr,0)),"")</f>
      </c>
      <c r="B40" s="41">
        <f>IF(OR($AM40="",B$52=0),"",COUNTIF(B$6:B$35,$AM40))</f>
      </c>
      <c r="C40" s="41">
        <f>IF(OR($AM40="",C$52=0),"",COUNTIF(C$6:C$35,$AM40))</f>
      </c>
      <c r="D40" s="41">
        <f>IF(OR($AM40="",D$52=0),"",COUNTIF(D$6:D$35,$AM40))</f>
      </c>
      <c r="E40" s="41">
        <f>IF(OR($AM40="",E$52=0),"",COUNTIF(E$6:E$35,$AM40))</f>
      </c>
      <c r="F40" s="41">
        <f>IF(OR($AM40="",F$52=0),"",COUNTIF(F$6:F$35,$AM40))</f>
      </c>
      <c r="G40" s="41">
        <f>IF(OR($AM40="",G$52=0),"",COUNTIF(G$6:G$35,$AM40))</f>
      </c>
      <c r="H40" s="41">
        <f>IF(OR($AM40="",H$52=0),"",COUNTIF(H$6:H$35,$AM40))</f>
      </c>
      <c r="I40" s="41">
        <f>IF(OR($AM40="",I$52=0),"",COUNTIF(I$6:I$35,$AM40))</f>
      </c>
      <c r="J40" s="41">
        <f>IF(OR($AM40="",J$52=0),"",COUNTIF(J$6:J$35,$AM40))</f>
      </c>
      <c r="K40" s="41">
        <f>IF(OR($AM40="",K$52=0),"",COUNTIF(K$6:K$35,$AM40))</f>
      </c>
      <c r="L40" s="41">
        <f>IF(OR($AM40="",L$52=0),"",COUNTIF(L$6:L$35,$AM40))</f>
      </c>
      <c r="M40" s="41">
        <f>IF(OR($AM40="",M$52=0),"",COUNTIF(M$6:M$35,$AM40))</f>
      </c>
      <c r="N40" s="41">
        <f>IF(OR($AM40="",N$52=0),"",COUNTIF(N$6:N$35,$AM40))</f>
      </c>
      <c r="O40" s="41">
        <f>IF(OR($AM40="",O$52=0),"",COUNTIF(O$6:O$35,$AM40))</f>
      </c>
      <c r="P40" s="41">
        <f>IF(OR($AM40="",P$52=0),"",COUNTIF(P$6:P$35,$AM40))</f>
      </c>
      <c r="Q40" s="41">
        <f>IF(OR($AM40="",Q$52=0),"",COUNTIF(Q$6:Q$35,$AM40))</f>
      </c>
      <c r="R40" s="41">
        <f>IF(OR($AM40="",R$52=0),"",COUNTIF(R$6:R$35,$AM40))</f>
      </c>
      <c r="S40" s="41">
        <f>IF(OR($AM40="",S$52=0),"",COUNTIF(S$6:S$35,$AM40))</f>
      </c>
      <c r="T40" s="41">
        <f>IF(OR($AM40="",T$52=0),"",COUNTIF(T$6:T$35,$AM40))</f>
      </c>
      <c r="U40" s="41">
        <f>IF(OR($AM40="",U$52=0),"",COUNTIF(U$6:U$35,$AM40))</f>
      </c>
      <c r="V40" s="41">
        <f>IF(OR($AM40="",V$52=0),"",COUNTIF(V$6:V$35,$AM40))</f>
      </c>
      <c r="W40" s="41">
        <f>IF(OR($AM40="",W$52=0),"",COUNTIF(W$6:W$35,$AM40))</f>
      </c>
      <c r="X40" s="41">
        <f>IF(OR($AM40="",X$52=0),"",COUNTIF(X$6:X$35,$AM40))</f>
      </c>
      <c r="Y40" s="41">
        <f>IF(OR($AM40="",Y$52=0),"",COUNTIF(Y$6:Y$35,$AM40))</f>
      </c>
      <c r="Z40" s="41">
        <f>IF(OR($AM40="",Z$52=0),"",COUNTIF(Z$6:Z$35,$AM40))</f>
      </c>
      <c r="AA40" s="41">
        <f>IF(OR($AM40="",AA$52=0),"",COUNTIF(AA$6:AA$35,$AM40))</f>
      </c>
      <c r="AB40" s="41">
        <f>IF(OR($AM40="",AB$52=0),"",COUNTIF(AB$6:AB$35,$AM40))</f>
      </c>
      <c r="AC40" s="41">
        <f>IF(OR($AM40="",AC$52=0),"",COUNTIF(AC$6:AC$35,$AM40))</f>
      </c>
      <c r="AD40" s="41">
        <f>IF(OR($AM40="",AD$52=0),"",COUNTIF(AD$6:AD$35,$AM40))</f>
      </c>
      <c r="AE40" s="41">
        <f>IF(OR($AM40="",AE$52=0),"",COUNTIF(AE$6:AE$35,$AM40))</f>
      </c>
      <c r="AF40" s="41">
        <f>IF(OR($AM40="",AF$52=0),"",COUNTIF(AF$6:AF$35,$AM40))</f>
      </c>
      <c r="AG40" s="1"/>
      <c r="AH40" s="1"/>
      <c r="AI40" s="1"/>
      <c r="AJ40" s="1"/>
      <c r="AK40" s="1"/>
      <c r="AL40" s="1"/>
      <c r="AM40" s="1">
        <f>IFERROR(INDEX(Codes,MATCH(3,ArbeitNr,0)),"")</f>
      </c>
    </row>
    <row r="41" spans="1:39" x14ac:dyDescent="0.25">
      <c r="A41" s="40">
        <f>IFERROR(INDEX(Codes,MATCH(4,ArbeitNr,0))&amp;" "&amp;INDEX(Bezeichnungen,MATCH(4,ArbeitNr,0)),"")</f>
      </c>
      <c r="B41" s="41">
        <f>IF(OR($AM41="",B$52=0),"",COUNTIF(B$6:B$35,$AM41))</f>
      </c>
      <c r="C41" s="41">
        <f>IF(OR($AM41="",C$52=0),"",COUNTIF(C$6:C$35,$AM41))</f>
      </c>
      <c r="D41" s="41">
        <f>IF(OR($AM41="",D$52=0),"",COUNTIF(D$6:D$35,$AM41))</f>
      </c>
      <c r="E41" s="41">
        <f>IF(OR($AM41="",E$52=0),"",COUNTIF(E$6:E$35,$AM41))</f>
      </c>
      <c r="F41" s="41">
        <f>IF(OR($AM41="",F$52=0),"",COUNTIF(F$6:F$35,$AM41))</f>
      </c>
      <c r="G41" s="41">
        <f>IF(OR($AM41="",G$52=0),"",COUNTIF(G$6:G$35,$AM41))</f>
      </c>
      <c r="H41" s="41">
        <f>IF(OR($AM41="",H$52=0),"",COUNTIF(H$6:H$35,$AM41))</f>
      </c>
      <c r="I41" s="41">
        <f>IF(OR($AM41="",I$52=0),"",COUNTIF(I$6:I$35,$AM41))</f>
      </c>
      <c r="J41" s="41">
        <f>IF(OR($AM41="",J$52=0),"",COUNTIF(J$6:J$35,$AM41))</f>
      </c>
      <c r="K41" s="41">
        <f>IF(OR($AM41="",K$52=0),"",COUNTIF(K$6:K$35,$AM41))</f>
      </c>
      <c r="L41" s="41">
        <f>IF(OR($AM41="",L$52=0),"",COUNTIF(L$6:L$35,$AM41))</f>
      </c>
      <c r="M41" s="41">
        <f>IF(OR($AM41="",M$52=0),"",COUNTIF(M$6:M$35,$AM41))</f>
      </c>
      <c r="N41" s="41">
        <f>IF(OR($AM41="",N$52=0),"",COUNTIF(N$6:N$35,$AM41))</f>
      </c>
      <c r="O41" s="41">
        <f>IF(OR($AM41="",O$52=0),"",COUNTIF(O$6:O$35,$AM41))</f>
      </c>
      <c r="P41" s="41">
        <f>IF(OR($AM41="",P$52=0),"",COUNTIF(P$6:P$35,$AM41))</f>
      </c>
      <c r="Q41" s="41">
        <f>IF(OR($AM41="",Q$52=0),"",COUNTIF(Q$6:Q$35,$AM41))</f>
      </c>
      <c r="R41" s="41">
        <f>IF(OR($AM41="",R$52=0),"",COUNTIF(R$6:R$35,$AM41))</f>
      </c>
      <c r="S41" s="41">
        <f>IF(OR($AM41="",S$52=0),"",COUNTIF(S$6:S$35,$AM41))</f>
      </c>
      <c r="T41" s="41">
        <f>IF(OR($AM41="",T$52=0),"",COUNTIF(T$6:T$35,$AM41))</f>
      </c>
      <c r="U41" s="41">
        <f>IF(OR($AM41="",U$52=0),"",COUNTIF(U$6:U$35,$AM41))</f>
      </c>
      <c r="V41" s="41">
        <f>IF(OR($AM41="",V$52=0),"",COUNTIF(V$6:V$35,$AM41))</f>
      </c>
      <c r="W41" s="41">
        <f>IF(OR($AM41="",W$52=0),"",COUNTIF(W$6:W$35,$AM41))</f>
      </c>
      <c r="X41" s="41">
        <f>IF(OR($AM41="",X$52=0),"",COUNTIF(X$6:X$35,$AM41))</f>
      </c>
      <c r="Y41" s="41">
        <f>IF(OR($AM41="",Y$52=0),"",COUNTIF(Y$6:Y$35,$AM41))</f>
      </c>
      <c r="Z41" s="41">
        <f>IF(OR($AM41="",Z$52=0),"",COUNTIF(Z$6:Z$35,$AM41))</f>
      </c>
      <c r="AA41" s="41">
        <f>IF(OR($AM41="",AA$52=0),"",COUNTIF(AA$6:AA$35,$AM41))</f>
      </c>
      <c r="AB41" s="41">
        <f>IF(OR($AM41="",AB$52=0),"",COUNTIF(AB$6:AB$35,$AM41))</f>
      </c>
      <c r="AC41" s="41">
        <f>IF(OR($AM41="",AC$52=0),"",COUNTIF(AC$6:AC$35,$AM41))</f>
      </c>
      <c r="AD41" s="41">
        <f>IF(OR($AM41="",AD$52=0),"",COUNTIF(AD$6:AD$35,$AM41))</f>
      </c>
      <c r="AE41" s="41">
        <f>IF(OR($AM41="",AE$52=0),"",COUNTIF(AE$6:AE$35,$AM41))</f>
      </c>
      <c r="AF41" s="41">
        <f>IF(OR($AM41="",AF$52=0),"",COUNTIF(AF$6:AF$35,$AM41))</f>
      </c>
      <c r="AG41" s="1"/>
      <c r="AH41" s="1"/>
      <c r="AI41" s="1"/>
      <c r="AJ41" s="1"/>
      <c r="AK41" s="1"/>
      <c r="AL41" s="1"/>
      <c r="AM41" s="1">
        <f>IFERROR(INDEX(Codes,MATCH(4,ArbeitNr,0)),"")</f>
      </c>
    </row>
    <row r="42" spans="1:39" x14ac:dyDescent="0.25">
      <c r="A42" s="40">
        <f>IFERROR(INDEX(Codes,MATCH(5,ArbeitNr,0))&amp;" "&amp;INDEX(Bezeichnungen,MATCH(5,ArbeitNr,0)),"")</f>
      </c>
      <c r="B42" s="41">
        <f>IF(OR($AM42="",B$52=0),"",COUNTIF(B$6:B$35,$AM42))</f>
      </c>
      <c r="C42" s="41">
        <f>IF(OR($AM42="",C$52=0),"",COUNTIF(C$6:C$35,$AM42))</f>
      </c>
      <c r="D42" s="41">
        <f>IF(OR($AM42="",D$52=0),"",COUNTIF(D$6:D$35,$AM42))</f>
      </c>
      <c r="E42" s="41">
        <f>IF(OR($AM42="",E$52=0),"",COUNTIF(E$6:E$35,$AM42))</f>
      </c>
      <c r="F42" s="41">
        <f>IF(OR($AM42="",F$52=0),"",COUNTIF(F$6:F$35,$AM42))</f>
      </c>
      <c r="G42" s="41">
        <f>IF(OR($AM42="",G$52=0),"",COUNTIF(G$6:G$35,$AM42))</f>
      </c>
      <c r="H42" s="41">
        <f>IF(OR($AM42="",H$52=0),"",COUNTIF(H$6:H$35,$AM42))</f>
      </c>
      <c r="I42" s="41">
        <f>IF(OR($AM42="",I$52=0),"",COUNTIF(I$6:I$35,$AM42))</f>
      </c>
      <c r="J42" s="41">
        <f>IF(OR($AM42="",J$52=0),"",COUNTIF(J$6:J$35,$AM42))</f>
      </c>
      <c r="K42" s="41">
        <f>IF(OR($AM42="",K$52=0),"",COUNTIF(K$6:K$35,$AM42))</f>
      </c>
      <c r="L42" s="41">
        <f>IF(OR($AM42="",L$52=0),"",COUNTIF(L$6:L$35,$AM42))</f>
      </c>
      <c r="M42" s="41">
        <f>IF(OR($AM42="",M$52=0),"",COUNTIF(M$6:M$35,$AM42))</f>
      </c>
      <c r="N42" s="41">
        <f>IF(OR($AM42="",N$52=0),"",COUNTIF(N$6:N$35,$AM42))</f>
      </c>
      <c r="O42" s="41">
        <f>IF(OR($AM42="",O$52=0),"",COUNTIF(O$6:O$35,$AM42))</f>
      </c>
      <c r="P42" s="41">
        <f>IF(OR($AM42="",P$52=0),"",COUNTIF(P$6:P$35,$AM42))</f>
      </c>
      <c r="Q42" s="41">
        <f>IF(OR($AM42="",Q$52=0),"",COUNTIF(Q$6:Q$35,$AM42))</f>
      </c>
      <c r="R42" s="41">
        <f>IF(OR($AM42="",R$52=0),"",COUNTIF(R$6:R$35,$AM42))</f>
      </c>
      <c r="S42" s="41">
        <f>IF(OR($AM42="",S$52=0),"",COUNTIF(S$6:S$35,$AM42))</f>
      </c>
      <c r="T42" s="41">
        <f>IF(OR($AM42="",T$52=0),"",COUNTIF(T$6:T$35,$AM42))</f>
      </c>
      <c r="U42" s="41">
        <f>IF(OR($AM42="",U$52=0),"",COUNTIF(U$6:U$35,$AM42))</f>
      </c>
      <c r="V42" s="41">
        <f>IF(OR($AM42="",V$52=0),"",COUNTIF(V$6:V$35,$AM42))</f>
      </c>
      <c r="W42" s="41">
        <f>IF(OR($AM42="",W$52=0),"",COUNTIF(W$6:W$35,$AM42))</f>
      </c>
      <c r="X42" s="41">
        <f>IF(OR($AM42="",X$52=0),"",COUNTIF(X$6:X$35,$AM42))</f>
      </c>
      <c r="Y42" s="41">
        <f>IF(OR($AM42="",Y$52=0),"",COUNTIF(Y$6:Y$35,$AM42))</f>
      </c>
      <c r="Z42" s="41">
        <f>IF(OR($AM42="",Z$52=0),"",COUNTIF(Z$6:Z$35,$AM42))</f>
      </c>
      <c r="AA42" s="41">
        <f>IF(OR($AM42="",AA$52=0),"",COUNTIF(AA$6:AA$35,$AM42))</f>
      </c>
      <c r="AB42" s="41">
        <f>IF(OR($AM42="",AB$52=0),"",COUNTIF(AB$6:AB$35,$AM42))</f>
      </c>
      <c r="AC42" s="41">
        <f>IF(OR($AM42="",AC$52=0),"",COUNTIF(AC$6:AC$35,$AM42))</f>
      </c>
      <c r="AD42" s="41">
        <f>IF(OR($AM42="",AD$52=0),"",COUNTIF(AD$6:AD$35,$AM42))</f>
      </c>
      <c r="AE42" s="41">
        <f>IF(OR($AM42="",AE$52=0),"",COUNTIF(AE$6:AE$35,$AM42))</f>
      </c>
      <c r="AF42" s="41">
        <f>IF(OR($AM42="",AF$52=0),"",COUNTIF(AF$6:AF$35,$AM42))</f>
      </c>
      <c r="AG42" s="1"/>
      <c r="AH42" s="1"/>
      <c r="AI42" s="1"/>
      <c r="AJ42" s="1"/>
      <c r="AK42" s="1"/>
      <c r="AL42" s="1"/>
      <c r="AM42" s="1">
        <f>IFERROR(INDEX(Codes,MATCH(5,ArbeitNr,0)),"")</f>
      </c>
    </row>
    <row r="43" spans="1:39" x14ac:dyDescent="0.25">
      <c r="A43" s="40">
        <f>IFERROR(INDEX(Codes,MATCH(6,ArbeitNr,0))&amp;" "&amp;INDEX(Bezeichnungen,MATCH(6,ArbeitNr,0)),"")</f>
      </c>
      <c r="B43" s="41">
        <f>IF(OR($AM43="",B$52=0),"",COUNTIF(B$6:B$35,$AM43))</f>
      </c>
      <c r="C43" s="41">
        <f>IF(OR($AM43="",C$52=0),"",COUNTIF(C$6:C$35,$AM43))</f>
      </c>
      <c r="D43" s="41">
        <f>IF(OR($AM43="",D$52=0),"",COUNTIF(D$6:D$35,$AM43))</f>
      </c>
      <c r="E43" s="41">
        <f>IF(OR($AM43="",E$52=0),"",COUNTIF(E$6:E$35,$AM43))</f>
      </c>
      <c r="F43" s="41">
        <f>IF(OR($AM43="",F$52=0),"",COUNTIF(F$6:F$35,$AM43))</f>
      </c>
      <c r="G43" s="41">
        <f>IF(OR($AM43="",G$52=0),"",COUNTIF(G$6:G$35,$AM43))</f>
      </c>
      <c r="H43" s="41">
        <f>IF(OR($AM43="",H$52=0),"",COUNTIF(H$6:H$35,$AM43))</f>
      </c>
      <c r="I43" s="41">
        <f>IF(OR($AM43="",I$52=0),"",COUNTIF(I$6:I$35,$AM43))</f>
      </c>
      <c r="J43" s="41">
        <f>IF(OR($AM43="",J$52=0),"",COUNTIF(J$6:J$35,$AM43))</f>
      </c>
      <c r="K43" s="41">
        <f>IF(OR($AM43="",K$52=0),"",COUNTIF(K$6:K$35,$AM43))</f>
      </c>
      <c r="L43" s="41">
        <f>IF(OR($AM43="",L$52=0),"",COUNTIF(L$6:L$35,$AM43))</f>
      </c>
      <c r="M43" s="41">
        <f>IF(OR($AM43="",M$52=0),"",COUNTIF(M$6:M$35,$AM43))</f>
      </c>
      <c r="N43" s="41">
        <f>IF(OR($AM43="",N$52=0),"",COUNTIF(N$6:N$35,$AM43))</f>
      </c>
      <c r="O43" s="41">
        <f>IF(OR($AM43="",O$52=0),"",COUNTIF(O$6:O$35,$AM43))</f>
      </c>
      <c r="P43" s="41">
        <f>IF(OR($AM43="",P$52=0),"",COUNTIF(P$6:P$35,$AM43))</f>
      </c>
      <c r="Q43" s="41">
        <f>IF(OR($AM43="",Q$52=0),"",COUNTIF(Q$6:Q$35,$AM43))</f>
      </c>
      <c r="R43" s="41">
        <f>IF(OR($AM43="",R$52=0),"",COUNTIF(R$6:R$35,$AM43))</f>
      </c>
      <c r="S43" s="41">
        <f>IF(OR($AM43="",S$52=0),"",COUNTIF(S$6:S$35,$AM43))</f>
      </c>
      <c r="T43" s="41">
        <f>IF(OR($AM43="",T$52=0),"",COUNTIF(T$6:T$35,$AM43))</f>
      </c>
      <c r="U43" s="41">
        <f>IF(OR($AM43="",U$52=0),"",COUNTIF(U$6:U$35,$AM43))</f>
      </c>
      <c r="V43" s="41">
        <f>IF(OR($AM43="",V$52=0),"",COUNTIF(V$6:V$35,$AM43))</f>
      </c>
      <c r="W43" s="41">
        <f>IF(OR($AM43="",W$52=0),"",COUNTIF(W$6:W$35,$AM43))</f>
      </c>
      <c r="X43" s="41">
        <f>IF(OR($AM43="",X$52=0),"",COUNTIF(X$6:X$35,$AM43))</f>
      </c>
      <c r="Y43" s="41">
        <f>IF(OR($AM43="",Y$52=0),"",COUNTIF(Y$6:Y$35,$AM43))</f>
      </c>
      <c r="Z43" s="41">
        <f>IF(OR($AM43="",Z$52=0),"",COUNTIF(Z$6:Z$35,$AM43))</f>
      </c>
      <c r="AA43" s="41">
        <f>IF(OR($AM43="",AA$52=0),"",COUNTIF(AA$6:AA$35,$AM43))</f>
      </c>
      <c r="AB43" s="41">
        <f>IF(OR($AM43="",AB$52=0),"",COUNTIF(AB$6:AB$35,$AM43))</f>
      </c>
      <c r="AC43" s="41">
        <f>IF(OR($AM43="",AC$52=0),"",COUNTIF(AC$6:AC$35,$AM43))</f>
      </c>
      <c r="AD43" s="41">
        <f>IF(OR($AM43="",AD$52=0),"",COUNTIF(AD$6:AD$35,$AM43))</f>
      </c>
      <c r="AE43" s="41">
        <f>IF(OR($AM43="",AE$52=0),"",COUNTIF(AE$6:AE$35,$AM43))</f>
      </c>
      <c r="AF43" s="41">
        <f>IF(OR($AM43="",AF$52=0),"",COUNTIF(AF$6:AF$35,$AM43))</f>
      </c>
      <c r="AG43" s="1"/>
      <c r="AH43" s="1"/>
      <c r="AI43" s="1"/>
      <c r="AJ43" s="1"/>
      <c r="AK43" s="1"/>
      <c r="AL43" s="1"/>
      <c r="AM43" s="1">
        <f>IFERROR(INDEX(Codes,MATCH(6,ArbeitNr,0)),"")</f>
      </c>
    </row>
    <row r="44" spans="1:39" x14ac:dyDescent="0.25">
      <c r="A44" s="40">
        <f>IFERROR(INDEX(Codes,MATCH(7,ArbeitNr,0))&amp;" "&amp;INDEX(Bezeichnungen,MATCH(7,ArbeitNr,0)),"")</f>
      </c>
      <c r="B44" s="41">
        <f>IF(OR($AM44="",B$52=0),"",COUNTIF(B$6:B$35,$AM44))</f>
      </c>
      <c r="C44" s="41">
        <f>IF(OR($AM44="",C$52=0),"",COUNTIF(C$6:C$35,$AM44))</f>
      </c>
      <c r="D44" s="41">
        <f>IF(OR($AM44="",D$52=0),"",COUNTIF(D$6:D$35,$AM44))</f>
      </c>
      <c r="E44" s="41">
        <f>IF(OR($AM44="",E$52=0),"",COUNTIF(E$6:E$35,$AM44))</f>
      </c>
      <c r="F44" s="41">
        <f>IF(OR($AM44="",F$52=0),"",COUNTIF(F$6:F$35,$AM44))</f>
      </c>
      <c r="G44" s="41">
        <f>IF(OR($AM44="",G$52=0),"",COUNTIF(G$6:G$35,$AM44))</f>
      </c>
      <c r="H44" s="41">
        <f>IF(OR($AM44="",H$52=0),"",COUNTIF(H$6:H$35,$AM44))</f>
      </c>
      <c r="I44" s="41">
        <f>IF(OR($AM44="",I$52=0),"",COUNTIF(I$6:I$35,$AM44))</f>
      </c>
      <c r="J44" s="41">
        <f>IF(OR($AM44="",J$52=0),"",COUNTIF(J$6:J$35,$AM44))</f>
      </c>
      <c r="K44" s="41">
        <f>IF(OR($AM44="",K$52=0),"",COUNTIF(K$6:K$35,$AM44))</f>
      </c>
      <c r="L44" s="41">
        <f>IF(OR($AM44="",L$52=0),"",COUNTIF(L$6:L$35,$AM44))</f>
      </c>
      <c r="M44" s="41">
        <f>IF(OR($AM44="",M$52=0),"",COUNTIF(M$6:M$35,$AM44))</f>
      </c>
      <c r="N44" s="41">
        <f>IF(OR($AM44="",N$52=0),"",COUNTIF(N$6:N$35,$AM44))</f>
      </c>
      <c r="O44" s="41">
        <f>IF(OR($AM44="",O$52=0),"",COUNTIF(O$6:O$35,$AM44))</f>
      </c>
      <c r="P44" s="41">
        <f>IF(OR($AM44="",P$52=0),"",COUNTIF(P$6:P$35,$AM44))</f>
      </c>
      <c r="Q44" s="41">
        <f>IF(OR($AM44="",Q$52=0),"",COUNTIF(Q$6:Q$35,$AM44))</f>
      </c>
      <c r="R44" s="41">
        <f>IF(OR($AM44="",R$52=0),"",COUNTIF(R$6:R$35,$AM44))</f>
      </c>
      <c r="S44" s="41">
        <f>IF(OR($AM44="",S$52=0),"",COUNTIF(S$6:S$35,$AM44))</f>
      </c>
      <c r="T44" s="41">
        <f>IF(OR($AM44="",T$52=0),"",COUNTIF(T$6:T$35,$AM44))</f>
      </c>
      <c r="U44" s="41">
        <f>IF(OR($AM44="",U$52=0),"",COUNTIF(U$6:U$35,$AM44))</f>
      </c>
      <c r="V44" s="41">
        <f>IF(OR($AM44="",V$52=0),"",COUNTIF(V$6:V$35,$AM44))</f>
      </c>
      <c r="W44" s="41">
        <f>IF(OR($AM44="",W$52=0),"",COUNTIF(W$6:W$35,$AM44))</f>
      </c>
      <c r="X44" s="41">
        <f>IF(OR($AM44="",X$52=0),"",COUNTIF(X$6:X$35,$AM44))</f>
      </c>
      <c r="Y44" s="41">
        <f>IF(OR($AM44="",Y$52=0),"",COUNTIF(Y$6:Y$35,$AM44))</f>
      </c>
      <c r="Z44" s="41">
        <f>IF(OR($AM44="",Z$52=0),"",COUNTIF(Z$6:Z$35,$AM44))</f>
      </c>
      <c r="AA44" s="41">
        <f>IF(OR($AM44="",AA$52=0),"",COUNTIF(AA$6:AA$35,$AM44))</f>
      </c>
      <c r="AB44" s="41">
        <f>IF(OR($AM44="",AB$52=0),"",COUNTIF(AB$6:AB$35,$AM44))</f>
      </c>
      <c r="AC44" s="41">
        <f>IF(OR($AM44="",AC$52=0),"",COUNTIF(AC$6:AC$35,$AM44))</f>
      </c>
      <c r="AD44" s="41">
        <f>IF(OR($AM44="",AD$52=0),"",COUNTIF(AD$6:AD$35,$AM44))</f>
      </c>
      <c r="AE44" s="41">
        <f>IF(OR($AM44="",AE$52=0),"",COUNTIF(AE$6:AE$35,$AM44))</f>
      </c>
      <c r="AF44" s="41">
        <f>IF(OR($AM44="",AF$52=0),"",COUNTIF(AF$6:AF$35,$AM44))</f>
      </c>
      <c r="AG44" s="1"/>
      <c r="AH44" s="1"/>
      <c r="AI44" s="1"/>
      <c r="AJ44" s="1"/>
      <c r="AK44" s="1"/>
      <c r="AL44" s="1"/>
      <c r="AM44" s="1">
        <f>IFERROR(INDEX(Codes,MATCH(7,ArbeitNr,0)),"")</f>
      </c>
    </row>
    <row r="45" spans="1:39" x14ac:dyDescent="0.25">
      <c r="A45" s="40">
        <f>IFERROR(INDEX(Codes,MATCH(8,ArbeitNr,0))&amp;" "&amp;INDEX(Bezeichnungen,MATCH(8,ArbeitNr,0)),"")</f>
      </c>
      <c r="B45" s="41">
        <f>IF(OR($AM45="",B$52=0),"",COUNTIF(B$6:B$35,$AM45))</f>
      </c>
      <c r="C45" s="41">
        <f>IF(OR($AM45="",C$52=0),"",COUNTIF(C$6:C$35,$AM45))</f>
      </c>
      <c r="D45" s="41">
        <f>IF(OR($AM45="",D$52=0),"",COUNTIF(D$6:D$35,$AM45))</f>
      </c>
      <c r="E45" s="41">
        <f>IF(OR($AM45="",E$52=0),"",COUNTIF(E$6:E$35,$AM45))</f>
      </c>
      <c r="F45" s="41">
        <f>IF(OR($AM45="",F$52=0),"",COUNTIF(F$6:F$35,$AM45))</f>
      </c>
      <c r="G45" s="41">
        <f>IF(OR($AM45="",G$52=0),"",COUNTIF(G$6:G$35,$AM45))</f>
      </c>
      <c r="H45" s="41">
        <f>IF(OR($AM45="",H$52=0),"",COUNTIF(H$6:H$35,$AM45))</f>
      </c>
      <c r="I45" s="41">
        <f>IF(OR($AM45="",I$52=0),"",COUNTIF(I$6:I$35,$AM45))</f>
      </c>
      <c r="J45" s="41">
        <f>IF(OR($AM45="",J$52=0),"",COUNTIF(J$6:J$35,$AM45))</f>
      </c>
      <c r="K45" s="41">
        <f>IF(OR($AM45="",K$52=0),"",COUNTIF(K$6:K$35,$AM45))</f>
      </c>
      <c r="L45" s="41">
        <f>IF(OR($AM45="",L$52=0),"",COUNTIF(L$6:L$35,$AM45))</f>
      </c>
      <c r="M45" s="41">
        <f>IF(OR($AM45="",M$52=0),"",COUNTIF(M$6:M$35,$AM45))</f>
      </c>
      <c r="N45" s="41">
        <f>IF(OR($AM45="",N$52=0),"",COUNTIF(N$6:N$35,$AM45))</f>
      </c>
      <c r="O45" s="41">
        <f>IF(OR($AM45="",O$52=0),"",COUNTIF(O$6:O$35,$AM45))</f>
      </c>
      <c r="P45" s="41">
        <f>IF(OR($AM45="",P$52=0),"",COUNTIF(P$6:P$35,$AM45))</f>
      </c>
      <c r="Q45" s="41">
        <f>IF(OR($AM45="",Q$52=0),"",COUNTIF(Q$6:Q$35,$AM45))</f>
      </c>
      <c r="R45" s="41">
        <f>IF(OR($AM45="",R$52=0),"",COUNTIF(R$6:R$35,$AM45))</f>
      </c>
      <c r="S45" s="41">
        <f>IF(OR($AM45="",S$52=0),"",COUNTIF(S$6:S$35,$AM45))</f>
      </c>
      <c r="T45" s="41">
        <f>IF(OR($AM45="",T$52=0),"",COUNTIF(T$6:T$35,$AM45))</f>
      </c>
      <c r="U45" s="41">
        <f>IF(OR($AM45="",U$52=0),"",COUNTIF(U$6:U$35,$AM45))</f>
      </c>
      <c r="V45" s="41">
        <f>IF(OR($AM45="",V$52=0),"",COUNTIF(V$6:V$35,$AM45))</f>
      </c>
      <c r="W45" s="41">
        <f>IF(OR($AM45="",W$52=0),"",COUNTIF(W$6:W$35,$AM45))</f>
      </c>
      <c r="X45" s="41">
        <f>IF(OR($AM45="",X$52=0),"",COUNTIF(X$6:X$35,$AM45))</f>
      </c>
      <c r="Y45" s="41">
        <f>IF(OR($AM45="",Y$52=0),"",COUNTIF(Y$6:Y$35,$AM45))</f>
      </c>
      <c r="Z45" s="41">
        <f>IF(OR($AM45="",Z$52=0),"",COUNTIF(Z$6:Z$35,$AM45))</f>
      </c>
      <c r="AA45" s="41">
        <f>IF(OR($AM45="",AA$52=0),"",COUNTIF(AA$6:AA$35,$AM45))</f>
      </c>
      <c r="AB45" s="41">
        <f>IF(OR($AM45="",AB$52=0),"",COUNTIF(AB$6:AB$35,$AM45))</f>
      </c>
      <c r="AC45" s="41">
        <f>IF(OR($AM45="",AC$52=0),"",COUNTIF(AC$6:AC$35,$AM45))</f>
      </c>
      <c r="AD45" s="41">
        <f>IF(OR($AM45="",AD$52=0),"",COUNTIF(AD$6:AD$35,$AM45))</f>
      </c>
      <c r="AE45" s="41">
        <f>IF(OR($AM45="",AE$52=0),"",COUNTIF(AE$6:AE$35,$AM45))</f>
      </c>
      <c r="AF45" s="41">
        <f>IF(OR($AM45="",AF$52=0),"",COUNTIF(AF$6:AF$35,$AM45))</f>
      </c>
      <c r="AG45" s="1"/>
      <c r="AH45" s="1"/>
      <c r="AI45" s="1"/>
      <c r="AJ45" s="1"/>
      <c r="AK45" s="1"/>
      <c r="AL45" s="1"/>
      <c r="AM45" s="1">
        <f>IFERROR(INDEX(Codes,MATCH(8,ArbeitNr,0)),"")</f>
      </c>
    </row>
    <row r="46" ht="22" customHeight="1" spans="1:32" x14ac:dyDescent="0.25">
      <c r="A46" s="42" t="s">
        <v>64</v>
      </c>
      <c r="B46" s="43">
        <f>TRIM(IF(AND(B38&lt;&gt;"",N(B38)&lt;N(B86)),$AM38&amp;" ","")&amp;IF(AND(B39&lt;&gt;"",N(B39)&lt;N(B87)),$AM39&amp;" ","")&amp;IF(AND(B40&lt;&gt;"",N(B40)&lt;N(B88)),$AM40&amp;" ","")&amp;IF(AND(B41&lt;&gt;"",N(B41)&lt;N(B89)),$AM41&amp;" ","")&amp;IF(AND(B42&lt;&gt;"",N(B42)&lt;N(B90)),$AM42&amp;" ","")&amp;IF(AND(B43&lt;&gt;"",N(B43)&lt;N(B91)),$AM43&amp;" ","")&amp;IF(AND(B44&lt;&gt;"",N(B44)&lt;N(B92)),$AM44&amp;" ","")&amp;IF(AND(B45&lt;&gt;"",N(B45)&lt;N(B93)),$AM45&amp;" ",""))</f>
      </c>
      <c r="C46" s="43">
        <f>TRIM(IF(AND(C38&lt;&gt;"",N(C38)&lt;N(C86)),$AM38&amp;" ","")&amp;IF(AND(C39&lt;&gt;"",N(C39)&lt;N(C87)),$AM39&amp;" ","")&amp;IF(AND(C40&lt;&gt;"",N(C40)&lt;N(C88)),$AM40&amp;" ","")&amp;IF(AND(C41&lt;&gt;"",N(C41)&lt;N(C89)),$AM41&amp;" ","")&amp;IF(AND(C42&lt;&gt;"",N(C42)&lt;N(C90)),$AM42&amp;" ","")&amp;IF(AND(C43&lt;&gt;"",N(C43)&lt;N(C91)),$AM43&amp;" ","")&amp;IF(AND(C44&lt;&gt;"",N(C44)&lt;N(C92)),$AM44&amp;" ","")&amp;IF(AND(C45&lt;&gt;"",N(C45)&lt;N(C93)),$AM45&amp;" ",""))</f>
      </c>
      <c r="D46" s="43">
        <f>TRIM(IF(AND(D38&lt;&gt;"",N(D38)&lt;N(D86)),$AM38&amp;" ","")&amp;IF(AND(D39&lt;&gt;"",N(D39)&lt;N(D87)),$AM39&amp;" ","")&amp;IF(AND(D40&lt;&gt;"",N(D40)&lt;N(D88)),$AM40&amp;" ","")&amp;IF(AND(D41&lt;&gt;"",N(D41)&lt;N(D89)),$AM41&amp;" ","")&amp;IF(AND(D42&lt;&gt;"",N(D42)&lt;N(D90)),$AM42&amp;" ","")&amp;IF(AND(D43&lt;&gt;"",N(D43)&lt;N(D91)),$AM43&amp;" ","")&amp;IF(AND(D44&lt;&gt;"",N(D44)&lt;N(D92)),$AM44&amp;" ","")&amp;IF(AND(D45&lt;&gt;"",N(D45)&lt;N(D93)),$AM45&amp;" ",""))</f>
      </c>
      <c r="E46" s="43">
        <f>TRIM(IF(AND(E38&lt;&gt;"",N(E38)&lt;N(E86)),$AM38&amp;" ","")&amp;IF(AND(E39&lt;&gt;"",N(E39)&lt;N(E87)),$AM39&amp;" ","")&amp;IF(AND(E40&lt;&gt;"",N(E40)&lt;N(E88)),$AM40&amp;" ","")&amp;IF(AND(E41&lt;&gt;"",N(E41)&lt;N(E89)),$AM41&amp;" ","")&amp;IF(AND(E42&lt;&gt;"",N(E42)&lt;N(E90)),$AM42&amp;" ","")&amp;IF(AND(E43&lt;&gt;"",N(E43)&lt;N(E91)),$AM43&amp;" ","")&amp;IF(AND(E44&lt;&gt;"",N(E44)&lt;N(E92)),$AM44&amp;" ","")&amp;IF(AND(E45&lt;&gt;"",N(E45)&lt;N(E93)),$AM45&amp;" ",""))</f>
      </c>
      <c r="F46" s="43">
        <f>TRIM(IF(AND(F38&lt;&gt;"",N(F38)&lt;N(F86)),$AM38&amp;" ","")&amp;IF(AND(F39&lt;&gt;"",N(F39)&lt;N(F87)),$AM39&amp;" ","")&amp;IF(AND(F40&lt;&gt;"",N(F40)&lt;N(F88)),$AM40&amp;" ","")&amp;IF(AND(F41&lt;&gt;"",N(F41)&lt;N(F89)),$AM41&amp;" ","")&amp;IF(AND(F42&lt;&gt;"",N(F42)&lt;N(F90)),$AM42&amp;" ","")&amp;IF(AND(F43&lt;&gt;"",N(F43)&lt;N(F91)),$AM43&amp;" ","")&amp;IF(AND(F44&lt;&gt;"",N(F44)&lt;N(F92)),$AM44&amp;" ","")&amp;IF(AND(F45&lt;&gt;"",N(F45)&lt;N(F93)),$AM45&amp;" ",""))</f>
      </c>
      <c r="G46" s="43">
        <f>TRIM(IF(AND(G38&lt;&gt;"",N(G38)&lt;N(G86)),$AM38&amp;" ","")&amp;IF(AND(G39&lt;&gt;"",N(G39)&lt;N(G87)),$AM39&amp;" ","")&amp;IF(AND(G40&lt;&gt;"",N(G40)&lt;N(G88)),$AM40&amp;" ","")&amp;IF(AND(G41&lt;&gt;"",N(G41)&lt;N(G89)),$AM41&amp;" ","")&amp;IF(AND(G42&lt;&gt;"",N(G42)&lt;N(G90)),$AM42&amp;" ","")&amp;IF(AND(G43&lt;&gt;"",N(G43)&lt;N(G91)),$AM43&amp;" ","")&amp;IF(AND(G44&lt;&gt;"",N(G44)&lt;N(G92)),$AM44&amp;" ","")&amp;IF(AND(G45&lt;&gt;"",N(G45)&lt;N(G93)),$AM45&amp;" ",""))</f>
      </c>
      <c r="H46" s="43">
        <f>TRIM(IF(AND(H38&lt;&gt;"",N(H38)&lt;N(H86)),$AM38&amp;" ","")&amp;IF(AND(H39&lt;&gt;"",N(H39)&lt;N(H87)),$AM39&amp;" ","")&amp;IF(AND(H40&lt;&gt;"",N(H40)&lt;N(H88)),$AM40&amp;" ","")&amp;IF(AND(H41&lt;&gt;"",N(H41)&lt;N(H89)),$AM41&amp;" ","")&amp;IF(AND(H42&lt;&gt;"",N(H42)&lt;N(H90)),$AM42&amp;" ","")&amp;IF(AND(H43&lt;&gt;"",N(H43)&lt;N(H91)),$AM43&amp;" ","")&amp;IF(AND(H44&lt;&gt;"",N(H44)&lt;N(H92)),$AM44&amp;" ","")&amp;IF(AND(H45&lt;&gt;"",N(H45)&lt;N(H93)),$AM45&amp;" ",""))</f>
      </c>
      <c r="I46" s="43">
        <f>TRIM(IF(AND(I38&lt;&gt;"",N(I38)&lt;N(I86)),$AM38&amp;" ","")&amp;IF(AND(I39&lt;&gt;"",N(I39)&lt;N(I87)),$AM39&amp;" ","")&amp;IF(AND(I40&lt;&gt;"",N(I40)&lt;N(I88)),$AM40&amp;" ","")&amp;IF(AND(I41&lt;&gt;"",N(I41)&lt;N(I89)),$AM41&amp;" ","")&amp;IF(AND(I42&lt;&gt;"",N(I42)&lt;N(I90)),$AM42&amp;" ","")&amp;IF(AND(I43&lt;&gt;"",N(I43)&lt;N(I91)),$AM43&amp;" ","")&amp;IF(AND(I44&lt;&gt;"",N(I44)&lt;N(I92)),$AM44&amp;" ","")&amp;IF(AND(I45&lt;&gt;"",N(I45)&lt;N(I93)),$AM45&amp;" ",""))</f>
      </c>
      <c r="J46" s="43">
        <f>TRIM(IF(AND(J38&lt;&gt;"",N(J38)&lt;N(J86)),$AM38&amp;" ","")&amp;IF(AND(J39&lt;&gt;"",N(J39)&lt;N(J87)),$AM39&amp;" ","")&amp;IF(AND(J40&lt;&gt;"",N(J40)&lt;N(J88)),$AM40&amp;" ","")&amp;IF(AND(J41&lt;&gt;"",N(J41)&lt;N(J89)),$AM41&amp;" ","")&amp;IF(AND(J42&lt;&gt;"",N(J42)&lt;N(J90)),$AM42&amp;" ","")&amp;IF(AND(J43&lt;&gt;"",N(J43)&lt;N(J91)),$AM43&amp;" ","")&amp;IF(AND(J44&lt;&gt;"",N(J44)&lt;N(J92)),$AM44&amp;" ","")&amp;IF(AND(J45&lt;&gt;"",N(J45)&lt;N(J93)),$AM45&amp;" ",""))</f>
      </c>
      <c r="K46" s="43">
        <f>TRIM(IF(AND(K38&lt;&gt;"",N(K38)&lt;N(K86)),$AM38&amp;" ","")&amp;IF(AND(K39&lt;&gt;"",N(K39)&lt;N(K87)),$AM39&amp;" ","")&amp;IF(AND(K40&lt;&gt;"",N(K40)&lt;N(K88)),$AM40&amp;" ","")&amp;IF(AND(K41&lt;&gt;"",N(K41)&lt;N(K89)),$AM41&amp;" ","")&amp;IF(AND(K42&lt;&gt;"",N(K42)&lt;N(K90)),$AM42&amp;" ","")&amp;IF(AND(K43&lt;&gt;"",N(K43)&lt;N(K91)),$AM43&amp;" ","")&amp;IF(AND(K44&lt;&gt;"",N(K44)&lt;N(K92)),$AM44&amp;" ","")&amp;IF(AND(K45&lt;&gt;"",N(K45)&lt;N(K93)),$AM45&amp;" ",""))</f>
      </c>
      <c r="L46" s="43">
        <f>TRIM(IF(AND(L38&lt;&gt;"",N(L38)&lt;N(L86)),$AM38&amp;" ","")&amp;IF(AND(L39&lt;&gt;"",N(L39)&lt;N(L87)),$AM39&amp;" ","")&amp;IF(AND(L40&lt;&gt;"",N(L40)&lt;N(L88)),$AM40&amp;" ","")&amp;IF(AND(L41&lt;&gt;"",N(L41)&lt;N(L89)),$AM41&amp;" ","")&amp;IF(AND(L42&lt;&gt;"",N(L42)&lt;N(L90)),$AM42&amp;" ","")&amp;IF(AND(L43&lt;&gt;"",N(L43)&lt;N(L91)),$AM43&amp;" ","")&amp;IF(AND(L44&lt;&gt;"",N(L44)&lt;N(L92)),$AM44&amp;" ","")&amp;IF(AND(L45&lt;&gt;"",N(L45)&lt;N(L93)),$AM45&amp;" ",""))</f>
      </c>
      <c r="M46" s="43">
        <f>TRIM(IF(AND(M38&lt;&gt;"",N(M38)&lt;N(M86)),$AM38&amp;" ","")&amp;IF(AND(M39&lt;&gt;"",N(M39)&lt;N(M87)),$AM39&amp;" ","")&amp;IF(AND(M40&lt;&gt;"",N(M40)&lt;N(M88)),$AM40&amp;" ","")&amp;IF(AND(M41&lt;&gt;"",N(M41)&lt;N(M89)),$AM41&amp;" ","")&amp;IF(AND(M42&lt;&gt;"",N(M42)&lt;N(M90)),$AM42&amp;" ","")&amp;IF(AND(M43&lt;&gt;"",N(M43)&lt;N(M91)),$AM43&amp;" ","")&amp;IF(AND(M44&lt;&gt;"",N(M44)&lt;N(M92)),$AM44&amp;" ","")&amp;IF(AND(M45&lt;&gt;"",N(M45)&lt;N(M93)),$AM45&amp;" ",""))</f>
      </c>
      <c r="N46" s="43">
        <f>TRIM(IF(AND(N38&lt;&gt;"",N(N38)&lt;N(N86)),$AM38&amp;" ","")&amp;IF(AND(N39&lt;&gt;"",N(N39)&lt;N(N87)),$AM39&amp;" ","")&amp;IF(AND(N40&lt;&gt;"",N(N40)&lt;N(N88)),$AM40&amp;" ","")&amp;IF(AND(N41&lt;&gt;"",N(N41)&lt;N(N89)),$AM41&amp;" ","")&amp;IF(AND(N42&lt;&gt;"",N(N42)&lt;N(N90)),$AM42&amp;" ","")&amp;IF(AND(N43&lt;&gt;"",N(N43)&lt;N(N91)),$AM43&amp;" ","")&amp;IF(AND(N44&lt;&gt;"",N(N44)&lt;N(N92)),$AM44&amp;" ","")&amp;IF(AND(N45&lt;&gt;"",N(N45)&lt;N(N93)),$AM45&amp;" ",""))</f>
      </c>
      <c r="O46" s="43">
        <f>TRIM(IF(AND(O38&lt;&gt;"",N(O38)&lt;N(O86)),$AM38&amp;" ","")&amp;IF(AND(O39&lt;&gt;"",N(O39)&lt;N(O87)),$AM39&amp;" ","")&amp;IF(AND(O40&lt;&gt;"",N(O40)&lt;N(O88)),$AM40&amp;" ","")&amp;IF(AND(O41&lt;&gt;"",N(O41)&lt;N(O89)),$AM41&amp;" ","")&amp;IF(AND(O42&lt;&gt;"",N(O42)&lt;N(O90)),$AM42&amp;" ","")&amp;IF(AND(O43&lt;&gt;"",N(O43)&lt;N(O91)),$AM43&amp;" ","")&amp;IF(AND(O44&lt;&gt;"",N(O44)&lt;N(O92)),$AM44&amp;" ","")&amp;IF(AND(O45&lt;&gt;"",N(O45)&lt;N(O93)),$AM45&amp;" ",""))</f>
      </c>
      <c r="P46" s="43">
        <f>TRIM(IF(AND(P38&lt;&gt;"",N(P38)&lt;N(P86)),$AM38&amp;" ","")&amp;IF(AND(P39&lt;&gt;"",N(P39)&lt;N(P87)),$AM39&amp;" ","")&amp;IF(AND(P40&lt;&gt;"",N(P40)&lt;N(P88)),$AM40&amp;" ","")&amp;IF(AND(P41&lt;&gt;"",N(P41)&lt;N(P89)),$AM41&amp;" ","")&amp;IF(AND(P42&lt;&gt;"",N(P42)&lt;N(P90)),$AM42&amp;" ","")&amp;IF(AND(P43&lt;&gt;"",N(P43)&lt;N(P91)),$AM43&amp;" ","")&amp;IF(AND(P44&lt;&gt;"",N(P44)&lt;N(P92)),$AM44&amp;" ","")&amp;IF(AND(P45&lt;&gt;"",N(P45)&lt;N(P93)),$AM45&amp;" ",""))</f>
      </c>
      <c r="Q46" s="43">
        <f>TRIM(IF(AND(Q38&lt;&gt;"",N(Q38)&lt;N(Q86)),$AM38&amp;" ","")&amp;IF(AND(Q39&lt;&gt;"",N(Q39)&lt;N(Q87)),$AM39&amp;" ","")&amp;IF(AND(Q40&lt;&gt;"",N(Q40)&lt;N(Q88)),$AM40&amp;" ","")&amp;IF(AND(Q41&lt;&gt;"",N(Q41)&lt;N(Q89)),$AM41&amp;" ","")&amp;IF(AND(Q42&lt;&gt;"",N(Q42)&lt;N(Q90)),$AM42&amp;" ","")&amp;IF(AND(Q43&lt;&gt;"",N(Q43)&lt;N(Q91)),$AM43&amp;" ","")&amp;IF(AND(Q44&lt;&gt;"",N(Q44)&lt;N(Q92)),$AM44&amp;" ","")&amp;IF(AND(Q45&lt;&gt;"",N(Q45)&lt;N(Q93)),$AM45&amp;" ",""))</f>
      </c>
      <c r="R46" s="43">
        <f>TRIM(IF(AND(R38&lt;&gt;"",N(R38)&lt;N(R86)),$AM38&amp;" ","")&amp;IF(AND(R39&lt;&gt;"",N(R39)&lt;N(R87)),$AM39&amp;" ","")&amp;IF(AND(R40&lt;&gt;"",N(R40)&lt;N(R88)),$AM40&amp;" ","")&amp;IF(AND(R41&lt;&gt;"",N(R41)&lt;N(R89)),$AM41&amp;" ","")&amp;IF(AND(R42&lt;&gt;"",N(R42)&lt;N(R90)),$AM42&amp;" ","")&amp;IF(AND(R43&lt;&gt;"",N(R43)&lt;N(R91)),$AM43&amp;" ","")&amp;IF(AND(R44&lt;&gt;"",N(R44)&lt;N(R92)),$AM44&amp;" ","")&amp;IF(AND(R45&lt;&gt;"",N(R45)&lt;N(R93)),$AM45&amp;" ",""))</f>
      </c>
      <c r="S46" s="43">
        <f>TRIM(IF(AND(S38&lt;&gt;"",N(S38)&lt;N(S86)),$AM38&amp;" ","")&amp;IF(AND(S39&lt;&gt;"",N(S39)&lt;N(S87)),$AM39&amp;" ","")&amp;IF(AND(S40&lt;&gt;"",N(S40)&lt;N(S88)),$AM40&amp;" ","")&amp;IF(AND(S41&lt;&gt;"",N(S41)&lt;N(S89)),$AM41&amp;" ","")&amp;IF(AND(S42&lt;&gt;"",N(S42)&lt;N(S90)),$AM42&amp;" ","")&amp;IF(AND(S43&lt;&gt;"",N(S43)&lt;N(S91)),$AM43&amp;" ","")&amp;IF(AND(S44&lt;&gt;"",N(S44)&lt;N(S92)),$AM44&amp;" ","")&amp;IF(AND(S45&lt;&gt;"",N(S45)&lt;N(S93)),$AM45&amp;" ",""))</f>
      </c>
      <c r="T46" s="43">
        <f>TRIM(IF(AND(T38&lt;&gt;"",N(T38)&lt;N(T86)),$AM38&amp;" ","")&amp;IF(AND(T39&lt;&gt;"",N(T39)&lt;N(T87)),$AM39&amp;" ","")&amp;IF(AND(T40&lt;&gt;"",N(T40)&lt;N(T88)),$AM40&amp;" ","")&amp;IF(AND(T41&lt;&gt;"",N(T41)&lt;N(T89)),$AM41&amp;" ","")&amp;IF(AND(T42&lt;&gt;"",N(T42)&lt;N(T90)),$AM42&amp;" ","")&amp;IF(AND(T43&lt;&gt;"",N(T43)&lt;N(T91)),$AM43&amp;" ","")&amp;IF(AND(T44&lt;&gt;"",N(T44)&lt;N(T92)),$AM44&amp;" ","")&amp;IF(AND(T45&lt;&gt;"",N(T45)&lt;N(T93)),$AM45&amp;" ",""))</f>
      </c>
      <c r="U46" s="43">
        <f>TRIM(IF(AND(U38&lt;&gt;"",N(U38)&lt;N(U86)),$AM38&amp;" ","")&amp;IF(AND(U39&lt;&gt;"",N(U39)&lt;N(U87)),$AM39&amp;" ","")&amp;IF(AND(U40&lt;&gt;"",N(U40)&lt;N(U88)),$AM40&amp;" ","")&amp;IF(AND(U41&lt;&gt;"",N(U41)&lt;N(U89)),$AM41&amp;" ","")&amp;IF(AND(U42&lt;&gt;"",N(U42)&lt;N(U90)),$AM42&amp;" ","")&amp;IF(AND(U43&lt;&gt;"",N(U43)&lt;N(U91)),$AM43&amp;" ","")&amp;IF(AND(U44&lt;&gt;"",N(U44)&lt;N(U92)),$AM44&amp;" ","")&amp;IF(AND(U45&lt;&gt;"",N(U45)&lt;N(U93)),$AM45&amp;" ",""))</f>
      </c>
      <c r="V46" s="43">
        <f>TRIM(IF(AND(V38&lt;&gt;"",N(V38)&lt;N(V86)),$AM38&amp;" ","")&amp;IF(AND(V39&lt;&gt;"",N(V39)&lt;N(V87)),$AM39&amp;" ","")&amp;IF(AND(V40&lt;&gt;"",N(V40)&lt;N(V88)),$AM40&amp;" ","")&amp;IF(AND(V41&lt;&gt;"",N(V41)&lt;N(V89)),$AM41&amp;" ","")&amp;IF(AND(V42&lt;&gt;"",N(V42)&lt;N(V90)),$AM42&amp;" ","")&amp;IF(AND(V43&lt;&gt;"",N(V43)&lt;N(V91)),$AM43&amp;" ","")&amp;IF(AND(V44&lt;&gt;"",N(V44)&lt;N(V92)),$AM44&amp;" ","")&amp;IF(AND(V45&lt;&gt;"",N(V45)&lt;N(V93)),$AM45&amp;" ",""))</f>
      </c>
      <c r="W46" s="43">
        <f>TRIM(IF(AND(W38&lt;&gt;"",N(W38)&lt;N(W86)),$AM38&amp;" ","")&amp;IF(AND(W39&lt;&gt;"",N(W39)&lt;N(W87)),$AM39&amp;" ","")&amp;IF(AND(W40&lt;&gt;"",N(W40)&lt;N(W88)),$AM40&amp;" ","")&amp;IF(AND(W41&lt;&gt;"",N(W41)&lt;N(W89)),$AM41&amp;" ","")&amp;IF(AND(W42&lt;&gt;"",N(W42)&lt;N(W90)),$AM42&amp;" ","")&amp;IF(AND(W43&lt;&gt;"",N(W43)&lt;N(W91)),$AM43&amp;" ","")&amp;IF(AND(W44&lt;&gt;"",N(W44)&lt;N(W92)),$AM44&amp;" ","")&amp;IF(AND(W45&lt;&gt;"",N(W45)&lt;N(W93)),$AM45&amp;" ",""))</f>
      </c>
      <c r="X46" s="43">
        <f>TRIM(IF(AND(X38&lt;&gt;"",N(X38)&lt;N(X86)),$AM38&amp;" ","")&amp;IF(AND(X39&lt;&gt;"",N(X39)&lt;N(X87)),$AM39&amp;" ","")&amp;IF(AND(X40&lt;&gt;"",N(X40)&lt;N(X88)),$AM40&amp;" ","")&amp;IF(AND(X41&lt;&gt;"",N(X41)&lt;N(X89)),$AM41&amp;" ","")&amp;IF(AND(X42&lt;&gt;"",N(X42)&lt;N(X90)),$AM42&amp;" ","")&amp;IF(AND(X43&lt;&gt;"",N(X43)&lt;N(X91)),$AM43&amp;" ","")&amp;IF(AND(X44&lt;&gt;"",N(X44)&lt;N(X92)),$AM44&amp;" ","")&amp;IF(AND(X45&lt;&gt;"",N(X45)&lt;N(X93)),$AM45&amp;" ",""))</f>
      </c>
      <c r="Y46" s="43">
        <f>TRIM(IF(AND(Y38&lt;&gt;"",N(Y38)&lt;N(Y86)),$AM38&amp;" ","")&amp;IF(AND(Y39&lt;&gt;"",N(Y39)&lt;N(Y87)),$AM39&amp;" ","")&amp;IF(AND(Y40&lt;&gt;"",N(Y40)&lt;N(Y88)),$AM40&amp;" ","")&amp;IF(AND(Y41&lt;&gt;"",N(Y41)&lt;N(Y89)),$AM41&amp;" ","")&amp;IF(AND(Y42&lt;&gt;"",N(Y42)&lt;N(Y90)),$AM42&amp;" ","")&amp;IF(AND(Y43&lt;&gt;"",N(Y43)&lt;N(Y91)),$AM43&amp;" ","")&amp;IF(AND(Y44&lt;&gt;"",N(Y44)&lt;N(Y92)),$AM44&amp;" ","")&amp;IF(AND(Y45&lt;&gt;"",N(Y45)&lt;N(Y93)),$AM45&amp;" ",""))</f>
      </c>
      <c r="Z46" s="43">
        <f>TRIM(IF(AND(Z38&lt;&gt;"",N(Z38)&lt;N(Z86)),$AM38&amp;" ","")&amp;IF(AND(Z39&lt;&gt;"",N(Z39)&lt;N(Z87)),$AM39&amp;" ","")&amp;IF(AND(Z40&lt;&gt;"",N(Z40)&lt;N(Z88)),$AM40&amp;" ","")&amp;IF(AND(Z41&lt;&gt;"",N(Z41)&lt;N(Z89)),$AM41&amp;" ","")&amp;IF(AND(Z42&lt;&gt;"",N(Z42)&lt;N(Z90)),$AM42&amp;" ","")&amp;IF(AND(Z43&lt;&gt;"",N(Z43)&lt;N(Z91)),$AM43&amp;" ","")&amp;IF(AND(Z44&lt;&gt;"",N(Z44)&lt;N(Z92)),$AM44&amp;" ","")&amp;IF(AND(Z45&lt;&gt;"",N(Z45)&lt;N(Z93)),$AM45&amp;" ",""))</f>
      </c>
      <c r="AA46" s="43">
        <f>TRIM(IF(AND(AA38&lt;&gt;"",N(AA38)&lt;N(AA86)),$AM38&amp;" ","")&amp;IF(AND(AA39&lt;&gt;"",N(AA39)&lt;N(AA87)),$AM39&amp;" ","")&amp;IF(AND(AA40&lt;&gt;"",N(AA40)&lt;N(AA88)),$AM40&amp;" ","")&amp;IF(AND(AA41&lt;&gt;"",N(AA41)&lt;N(AA89)),$AM41&amp;" ","")&amp;IF(AND(AA42&lt;&gt;"",N(AA42)&lt;N(AA90)),$AM42&amp;" ","")&amp;IF(AND(AA43&lt;&gt;"",N(AA43)&lt;N(AA91)),$AM43&amp;" ","")&amp;IF(AND(AA44&lt;&gt;"",N(AA44)&lt;N(AA92)),$AM44&amp;" ","")&amp;IF(AND(AA45&lt;&gt;"",N(AA45)&lt;N(AA93)),$AM45&amp;" ",""))</f>
      </c>
      <c r="AB46" s="43">
        <f>TRIM(IF(AND(AB38&lt;&gt;"",N(AB38)&lt;N(AB86)),$AM38&amp;" ","")&amp;IF(AND(AB39&lt;&gt;"",N(AB39)&lt;N(AB87)),$AM39&amp;" ","")&amp;IF(AND(AB40&lt;&gt;"",N(AB40)&lt;N(AB88)),$AM40&amp;" ","")&amp;IF(AND(AB41&lt;&gt;"",N(AB41)&lt;N(AB89)),$AM41&amp;" ","")&amp;IF(AND(AB42&lt;&gt;"",N(AB42)&lt;N(AB90)),$AM42&amp;" ","")&amp;IF(AND(AB43&lt;&gt;"",N(AB43)&lt;N(AB91)),$AM43&amp;" ","")&amp;IF(AND(AB44&lt;&gt;"",N(AB44)&lt;N(AB92)),$AM44&amp;" ","")&amp;IF(AND(AB45&lt;&gt;"",N(AB45)&lt;N(AB93)),$AM45&amp;" ",""))</f>
      </c>
      <c r="AC46" s="43">
        <f>TRIM(IF(AND(AC38&lt;&gt;"",N(AC38)&lt;N(AC86)),$AM38&amp;" ","")&amp;IF(AND(AC39&lt;&gt;"",N(AC39)&lt;N(AC87)),$AM39&amp;" ","")&amp;IF(AND(AC40&lt;&gt;"",N(AC40)&lt;N(AC88)),$AM40&amp;" ","")&amp;IF(AND(AC41&lt;&gt;"",N(AC41)&lt;N(AC89)),$AM41&amp;" ","")&amp;IF(AND(AC42&lt;&gt;"",N(AC42)&lt;N(AC90)),$AM42&amp;" ","")&amp;IF(AND(AC43&lt;&gt;"",N(AC43)&lt;N(AC91)),$AM43&amp;" ","")&amp;IF(AND(AC44&lt;&gt;"",N(AC44)&lt;N(AC92)),$AM44&amp;" ","")&amp;IF(AND(AC45&lt;&gt;"",N(AC45)&lt;N(AC93)),$AM45&amp;" ",""))</f>
      </c>
      <c r="AD46" s="43">
        <f>TRIM(IF(AND(AD38&lt;&gt;"",N(AD38)&lt;N(AD86)),$AM38&amp;" ","")&amp;IF(AND(AD39&lt;&gt;"",N(AD39)&lt;N(AD87)),$AM39&amp;" ","")&amp;IF(AND(AD40&lt;&gt;"",N(AD40)&lt;N(AD88)),$AM40&amp;" ","")&amp;IF(AND(AD41&lt;&gt;"",N(AD41)&lt;N(AD89)),$AM41&amp;" ","")&amp;IF(AND(AD42&lt;&gt;"",N(AD42)&lt;N(AD90)),$AM42&amp;" ","")&amp;IF(AND(AD43&lt;&gt;"",N(AD43)&lt;N(AD91)),$AM43&amp;" ","")&amp;IF(AND(AD44&lt;&gt;"",N(AD44)&lt;N(AD92)),$AM44&amp;" ","")&amp;IF(AND(AD45&lt;&gt;"",N(AD45)&lt;N(AD93)),$AM45&amp;" ",""))</f>
      </c>
      <c r="AE46" s="43">
        <f>TRIM(IF(AND(AE38&lt;&gt;"",N(AE38)&lt;N(AE86)),$AM38&amp;" ","")&amp;IF(AND(AE39&lt;&gt;"",N(AE39)&lt;N(AE87)),$AM39&amp;" ","")&amp;IF(AND(AE40&lt;&gt;"",N(AE40)&lt;N(AE88)),$AM40&amp;" ","")&amp;IF(AND(AE41&lt;&gt;"",N(AE41)&lt;N(AE89)),$AM41&amp;" ","")&amp;IF(AND(AE42&lt;&gt;"",N(AE42)&lt;N(AE90)),$AM42&amp;" ","")&amp;IF(AND(AE43&lt;&gt;"",N(AE43)&lt;N(AE91)),$AM43&amp;" ","")&amp;IF(AND(AE44&lt;&gt;"",N(AE44)&lt;N(AE92)),$AM44&amp;" ","")&amp;IF(AND(AE45&lt;&gt;"",N(AE45)&lt;N(AE93)),$AM45&amp;" ",""))</f>
      </c>
      <c r="AF46" s="43">
        <f>TRIM(IF(AND(AF38&lt;&gt;"",N(AF38)&lt;N(AF86)),$AM38&amp;" ","")&amp;IF(AND(AF39&lt;&gt;"",N(AF39)&lt;N(AF87)),$AM39&amp;" ","")&amp;IF(AND(AF40&lt;&gt;"",N(AF40)&lt;N(AF88)),$AM40&amp;" ","")&amp;IF(AND(AF41&lt;&gt;"",N(AF41)&lt;N(AF89)),$AM41&amp;" ","")&amp;IF(AND(AF42&lt;&gt;"",N(AF42)&lt;N(AF90)),$AM42&amp;" ","")&amp;IF(AND(AF43&lt;&gt;"",N(AF43)&lt;N(AF91)),$AM43&amp;" ","")&amp;IF(AND(AF44&lt;&gt;"",N(AF44)&lt;N(AF92)),$AM44&amp;" ","")&amp;IF(AND(AF45&lt;&gt;"",N(AF45)&lt;N(AF93)),$AM45&amp;" ",""))</f>
      </c>
    </row>
    <row r="48" spans="1:38" x14ac:dyDescent="0.25">
      <c r="A48" s="7" t="s">
        <v>65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1"/>
      <c r="W48" s="1"/>
      <c r="X48" s="7" t="s">
        <v>66</v>
      </c>
      <c r="Y48" s="1"/>
      <c r="Z48" s="1"/>
      <c r="AA48" s="1"/>
      <c r="AB48" s="1"/>
      <c r="AC48" s="1"/>
      <c r="AD48" s="1"/>
      <c r="AE48" s="1"/>
      <c r="AF48" s="1"/>
      <c r="AG48" s="44"/>
      <c r="AH48" s="44"/>
      <c r="AI48" s="44"/>
      <c r="AJ48" s="44"/>
      <c r="AK48" s="44"/>
      <c r="AL48" s="44"/>
    </row>
    <row r="50" hidden="1" spans="1:32" x14ac:dyDescent="0.25">
      <c r="A50" s="1"/>
      <c r="B50" s="1">
        <f>IF(B$5="",0,IF(ISNUMBER(MATCH(B$5,FeiertagDaten,0)),1,0))</f>
      </c>
      <c r="C50" s="1">
        <f>IF(C$5="",0,IF(ISNUMBER(MATCH(C$5,FeiertagDaten,0)),1,0))</f>
      </c>
      <c r="D50" s="1">
        <f>IF(D$5="",0,IF(ISNUMBER(MATCH(D$5,FeiertagDaten,0)),1,0))</f>
      </c>
      <c r="E50" s="1">
        <f>IF(E$5="",0,IF(ISNUMBER(MATCH(E$5,FeiertagDaten,0)),1,0))</f>
      </c>
      <c r="F50" s="1">
        <f>IF(F$5="",0,IF(ISNUMBER(MATCH(F$5,FeiertagDaten,0)),1,0))</f>
      </c>
      <c r="G50" s="1">
        <f>IF(G$5="",0,IF(ISNUMBER(MATCH(G$5,FeiertagDaten,0)),1,0))</f>
      </c>
      <c r="H50" s="1">
        <f>IF(H$5="",0,IF(ISNUMBER(MATCH(H$5,FeiertagDaten,0)),1,0))</f>
      </c>
      <c r="I50" s="1">
        <f>IF(I$5="",0,IF(ISNUMBER(MATCH(I$5,FeiertagDaten,0)),1,0))</f>
      </c>
      <c r="J50" s="1">
        <f>IF(J$5="",0,IF(ISNUMBER(MATCH(J$5,FeiertagDaten,0)),1,0))</f>
      </c>
      <c r="K50" s="1">
        <f>IF(K$5="",0,IF(ISNUMBER(MATCH(K$5,FeiertagDaten,0)),1,0))</f>
      </c>
      <c r="L50" s="1">
        <f>IF(L$5="",0,IF(ISNUMBER(MATCH(L$5,FeiertagDaten,0)),1,0))</f>
      </c>
      <c r="M50" s="1">
        <f>IF(M$5="",0,IF(ISNUMBER(MATCH(M$5,FeiertagDaten,0)),1,0))</f>
      </c>
      <c r="N50" s="1">
        <f>IF(N$5="",0,IF(ISNUMBER(MATCH(N$5,FeiertagDaten,0)),1,0))</f>
      </c>
      <c r="O50" s="1">
        <f>IF(O$5="",0,IF(ISNUMBER(MATCH(O$5,FeiertagDaten,0)),1,0))</f>
      </c>
      <c r="P50" s="1">
        <f>IF(P$5="",0,IF(ISNUMBER(MATCH(P$5,FeiertagDaten,0)),1,0))</f>
      </c>
      <c r="Q50" s="1">
        <f>IF(Q$5="",0,IF(ISNUMBER(MATCH(Q$5,FeiertagDaten,0)),1,0))</f>
      </c>
      <c r="R50" s="1">
        <f>IF(R$5="",0,IF(ISNUMBER(MATCH(R$5,FeiertagDaten,0)),1,0))</f>
      </c>
      <c r="S50" s="1">
        <f>IF(S$5="",0,IF(ISNUMBER(MATCH(S$5,FeiertagDaten,0)),1,0))</f>
      </c>
      <c r="T50" s="1">
        <f>IF(T$5="",0,IF(ISNUMBER(MATCH(T$5,FeiertagDaten,0)),1,0))</f>
      </c>
      <c r="U50" s="1">
        <f>IF(U$5="",0,IF(ISNUMBER(MATCH(U$5,FeiertagDaten,0)),1,0))</f>
      </c>
      <c r="V50" s="1">
        <f>IF(V$5="",0,IF(ISNUMBER(MATCH(V$5,FeiertagDaten,0)),1,0))</f>
      </c>
      <c r="W50" s="1">
        <f>IF(W$5="",0,IF(ISNUMBER(MATCH(W$5,FeiertagDaten,0)),1,0))</f>
      </c>
      <c r="X50" s="1">
        <f>IF(X$5="",0,IF(ISNUMBER(MATCH(X$5,FeiertagDaten,0)),1,0))</f>
      </c>
      <c r="Y50" s="1">
        <f>IF(Y$5="",0,IF(ISNUMBER(MATCH(Y$5,FeiertagDaten,0)),1,0))</f>
      </c>
      <c r="Z50" s="1">
        <f>IF(Z$5="",0,IF(ISNUMBER(MATCH(Z$5,FeiertagDaten,0)),1,0))</f>
      </c>
      <c r="AA50" s="1">
        <f>IF(AA$5="",0,IF(ISNUMBER(MATCH(AA$5,FeiertagDaten,0)),1,0))</f>
      </c>
      <c r="AB50" s="1">
        <f>IF(AB$5="",0,IF(ISNUMBER(MATCH(AB$5,FeiertagDaten,0)),1,0))</f>
      </c>
      <c r="AC50" s="1">
        <f>IF(AC$5="",0,IF(ISNUMBER(MATCH(AC$5,FeiertagDaten,0)),1,0))</f>
      </c>
      <c r="AD50" s="1">
        <f>IF(AD$5="",0,IF(ISNUMBER(MATCH(AD$5,FeiertagDaten,0)),1,0))</f>
      </c>
      <c r="AE50" s="1">
        <f>IF(AE$5="",0,IF(ISNUMBER(MATCH(AE$5,FeiertagDaten,0)),1,0))</f>
      </c>
      <c r="AF50" s="1">
        <f>IF(AF$5="",0,IF(ISNUMBER(MATCH(AF$5,FeiertagDaten,0)),1,0))</f>
      </c>
    </row>
    <row r="51" hidden="1" spans="1:32" x14ac:dyDescent="0.25">
      <c r="A51" s="1"/>
      <c r="B51" s="1">
        <f>IF(B$5="",0,WEEKDAY(B$5,2))</f>
      </c>
      <c r="C51" s="1">
        <f>IF(C$5="",0,WEEKDAY(C$5,2))</f>
      </c>
      <c r="D51" s="1">
        <f>IF(D$5="",0,WEEKDAY(D$5,2))</f>
      </c>
      <c r="E51" s="1">
        <f>IF(E$5="",0,WEEKDAY(E$5,2))</f>
      </c>
      <c r="F51" s="1">
        <f>IF(F$5="",0,WEEKDAY(F$5,2))</f>
      </c>
      <c r="G51" s="1">
        <f>IF(G$5="",0,WEEKDAY(G$5,2))</f>
      </c>
      <c r="H51" s="1">
        <f>IF(H$5="",0,WEEKDAY(H$5,2))</f>
      </c>
      <c r="I51" s="1">
        <f>IF(I$5="",0,WEEKDAY(I$5,2))</f>
      </c>
      <c r="J51" s="1">
        <f>IF(J$5="",0,WEEKDAY(J$5,2))</f>
      </c>
      <c r="K51" s="1">
        <f>IF(K$5="",0,WEEKDAY(K$5,2))</f>
      </c>
      <c r="L51" s="1">
        <f>IF(L$5="",0,WEEKDAY(L$5,2))</f>
      </c>
      <c r="M51" s="1">
        <f>IF(M$5="",0,WEEKDAY(M$5,2))</f>
      </c>
      <c r="N51" s="1">
        <f>IF(N$5="",0,WEEKDAY(N$5,2))</f>
      </c>
      <c r="O51" s="1">
        <f>IF(O$5="",0,WEEKDAY(O$5,2))</f>
      </c>
      <c r="P51" s="1">
        <f>IF(P$5="",0,WEEKDAY(P$5,2))</f>
      </c>
      <c r="Q51" s="1">
        <f>IF(Q$5="",0,WEEKDAY(Q$5,2))</f>
      </c>
      <c r="R51" s="1">
        <f>IF(R$5="",0,WEEKDAY(R$5,2))</f>
      </c>
      <c r="S51" s="1">
        <f>IF(S$5="",0,WEEKDAY(S$5,2))</f>
      </c>
      <c r="T51" s="1">
        <f>IF(T$5="",0,WEEKDAY(T$5,2))</f>
      </c>
      <c r="U51" s="1">
        <f>IF(U$5="",0,WEEKDAY(U$5,2))</f>
      </c>
      <c r="V51" s="1">
        <f>IF(V$5="",0,WEEKDAY(V$5,2))</f>
      </c>
      <c r="W51" s="1">
        <f>IF(W$5="",0,WEEKDAY(W$5,2))</f>
      </c>
      <c r="X51" s="1">
        <f>IF(X$5="",0,WEEKDAY(X$5,2))</f>
      </c>
      <c r="Y51" s="1">
        <f>IF(Y$5="",0,WEEKDAY(Y$5,2))</f>
      </c>
      <c r="Z51" s="1">
        <f>IF(Z$5="",0,WEEKDAY(Z$5,2))</f>
      </c>
      <c r="AA51" s="1">
        <f>IF(AA$5="",0,WEEKDAY(AA$5,2))</f>
      </c>
      <c r="AB51" s="1">
        <f>IF(AB$5="",0,WEEKDAY(AB$5,2))</f>
      </c>
      <c r="AC51" s="1">
        <f>IF(AC$5="",0,WEEKDAY(AC$5,2))</f>
      </c>
      <c r="AD51" s="1">
        <f>IF(AD$5="",0,WEEKDAY(AD$5,2))</f>
      </c>
      <c r="AE51" s="1">
        <f>IF(AE$5="",0,WEEKDAY(AE$5,2))</f>
      </c>
      <c r="AF51" s="1">
        <f>IF(AF$5="",0,WEEKDAY(AF$5,2))</f>
      </c>
    </row>
    <row r="52" hidden="1" spans="1:32" x14ac:dyDescent="0.25">
      <c r="A52" s="1"/>
      <c r="B52" s="1">
        <f>IF(B$5="",0,1)</f>
      </c>
      <c r="C52" s="1">
        <f>IF(C$5="",0,1)</f>
      </c>
      <c r="D52" s="1">
        <f>IF(D$5="",0,1)</f>
      </c>
      <c r="E52" s="1">
        <f>IF(E$5="",0,1)</f>
      </c>
      <c r="F52" s="1">
        <f>IF(F$5="",0,1)</f>
      </c>
      <c r="G52" s="1">
        <f>IF(G$5="",0,1)</f>
      </c>
      <c r="H52" s="1">
        <f>IF(H$5="",0,1)</f>
      </c>
      <c r="I52" s="1">
        <f>IF(I$5="",0,1)</f>
      </c>
      <c r="J52" s="1">
        <f>IF(J$5="",0,1)</f>
      </c>
      <c r="K52" s="1">
        <f>IF(K$5="",0,1)</f>
      </c>
      <c r="L52" s="1">
        <f>IF(L$5="",0,1)</f>
      </c>
      <c r="M52" s="1">
        <f>IF(M$5="",0,1)</f>
      </c>
      <c r="N52" s="1">
        <f>IF(N$5="",0,1)</f>
      </c>
      <c r="O52" s="1">
        <f>IF(O$5="",0,1)</f>
      </c>
      <c r="P52" s="1">
        <f>IF(P$5="",0,1)</f>
      </c>
      <c r="Q52" s="1">
        <f>IF(Q$5="",0,1)</f>
      </c>
      <c r="R52" s="1">
        <f>IF(R$5="",0,1)</f>
      </c>
      <c r="S52" s="1">
        <f>IF(S$5="",0,1)</f>
      </c>
      <c r="T52" s="1">
        <f>IF(T$5="",0,1)</f>
      </c>
      <c r="U52" s="1">
        <f>IF(U$5="",0,1)</f>
      </c>
      <c r="V52" s="1">
        <f>IF(V$5="",0,1)</f>
      </c>
      <c r="W52" s="1">
        <f>IF(W$5="",0,1)</f>
      </c>
      <c r="X52" s="1">
        <f>IF(X$5="",0,1)</f>
      </c>
      <c r="Y52" s="1">
        <f>IF(Y$5="",0,1)</f>
      </c>
      <c r="Z52" s="1">
        <f>IF(Z$5="",0,1)</f>
      </c>
      <c r="AA52" s="1">
        <f>IF(AA$5="",0,1)</f>
      </c>
      <c r="AB52" s="1">
        <f>IF(AB$5="",0,1)</f>
      </c>
      <c r="AC52" s="1">
        <f>IF(AC$5="",0,1)</f>
      </c>
      <c r="AD52" s="1">
        <f>IF(AD$5="",0,1)</f>
      </c>
      <c r="AE52" s="1">
        <f>IF(AE$5="",0,1)</f>
      </c>
      <c r="AF52" s="1">
        <f>IF(AF$5="",0,1)</f>
      </c>
    </row>
    <row r="53" hidden="1" spans="1:32" x14ac:dyDescent="0.25">
      <c r="A53" s="1"/>
      <c r="B53" s="1">
        <f>IF(AND(B51&gt;=1,B51&lt;=5,B50=0),1,0)</f>
      </c>
      <c r="C53" s="1">
        <f>IF(AND(C51&gt;=1,C51&lt;=5,C50=0),1,0)</f>
      </c>
      <c r="D53" s="1">
        <f>IF(AND(D51&gt;=1,D51&lt;=5,D50=0),1,0)</f>
      </c>
      <c r="E53" s="1">
        <f>IF(AND(E51&gt;=1,E51&lt;=5,E50=0),1,0)</f>
      </c>
      <c r="F53" s="1">
        <f>IF(AND(F51&gt;=1,F51&lt;=5,F50=0),1,0)</f>
      </c>
      <c r="G53" s="1">
        <f>IF(AND(G51&gt;=1,G51&lt;=5,G50=0),1,0)</f>
      </c>
      <c r="H53" s="1">
        <f>IF(AND(H51&gt;=1,H51&lt;=5,H50=0),1,0)</f>
      </c>
      <c r="I53" s="1">
        <f>IF(AND(I51&gt;=1,I51&lt;=5,I50=0),1,0)</f>
      </c>
      <c r="J53" s="1">
        <f>IF(AND(J51&gt;=1,J51&lt;=5,J50=0),1,0)</f>
      </c>
      <c r="K53" s="1">
        <f>IF(AND(K51&gt;=1,K51&lt;=5,K50=0),1,0)</f>
      </c>
      <c r="L53" s="1">
        <f>IF(AND(L51&gt;=1,L51&lt;=5,L50=0),1,0)</f>
      </c>
      <c r="M53" s="1">
        <f>IF(AND(M51&gt;=1,M51&lt;=5,M50=0),1,0)</f>
      </c>
      <c r="N53" s="1">
        <f>IF(AND(N51&gt;=1,N51&lt;=5,N50=0),1,0)</f>
      </c>
      <c r="O53" s="1">
        <f>IF(AND(O51&gt;=1,O51&lt;=5,O50=0),1,0)</f>
      </c>
      <c r="P53" s="1">
        <f>IF(AND(P51&gt;=1,P51&lt;=5,P50=0),1,0)</f>
      </c>
      <c r="Q53" s="1">
        <f>IF(AND(Q51&gt;=1,Q51&lt;=5,Q50=0),1,0)</f>
      </c>
      <c r="R53" s="1">
        <f>IF(AND(R51&gt;=1,R51&lt;=5,R50=0),1,0)</f>
      </c>
      <c r="S53" s="1">
        <f>IF(AND(S51&gt;=1,S51&lt;=5,S50=0),1,0)</f>
      </c>
      <c r="T53" s="1">
        <f>IF(AND(T51&gt;=1,T51&lt;=5,T50=0),1,0)</f>
      </c>
      <c r="U53" s="1">
        <f>IF(AND(U51&gt;=1,U51&lt;=5,U50=0),1,0)</f>
      </c>
      <c r="V53" s="1">
        <f>IF(AND(V51&gt;=1,V51&lt;=5,V50=0),1,0)</f>
      </c>
      <c r="W53" s="1">
        <f>IF(AND(W51&gt;=1,W51&lt;=5,W50=0),1,0)</f>
      </c>
      <c r="X53" s="1">
        <f>IF(AND(X51&gt;=1,X51&lt;=5,X50=0),1,0)</f>
      </c>
      <c r="Y53" s="1">
        <f>IF(AND(Y51&gt;=1,Y51&lt;=5,Y50=0),1,0)</f>
      </c>
      <c r="Z53" s="1">
        <f>IF(AND(Z51&gt;=1,Z51&lt;=5,Z50=0),1,0)</f>
      </c>
      <c r="AA53" s="1">
        <f>IF(AND(AA51&gt;=1,AA51&lt;=5,AA50=0),1,0)</f>
      </c>
      <c r="AB53" s="1">
        <f>IF(AND(AB51&gt;=1,AB51&lt;=5,AB50=0),1,0)</f>
      </c>
      <c r="AC53" s="1">
        <f>IF(AND(AC51&gt;=1,AC51&lt;=5,AC50=0),1,0)</f>
      </c>
      <c r="AD53" s="1">
        <f>IF(AND(AD51&gt;=1,AD51&lt;=5,AD50=0),1,0)</f>
      </c>
      <c r="AE53" s="1">
        <f>IF(AND(AE51&gt;=1,AE51&lt;=5,AE50=0),1,0)</f>
      </c>
      <c r="AF53" s="1">
        <f>IF(AND(AF51&gt;=1,AF51&lt;=5,AF50=0),1,0)</f>
      </c>
    </row>
    <row r="55" hidden="1" spans="1:32" x14ac:dyDescent="0.25">
      <c r="A55" s="1"/>
      <c r="B55" s="1">
        <f>IF(OR(B$52=0,INDEX('Februar'!$B$6:$AF$6,DAY(DATE(Jahr,3,0)))="",B6=""),0,IFERROR(IF(AND(INDEX(Arten,MATCH(INDEX('Februar'!$B$6:$AF$6,DAY(DATE(Jahr,3,0))),Codes,0))="Arbeit",INDEX(Arten,MATCH(B6,Codes,0))="Arbeit"),IF(ROUND((1+INDEX(Beginne,MATCH(B6,Codes,0))-INDEX(EndeRel,MATCH(INDEX('Februar'!$B$6:$AF$6,DAY(DATE(Jahr,3,0))),Codes,0)))*1440,0)&lt;660,1,0),0),0))</f>
      </c>
      <c r="C55" s="1">
        <f>IF(OR(C$52=0,B6="",C6=""),0,IFERROR(IF(AND(INDEX(Arten,MATCH(B6,Codes,0))="Arbeit",INDEX(Arten,MATCH(C6,Codes,0))="Arbeit"),IF(ROUND((1+INDEX(Beginne,MATCH(C6,Codes,0))-INDEX(EndeRel,MATCH(B6,Codes,0)))*1440,0)&lt;660,1,0),0),0))</f>
      </c>
      <c r="D55" s="1">
        <f>IF(OR(D$52=0,C6="",D6=""),0,IFERROR(IF(AND(INDEX(Arten,MATCH(C6,Codes,0))="Arbeit",INDEX(Arten,MATCH(D6,Codes,0))="Arbeit"),IF(ROUND((1+INDEX(Beginne,MATCH(D6,Codes,0))-INDEX(EndeRel,MATCH(C6,Codes,0)))*1440,0)&lt;660,1,0),0),0))</f>
      </c>
      <c r="E55" s="1">
        <f>IF(OR(E$52=0,D6="",E6=""),0,IFERROR(IF(AND(INDEX(Arten,MATCH(D6,Codes,0))="Arbeit",INDEX(Arten,MATCH(E6,Codes,0))="Arbeit"),IF(ROUND((1+INDEX(Beginne,MATCH(E6,Codes,0))-INDEX(EndeRel,MATCH(D6,Codes,0)))*1440,0)&lt;660,1,0),0),0))</f>
      </c>
      <c r="F55" s="1">
        <f>IF(OR(F$52=0,E6="",F6=""),0,IFERROR(IF(AND(INDEX(Arten,MATCH(E6,Codes,0))="Arbeit",INDEX(Arten,MATCH(F6,Codes,0))="Arbeit"),IF(ROUND((1+INDEX(Beginne,MATCH(F6,Codes,0))-INDEX(EndeRel,MATCH(E6,Codes,0)))*1440,0)&lt;660,1,0),0),0))</f>
      </c>
      <c r="G55" s="1">
        <f>IF(OR(G$52=0,F6="",G6=""),0,IFERROR(IF(AND(INDEX(Arten,MATCH(F6,Codes,0))="Arbeit",INDEX(Arten,MATCH(G6,Codes,0))="Arbeit"),IF(ROUND((1+INDEX(Beginne,MATCH(G6,Codes,0))-INDEX(EndeRel,MATCH(F6,Codes,0)))*1440,0)&lt;660,1,0),0),0))</f>
      </c>
      <c r="H55" s="1">
        <f>IF(OR(H$52=0,G6="",H6=""),0,IFERROR(IF(AND(INDEX(Arten,MATCH(G6,Codes,0))="Arbeit",INDEX(Arten,MATCH(H6,Codes,0))="Arbeit"),IF(ROUND((1+INDEX(Beginne,MATCH(H6,Codes,0))-INDEX(EndeRel,MATCH(G6,Codes,0)))*1440,0)&lt;660,1,0),0),0))</f>
      </c>
      <c r="I55" s="1">
        <f>IF(OR(I$52=0,H6="",I6=""),0,IFERROR(IF(AND(INDEX(Arten,MATCH(H6,Codes,0))="Arbeit",INDEX(Arten,MATCH(I6,Codes,0))="Arbeit"),IF(ROUND((1+INDEX(Beginne,MATCH(I6,Codes,0))-INDEX(EndeRel,MATCH(H6,Codes,0)))*1440,0)&lt;660,1,0),0),0))</f>
      </c>
      <c r="J55" s="1">
        <f>IF(OR(J$52=0,I6="",J6=""),0,IFERROR(IF(AND(INDEX(Arten,MATCH(I6,Codes,0))="Arbeit",INDEX(Arten,MATCH(J6,Codes,0))="Arbeit"),IF(ROUND((1+INDEX(Beginne,MATCH(J6,Codes,0))-INDEX(EndeRel,MATCH(I6,Codes,0)))*1440,0)&lt;660,1,0),0),0))</f>
      </c>
      <c r="K55" s="1">
        <f>IF(OR(K$52=0,J6="",K6=""),0,IFERROR(IF(AND(INDEX(Arten,MATCH(J6,Codes,0))="Arbeit",INDEX(Arten,MATCH(K6,Codes,0))="Arbeit"),IF(ROUND((1+INDEX(Beginne,MATCH(K6,Codes,0))-INDEX(EndeRel,MATCH(J6,Codes,0)))*1440,0)&lt;660,1,0),0),0))</f>
      </c>
      <c r="L55" s="1">
        <f>IF(OR(L$52=0,K6="",L6=""),0,IFERROR(IF(AND(INDEX(Arten,MATCH(K6,Codes,0))="Arbeit",INDEX(Arten,MATCH(L6,Codes,0))="Arbeit"),IF(ROUND((1+INDEX(Beginne,MATCH(L6,Codes,0))-INDEX(EndeRel,MATCH(K6,Codes,0)))*1440,0)&lt;660,1,0),0),0))</f>
      </c>
      <c r="M55" s="1">
        <f>IF(OR(M$52=0,L6="",M6=""),0,IFERROR(IF(AND(INDEX(Arten,MATCH(L6,Codes,0))="Arbeit",INDEX(Arten,MATCH(M6,Codes,0))="Arbeit"),IF(ROUND((1+INDEX(Beginne,MATCH(M6,Codes,0))-INDEX(EndeRel,MATCH(L6,Codes,0)))*1440,0)&lt;660,1,0),0),0))</f>
      </c>
      <c r="N55" s="1">
        <f>IF(OR(N$52=0,M6="",N6=""),0,IFERROR(IF(AND(INDEX(Arten,MATCH(M6,Codes,0))="Arbeit",INDEX(Arten,MATCH(N6,Codes,0))="Arbeit"),IF(ROUND((1+INDEX(Beginne,MATCH(N6,Codes,0))-INDEX(EndeRel,MATCH(M6,Codes,0)))*1440,0)&lt;660,1,0),0),0))</f>
      </c>
      <c r="O55" s="1">
        <f>IF(OR(O$52=0,N6="",O6=""),0,IFERROR(IF(AND(INDEX(Arten,MATCH(N6,Codes,0))="Arbeit",INDEX(Arten,MATCH(O6,Codes,0))="Arbeit"),IF(ROUND((1+INDEX(Beginne,MATCH(O6,Codes,0))-INDEX(EndeRel,MATCH(N6,Codes,0)))*1440,0)&lt;660,1,0),0),0))</f>
      </c>
      <c r="P55" s="1">
        <f>IF(OR(P$52=0,O6="",P6=""),0,IFERROR(IF(AND(INDEX(Arten,MATCH(O6,Codes,0))="Arbeit",INDEX(Arten,MATCH(P6,Codes,0))="Arbeit"),IF(ROUND((1+INDEX(Beginne,MATCH(P6,Codes,0))-INDEX(EndeRel,MATCH(O6,Codes,0)))*1440,0)&lt;660,1,0),0),0))</f>
      </c>
      <c r="Q55" s="1">
        <f>IF(OR(Q$52=0,P6="",Q6=""),0,IFERROR(IF(AND(INDEX(Arten,MATCH(P6,Codes,0))="Arbeit",INDEX(Arten,MATCH(Q6,Codes,0))="Arbeit"),IF(ROUND((1+INDEX(Beginne,MATCH(Q6,Codes,0))-INDEX(EndeRel,MATCH(P6,Codes,0)))*1440,0)&lt;660,1,0),0),0))</f>
      </c>
      <c r="R55" s="1">
        <f>IF(OR(R$52=0,Q6="",R6=""),0,IFERROR(IF(AND(INDEX(Arten,MATCH(Q6,Codes,0))="Arbeit",INDEX(Arten,MATCH(R6,Codes,0))="Arbeit"),IF(ROUND((1+INDEX(Beginne,MATCH(R6,Codes,0))-INDEX(EndeRel,MATCH(Q6,Codes,0)))*1440,0)&lt;660,1,0),0),0))</f>
      </c>
      <c r="S55" s="1">
        <f>IF(OR(S$52=0,R6="",S6=""),0,IFERROR(IF(AND(INDEX(Arten,MATCH(R6,Codes,0))="Arbeit",INDEX(Arten,MATCH(S6,Codes,0))="Arbeit"),IF(ROUND((1+INDEX(Beginne,MATCH(S6,Codes,0))-INDEX(EndeRel,MATCH(R6,Codes,0)))*1440,0)&lt;660,1,0),0),0))</f>
      </c>
      <c r="T55" s="1">
        <f>IF(OR(T$52=0,S6="",T6=""),0,IFERROR(IF(AND(INDEX(Arten,MATCH(S6,Codes,0))="Arbeit",INDEX(Arten,MATCH(T6,Codes,0))="Arbeit"),IF(ROUND((1+INDEX(Beginne,MATCH(T6,Codes,0))-INDEX(EndeRel,MATCH(S6,Codes,0)))*1440,0)&lt;660,1,0),0),0))</f>
      </c>
      <c r="U55" s="1">
        <f>IF(OR(U$52=0,T6="",U6=""),0,IFERROR(IF(AND(INDEX(Arten,MATCH(T6,Codes,0))="Arbeit",INDEX(Arten,MATCH(U6,Codes,0))="Arbeit"),IF(ROUND((1+INDEX(Beginne,MATCH(U6,Codes,0))-INDEX(EndeRel,MATCH(T6,Codes,0)))*1440,0)&lt;660,1,0),0),0))</f>
      </c>
      <c r="V55" s="1">
        <f>IF(OR(V$52=0,U6="",V6=""),0,IFERROR(IF(AND(INDEX(Arten,MATCH(U6,Codes,0))="Arbeit",INDEX(Arten,MATCH(V6,Codes,0))="Arbeit"),IF(ROUND((1+INDEX(Beginne,MATCH(V6,Codes,0))-INDEX(EndeRel,MATCH(U6,Codes,0)))*1440,0)&lt;660,1,0),0),0))</f>
      </c>
      <c r="W55" s="1">
        <f>IF(OR(W$52=0,V6="",W6=""),0,IFERROR(IF(AND(INDEX(Arten,MATCH(V6,Codes,0))="Arbeit",INDEX(Arten,MATCH(W6,Codes,0))="Arbeit"),IF(ROUND((1+INDEX(Beginne,MATCH(W6,Codes,0))-INDEX(EndeRel,MATCH(V6,Codes,0)))*1440,0)&lt;660,1,0),0),0))</f>
      </c>
      <c r="X55" s="1">
        <f>IF(OR(X$52=0,W6="",X6=""),0,IFERROR(IF(AND(INDEX(Arten,MATCH(W6,Codes,0))="Arbeit",INDEX(Arten,MATCH(X6,Codes,0))="Arbeit"),IF(ROUND((1+INDEX(Beginne,MATCH(X6,Codes,0))-INDEX(EndeRel,MATCH(W6,Codes,0)))*1440,0)&lt;660,1,0),0),0))</f>
      </c>
      <c r="Y55" s="1">
        <f>IF(OR(Y$52=0,X6="",Y6=""),0,IFERROR(IF(AND(INDEX(Arten,MATCH(X6,Codes,0))="Arbeit",INDEX(Arten,MATCH(Y6,Codes,0))="Arbeit"),IF(ROUND((1+INDEX(Beginne,MATCH(Y6,Codes,0))-INDEX(EndeRel,MATCH(X6,Codes,0)))*1440,0)&lt;660,1,0),0),0))</f>
      </c>
      <c r="Z55" s="1">
        <f>IF(OR(Z$52=0,Y6="",Z6=""),0,IFERROR(IF(AND(INDEX(Arten,MATCH(Y6,Codes,0))="Arbeit",INDEX(Arten,MATCH(Z6,Codes,0))="Arbeit"),IF(ROUND((1+INDEX(Beginne,MATCH(Z6,Codes,0))-INDEX(EndeRel,MATCH(Y6,Codes,0)))*1440,0)&lt;660,1,0),0),0))</f>
      </c>
      <c r="AA55" s="1">
        <f>IF(OR(AA$52=0,Z6="",AA6=""),0,IFERROR(IF(AND(INDEX(Arten,MATCH(Z6,Codes,0))="Arbeit",INDEX(Arten,MATCH(AA6,Codes,0))="Arbeit"),IF(ROUND((1+INDEX(Beginne,MATCH(AA6,Codes,0))-INDEX(EndeRel,MATCH(Z6,Codes,0)))*1440,0)&lt;660,1,0),0),0))</f>
      </c>
      <c r="AB55" s="1">
        <f>IF(OR(AB$52=0,AA6="",AB6=""),0,IFERROR(IF(AND(INDEX(Arten,MATCH(AA6,Codes,0))="Arbeit",INDEX(Arten,MATCH(AB6,Codes,0))="Arbeit"),IF(ROUND((1+INDEX(Beginne,MATCH(AB6,Codes,0))-INDEX(EndeRel,MATCH(AA6,Codes,0)))*1440,0)&lt;660,1,0),0),0))</f>
      </c>
      <c r="AC55" s="1">
        <f>IF(OR(AC$52=0,AB6="",AC6=""),0,IFERROR(IF(AND(INDEX(Arten,MATCH(AB6,Codes,0))="Arbeit",INDEX(Arten,MATCH(AC6,Codes,0))="Arbeit"),IF(ROUND((1+INDEX(Beginne,MATCH(AC6,Codes,0))-INDEX(EndeRel,MATCH(AB6,Codes,0)))*1440,0)&lt;660,1,0),0),0))</f>
      </c>
      <c r="AD55" s="1">
        <f>IF(OR(AD$52=0,AC6="",AD6=""),0,IFERROR(IF(AND(INDEX(Arten,MATCH(AC6,Codes,0))="Arbeit",INDEX(Arten,MATCH(AD6,Codes,0))="Arbeit"),IF(ROUND((1+INDEX(Beginne,MATCH(AD6,Codes,0))-INDEX(EndeRel,MATCH(AC6,Codes,0)))*1440,0)&lt;660,1,0),0),0))</f>
      </c>
      <c r="AE55" s="1">
        <f>IF(OR(AE$52=0,AD6="",AE6=""),0,IFERROR(IF(AND(INDEX(Arten,MATCH(AD6,Codes,0))="Arbeit",INDEX(Arten,MATCH(AE6,Codes,0))="Arbeit"),IF(ROUND((1+INDEX(Beginne,MATCH(AE6,Codes,0))-INDEX(EndeRel,MATCH(AD6,Codes,0)))*1440,0)&lt;660,1,0),0),0))</f>
      </c>
      <c r="AF55" s="1">
        <f>IF(OR(AF$52=0,AE6="",AF6=""),0,IFERROR(IF(AND(INDEX(Arten,MATCH(AE6,Codes,0))="Arbeit",INDEX(Arten,MATCH(AF6,Codes,0))="Arbeit"),IF(ROUND((1+INDEX(Beginne,MATCH(AF6,Codes,0))-INDEX(EndeRel,MATCH(AE6,Codes,0)))*1440,0)&lt;660,1,0),0),0))</f>
      </c>
    </row>
    <row r="56" hidden="1" spans="1:32" x14ac:dyDescent="0.25">
      <c r="A56" s="1"/>
      <c r="B56" s="1">
        <f>IF(OR(B$52=0,INDEX('Februar'!$B$7:$AF$7,DAY(DATE(Jahr,3,0)))="",B7=""),0,IFERROR(IF(AND(INDEX(Arten,MATCH(INDEX('Februar'!$B$7:$AF$7,DAY(DATE(Jahr,3,0))),Codes,0))="Arbeit",INDEX(Arten,MATCH(B7,Codes,0))="Arbeit"),IF(ROUND((1+INDEX(Beginne,MATCH(B7,Codes,0))-INDEX(EndeRel,MATCH(INDEX('Februar'!$B$7:$AF$7,DAY(DATE(Jahr,3,0))),Codes,0)))*1440,0)&lt;660,1,0),0),0))</f>
      </c>
      <c r="C56" s="1">
        <f>IF(OR(C$52=0,B7="",C7=""),0,IFERROR(IF(AND(INDEX(Arten,MATCH(B7,Codes,0))="Arbeit",INDEX(Arten,MATCH(C7,Codes,0))="Arbeit"),IF(ROUND((1+INDEX(Beginne,MATCH(C7,Codes,0))-INDEX(EndeRel,MATCH(B7,Codes,0)))*1440,0)&lt;660,1,0),0),0))</f>
      </c>
      <c r="D56" s="1">
        <f>IF(OR(D$52=0,C7="",D7=""),0,IFERROR(IF(AND(INDEX(Arten,MATCH(C7,Codes,0))="Arbeit",INDEX(Arten,MATCH(D7,Codes,0))="Arbeit"),IF(ROUND((1+INDEX(Beginne,MATCH(D7,Codes,0))-INDEX(EndeRel,MATCH(C7,Codes,0)))*1440,0)&lt;660,1,0),0),0))</f>
      </c>
      <c r="E56" s="1">
        <f>IF(OR(E$52=0,D7="",E7=""),0,IFERROR(IF(AND(INDEX(Arten,MATCH(D7,Codes,0))="Arbeit",INDEX(Arten,MATCH(E7,Codes,0))="Arbeit"),IF(ROUND((1+INDEX(Beginne,MATCH(E7,Codes,0))-INDEX(EndeRel,MATCH(D7,Codes,0)))*1440,0)&lt;660,1,0),0),0))</f>
      </c>
      <c r="F56" s="1">
        <f>IF(OR(F$52=0,E7="",F7=""),0,IFERROR(IF(AND(INDEX(Arten,MATCH(E7,Codes,0))="Arbeit",INDEX(Arten,MATCH(F7,Codes,0))="Arbeit"),IF(ROUND((1+INDEX(Beginne,MATCH(F7,Codes,0))-INDEX(EndeRel,MATCH(E7,Codes,0)))*1440,0)&lt;660,1,0),0),0))</f>
      </c>
      <c r="G56" s="1">
        <f>IF(OR(G$52=0,F7="",G7=""),0,IFERROR(IF(AND(INDEX(Arten,MATCH(F7,Codes,0))="Arbeit",INDEX(Arten,MATCH(G7,Codes,0))="Arbeit"),IF(ROUND((1+INDEX(Beginne,MATCH(G7,Codes,0))-INDEX(EndeRel,MATCH(F7,Codes,0)))*1440,0)&lt;660,1,0),0),0))</f>
      </c>
      <c r="H56" s="1">
        <f>IF(OR(H$52=0,G7="",H7=""),0,IFERROR(IF(AND(INDEX(Arten,MATCH(G7,Codes,0))="Arbeit",INDEX(Arten,MATCH(H7,Codes,0))="Arbeit"),IF(ROUND((1+INDEX(Beginne,MATCH(H7,Codes,0))-INDEX(EndeRel,MATCH(G7,Codes,0)))*1440,0)&lt;660,1,0),0),0))</f>
      </c>
      <c r="I56" s="1">
        <f>IF(OR(I$52=0,H7="",I7=""),0,IFERROR(IF(AND(INDEX(Arten,MATCH(H7,Codes,0))="Arbeit",INDEX(Arten,MATCH(I7,Codes,0))="Arbeit"),IF(ROUND((1+INDEX(Beginne,MATCH(I7,Codes,0))-INDEX(EndeRel,MATCH(H7,Codes,0)))*1440,0)&lt;660,1,0),0),0))</f>
      </c>
      <c r="J56" s="1">
        <f>IF(OR(J$52=0,I7="",J7=""),0,IFERROR(IF(AND(INDEX(Arten,MATCH(I7,Codes,0))="Arbeit",INDEX(Arten,MATCH(J7,Codes,0))="Arbeit"),IF(ROUND((1+INDEX(Beginne,MATCH(J7,Codes,0))-INDEX(EndeRel,MATCH(I7,Codes,0)))*1440,0)&lt;660,1,0),0),0))</f>
      </c>
      <c r="K56" s="1">
        <f>IF(OR(K$52=0,J7="",K7=""),0,IFERROR(IF(AND(INDEX(Arten,MATCH(J7,Codes,0))="Arbeit",INDEX(Arten,MATCH(K7,Codes,0))="Arbeit"),IF(ROUND((1+INDEX(Beginne,MATCH(K7,Codes,0))-INDEX(EndeRel,MATCH(J7,Codes,0)))*1440,0)&lt;660,1,0),0),0))</f>
      </c>
      <c r="L56" s="1">
        <f>IF(OR(L$52=0,K7="",L7=""),0,IFERROR(IF(AND(INDEX(Arten,MATCH(K7,Codes,0))="Arbeit",INDEX(Arten,MATCH(L7,Codes,0))="Arbeit"),IF(ROUND((1+INDEX(Beginne,MATCH(L7,Codes,0))-INDEX(EndeRel,MATCH(K7,Codes,0)))*1440,0)&lt;660,1,0),0),0))</f>
      </c>
      <c r="M56" s="1">
        <f>IF(OR(M$52=0,L7="",M7=""),0,IFERROR(IF(AND(INDEX(Arten,MATCH(L7,Codes,0))="Arbeit",INDEX(Arten,MATCH(M7,Codes,0))="Arbeit"),IF(ROUND((1+INDEX(Beginne,MATCH(M7,Codes,0))-INDEX(EndeRel,MATCH(L7,Codes,0)))*1440,0)&lt;660,1,0),0),0))</f>
      </c>
      <c r="N56" s="1">
        <f>IF(OR(N$52=0,M7="",N7=""),0,IFERROR(IF(AND(INDEX(Arten,MATCH(M7,Codes,0))="Arbeit",INDEX(Arten,MATCH(N7,Codes,0))="Arbeit"),IF(ROUND((1+INDEX(Beginne,MATCH(N7,Codes,0))-INDEX(EndeRel,MATCH(M7,Codes,0)))*1440,0)&lt;660,1,0),0),0))</f>
      </c>
      <c r="O56" s="1">
        <f>IF(OR(O$52=0,N7="",O7=""),0,IFERROR(IF(AND(INDEX(Arten,MATCH(N7,Codes,0))="Arbeit",INDEX(Arten,MATCH(O7,Codes,0))="Arbeit"),IF(ROUND((1+INDEX(Beginne,MATCH(O7,Codes,0))-INDEX(EndeRel,MATCH(N7,Codes,0)))*1440,0)&lt;660,1,0),0),0))</f>
      </c>
      <c r="P56" s="1">
        <f>IF(OR(P$52=0,O7="",P7=""),0,IFERROR(IF(AND(INDEX(Arten,MATCH(O7,Codes,0))="Arbeit",INDEX(Arten,MATCH(P7,Codes,0))="Arbeit"),IF(ROUND((1+INDEX(Beginne,MATCH(P7,Codes,0))-INDEX(EndeRel,MATCH(O7,Codes,0)))*1440,0)&lt;660,1,0),0),0))</f>
      </c>
      <c r="Q56" s="1">
        <f>IF(OR(Q$52=0,P7="",Q7=""),0,IFERROR(IF(AND(INDEX(Arten,MATCH(P7,Codes,0))="Arbeit",INDEX(Arten,MATCH(Q7,Codes,0))="Arbeit"),IF(ROUND((1+INDEX(Beginne,MATCH(Q7,Codes,0))-INDEX(EndeRel,MATCH(P7,Codes,0)))*1440,0)&lt;660,1,0),0),0))</f>
      </c>
      <c r="R56" s="1">
        <f>IF(OR(R$52=0,Q7="",R7=""),0,IFERROR(IF(AND(INDEX(Arten,MATCH(Q7,Codes,0))="Arbeit",INDEX(Arten,MATCH(R7,Codes,0))="Arbeit"),IF(ROUND((1+INDEX(Beginne,MATCH(R7,Codes,0))-INDEX(EndeRel,MATCH(Q7,Codes,0)))*1440,0)&lt;660,1,0),0),0))</f>
      </c>
      <c r="S56" s="1">
        <f>IF(OR(S$52=0,R7="",S7=""),0,IFERROR(IF(AND(INDEX(Arten,MATCH(R7,Codes,0))="Arbeit",INDEX(Arten,MATCH(S7,Codes,0))="Arbeit"),IF(ROUND((1+INDEX(Beginne,MATCH(S7,Codes,0))-INDEX(EndeRel,MATCH(R7,Codes,0)))*1440,0)&lt;660,1,0),0),0))</f>
      </c>
      <c r="T56" s="1">
        <f>IF(OR(T$52=0,S7="",T7=""),0,IFERROR(IF(AND(INDEX(Arten,MATCH(S7,Codes,0))="Arbeit",INDEX(Arten,MATCH(T7,Codes,0))="Arbeit"),IF(ROUND((1+INDEX(Beginne,MATCH(T7,Codes,0))-INDEX(EndeRel,MATCH(S7,Codes,0)))*1440,0)&lt;660,1,0),0),0))</f>
      </c>
      <c r="U56" s="1">
        <f>IF(OR(U$52=0,T7="",U7=""),0,IFERROR(IF(AND(INDEX(Arten,MATCH(T7,Codes,0))="Arbeit",INDEX(Arten,MATCH(U7,Codes,0))="Arbeit"),IF(ROUND((1+INDEX(Beginne,MATCH(U7,Codes,0))-INDEX(EndeRel,MATCH(T7,Codes,0)))*1440,0)&lt;660,1,0),0),0))</f>
      </c>
      <c r="V56" s="1">
        <f>IF(OR(V$52=0,U7="",V7=""),0,IFERROR(IF(AND(INDEX(Arten,MATCH(U7,Codes,0))="Arbeit",INDEX(Arten,MATCH(V7,Codes,0))="Arbeit"),IF(ROUND((1+INDEX(Beginne,MATCH(V7,Codes,0))-INDEX(EndeRel,MATCH(U7,Codes,0)))*1440,0)&lt;660,1,0),0),0))</f>
      </c>
      <c r="W56" s="1">
        <f>IF(OR(W$52=0,V7="",W7=""),0,IFERROR(IF(AND(INDEX(Arten,MATCH(V7,Codes,0))="Arbeit",INDEX(Arten,MATCH(W7,Codes,0))="Arbeit"),IF(ROUND((1+INDEX(Beginne,MATCH(W7,Codes,0))-INDEX(EndeRel,MATCH(V7,Codes,0)))*1440,0)&lt;660,1,0),0),0))</f>
      </c>
      <c r="X56" s="1">
        <f>IF(OR(X$52=0,W7="",X7=""),0,IFERROR(IF(AND(INDEX(Arten,MATCH(W7,Codes,0))="Arbeit",INDEX(Arten,MATCH(X7,Codes,0))="Arbeit"),IF(ROUND((1+INDEX(Beginne,MATCH(X7,Codes,0))-INDEX(EndeRel,MATCH(W7,Codes,0)))*1440,0)&lt;660,1,0),0),0))</f>
      </c>
      <c r="Y56" s="1">
        <f>IF(OR(Y$52=0,X7="",Y7=""),0,IFERROR(IF(AND(INDEX(Arten,MATCH(X7,Codes,0))="Arbeit",INDEX(Arten,MATCH(Y7,Codes,0))="Arbeit"),IF(ROUND((1+INDEX(Beginne,MATCH(Y7,Codes,0))-INDEX(EndeRel,MATCH(X7,Codes,0)))*1440,0)&lt;660,1,0),0),0))</f>
      </c>
      <c r="Z56" s="1">
        <f>IF(OR(Z$52=0,Y7="",Z7=""),0,IFERROR(IF(AND(INDEX(Arten,MATCH(Y7,Codes,0))="Arbeit",INDEX(Arten,MATCH(Z7,Codes,0))="Arbeit"),IF(ROUND((1+INDEX(Beginne,MATCH(Z7,Codes,0))-INDEX(EndeRel,MATCH(Y7,Codes,0)))*1440,0)&lt;660,1,0),0),0))</f>
      </c>
      <c r="AA56" s="1">
        <f>IF(OR(AA$52=0,Z7="",AA7=""),0,IFERROR(IF(AND(INDEX(Arten,MATCH(Z7,Codes,0))="Arbeit",INDEX(Arten,MATCH(AA7,Codes,0))="Arbeit"),IF(ROUND((1+INDEX(Beginne,MATCH(AA7,Codes,0))-INDEX(EndeRel,MATCH(Z7,Codes,0)))*1440,0)&lt;660,1,0),0),0))</f>
      </c>
      <c r="AB56" s="1">
        <f>IF(OR(AB$52=0,AA7="",AB7=""),0,IFERROR(IF(AND(INDEX(Arten,MATCH(AA7,Codes,0))="Arbeit",INDEX(Arten,MATCH(AB7,Codes,0))="Arbeit"),IF(ROUND((1+INDEX(Beginne,MATCH(AB7,Codes,0))-INDEX(EndeRel,MATCH(AA7,Codes,0)))*1440,0)&lt;660,1,0),0),0))</f>
      </c>
      <c r="AC56" s="1">
        <f>IF(OR(AC$52=0,AB7="",AC7=""),0,IFERROR(IF(AND(INDEX(Arten,MATCH(AB7,Codes,0))="Arbeit",INDEX(Arten,MATCH(AC7,Codes,0))="Arbeit"),IF(ROUND((1+INDEX(Beginne,MATCH(AC7,Codes,0))-INDEX(EndeRel,MATCH(AB7,Codes,0)))*1440,0)&lt;660,1,0),0),0))</f>
      </c>
      <c r="AD56" s="1">
        <f>IF(OR(AD$52=0,AC7="",AD7=""),0,IFERROR(IF(AND(INDEX(Arten,MATCH(AC7,Codes,0))="Arbeit",INDEX(Arten,MATCH(AD7,Codes,0))="Arbeit"),IF(ROUND((1+INDEX(Beginne,MATCH(AD7,Codes,0))-INDEX(EndeRel,MATCH(AC7,Codes,0)))*1440,0)&lt;660,1,0),0),0))</f>
      </c>
      <c r="AE56" s="1">
        <f>IF(OR(AE$52=0,AD7="",AE7=""),0,IFERROR(IF(AND(INDEX(Arten,MATCH(AD7,Codes,0))="Arbeit",INDEX(Arten,MATCH(AE7,Codes,0))="Arbeit"),IF(ROUND((1+INDEX(Beginne,MATCH(AE7,Codes,0))-INDEX(EndeRel,MATCH(AD7,Codes,0)))*1440,0)&lt;660,1,0),0),0))</f>
      </c>
      <c r="AF56" s="1">
        <f>IF(OR(AF$52=0,AE7="",AF7=""),0,IFERROR(IF(AND(INDEX(Arten,MATCH(AE7,Codes,0))="Arbeit",INDEX(Arten,MATCH(AF7,Codes,0))="Arbeit"),IF(ROUND((1+INDEX(Beginne,MATCH(AF7,Codes,0))-INDEX(EndeRel,MATCH(AE7,Codes,0)))*1440,0)&lt;660,1,0),0),0))</f>
      </c>
    </row>
    <row r="57" hidden="1" spans="1:32" x14ac:dyDescent="0.25">
      <c r="A57" s="1"/>
      <c r="B57" s="1">
        <f>IF(OR(B$52=0,INDEX('Februar'!$B$8:$AF$8,DAY(DATE(Jahr,3,0)))="",B8=""),0,IFERROR(IF(AND(INDEX(Arten,MATCH(INDEX('Februar'!$B$8:$AF$8,DAY(DATE(Jahr,3,0))),Codes,0))="Arbeit",INDEX(Arten,MATCH(B8,Codes,0))="Arbeit"),IF(ROUND((1+INDEX(Beginne,MATCH(B8,Codes,0))-INDEX(EndeRel,MATCH(INDEX('Februar'!$B$8:$AF$8,DAY(DATE(Jahr,3,0))),Codes,0)))*1440,0)&lt;660,1,0),0),0))</f>
      </c>
      <c r="C57" s="1">
        <f>IF(OR(C$52=0,B8="",C8=""),0,IFERROR(IF(AND(INDEX(Arten,MATCH(B8,Codes,0))="Arbeit",INDEX(Arten,MATCH(C8,Codes,0))="Arbeit"),IF(ROUND((1+INDEX(Beginne,MATCH(C8,Codes,0))-INDEX(EndeRel,MATCH(B8,Codes,0)))*1440,0)&lt;660,1,0),0),0))</f>
      </c>
      <c r="D57" s="1">
        <f>IF(OR(D$52=0,C8="",D8=""),0,IFERROR(IF(AND(INDEX(Arten,MATCH(C8,Codes,0))="Arbeit",INDEX(Arten,MATCH(D8,Codes,0))="Arbeit"),IF(ROUND((1+INDEX(Beginne,MATCH(D8,Codes,0))-INDEX(EndeRel,MATCH(C8,Codes,0)))*1440,0)&lt;660,1,0),0),0))</f>
      </c>
      <c r="E57" s="1">
        <f>IF(OR(E$52=0,D8="",E8=""),0,IFERROR(IF(AND(INDEX(Arten,MATCH(D8,Codes,0))="Arbeit",INDEX(Arten,MATCH(E8,Codes,0))="Arbeit"),IF(ROUND((1+INDEX(Beginne,MATCH(E8,Codes,0))-INDEX(EndeRel,MATCH(D8,Codes,0)))*1440,0)&lt;660,1,0),0),0))</f>
      </c>
      <c r="F57" s="1">
        <f>IF(OR(F$52=0,E8="",F8=""),0,IFERROR(IF(AND(INDEX(Arten,MATCH(E8,Codes,0))="Arbeit",INDEX(Arten,MATCH(F8,Codes,0))="Arbeit"),IF(ROUND((1+INDEX(Beginne,MATCH(F8,Codes,0))-INDEX(EndeRel,MATCH(E8,Codes,0)))*1440,0)&lt;660,1,0),0),0))</f>
      </c>
      <c r="G57" s="1">
        <f>IF(OR(G$52=0,F8="",G8=""),0,IFERROR(IF(AND(INDEX(Arten,MATCH(F8,Codes,0))="Arbeit",INDEX(Arten,MATCH(G8,Codes,0))="Arbeit"),IF(ROUND((1+INDEX(Beginne,MATCH(G8,Codes,0))-INDEX(EndeRel,MATCH(F8,Codes,0)))*1440,0)&lt;660,1,0),0),0))</f>
      </c>
      <c r="H57" s="1">
        <f>IF(OR(H$52=0,G8="",H8=""),0,IFERROR(IF(AND(INDEX(Arten,MATCH(G8,Codes,0))="Arbeit",INDEX(Arten,MATCH(H8,Codes,0))="Arbeit"),IF(ROUND((1+INDEX(Beginne,MATCH(H8,Codes,0))-INDEX(EndeRel,MATCH(G8,Codes,0)))*1440,0)&lt;660,1,0),0),0))</f>
      </c>
      <c r="I57" s="1">
        <f>IF(OR(I$52=0,H8="",I8=""),0,IFERROR(IF(AND(INDEX(Arten,MATCH(H8,Codes,0))="Arbeit",INDEX(Arten,MATCH(I8,Codes,0))="Arbeit"),IF(ROUND((1+INDEX(Beginne,MATCH(I8,Codes,0))-INDEX(EndeRel,MATCH(H8,Codes,0)))*1440,0)&lt;660,1,0),0),0))</f>
      </c>
      <c r="J57" s="1">
        <f>IF(OR(J$52=0,I8="",J8=""),0,IFERROR(IF(AND(INDEX(Arten,MATCH(I8,Codes,0))="Arbeit",INDEX(Arten,MATCH(J8,Codes,0))="Arbeit"),IF(ROUND((1+INDEX(Beginne,MATCH(J8,Codes,0))-INDEX(EndeRel,MATCH(I8,Codes,0)))*1440,0)&lt;660,1,0),0),0))</f>
      </c>
      <c r="K57" s="1">
        <f>IF(OR(K$52=0,J8="",K8=""),0,IFERROR(IF(AND(INDEX(Arten,MATCH(J8,Codes,0))="Arbeit",INDEX(Arten,MATCH(K8,Codes,0))="Arbeit"),IF(ROUND((1+INDEX(Beginne,MATCH(K8,Codes,0))-INDEX(EndeRel,MATCH(J8,Codes,0)))*1440,0)&lt;660,1,0),0),0))</f>
      </c>
      <c r="L57" s="1">
        <f>IF(OR(L$52=0,K8="",L8=""),0,IFERROR(IF(AND(INDEX(Arten,MATCH(K8,Codes,0))="Arbeit",INDEX(Arten,MATCH(L8,Codes,0))="Arbeit"),IF(ROUND((1+INDEX(Beginne,MATCH(L8,Codes,0))-INDEX(EndeRel,MATCH(K8,Codes,0)))*1440,0)&lt;660,1,0),0),0))</f>
      </c>
      <c r="M57" s="1">
        <f>IF(OR(M$52=0,L8="",M8=""),0,IFERROR(IF(AND(INDEX(Arten,MATCH(L8,Codes,0))="Arbeit",INDEX(Arten,MATCH(M8,Codes,0))="Arbeit"),IF(ROUND((1+INDEX(Beginne,MATCH(M8,Codes,0))-INDEX(EndeRel,MATCH(L8,Codes,0)))*1440,0)&lt;660,1,0),0),0))</f>
      </c>
      <c r="N57" s="1">
        <f>IF(OR(N$52=0,M8="",N8=""),0,IFERROR(IF(AND(INDEX(Arten,MATCH(M8,Codes,0))="Arbeit",INDEX(Arten,MATCH(N8,Codes,0))="Arbeit"),IF(ROUND((1+INDEX(Beginne,MATCH(N8,Codes,0))-INDEX(EndeRel,MATCH(M8,Codes,0)))*1440,0)&lt;660,1,0),0),0))</f>
      </c>
      <c r="O57" s="1">
        <f>IF(OR(O$52=0,N8="",O8=""),0,IFERROR(IF(AND(INDEX(Arten,MATCH(N8,Codes,0))="Arbeit",INDEX(Arten,MATCH(O8,Codes,0))="Arbeit"),IF(ROUND((1+INDEX(Beginne,MATCH(O8,Codes,0))-INDEX(EndeRel,MATCH(N8,Codes,0)))*1440,0)&lt;660,1,0),0),0))</f>
      </c>
      <c r="P57" s="1">
        <f>IF(OR(P$52=0,O8="",P8=""),0,IFERROR(IF(AND(INDEX(Arten,MATCH(O8,Codes,0))="Arbeit",INDEX(Arten,MATCH(P8,Codes,0))="Arbeit"),IF(ROUND((1+INDEX(Beginne,MATCH(P8,Codes,0))-INDEX(EndeRel,MATCH(O8,Codes,0)))*1440,0)&lt;660,1,0),0),0))</f>
      </c>
      <c r="Q57" s="1">
        <f>IF(OR(Q$52=0,P8="",Q8=""),0,IFERROR(IF(AND(INDEX(Arten,MATCH(P8,Codes,0))="Arbeit",INDEX(Arten,MATCH(Q8,Codes,0))="Arbeit"),IF(ROUND((1+INDEX(Beginne,MATCH(Q8,Codes,0))-INDEX(EndeRel,MATCH(P8,Codes,0)))*1440,0)&lt;660,1,0),0),0))</f>
      </c>
      <c r="R57" s="1">
        <f>IF(OR(R$52=0,Q8="",R8=""),0,IFERROR(IF(AND(INDEX(Arten,MATCH(Q8,Codes,0))="Arbeit",INDEX(Arten,MATCH(R8,Codes,0))="Arbeit"),IF(ROUND((1+INDEX(Beginne,MATCH(R8,Codes,0))-INDEX(EndeRel,MATCH(Q8,Codes,0)))*1440,0)&lt;660,1,0),0),0))</f>
      </c>
      <c r="S57" s="1">
        <f>IF(OR(S$52=0,R8="",S8=""),0,IFERROR(IF(AND(INDEX(Arten,MATCH(R8,Codes,0))="Arbeit",INDEX(Arten,MATCH(S8,Codes,0))="Arbeit"),IF(ROUND((1+INDEX(Beginne,MATCH(S8,Codes,0))-INDEX(EndeRel,MATCH(R8,Codes,0)))*1440,0)&lt;660,1,0),0),0))</f>
      </c>
      <c r="T57" s="1">
        <f>IF(OR(T$52=0,S8="",T8=""),0,IFERROR(IF(AND(INDEX(Arten,MATCH(S8,Codes,0))="Arbeit",INDEX(Arten,MATCH(T8,Codes,0))="Arbeit"),IF(ROUND((1+INDEX(Beginne,MATCH(T8,Codes,0))-INDEX(EndeRel,MATCH(S8,Codes,0)))*1440,0)&lt;660,1,0),0),0))</f>
      </c>
      <c r="U57" s="1">
        <f>IF(OR(U$52=0,T8="",U8=""),0,IFERROR(IF(AND(INDEX(Arten,MATCH(T8,Codes,0))="Arbeit",INDEX(Arten,MATCH(U8,Codes,0))="Arbeit"),IF(ROUND((1+INDEX(Beginne,MATCH(U8,Codes,0))-INDEX(EndeRel,MATCH(T8,Codes,0)))*1440,0)&lt;660,1,0),0),0))</f>
      </c>
      <c r="V57" s="1">
        <f>IF(OR(V$52=0,U8="",V8=""),0,IFERROR(IF(AND(INDEX(Arten,MATCH(U8,Codes,0))="Arbeit",INDEX(Arten,MATCH(V8,Codes,0))="Arbeit"),IF(ROUND((1+INDEX(Beginne,MATCH(V8,Codes,0))-INDEX(EndeRel,MATCH(U8,Codes,0)))*1440,0)&lt;660,1,0),0),0))</f>
      </c>
      <c r="W57" s="1">
        <f>IF(OR(W$52=0,V8="",W8=""),0,IFERROR(IF(AND(INDEX(Arten,MATCH(V8,Codes,0))="Arbeit",INDEX(Arten,MATCH(W8,Codes,0))="Arbeit"),IF(ROUND((1+INDEX(Beginne,MATCH(W8,Codes,0))-INDEX(EndeRel,MATCH(V8,Codes,0)))*1440,0)&lt;660,1,0),0),0))</f>
      </c>
      <c r="X57" s="1">
        <f>IF(OR(X$52=0,W8="",X8=""),0,IFERROR(IF(AND(INDEX(Arten,MATCH(W8,Codes,0))="Arbeit",INDEX(Arten,MATCH(X8,Codes,0))="Arbeit"),IF(ROUND((1+INDEX(Beginne,MATCH(X8,Codes,0))-INDEX(EndeRel,MATCH(W8,Codes,0)))*1440,0)&lt;660,1,0),0),0))</f>
      </c>
      <c r="Y57" s="1">
        <f>IF(OR(Y$52=0,X8="",Y8=""),0,IFERROR(IF(AND(INDEX(Arten,MATCH(X8,Codes,0))="Arbeit",INDEX(Arten,MATCH(Y8,Codes,0))="Arbeit"),IF(ROUND((1+INDEX(Beginne,MATCH(Y8,Codes,0))-INDEX(EndeRel,MATCH(X8,Codes,0)))*1440,0)&lt;660,1,0),0),0))</f>
      </c>
      <c r="Z57" s="1">
        <f>IF(OR(Z$52=0,Y8="",Z8=""),0,IFERROR(IF(AND(INDEX(Arten,MATCH(Y8,Codes,0))="Arbeit",INDEX(Arten,MATCH(Z8,Codes,0))="Arbeit"),IF(ROUND((1+INDEX(Beginne,MATCH(Z8,Codes,0))-INDEX(EndeRel,MATCH(Y8,Codes,0)))*1440,0)&lt;660,1,0),0),0))</f>
      </c>
      <c r="AA57" s="1">
        <f>IF(OR(AA$52=0,Z8="",AA8=""),0,IFERROR(IF(AND(INDEX(Arten,MATCH(Z8,Codes,0))="Arbeit",INDEX(Arten,MATCH(AA8,Codes,0))="Arbeit"),IF(ROUND((1+INDEX(Beginne,MATCH(AA8,Codes,0))-INDEX(EndeRel,MATCH(Z8,Codes,0)))*1440,0)&lt;660,1,0),0),0))</f>
      </c>
      <c r="AB57" s="1">
        <f>IF(OR(AB$52=0,AA8="",AB8=""),0,IFERROR(IF(AND(INDEX(Arten,MATCH(AA8,Codes,0))="Arbeit",INDEX(Arten,MATCH(AB8,Codes,0))="Arbeit"),IF(ROUND((1+INDEX(Beginne,MATCH(AB8,Codes,0))-INDEX(EndeRel,MATCH(AA8,Codes,0)))*1440,0)&lt;660,1,0),0),0))</f>
      </c>
      <c r="AC57" s="1">
        <f>IF(OR(AC$52=0,AB8="",AC8=""),0,IFERROR(IF(AND(INDEX(Arten,MATCH(AB8,Codes,0))="Arbeit",INDEX(Arten,MATCH(AC8,Codes,0))="Arbeit"),IF(ROUND((1+INDEX(Beginne,MATCH(AC8,Codes,0))-INDEX(EndeRel,MATCH(AB8,Codes,0)))*1440,0)&lt;660,1,0),0),0))</f>
      </c>
      <c r="AD57" s="1">
        <f>IF(OR(AD$52=0,AC8="",AD8=""),0,IFERROR(IF(AND(INDEX(Arten,MATCH(AC8,Codes,0))="Arbeit",INDEX(Arten,MATCH(AD8,Codes,0))="Arbeit"),IF(ROUND((1+INDEX(Beginne,MATCH(AD8,Codes,0))-INDEX(EndeRel,MATCH(AC8,Codes,0)))*1440,0)&lt;660,1,0),0),0))</f>
      </c>
      <c r="AE57" s="1">
        <f>IF(OR(AE$52=0,AD8="",AE8=""),0,IFERROR(IF(AND(INDEX(Arten,MATCH(AD8,Codes,0))="Arbeit",INDEX(Arten,MATCH(AE8,Codes,0))="Arbeit"),IF(ROUND((1+INDEX(Beginne,MATCH(AE8,Codes,0))-INDEX(EndeRel,MATCH(AD8,Codes,0)))*1440,0)&lt;660,1,0),0),0))</f>
      </c>
      <c r="AF57" s="1">
        <f>IF(OR(AF$52=0,AE8="",AF8=""),0,IFERROR(IF(AND(INDEX(Arten,MATCH(AE8,Codes,0))="Arbeit",INDEX(Arten,MATCH(AF8,Codes,0))="Arbeit"),IF(ROUND((1+INDEX(Beginne,MATCH(AF8,Codes,0))-INDEX(EndeRel,MATCH(AE8,Codes,0)))*1440,0)&lt;660,1,0),0),0))</f>
      </c>
    </row>
    <row r="58" hidden="1" spans="1:32" x14ac:dyDescent="0.25">
      <c r="A58" s="1"/>
      <c r="B58" s="1">
        <f>IF(OR(B$52=0,INDEX('Februar'!$B$9:$AF$9,DAY(DATE(Jahr,3,0)))="",B9=""),0,IFERROR(IF(AND(INDEX(Arten,MATCH(INDEX('Februar'!$B$9:$AF$9,DAY(DATE(Jahr,3,0))),Codes,0))="Arbeit",INDEX(Arten,MATCH(B9,Codes,0))="Arbeit"),IF(ROUND((1+INDEX(Beginne,MATCH(B9,Codes,0))-INDEX(EndeRel,MATCH(INDEX('Februar'!$B$9:$AF$9,DAY(DATE(Jahr,3,0))),Codes,0)))*1440,0)&lt;660,1,0),0),0))</f>
      </c>
      <c r="C58" s="1">
        <f>IF(OR(C$52=0,B9="",C9=""),0,IFERROR(IF(AND(INDEX(Arten,MATCH(B9,Codes,0))="Arbeit",INDEX(Arten,MATCH(C9,Codes,0))="Arbeit"),IF(ROUND((1+INDEX(Beginne,MATCH(C9,Codes,0))-INDEX(EndeRel,MATCH(B9,Codes,0)))*1440,0)&lt;660,1,0),0),0))</f>
      </c>
      <c r="D58" s="1">
        <f>IF(OR(D$52=0,C9="",D9=""),0,IFERROR(IF(AND(INDEX(Arten,MATCH(C9,Codes,0))="Arbeit",INDEX(Arten,MATCH(D9,Codes,0))="Arbeit"),IF(ROUND((1+INDEX(Beginne,MATCH(D9,Codes,0))-INDEX(EndeRel,MATCH(C9,Codes,0)))*1440,0)&lt;660,1,0),0),0))</f>
      </c>
      <c r="E58" s="1">
        <f>IF(OR(E$52=0,D9="",E9=""),0,IFERROR(IF(AND(INDEX(Arten,MATCH(D9,Codes,0))="Arbeit",INDEX(Arten,MATCH(E9,Codes,0))="Arbeit"),IF(ROUND((1+INDEX(Beginne,MATCH(E9,Codes,0))-INDEX(EndeRel,MATCH(D9,Codes,0)))*1440,0)&lt;660,1,0),0),0))</f>
      </c>
      <c r="F58" s="1">
        <f>IF(OR(F$52=0,E9="",F9=""),0,IFERROR(IF(AND(INDEX(Arten,MATCH(E9,Codes,0))="Arbeit",INDEX(Arten,MATCH(F9,Codes,0))="Arbeit"),IF(ROUND((1+INDEX(Beginne,MATCH(F9,Codes,0))-INDEX(EndeRel,MATCH(E9,Codes,0)))*1440,0)&lt;660,1,0),0),0))</f>
      </c>
      <c r="G58" s="1">
        <f>IF(OR(G$52=0,F9="",G9=""),0,IFERROR(IF(AND(INDEX(Arten,MATCH(F9,Codes,0))="Arbeit",INDEX(Arten,MATCH(G9,Codes,0))="Arbeit"),IF(ROUND((1+INDEX(Beginne,MATCH(G9,Codes,0))-INDEX(EndeRel,MATCH(F9,Codes,0)))*1440,0)&lt;660,1,0),0),0))</f>
      </c>
      <c r="H58" s="1">
        <f>IF(OR(H$52=0,G9="",H9=""),0,IFERROR(IF(AND(INDEX(Arten,MATCH(G9,Codes,0))="Arbeit",INDEX(Arten,MATCH(H9,Codes,0))="Arbeit"),IF(ROUND((1+INDEX(Beginne,MATCH(H9,Codes,0))-INDEX(EndeRel,MATCH(G9,Codes,0)))*1440,0)&lt;660,1,0),0),0))</f>
      </c>
      <c r="I58" s="1">
        <f>IF(OR(I$52=0,H9="",I9=""),0,IFERROR(IF(AND(INDEX(Arten,MATCH(H9,Codes,0))="Arbeit",INDEX(Arten,MATCH(I9,Codes,0))="Arbeit"),IF(ROUND((1+INDEX(Beginne,MATCH(I9,Codes,0))-INDEX(EndeRel,MATCH(H9,Codes,0)))*1440,0)&lt;660,1,0),0),0))</f>
      </c>
      <c r="J58" s="1">
        <f>IF(OR(J$52=0,I9="",J9=""),0,IFERROR(IF(AND(INDEX(Arten,MATCH(I9,Codes,0))="Arbeit",INDEX(Arten,MATCH(J9,Codes,0))="Arbeit"),IF(ROUND((1+INDEX(Beginne,MATCH(J9,Codes,0))-INDEX(EndeRel,MATCH(I9,Codes,0)))*1440,0)&lt;660,1,0),0),0))</f>
      </c>
      <c r="K58" s="1">
        <f>IF(OR(K$52=0,J9="",K9=""),0,IFERROR(IF(AND(INDEX(Arten,MATCH(J9,Codes,0))="Arbeit",INDEX(Arten,MATCH(K9,Codes,0))="Arbeit"),IF(ROUND((1+INDEX(Beginne,MATCH(K9,Codes,0))-INDEX(EndeRel,MATCH(J9,Codes,0)))*1440,0)&lt;660,1,0),0),0))</f>
      </c>
      <c r="L58" s="1">
        <f>IF(OR(L$52=0,K9="",L9=""),0,IFERROR(IF(AND(INDEX(Arten,MATCH(K9,Codes,0))="Arbeit",INDEX(Arten,MATCH(L9,Codes,0))="Arbeit"),IF(ROUND((1+INDEX(Beginne,MATCH(L9,Codes,0))-INDEX(EndeRel,MATCH(K9,Codes,0)))*1440,0)&lt;660,1,0),0),0))</f>
      </c>
      <c r="M58" s="1">
        <f>IF(OR(M$52=0,L9="",M9=""),0,IFERROR(IF(AND(INDEX(Arten,MATCH(L9,Codes,0))="Arbeit",INDEX(Arten,MATCH(M9,Codes,0))="Arbeit"),IF(ROUND((1+INDEX(Beginne,MATCH(M9,Codes,0))-INDEX(EndeRel,MATCH(L9,Codes,0)))*1440,0)&lt;660,1,0),0),0))</f>
      </c>
      <c r="N58" s="1">
        <f>IF(OR(N$52=0,M9="",N9=""),0,IFERROR(IF(AND(INDEX(Arten,MATCH(M9,Codes,0))="Arbeit",INDEX(Arten,MATCH(N9,Codes,0))="Arbeit"),IF(ROUND((1+INDEX(Beginne,MATCH(N9,Codes,0))-INDEX(EndeRel,MATCH(M9,Codes,0)))*1440,0)&lt;660,1,0),0),0))</f>
      </c>
      <c r="O58" s="1">
        <f>IF(OR(O$52=0,N9="",O9=""),0,IFERROR(IF(AND(INDEX(Arten,MATCH(N9,Codes,0))="Arbeit",INDEX(Arten,MATCH(O9,Codes,0))="Arbeit"),IF(ROUND((1+INDEX(Beginne,MATCH(O9,Codes,0))-INDEX(EndeRel,MATCH(N9,Codes,0)))*1440,0)&lt;660,1,0),0),0))</f>
      </c>
      <c r="P58" s="1">
        <f>IF(OR(P$52=0,O9="",P9=""),0,IFERROR(IF(AND(INDEX(Arten,MATCH(O9,Codes,0))="Arbeit",INDEX(Arten,MATCH(P9,Codes,0))="Arbeit"),IF(ROUND((1+INDEX(Beginne,MATCH(P9,Codes,0))-INDEX(EndeRel,MATCH(O9,Codes,0)))*1440,0)&lt;660,1,0),0),0))</f>
      </c>
      <c r="Q58" s="1">
        <f>IF(OR(Q$52=0,P9="",Q9=""),0,IFERROR(IF(AND(INDEX(Arten,MATCH(P9,Codes,0))="Arbeit",INDEX(Arten,MATCH(Q9,Codes,0))="Arbeit"),IF(ROUND((1+INDEX(Beginne,MATCH(Q9,Codes,0))-INDEX(EndeRel,MATCH(P9,Codes,0)))*1440,0)&lt;660,1,0),0),0))</f>
      </c>
      <c r="R58" s="1">
        <f>IF(OR(R$52=0,Q9="",R9=""),0,IFERROR(IF(AND(INDEX(Arten,MATCH(Q9,Codes,0))="Arbeit",INDEX(Arten,MATCH(R9,Codes,0))="Arbeit"),IF(ROUND((1+INDEX(Beginne,MATCH(R9,Codes,0))-INDEX(EndeRel,MATCH(Q9,Codes,0)))*1440,0)&lt;660,1,0),0),0))</f>
      </c>
      <c r="S58" s="1">
        <f>IF(OR(S$52=0,R9="",S9=""),0,IFERROR(IF(AND(INDEX(Arten,MATCH(R9,Codes,0))="Arbeit",INDEX(Arten,MATCH(S9,Codes,0))="Arbeit"),IF(ROUND((1+INDEX(Beginne,MATCH(S9,Codes,0))-INDEX(EndeRel,MATCH(R9,Codes,0)))*1440,0)&lt;660,1,0),0),0))</f>
      </c>
      <c r="T58" s="1">
        <f>IF(OR(T$52=0,S9="",T9=""),0,IFERROR(IF(AND(INDEX(Arten,MATCH(S9,Codes,0))="Arbeit",INDEX(Arten,MATCH(T9,Codes,0))="Arbeit"),IF(ROUND((1+INDEX(Beginne,MATCH(T9,Codes,0))-INDEX(EndeRel,MATCH(S9,Codes,0)))*1440,0)&lt;660,1,0),0),0))</f>
      </c>
      <c r="U58" s="1">
        <f>IF(OR(U$52=0,T9="",U9=""),0,IFERROR(IF(AND(INDEX(Arten,MATCH(T9,Codes,0))="Arbeit",INDEX(Arten,MATCH(U9,Codes,0))="Arbeit"),IF(ROUND((1+INDEX(Beginne,MATCH(U9,Codes,0))-INDEX(EndeRel,MATCH(T9,Codes,0)))*1440,0)&lt;660,1,0),0),0))</f>
      </c>
      <c r="V58" s="1">
        <f>IF(OR(V$52=0,U9="",V9=""),0,IFERROR(IF(AND(INDEX(Arten,MATCH(U9,Codes,0))="Arbeit",INDEX(Arten,MATCH(V9,Codes,0))="Arbeit"),IF(ROUND((1+INDEX(Beginne,MATCH(V9,Codes,0))-INDEX(EndeRel,MATCH(U9,Codes,0)))*1440,0)&lt;660,1,0),0),0))</f>
      </c>
      <c r="W58" s="1">
        <f>IF(OR(W$52=0,V9="",W9=""),0,IFERROR(IF(AND(INDEX(Arten,MATCH(V9,Codes,0))="Arbeit",INDEX(Arten,MATCH(W9,Codes,0))="Arbeit"),IF(ROUND((1+INDEX(Beginne,MATCH(W9,Codes,0))-INDEX(EndeRel,MATCH(V9,Codes,0)))*1440,0)&lt;660,1,0),0),0))</f>
      </c>
      <c r="X58" s="1">
        <f>IF(OR(X$52=0,W9="",X9=""),0,IFERROR(IF(AND(INDEX(Arten,MATCH(W9,Codes,0))="Arbeit",INDEX(Arten,MATCH(X9,Codes,0))="Arbeit"),IF(ROUND((1+INDEX(Beginne,MATCH(X9,Codes,0))-INDEX(EndeRel,MATCH(W9,Codes,0)))*1440,0)&lt;660,1,0),0),0))</f>
      </c>
      <c r="Y58" s="1">
        <f>IF(OR(Y$52=0,X9="",Y9=""),0,IFERROR(IF(AND(INDEX(Arten,MATCH(X9,Codes,0))="Arbeit",INDEX(Arten,MATCH(Y9,Codes,0))="Arbeit"),IF(ROUND((1+INDEX(Beginne,MATCH(Y9,Codes,0))-INDEX(EndeRel,MATCH(X9,Codes,0)))*1440,0)&lt;660,1,0),0),0))</f>
      </c>
      <c r="Z58" s="1">
        <f>IF(OR(Z$52=0,Y9="",Z9=""),0,IFERROR(IF(AND(INDEX(Arten,MATCH(Y9,Codes,0))="Arbeit",INDEX(Arten,MATCH(Z9,Codes,0))="Arbeit"),IF(ROUND((1+INDEX(Beginne,MATCH(Z9,Codes,0))-INDEX(EndeRel,MATCH(Y9,Codes,0)))*1440,0)&lt;660,1,0),0),0))</f>
      </c>
      <c r="AA58" s="1">
        <f>IF(OR(AA$52=0,Z9="",AA9=""),0,IFERROR(IF(AND(INDEX(Arten,MATCH(Z9,Codes,0))="Arbeit",INDEX(Arten,MATCH(AA9,Codes,0))="Arbeit"),IF(ROUND((1+INDEX(Beginne,MATCH(AA9,Codes,0))-INDEX(EndeRel,MATCH(Z9,Codes,0)))*1440,0)&lt;660,1,0),0),0))</f>
      </c>
      <c r="AB58" s="1">
        <f>IF(OR(AB$52=0,AA9="",AB9=""),0,IFERROR(IF(AND(INDEX(Arten,MATCH(AA9,Codes,0))="Arbeit",INDEX(Arten,MATCH(AB9,Codes,0))="Arbeit"),IF(ROUND((1+INDEX(Beginne,MATCH(AB9,Codes,0))-INDEX(EndeRel,MATCH(AA9,Codes,0)))*1440,0)&lt;660,1,0),0),0))</f>
      </c>
      <c r="AC58" s="1">
        <f>IF(OR(AC$52=0,AB9="",AC9=""),0,IFERROR(IF(AND(INDEX(Arten,MATCH(AB9,Codes,0))="Arbeit",INDEX(Arten,MATCH(AC9,Codes,0))="Arbeit"),IF(ROUND((1+INDEX(Beginne,MATCH(AC9,Codes,0))-INDEX(EndeRel,MATCH(AB9,Codes,0)))*1440,0)&lt;660,1,0),0),0))</f>
      </c>
      <c r="AD58" s="1">
        <f>IF(OR(AD$52=0,AC9="",AD9=""),0,IFERROR(IF(AND(INDEX(Arten,MATCH(AC9,Codes,0))="Arbeit",INDEX(Arten,MATCH(AD9,Codes,0))="Arbeit"),IF(ROUND((1+INDEX(Beginne,MATCH(AD9,Codes,0))-INDEX(EndeRel,MATCH(AC9,Codes,0)))*1440,0)&lt;660,1,0),0),0))</f>
      </c>
      <c r="AE58" s="1">
        <f>IF(OR(AE$52=0,AD9="",AE9=""),0,IFERROR(IF(AND(INDEX(Arten,MATCH(AD9,Codes,0))="Arbeit",INDEX(Arten,MATCH(AE9,Codes,0))="Arbeit"),IF(ROUND((1+INDEX(Beginne,MATCH(AE9,Codes,0))-INDEX(EndeRel,MATCH(AD9,Codes,0)))*1440,0)&lt;660,1,0),0),0))</f>
      </c>
      <c r="AF58" s="1">
        <f>IF(OR(AF$52=0,AE9="",AF9=""),0,IFERROR(IF(AND(INDEX(Arten,MATCH(AE9,Codes,0))="Arbeit",INDEX(Arten,MATCH(AF9,Codes,0))="Arbeit"),IF(ROUND((1+INDEX(Beginne,MATCH(AF9,Codes,0))-INDEX(EndeRel,MATCH(AE9,Codes,0)))*1440,0)&lt;660,1,0),0),0))</f>
      </c>
    </row>
    <row r="59" hidden="1" spans="1:32" x14ac:dyDescent="0.25">
      <c r="A59" s="1"/>
      <c r="B59" s="1">
        <f>IF(OR(B$52=0,INDEX('Februar'!$B$10:$AF$10,DAY(DATE(Jahr,3,0)))="",B10=""),0,IFERROR(IF(AND(INDEX(Arten,MATCH(INDEX('Februar'!$B$10:$AF$10,DAY(DATE(Jahr,3,0))),Codes,0))="Arbeit",INDEX(Arten,MATCH(B10,Codes,0))="Arbeit"),IF(ROUND((1+INDEX(Beginne,MATCH(B10,Codes,0))-INDEX(EndeRel,MATCH(INDEX('Februar'!$B$10:$AF$10,DAY(DATE(Jahr,3,0))),Codes,0)))*1440,0)&lt;660,1,0),0),0))</f>
      </c>
      <c r="C59" s="1">
        <f>IF(OR(C$52=0,B10="",C10=""),0,IFERROR(IF(AND(INDEX(Arten,MATCH(B10,Codes,0))="Arbeit",INDEX(Arten,MATCH(C10,Codes,0))="Arbeit"),IF(ROUND((1+INDEX(Beginne,MATCH(C10,Codes,0))-INDEX(EndeRel,MATCH(B10,Codes,0)))*1440,0)&lt;660,1,0),0),0))</f>
      </c>
      <c r="D59" s="1">
        <f>IF(OR(D$52=0,C10="",D10=""),0,IFERROR(IF(AND(INDEX(Arten,MATCH(C10,Codes,0))="Arbeit",INDEX(Arten,MATCH(D10,Codes,0))="Arbeit"),IF(ROUND((1+INDEX(Beginne,MATCH(D10,Codes,0))-INDEX(EndeRel,MATCH(C10,Codes,0)))*1440,0)&lt;660,1,0),0),0))</f>
      </c>
      <c r="E59" s="1">
        <f>IF(OR(E$52=0,D10="",E10=""),0,IFERROR(IF(AND(INDEX(Arten,MATCH(D10,Codes,0))="Arbeit",INDEX(Arten,MATCH(E10,Codes,0))="Arbeit"),IF(ROUND((1+INDEX(Beginne,MATCH(E10,Codes,0))-INDEX(EndeRel,MATCH(D10,Codes,0)))*1440,0)&lt;660,1,0),0),0))</f>
      </c>
      <c r="F59" s="1">
        <f>IF(OR(F$52=0,E10="",F10=""),0,IFERROR(IF(AND(INDEX(Arten,MATCH(E10,Codes,0))="Arbeit",INDEX(Arten,MATCH(F10,Codes,0))="Arbeit"),IF(ROUND((1+INDEX(Beginne,MATCH(F10,Codes,0))-INDEX(EndeRel,MATCH(E10,Codes,0)))*1440,0)&lt;660,1,0),0),0))</f>
      </c>
      <c r="G59" s="1">
        <f>IF(OR(G$52=0,F10="",G10=""),0,IFERROR(IF(AND(INDEX(Arten,MATCH(F10,Codes,0))="Arbeit",INDEX(Arten,MATCH(G10,Codes,0))="Arbeit"),IF(ROUND((1+INDEX(Beginne,MATCH(G10,Codes,0))-INDEX(EndeRel,MATCH(F10,Codes,0)))*1440,0)&lt;660,1,0),0),0))</f>
      </c>
      <c r="H59" s="1">
        <f>IF(OR(H$52=0,G10="",H10=""),0,IFERROR(IF(AND(INDEX(Arten,MATCH(G10,Codes,0))="Arbeit",INDEX(Arten,MATCH(H10,Codes,0))="Arbeit"),IF(ROUND((1+INDEX(Beginne,MATCH(H10,Codes,0))-INDEX(EndeRel,MATCH(G10,Codes,0)))*1440,0)&lt;660,1,0),0),0))</f>
      </c>
      <c r="I59" s="1">
        <f>IF(OR(I$52=0,H10="",I10=""),0,IFERROR(IF(AND(INDEX(Arten,MATCH(H10,Codes,0))="Arbeit",INDEX(Arten,MATCH(I10,Codes,0))="Arbeit"),IF(ROUND((1+INDEX(Beginne,MATCH(I10,Codes,0))-INDEX(EndeRel,MATCH(H10,Codes,0)))*1440,0)&lt;660,1,0),0),0))</f>
      </c>
      <c r="J59" s="1">
        <f>IF(OR(J$52=0,I10="",J10=""),0,IFERROR(IF(AND(INDEX(Arten,MATCH(I10,Codes,0))="Arbeit",INDEX(Arten,MATCH(J10,Codes,0))="Arbeit"),IF(ROUND((1+INDEX(Beginne,MATCH(J10,Codes,0))-INDEX(EndeRel,MATCH(I10,Codes,0)))*1440,0)&lt;660,1,0),0),0))</f>
      </c>
      <c r="K59" s="1">
        <f>IF(OR(K$52=0,J10="",K10=""),0,IFERROR(IF(AND(INDEX(Arten,MATCH(J10,Codes,0))="Arbeit",INDEX(Arten,MATCH(K10,Codes,0))="Arbeit"),IF(ROUND((1+INDEX(Beginne,MATCH(K10,Codes,0))-INDEX(EndeRel,MATCH(J10,Codes,0)))*1440,0)&lt;660,1,0),0),0))</f>
      </c>
      <c r="L59" s="1">
        <f>IF(OR(L$52=0,K10="",L10=""),0,IFERROR(IF(AND(INDEX(Arten,MATCH(K10,Codes,0))="Arbeit",INDEX(Arten,MATCH(L10,Codes,0))="Arbeit"),IF(ROUND((1+INDEX(Beginne,MATCH(L10,Codes,0))-INDEX(EndeRel,MATCH(K10,Codes,0)))*1440,0)&lt;660,1,0),0),0))</f>
      </c>
      <c r="M59" s="1">
        <f>IF(OR(M$52=0,L10="",M10=""),0,IFERROR(IF(AND(INDEX(Arten,MATCH(L10,Codes,0))="Arbeit",INDEX(Arten,MATCH(M10,Codes,0))="Arbeit"),IF(ROUND((1+INDEX(Beginne,MATCH(M10,Codes,0))-INDEX(EndeRel,MATCH(L10,Codes,0)))*1440,0)&lt;660,1,0),0),0))</f>
      </c>
      <c r="N59" s="1">
        <f>IF(OR(N$52=0,M10="",N10=""),0,IFERROR(IF(AND(INDEX(Arten,MATCH(M10,Codes,0))="Arbeit",INDEX(Arten,MATCH(N10,Codes,0))="Arbeit"),IF(ROUND((1+INDEX(Beginne,MATCH(N10,Codes,0))-INDEX(EndeRel,MATCH(M10,Codes,0)))*1440,0)&lt;660,1,0),0),0))</f>
      </c>
      <c r="O59" s="1">
        <f>IF(OR(O$52=0,N10="",O10=""),0,IFERROR(IF(AND(INDEX(Arten,MATCH(N10,Codes,0))="Arbeit",INDEX(Arten,MATCH(O10,Codes,0))="Arbeit"),IF(ROUND((1+INDEX(Beginne,MATCH(O10,Codes,0))-INDEX(EndeRel,MATCH(N10,Codes,0)))*1440,0)&lt;660,1,0),0),0))</f>
      </c>
      <c r="P59" s="1">
        <f>IF(OR(P$52=0,O10="",P10=""),0,IFERROR(IF(AND(INDEX(Arten,MATCH(O10,Codes,0))="Arbeit",INDEX(Arten,MATCH(P10,Codes,0))="Arbeit"),IF(ROUND((1+INDEX(Beginne,MATCH(P10,Codes,0))-INDEX(EndeRel,MATCH(O10,Codes,0)))*1440,0)&lt;660,1,0),0),0))</f>
      </c>
      <c r="Q59" s="1">
        <f>IF(OR(Q$52=0,P10="",Q10=""),0,IFERROR(IF(AND(INDEX(Arten,MATCH(P10,Codes,0))="Arbeit",INDEX(Arten,MATCH(Q10,Codes,0))="Arbeit"),IF(ROUND((1+INDEX(Beginne,MATCH(Q10,Codes,0))-INDEX(EndeRel,MATCH(P10,Codes,0)))*1440,0)&lt;660,1,0),0),0))</f>
      </c>
      <c r="R59" s="1">
        <f>IF(OR(R$52=0,Q10="",R10=""),0,IFERROR(IF(AND(INDEX(Arten,MATCH(Q10,Codes,0))="Arbeit",INDEX(Arten,MATCH(R10,Codes,0))="Arbeit"),IF(ROUND((1+INDEX(Beginne,MATCH(R10,Codes,0))-INDEX(EndeRel,MATCH(Q10,Codes,0)))*1440,0)&lt;660,1,0),0),0))</f>
      </c>
      <c r="S59" s="1">
        <f>IF(OR(S$52=0,R10="",S10=""),0,IFERROR(IF(AND(INDEX(Arten,MATCH(R10,Codes,0))="Arbeit",INDEX(Arten,MATCH(S10,Codes,0))="Arbeit"),IF(ROUND((1+INDEX(Beginne,MATCH(S10,Codes,0))-INDEX(EndeRel,MATCH(R10,Codes,0)))*1440,0)&lt;660,1,0),0),0))</f>
      </c>
      <c r="T59" s="1">
        <f>IF(OR(T$52=0,S10="",T10=""),0,IFERROR(IF(AND(INDEX(Arten,MATCH(S10,Codes,0))="Arbeit",INDEX(Arten,MATCH(T10,Codes,0))="Arbeit"),IF(ROUND((1+INDEX(Beginne,MATCH(T10,Codes,0))-INDEX(EndeRel,MATCH(S10,Codes,0)))*1440,0)&lt;660,1,0),0),0))</f>
      </c>
      <c r="U59" s="1">
        <f>IF(OR(U$52=0,T10="",U10=""),0,IFERROR(IF(AND(INDEX(Arten,MATCH(T10,Codes,0))="Arbeit",INDEX(Arten,MATCH(U10,Codes,0))="Arbeit"),IF(ROUND((1+INDEX(Beginne,MATCH(U10,Codes,0))-INDEX(EndeRel,MATCH(T10,Codes,0)))*1440,0)&lt;660,1,0),0),0))</f>
      </c>
      <c r="V59" s="1">
        <f>IF(OR(V$52=0,U10="",V10=""),0,IFERROR(IF(AND(INDEX(Arten,MATCH(U10,Codes,0))="Arbeit",INDEX(Arten,MATCH(V10,Codes,0))="Arbeit"),IF(ROUND((1+INDEX(Beginne,MATCH(V10,Codes,0))-INDEX(EndeRel,MATCH(U10,Codes,0)))*1440,0)&lt;660,1,0),0),0))</f>
      </c>
      <c r="W59" s="1">
        <f>IF(OR(W$52=0,V10="",W10=""),0,IFERROR(IF(AND(INDEX(Arten,MATCH(V10,Codes,0))="Arbeit",INDEX(Arten,MATCH(W10,Codes,0))="Arbeit"),IF(ROUND((1+INDEX(Beginne,MATCH(W10,Codes,0))-INDEX(EndeRel,MATCH(V10,Codes,0)))*1440,0)&lt;660,1,0),0),0))</f>
      </c>
      <c r="X59" s="1">
        <f>IF(OR(X$52=0,W10="",X10=""),0,IFERROR(IF(AND(INDEX(Arten,MATCH(W10,Codes,0))="Arbeit",INDEX(Arten,MATCH(X10,Codes,0))="Arbeit"),IF(ROUND((1+INDEX(Beginne,MATCH(X10,Codes,0))-INDEX(EndeRel,MATCH(W10,Codes,0)))*1440,0)&lt;660,1,0),0),0))</f>
      </c>
      <c r="Y59" s="1">
        <f>IF(OR(Y$52=0,X10="",Y10=""),0,IFERROR(IF(AND(INDEX(Arten,MATCH(X10,Codes,0))="Arbeit",INDEX(Arten,MATCH(Y10,Codes,0))="Arbeit"),IF(ROUND((1+INDEX(Beginne,MATCH(Y10,Codes,0))-INDEX(EndeRel,MATCH(X10,Codes,0)))*1440,0)&lt;660,1,0),0),0))</f>
      </c>
      <c r="Z59" s="1">
        <f>IF(OR(Z$52=0,Y10="",Z10=""),0,IFERROR(IF(AND(INDEX(Arten,MATCH(Y10,Codes,0))="Arbeit",INDEX(Arten,MATCH(Z10,Codes,0))="Arbeit"),IF(ROUND((1+INDEX(Beginne,MATCH(Z10,Codes,0))-INDEX(EndeRel,MATCH(Y10,Codes,0)))*1440,0)&lt;660,1,0),0),0))</f>
      </c>
      <c r="AA59" s="1">
        <f>IF(OR(AA$52=0,Z10="",AA10=""),0,IFERROR(IF(AND(INDEX(Arten,MATCH(Z10,Codes,0))="Arbeit",INDEX(Arten,MATCH(AA10,Codes,0))="Arbeit"),IF(ROUND((1+INDEX(Beginne,MATCH(AA10,Codes,0))-INDEX(EndeRel,MATCH(Z10,Codes,0)))*1440,0)&lt;660,1,0),0),0))</f>
      </c>
      <c r="AB59" s="1">
        <f>IF(OR(AB$52=0,AA10="",AB10=""),0,IFERROR(IF(AND(INDEX(Arten,MATCH(AA10,Codes,0))="Arbeit",INDEX(Arten,MATCH(AB10,Codes,0))="Arbeit"),IF(ROUND((1+INDEX(Beginne,MATCH(AB10,Codes,0))-INDEX(EndeRel,MATCH(AA10,Codes,0)))*1440,0)&lt;660,1,0),0),0))</f>
      </c>
      <c r="AC59" s="1">
        <f>IF(OR(AC$52=0,AB10="",AC10=""),0,IFERROR(IF(AND(INDEX(Arten,MATCH(AB10,Codes,0))="Arbeit",INDEX(Arten,MATCH(AC10,Codes,0))="Arbeit"),IF(ROUND((1+INDEX(Beginne,MATCH(AC10,Codes,0))-INDEX(EndeRel,MATCH(AB10,Codes,0)))*1440,0)&lt;660,1,0),0),0))</f>
      </c>
      <c r="AD59" s="1">
        <f>IF(OR(AD$52=0,AC10="",AD10=""),0,IFERROR(IF(AND(INDEX(Arten,MATCH(AC10,Codes,0))="Arbeit",INDEX(Arten,MATCH(AD10,Codes,0))="Arbeit"),IF(ROUND((1+INDEX(Beginne,MATCH(AD10,Codes,0))-INDEX(EndeRel,MATCH(AC10,Codes,0)))*1440,0)&lt;660,1,0),0),0))</f>
      </c>
      <c r="AE59" s="1">
        <f>IF(OR(AE$52=0,AD10="",AE10=""),0,IFERROR(IF(AND(INDEX(Arten,MATCH(AD10,Codes,0))="Arbeit",INDEX(Arten,MATCH(AE10,Codes,0))="Arbeit"),IF(ROUND((1+INDEX(Beginne,MATCH(AE10,Codes,0))-INDEX(EndeRel,MATCH(AD10,Codes,0)))*1440,0)&lt;660,1,0),0),0))</f>
      </c>
      <c r="AF59" s="1">
        <f>IF(OR(AF$52=0,AE10="",AF10=""),0,IFERROR(IF(AND(INDEX(Arten,MATCH(AE10,Codes,0))="Arbeit",INDEX(Arten,MATCH(AF10,Codes,0))="Arbeit"),IF(ROUND((1+INDEX(Beginne,MATCH(AF10,Codes,0))-INDEX(EndeRel,MATCH(AE10,Codes,0)))*1440,0)&lt;660,1,0),0),0))</f>
      </c>
    </row>
    <row r="60" hidden="1" spans="1:32" x14ac:dyDescent="0.25">
      <c r="A60" s="1"/>
      <c r="B60" s="1">
        <f>IF(OR(B$52=0,INDEX('Februar'!$B$11:$AF$11,DAY(DATE(Jahr,3,0)))="",B11=""),0,IFERROR(IF(AND(INDEX(Arten,MATCH(INDEX('Februar'!$B$11:$AF$11,DAY(DATE(Jahr,3,0))),Codes,0))="Arbeit",INDEX(Arten,MATCH(B11,Codes,0))="Arbeit"),IF(ROUND((1+INDEX(Beginne,MATCH(B11,Codes,0))-INDEX(EndeRel,MATCH(INDEX('Februar'!$B$11:$AF$11,DAY(DATE(Jahr,3,0))),Codes,0)))*1440,0)&lt;660,1,0),0),0))</f>
      </c>
      <c r="C60" s="1">
        <f>IF(OR(C$52=0,B11="",C11=""),0,IFERROR(IF(AND(INDEX(Arten,MATCH(B11,Codes,0))="Arbeit",INDEX(Arten,MATCH(C11,Codes,0))="Arbeit"),IF(ROUND((1+INDEX(Beginne,MATCH(C11,Codes,0))-INDEX(EndeRel,MATCH(B11,Codes,0)))*1440,0)&lt;660,1,0),0),0))</f>
      </c>
      <c r="D60" s="1">
        <f>IF(OR(D$52=0,C11="",D11=""),0,IFERROR(IF(AND(INDEX(Arten,MATCH(C11,Codes,0))="Arbeit",INDEX(Arten,MATCH(D11,Codes,0))="Arbeit"),IF(ROUND((1+INDEX(Beginne,MATCH(D11,Codes,0))-INDEX(EndeRel,MATCH(C11,Codes,0)))*1440,0)&lt;660,1,0),0),0))</f>
      </c>
      <c r="E60" s="1">
        <f>IF(OR(E$52=0,D11="",E11=""),0,IFERROR(IF(AND(INDEX(Arten,MATCH(D11,Codes,0))="Arbeit",INDEX(Arten,MATCH(E11,Codes,0))="Arbeit"),IF(ROUND((1+INDEX(Beginne,MATCH(E11,Codes,0))-INDEX(EndeRel,MATCH(D11,Codes,0)))*1440,0)&lt;660,1,0),0),0))</f>
      </c>
      <c r="F60" s="1">
        <f>IF(OR(F$52=0,E11="",F11=""),0,IFERROR(IF(AND(INDEX(Arten,MATCH(E11,Codes,0))="Arbeit",INDEX(Arten,MATCH(F11,Codes,0))="Arbeit"),IF(ROUND((1+INDEX(Beginne,MATCH(F11,Codes,0))-INDEX(EndeRel,MATCH(E11,Codes,0)))*1440,0)&lt;660,1,0),0),0))</f>
      </c>
      <c r="G60" s="1">
        <f>IF(OR(G$52=0,F11="",G11=""),0,IFERROR(IF(AND(INDEX(Arten,MATCH(F11,Codes,0))="Arbeit",INDEX(Arten,MATCH(G11,Codes,0))="Arbeit"),IF(ROUND((1+INDEX(Beginne,MATCH(G11,Codes,0))-INDEX(EndeRel,MATCH(F11,Codes,0)))*1440,0)&lt;660,1,0),0),0))</f>
      </c>
      <c r="H60" s="1">
        <f>IF(OR(H$52=0,G11="",H11=""),0,IFERROR(IF(AND(INDEX(Arten,MATCH(G11,Codes,0))="Arbeit",INDEX(Arten,MATCH(H11,Codes,0))="Arbeit"),IF(ROUND((1+INDEX(Beginne,MATCH(H11,Codes,0))-INDEX(EndeRel,MATCH(G11,Codes,0)))*1440,0)&lt;660,1,0),0),0))</f>
      </c>
      <c r="I60" s="1">
        <f>IF(OR(I$52=0,H11="",I11=""),0,IFERROR(IF(AND(INDEX(Arten,MATCH(H11,Codes,0))="Arbeit",INDEX(Arten,MATCH(I11,Codes,0))="Arbeit"),IF(ROUND((1+INDEX(Beginne,MATCH(I11,Codes,0))-INDEX(EndeRel,MATCH(H11,Codes,0)))*1440,0)&lt;660,1,0),0),0))</f>
      </c>
      <c r="J60" s="1">
        <f>IF(OR(J$52=0,I11="",J11=""),0,IFERROR(IF(AND(INDEX(Arten,MATCH(I11,Codes,0))="Arbeit",INDEX(Arten,MATCH(J11,Codes,0))="Arbeit"),IF(ROUND((1+INDEX(Beginne,MATCH(J11,Codes,0))-INDEX(EndeRel,MATCH(I11,Codes,0)))*1440,0)&lt;660,1,0),0),0))</f>
      </c>
      <c r="K60" s="1">
        <f>IF(OR(K$52=0,J11="",K11=""),0,IFERROR(IF(AND(INDEX(Arten,MATCH(J11,Codes,0))="Arbeit",INDEX(Arten,MATCH(K11,Codes,0))="Arbeit"),IF(ROUND((1+INDEX(Beginne,MATCH(K11,Codes,0))-INDEX(EndeRel,MATCH(J11,Codes,0)))*1440,0)&lt;660,1,0),0),0))</f>
      </c>
      <c r="L60" s="1">
        <f>IF(OR(L$52=0,K11="",L11=""),0,IFERROR(IF(AND(INDEX(Arten,MATCH(K11,Codes,0))="Arbeit",INDEX(Arten,MATCH(L11,Codes,0))="Arbeit"),IF(ROUND((1+INDEX(Beginne,MATCH(L11,Codes,0))-INDEX(EndeRel,MATCH(K11,Codes,0)))*1440,0)&lt;660,1,0),0),0))</f>
      </c>
      <c r="M60" s="1">
        <f>IF(OR(M$52=0,L11="",M11=""),0,IFERROR(IF(AND(INDEX(Arten,MATCH(L11,Codes,0))="Arbeit",INDEX(Arten,MATCH(M11,Codes,0))="Arbeit"),IF(ROUND((1+INDEX(Beginne,MATCH(M11,Codes,0))-INDEX(EndeRel,MATCH(L11,Codes,0)))*1440,0)&lt;660,1,0),0),0))</f>
      </c>
      <c r="N60" s="1">
        <f>IF(OR(N$52=0,M11="",N11=""),0,IFERROR(IF(AND(INDEX(Arten,MATCH(M11,Codes,0))="Arbeit",INDEX(Arten,MATCH(N11,Codes,0))="Arbeit"),IF(ROUND((1+INDEX(Beginne,MATCH(N11,Codes,0))-INDEX(EndeRel,MATCH(M11,Codes,0)))*1440,0)&lt;660,1,0),0),0))</f>
      </c>
      <c r="O60" s="1">
        <f>IF(OR(O$52=0,N11="",O11=""),0,IFERROR(IF(AND(INDEX(Arten,MATCH(N11,Codes,0))="Arbeit",INDEX(Arten,MATCH(O11,Codes,0))="Arbeit"),IF(ROUND((1+INDEX(Beginne,MATCH(O11,Codes,0))-INDEX(EndeRel,MATCH(N11,Codes,0)))*1440,0)&lt;660,1,0),0),0))</f>
      </c>
      <c r="P60" s="1">
        <f>IF(OR(P$52=0,O11="",P11=""),0,IFERROR(IF(AND(INDEX(Arten,MATCH(O11,Codes,0))="Arbeit",INDEX(Arten,MATCH(P11,Codes,0))="Arbeit"),IF(ROUND((1+INDEX(Beginne,MATCH(P11,Codes,0))-INDEX(EndeRel,MATCH(O11,Codes,0)))*1440,0)&lt;660,1,0),0),0))</f>
      </c>
      <c r="Q60" s="1">
        <f>IF(OR(Q$52=0,P11="",Q11=""),0,IFERROR(IF(AND(INDEX(Arten,MATCH(P11,Codes,0))="Arbeit",INDEX(Arten,MATCH(Q11,Codes,0))="Arbeit"),IF(ROUND((1+INDEX(Beginne,MATCH(Q11,Codes,0))-INDEX(EndeRel,MATCH(P11,Codes,0)))*1440,0)&lt;660,1,0),0),0))</f>
      </c>
      <c r="R60" s="1">
        <f>IF(OR(R$52=0,Q11="",R11=""),0,IFERROR(IF(AND(INDEX(Arten,MATCH(Q11,Codes,0))="Arbeit",INDEX(Arten,MATCH(R11,Codes,0))="Arbeit"),IF(ROUND((1+INDEX(Beginne,MATCH(R11,Codes,0))-INDEX(EndeRel,MATCH(Q11,Codes,0)))*1440,0)&lt;660,1,0),0),0))</f>
      </c>
      <c r="S60" s="1">
        <f>IF(OR(S$52=0,R11="",S11=""),0,IFERROR(IF(AND(INDEX(Arten,MATCH(R11,Codes,0))="Arbeit",INDEX(Arten,MATCH(S11,Codes,0))="Arbeit"),IF(ROUND((1+INDEX(Beginne,MATCH(S11,Codes,0))-INDEX(EndeRel,MATCH(R11,Codes,0)))*1440,0)&lt;660,1,0),0),0))</f>
      </c>
      <c r="T60" s="1">
        <f>IF(OR(T$52=0,S11="",T11=""),0,IFERROR(IF(AND(INDEX(Arten,MATCH(S11,Codes,0))="Arbeit",INDEX(Arten,MATCH(T11,Codes,0))="Arbeit"),IF(ROUND((1+INDEX(Beginne,MATCH(T11,Codes,0))-INDEX(EndeRel,MATCH(S11,Codes,0)))*1440,0)&lt;660,1,0),0),0))</f>
      </c>
      <c r="U60" s="1">
        <f>IF(OR(U$52=0,T11="",U11=""),0,IFERROR(IF(AND(INDEX(Arten,MATCH(T11,Codes,0))="Arbeit",INDEX(Arten,MATCH(U11,Codes,0))="Arbeit"),IF(ROUND((1+INDEX(Beginne,MATCH(U11,Codes,0))-INDEX(EndeRel,MATCH(T11,Codes,0)))*1440,0)&lt;660,1,0),0),0))</f>
      </c>
      <c r="V60" s="1">
        <f>IF(OR(V$52=0,U11="",V11=""),0,IFERROR(IF(AND(INDEX(Arten,MATCH(U11,Codes,0))="Arbeit",INDEX(Arten,MATCH(V11,Codes,0))="Arbeit"),IF(ROUND((1+INDEX(Beginne,MATCH(V11,Codes,0))-INDEX(EndeRel,MATCH(U11,Codes,0)))*1440,0)&lt;660,1,0),0),0))</f>
      </c>
      <c r="W60" s="1">
        <f>IF(OR(W$52=0,V11="",W11=""),0,IFERROR(IF(AND(INDEX(Arten,MATCH(V11,Codes,0))="Arbeit",INDEX(Arten,MATCH(W11,Codes,0))="Arbeit"),IF(ROUND((1+INDEX(Beginne,MATCH(W11,Codes,0))-INDEX(EndeRel,MATCH(V11,Codes,0)))*1440,0)&lt;660,1,0),0),0))</f>
      </c>
      <c r="X60" s="1">
        <f>IF(OR(X$52=0,W11="",X11=""),0,IFERROR(IF(AND(INDEX(Arten,MATCH(W11,Codes,0))="Arbeit",INDEX(Arten,MATCH(X11,Codes,0))="Arbeit"),IF(ROUND((1+INDEX(Beginne,MATCH(X11,Codes,0))-INDEX(EndeRel,MATCH(W11,Codes,0)))*1440,0)&lt;660,1,0),0),0))</f>
      </c>
      <c r="Y60" s="1">
        <f>IF(OR(Y$52=0,X11="",Y11=""),0,IFERROR(IF(AND(INDEX(Arten,MATCH(X11,Codes,0))="Arbeit",INDEX(Arten,MATCH(Y11,Codes,0))="Arbeit"),IF(ROUND((1+INDEX(Beginne,MATCH(Y11,Codes,0))-INDEX(EndeRel,MATCH(X11,Codes,0)))*1440,0)&lt;660,1,0),0),0))</f>
      </c>
      <c r="Z60" s="1">
        <f>IF(OR(Z$52=0,Y11="",Z11=""),0,IFERROR(IF(AND(INDEX(Arten,MATCH(Y11,Codes,0))="Arbeit",INDEX(Arten,MATCH(Z11,Codes,0))="Arbeit"),IF(ROUND((1+INDEX(Beginne,MATCH(Z11,Codes,0))-INDEX(EndeRel,MATCH(Y11,Codes,0)))*1440,0)&lt;660,1,0),0),0))</f>
      </c>
      <c r="AA60" s="1">
        <f>IF(OR(AA$52=0,Z11="",AA11=""),0,IFERROR(IF(AND(INDEX(Arten,MATCH(Z11,Codes,0))="Arbeit",INDEX(Arten,MATCH(AA11,Codes,0))="Arbeit"),IF(ROUND((1+INDEX(Beginne,MATCH(AA11,Codes,0))-INDEX(EndeRel,MATCH(Z11,Codes,0)))*1440,0)&lt;660,1,0),0),0))</f>
      </c>
      <c r="AB60" s="1">
        <f>IF(OR(AB$52=0,AA11="",AB11=""),0,IFERROR(IF(AND(INDEX(Arten,MATCH(AA11,Codes,0))="Arbeit",INDEX(Arten,MATCH(AB11,Codes,0))="Arbeit"),IF(ROUND((1+INDEX(Beginne,MATCH(AB11,Codes,0))-INDEX(EndeRel,MATCH(AA11,Codes,0)))*1440,0)&lt;660,1,0),0),0))</f>
      </c>
      <c r="AC60" s="1">
        <f>IF(OR(AC$52=0,AB11="",AC11=""),0,IFERROR(IF(AND(INDEX(Arten,MATCH(AB11,Codes,0))="Arbeit",INDEX(Arten,MATCH(AC11,Codes,0))="Arbeit"),IF(ROUND((1+INDEX(Beginne,MATCH(AC11,Codes,0))-INDEX(EndeRel,MATCH(AB11,Codes,0)))*1440,0)&lt;660,1,0),0),0))</f>
      </c>
      <c r="AD60" s="1">
        <f>IF(OR(AD$52=0,AC11="",AD11=""),0,IFERROR(IF(AND(INDEX(Arten,MATCH(AC11,Codes,0))="Arbeit",INDEX(Arten,MATCH(AD11,Codes,0))="Arbeit"),IF(ROUND((1+INDEX(Beginne,MATCH(AD11,Codes,0))-INDEX(EndeRel,MATCH(AC11,Codes,0)))*1440,0)&lt;660,1,0),0),0))</f>
      </c>
      <c r="AE60" s="1">
        <f>IF(OR(AE$52=0,AD11="",AE11=""),0,IFERROR(IF(AND(INDEX(Arten,MATCH(AD11,Codes,0))="Arbeit",INDEX(Arten,MATCH(AE11,Codes,0))="Arbeit"),IF(ROUND((1+INDEX(Beginne,MATCH(AE11,Codes,0))-INDEX(EndeRel,MATCH(AD11,Codes,0)))*1440,0)&lt;660,1,0),0),0))</f>
      </c>
      <c r="AF60" s="1">
        <f>IF(OR(AF$52=0,AE11="",AF11=""),0,IFERROR(IF(AND(INDEX(Arten,MATCH(AE11,Codes,0))="Arbeit",INDEX(Arten,MATCH(AF11,Codes,0))="Arbeit"),IF(ROUND((1+INDEX(Beginne,MATCH(AF11,Codes,0))-INDEX(EndeRel,MATCH(AE11,Codes,0)))*1440,0)&lt;660,1,0),0),0))</f>
      </c>
    </row>
    <row r="61" hidden="1" spans="1:32" x14ac:dyDescent="0.25">
      <c r="A61" s="1"/>
      <c r="B61" s="1">
        <f>IF(OR(B$52=0,INDEX('Februar'!$B$12:$AF$12,DAY(DATE(Jahr,3,0)))="",B12=""),0,IFERROR(IF(AND(INDEX(Arten,MATCH(INDEX('Februar'!$B$12:$AF$12,DAY(DATE(Jahr,3,0))),Codes,0))="Arbeit",INDEX(Arten,MATCH(B12,Codes,0))="Arbeit"),IF(ROUND((1+INDEX(Beginne,MATCH(B12,Codes,0))-INDEX(EndeRel,MATCH(INDEX('Februar'!$B$12:$AF$12,DAY(DATE(Jahr,3,0))),Codes,0)))*1440,0)&lt;660,1,0),0),0))</f>
      </c>
      <c r="C61" s="1">
        <f>IF(OR(C$52=0,B12="",C12=""),0,IFERROR(IF(AND(INDEX(Arten,MATCH(B12,Codes,0))="Arbeit",INDEX(Arten,MATCH(C12,Codes,0))="Arbeit"),IF(ROUND((1+INDEX(Beginne,MATCH(C12,Codes,0))-INDEX(EndeRel,MATCH(B12,Codes,0)))*1440,0)&lt;660,1,0),0),0))</f>
      </c>
      <c r="D61" s="1">
        <f>IF(OR(D$52=0,C12="",D12=""),0,IFERROR(IF(AND(INDEX(Arten,MATCH(C12,Codes,0))="Arbeit",INDEX(Arten,MATCH(D12,Codes,0))="Arbeit"),IF(ROUND((1+INDEX(Beginne,MATCH(D12,Codes,0))-INDEX(EndeRel,MATCH(C12,Codes,0)))*1440,0)&lt;660,1,0),0),0))</f>
      </c>
      <c r="E61" s="1">
        <f>IF(OR(E$52=0,D12="",E12=""),0,IFERROR(IF(AND(INDEX(Arten,MATCH(D12,Codes,0))="Arbeit",INDEX(Arten,MATCH(E12,Codes,0))="Arbeit"),IF(ROUND((1+INDEX(Beginne,MATCH(E12,Codes,0))-INDEX(EndeRel,MATCH(D12,Codes,0)))*1440,0)&lt;660,1,0),0),0))</f>
      </c>
      <c r="F61" s="1">
        <f>IF(OR(F$52=0,E12="",F12=""),0,IFERROR(IF(AND(INDEX(Arten,MATCH(E12,Codes,0))="Arbeit",INDEX(Arten,MATCH(F12,Codes,0))="Arbeit"),IF(ROUND((1+INDEX(Beginne,MATCH(F12,Codes,0))-INDEX(EndeRel,MATCH(E12,Codes,0)))*1440,0)&lt;660,1,0),0),0))</f>
      </c>
      <c r="G61" s="1">
        <f>IF(OR(G$52=0,F12="",G12=""),0,IFERROR(IF(AND(INDEX(Arten,MATCH(F12,Codes,0))="Arbeit",INDEX(Arten,MATCH(G12,Codes,0))="Arbeit"),IF(ROUND((1+INDEX(Beginne,MATCH(G12,Codes,0))-INDEX(EndeRel,MATCH(F12,Codes,0)))*1440,0)&lt;660,1,0),0),0))</f>
      </c>
      <c r="H61" s="1">
        <f>IF(OR(H$52=0,G12="",H12=""),0,IFERROR(IF(AND(INDEX(Arten,MATCH(G12,Codes,0))="Arbeit",INDEX(Arten,MATCH(H12,Codes,0))="Arbeit"),IF(ROUND((1+INDEX(Beginne,MATCH(H12,Codes,0))-INDEX(EndeRel,MATCH(G12,Codes,0)))*1440,0)&lt;660,1,0),0),0))</f>
      </c>
      <c r="I61" s="1">
        <f>IF(OR(I$52=0,H12="",I12=""),0,IFERROR(IF(AND(INDEX(Arten,MATCH(H12,Codes,0))="Arbeit",INDEX(Arten,MATCH(I12,Codes,0))="Arbeit"),IF(ROUND((1+INDEX(Beginne,MATCH(I12,Codes,0))-INDEX(EndeRel,MATCH(H12,Codes,0)))*1440,0)&lt;660,1,0),0),0))</f>
      </c>
      <c r="J61" s="1">
        <f>IF(OR(J$52=0,I12="",J12=""),0,IFERROR(IF(AND(INDEX(Arten,MATCH(I12,Codes,0))="Arbeit",INDEX(Arten,MATCH(J12,Codes,0))="Arbeit"),IF(ROUND((1+INDEX(Beginne,MATCH(J12,Codes,0))-INDEX(EndeRel,MATCH(I12,Codes,0)))*1440,0)&lt;660,1,0),0),0))</f>
      </c>
      <c r="K61" s="1">
        <f>IF(OR(K$52=0,J12="",K12=""),0,IFERROR(IF(AND(INDEX(Arten,MATCH(J12,Codes,0))="Arbeit",INDEX(Arten,MATCH(K12,Codes,0))="Arbeit"),IF(ROUND((1+INDEX(Beginne,MATCH(K12,Codes,0))-INDEX(EndeRel,MATCH(J12,Codes,0)))*1440,0)&lt;660,1,0),0),0))</f>
      </c>
      <c r="L61" s="1">
        <f>IF(OR(L$52=0,K12="",L12=""),0,IFERROR(IF(AND(INDEX(Arten,MATCH(K12,Codes,0))="Arbeit",INDEX(Arten,MATCH(L12,Codes,0))="Arbeit"),IF(ROUND((1+INDEX(Beginne,MATCH(L12,Codes,0))-INDEX(EndeRel,MATCH(K12,Codes,0)))*1440,0)&lt;660,1,0),0),0))</f>
      </c>
      <c r="M61" s="1">
        <f>IF(OR(M$52=0,L12="",M12=""),0,IFERROR(IF(AND(INDEX(Arten,MATCH(L12,Codes,0))="Arbeit",INDEX(Arten,MATCH(M12,Codes,0))="Arbeit"),IF(ROUND((1+INDEX(Beginne,MATCH(M12,Codes,0))-INDEX(EndeRel,MATCH(L12,Codes,0)))*1440,0)&lt;660,1,0),0),0))</f>
      </c>
      <c r="N61" s="1">
        <f>IF(OR(N$52=0,M12="",N12=""),0,IFERROR(IF(AND(INDEX(Arten,MATCH(M12,Codes,0))="Arbeit",INDEX(Arten,MATCH(N12,Codes,0))="Arbeit"),IF(ROUND((1+INDEX(Beginne,MATCH(N12,Codes,0))-INDEX(EndeRel,MATCH(M12,Codes,0)))*1440,0)&lt;660,1,0),0),0))</f>
      </c>
      <c r="O61" s="1">
        <f>IF(OR(O$52=0,N12="",O12=""),0,IFERROR(IF(AND(INDEX(Arten,MATCH(N12,Codes,0))="Arbeit",INDEX(Arten,MATCH(O12,Codes,0))="Arbeit"),IF(ROUND((1+INDEX(Beginne,MATCH(O12,Codes,0))-INDEX(EndeRel,MATCH(N12,Codes,0)))*1440,0)&lt;660,1,0),0),0))</f>
      </c>
      <c r="P61" s="1">
        <f>IF(OR(P$52=0,O12="",P12=""),0,IFERROR(IF(AND(INDEX(Arten,MATCH(O12,Codes,0))="Arbeit",INDEX(Arten,MATCH(P12,Codes,0))="Arbeit"),IF(ROUND((1+INDEX(Beginne,MATCH(P12,Codes,0))-INDEX(EndeRel,MATCH(O12,Codes,0)))*1440,0)&lt;660,1,0),0),0))</f>
      </c>
      <c r="Q61" s="1">
        <f>IF(OR(Q$52=0,P12="",Q12=""),0,IFERROR(IF(AND(INDEX(Arten,MATCH(P12,Codes,0))="Arbeit",INDEX(Arten,MATCH(Q12,Codes,0))="Arbeit"),IF(ROUND((1+INDEX(Beginne,MATCH(Q12,Codes,0))-INDEX(EndeRel,MATCH(P12,Codes,0)))*1440,0)&lt;660,1,0),0),0))</f>
      </c>
      <c r="R61" s="1">
        <f>IF(OR(R$52=0,Q12="",R12=""),0,IFERROR(IF(AND(INDEX(Arten,MATCH(Q12,Codes,0))="Arbeit",INDEX(Arten,MATCH(R12,Codes,0))="Arbeit"),IF(ROUND((1+INDEX(Beginne,MATCH(R12,Codes,0))-INDEX(EndeRel,MATCH(Q12,Codes,0)))*1440,0)&lt;660,1,0),0),0))</f>
      </c>
      <c r="S61" s="1">
        <f>IF(OR(S$52=0,R12="",S12=""),0,IFERROR(IF(AND(INDEX(Arten,MATCH(R12,Codes,0))="Arbeit",INDEX(Arten,MATCH(S12,Codes,0))="Arbeit"),IF(ROUND((1+INDEX(Beginne,MATCH(S12,Codes,0))-INDEX(EndeRel,MATCH(R12,Codes,0)))*1440,0)&lt;660,1,0),0),0))</f>
      </c>
      <c r="T61" s="1">
        <f>IF(OR(T$52=0,S12="",T12=""),0,IFERROR(IF(AND(INDEX(Arten,MATCH(S12,Codes,0))="Arbeit",INDEX(Arten,MATCH(T12,Codes,0))="Arbeit"),IF(ROUND((1+INDEX(Beginne,MATCH(T12,Codes,0))-INDEX(EndeRel,MATCH(S12,Codes,0)))*1440,0)&lt;660,1,0),0),0))</f>
      </c>
      <c r="U61" s="1">
        <f>IF(OR(U$52=0,T12="",U12=""),0,IFERROR(IF(AND(INDEX(Arten,MATCH(T12,Codes,0))="Arbeit",INDEX(Arten,MATCH(U12,Codes,0))="Arbeit"),IF(ROUND((1+INDEX(Beginne,MATCH(U12,Codes,0))-INDEX(EndeRel,MATCH(T12,Codes,0)))*1440,0)&lt;660,1,0),0),0))</f>
      </c>
      <c r="V61" s="1">
        <f>IF(OR(V$52=0,U12="",V12=""),0,IFERROR(IF(AND(INDEX(Arten,MATCH(U12,Codes,0))="Arbeit",INDEX(Arten,MATCH(V12,Codes,0))="Arbeit"),IF(ROUND((1+INDEX(Beginne,MATCH(V12,Codes,0))-INDEX(EndeRel,MATCH(U12,Codes,0)))*1440,0)&lt;660,1,0),0),0))</f>
      </c>
      <c r="W61" s="1">
        <f>IF(OR(W$52=0,V12="",W12=""),0,IFERROR(IF(AND(INDEX(Arten,MATCH(V12,Codes,0))="Arbeit",INDEX(Arten,MATCH(W12,Codes,0))="Arbeit"),IF(ROUND((1+INDEX(Beginne,MATCH(W12,Codes,0))-INDEX(EndeRel,MATCH(V12,Codes,0)))*1440,0)&lt;660,1,0),0),0))</f>
      </c>
      <c r="X61" s="1">
        <f>IF(OR(X$52=0,W12="",X12=""),0,IFERROR(IF(AND(INDEX(Arten,MATCH(W12,Codes,0))="Arbeit",INDEX(Arten,MATCH(X12,Codes,0))="Arbeit"),IF(ROUND((1+INDEX(Beginne,MATCH(X12,Codes,0))-INDEX(EndeRel,MATCH(W12,Codes,0)))*1440,0)&lt;660,1,0),0),0))</f>
      </c>
      <c r="Y61" s="1">
        <f>IF(OR(Y$52=0,X12="",Y12=""),0,IFERROR(IF(AND(INDEX(Arten,MATCH(X12,Codes,0))="Arbeit",INDEX(Arten,MATCH(Y12,Codes,0))="Arbeit"),IF(ROUND((1+INDEX(Beginne,MATCH(Y12,Codes,0))-INDEX(EndeRel,MATCH(X12,Codes,0)))*1440,0)&lt;660,1,0),0),0))</f>
      </c>
      <c r="Z61" s="1">
        <f>IF(OR(Z$52=0,Y12="",Z12=""),0,IFERROR(IF(AND(INDEX(Arten,MATCH(Y12,Codes,0))="Arbeit",INDEX(Arten,MATCH(Z12,Codes,0))="Arbeit"),IF(ROUND((1+INDEX(Beginne,MATCH(Z12,Codes,0))-INDEX(EndeRel,MATCH(Y12,Codes,0)))*1440,0)&lt;660,1,0),0),0))</f>
      </c>
      <c r="AA61" s="1">
        <f>IF(OR(AA$52=0,Z12="",AA12=""),0,IFERROR(IF(AND(INDEX(Arten,MATCH(Z12,Codes,0))="Arbeit",INDEX(Arten,MATCH(AA12,Codes,0))="Arbeit"),IF(ROUND((1+INDEX(Beginne,MATCH(AA12,Codes,0))-INDEX(EndeRel,MATCH(Z12,Codes,0)))*1440,0)&lt;660,1,0),0),0))</f>
      </c>
      <c r="AB61" s="1">
        <f>IF(OR(AB$52=0,AA12="",AB12=""),0,IFERROR(IF(AND(INDEX(Arten,MATCH(AA12,Codes,0))="Arbeit",INDEX(Arten,MATCH(AB12,Codes,0))="Arbeit"),IF(ROUND((1+INDEX(Beginne,MATCH(AB12,Codes,0))-INDEX(EndeRel,MATCH(AA12,Codes,0)))*1440,0)&lt;660,1,0),0),0))</f>
      </c>
      <c r="AC61" s="1">
        <f>IF(OR(AC$52=0,AB12="",AC12=""),0,IFERROR(IF(AND(INDEX(Arten,MATCH(AB12,Codes,0))="Arbeit",INDEX(Arten,MATCH(AC12,Codes,0))="Arbeit"),IF(ROUND((1+INDEX(Beginne,MATCH(AC12,Codes,0))-INDEX(EndeRel,MATCH(AB12,Codes,0)))*1440,0)&lt;660,1,0),0),0))</f>
      </c>
      <c r="AD61" s="1">
        <f>IF(OR(AD$52=0,AC12="",AD12=""),0,IFERROR(IF(AND(INDEX(Arten,MATCH(AC12,Codes,0))="Arbeit",INDEX(Arten,MATCH(AD12,Codes,0))="Arbeit"),IF(ROUND((1+INDEX(Beginne,MATCH(AD12,Codes,0))-INDEX(EndeRel,MATCH(AC12,Codes,0)))*1440,0)&lt;660,1,0),0),0))</f>
      </c>
      <c r="AE61" s="1">
        <f>IF(OR(AE$52=0,AD12="",AE12=""),0,IFERROR(IF(AND(INDEX(Arten,MATCH(AD12,Codes,0))="Arbeit",INDEX(Arten,MATCH(AE12,Codes,0))="Arbeit"),IF(ROUND((1+INDEX(Beginne,MATCH(AE12,Codes,0))-INDEX(EndeRel,MATCH(AD12,Codes,0)))*1440,0)&lt;660,1,0),0),0))</f>
      </c>
      <c r="AF61" s="1">
        <f>IF(OR(AF$52=0,AE12="",AF12=""),0,IFERROR(IF(AND(INDEX(Arten,MATCH(AE12,Codes,0))="Arbeit",INDEX(Arten,MATCH(AF12,Codes,0))="Arbeit"),IF(ROUND((1+INDEX(Beginne,MATCH(AF12,Codes,0))-INDEX(EndeRel,MATCH(AE12,Codes,0)))*1440,0)&lt;660,1,0),0),0))</f>
      </c>
    </row>
    <row r="62" hidden="1" spans="1:32" x14ac:dyDescent="0.25">
      <c r="A62" s="1"/>
      <c r="B62" s="1">
        <f>IF(OR(B$52=0,INDEX('Februar'!$B$13:$AF$13,DAY(DATE(Jahr,3,0)))="",B13=""),0,IFERROR(IF(AND(INDEX(Arten,MATCH(INDEX('Februar'!$B$13:$AF$13,DAY(DATE(Jahr,3,0))),Codes,0))="Arbeit",INDEX(Arten,MATCH(B13,Codes,0))="Arbeit"),IF(ROUND((1+INDEX(Beginne,MATCH(B13,Codes,0))-INDEX(EndeRel,MATCH(INDEX('Februar'!$B$13:$AF$13,DAY(DATE(Jahr,3,0))),Codes,0)))*1440,0)&lt;660,1,0),0),0))</f>
      </c>
      <c r="C62" s="1">
        <f>IF(OR(C$52=0,B13="",C13=""),0,IFERROR(IF(AND(INDEX(Arten,MATCH(B13,Codes,0))="Arbeit",INDEX(Arten,MATCH(C13,Codes,0))="Arbeit"),IF(ROUND((1+INDEX(Beginne,MATCH(C13,Codes,0))-INDEX(EndeRel,MATCH(B13,Codes,0)))*1440,0)&lt;660,1,0),0),0))</f>
      </c>
      <c r="D62" s="1">
        <f>IF(OR(D$52=0,C13="",D13=""),0,IFERROR(IF(AND(INDEX(Arten,MATCH(C13,Codes,0))="Arbeit",INDEX(Arten,MATCH(D13,Codes,0))="Arbeit"),IF(ROUND((1+INDEX(Beginne,MATCH(D13,Codes,0))-INDEX(EndeRel,MATCH(C13,Codes,0)))*1440,0)&lt;660,1,0),0),0))</f>
      </c>
      <c r="E62" s="1">
        <f>IF(OR(E$52=0,D13="",E13=""),0,IFERROR(IF(AND(INDEX(Arten,MATCH(D13,Codes,0))="Arbeit",INDEX(Arten,MATCH(E13,Codes,0))="Arbeit"),IF(ROUND((1+INDEX(Beginne,MATCH(E13,Codes,0))-INDEX(EndeRel,MATCH(D13,Codes,0)))*1440,0)&lt;660,1,0),0),0))</f>
      </c>
      <c r="F62" s="1">
        <f>IF(OR(F$52=0,E13="",F13=""),0,IFERROR(IF(AND(INDEX(Arten,MATCH(E13,Codes,0))="Arbeit",INDEX(Arten,MATCH(F13,Codes,0))="Arbeit"),IF(ROUND((1+INDEX(Beginne,MATCH(F13,Codes,0))-INDEX(EndeRel,MATCH(E13,Codes,0)))*1440,0)&lt;660,1,0),0),0))</f>
      </c>
      <c r="G62" s="1">
        <f>IF(OR(G$52=0,F13="",G13=""),0,IFERROR(IF(AND(INDEX(Arten,MATCH(F13,Codes,0))="Arbeit",INDEX(Arten,MATCH(G13,Codes,0))="Arbeit"),IF(ROUND((1+INDEX(Beginne,MATCH(G13,Codes,0))-INDEX(EndeRel,MATCH(F13,Codes,0)))*1440,0)&lt;660,1,0),0),0))</f>
      </c>
      <c r="H62" s="1">
        <f>IF(OR(H$52=0,G13="",H13=""),0,IFERROR(IF(AND(INDEX(Arten,MATCH(G13,Codes,0))="Arbeit",INDEX(Arten,MATCH(H13,Codes,0))="Arbeit"),IF(ROUND((1+INDEX(Beginne,MATCH(H13,Codes,0))-INDEX(EndeRel,MATCH(G13,Codes,0)))*1440,0)&lt;660,1,0),0),0))</f>
      </c>
      <c r="I62" s="1">
        <f>IF(OR(I$52=0,H13="",I13=""),0,IFERROR(IF(AND(INDEX(Arten,MATCH(H13,Codes,0))="Arbeit",INDEX(Arten,MATCH(I13,Codes,0))="Arbeit"),IF(ROUND((1+INDEX(Beginne,MATCH(I13,Codes,0))-INDEX(EndeRel,MATCH(H13,Codes,0)))*1440,0)&lt;660,1,0),0),0))</f>
      </c>
      <c r="J62" s="1">
        <f>IF(OR(J$52=0,I13="",J13=""),0,IFERROR(IF(AND(INDEX(Arten,MATCH(I13,Codes,0))="Arbeit",INDEX(Arten,MATCH(J13,Codes,0))="Arbeit"),IF(ROUND((1+INDEX(Beginne,MATCH(J13,Codes,0))-INDEX(EndeRel,MATCH(I13,Codes,0)))*1440,0)&lt;660,1,0),0),0))</f>
      </c>
      <c r="K62" s="1">
        <f>IF(OR(K$52=0,J13="",K13=""),0,IFERROR(IF(AND(INDEX(Arten,MATCH(J13,Codes,0))="Arbeit",INDEX(Arten,MATCH(K13,Codes,0))="Arbeit"),IF(ROUND((1+INDEX(Beginne,MATCH(K13,Codes,0))-INDEX(EndeRel,MATCH(J13,Codes,0)))*1440,0)&lt;660,1,0),0),0))</f>
      </c>
      <c r="L62" s="1">
        <f>IF(OR(L$52=0,K13="",L13=""),0,IFERROR(IF(AND(INDEX(Arten,MATCH(K13,Codes,0))="Arbeit",INDEX(Arten,MATCH(L13,Codes,0))="Arbeit"),IF(ROUND((1+INDEX(Beginne,MATCH(L13,Codes,0))-INDEX(EndeRel,MATCH(K13,Codes,0)))*1440,0)&lt;660,1,0),0),0))</f>
      </c>
      <c r="M62" s="1">
        <f>IF(OR(M$52=0,L13="",M13=""),0,IFERROR(IF(AND(INDEX(Arten,MATCH(L13,Codes,0))="Arbeit",INDEX(Arten,MATCH(M13,Codes,0))="Arbeit"),IF(ROUND((1+INDEX(Beginne,MATCH(M13,Codes,0))-INDEX(EndeRel,MATCH(L13,Codes,0)))*1440,0)&lt;660,1,0),0),0))</f>
      </c>
      <c r="N62" s="1">
        <f>IF(OR(N$52=0,M13="",N13=""),0,IFERROR(IF(AND(INDEX(Arten,MATCH(M13,Codes,0))="Arbeit",INDEX(Arten,MATCH(N13,Codes,0))="Arbeit"),IF(ROUND((1+INDEX(Beginne,MATCH(N13,Codes,0))-INDEX(EndeRel,MATCH(M13,Codes,0)))*1440,0)&lt;660,1,0),0),0))</f>
      </c>
      <c r="O62" s="1">
        <f>IF(OR(O$52=0,N13="",O13=""),0,IFERROR(IF(AND(INDEX(Arten,MATCH(N13,Codes,0))="Arbeit",INDEX(Arten,MATCH(O13,Codes,0))="Arbeit"),IF(ROUND((1+INDEX(Beginne,MATCH(O13,Codes,0))-INDEX(EndeRel,MATCH(N13,Codes,0)))*1440,0)&lt;660,1,0),0),0))</f>
      </c>
      <c r="P62" s="1">
        <f>IF(OR(P$52=0,O13="",P13=""),0,IFERROR(IF(AND(INDEX(Arten,MATCH(O13,Codes,0))="Arbeit",INDEX(Arten,MATCH(P13,Codes,0))="Arbeit"),IF(ROUND((1+INDEX(Beginne,MATCH(P13,Codes,0))-INDEX(EndeRel,MATCH(O13,Codes,0)))*1440,0)&lt;660,1,0),0),0))</f>
      </c>
      <c r="Q62" s="1">
        <f>IF(OR(Q$52=0,P13="",Q13=""),0,IFERROR(IF(AND(INDEX(Arten,MATCH(P13,Codes,0))="Arbeit",INDEX(Arten,MATCH(Q13,Codes,0))="Arbeit"),IF(ROUND((1+INDEX(Beginne,MATCH(Q13,Codes,0))-INDEX(EndeRel,MATCH(P13,Codes,0)))*1440,0)&lt;660,1,0),0),0))</f>
      </c>
      <c r="R62" s="1">
        <f>IF(OR(R$52=0,Q13="",R13=""),0,IFERROR(IF(AND(INDEX(Arten,MATCH(Q13,Codes,0))="Arbeit",INDEX(Arten,MATCH(R13,Codes,0))="Arbeit"),IF(ROUND((1+INDEX(Beginne,MATCH(R13,Codes,0))-INDEX(EndeRel,MATCH(Q13,Codes,0)))*1440,0)&lt;660,1,0),0),0))</f>
      </c>
      <c r="S62" s="1">
        <f>IF(OR(S$52=0,R13="",S13=""),0,IFERROR(IF(AND(INDEX(Arten,MATCH(R13,Codes,0))="Arbeit",INDEX(Arten,MATCH(S13,Codes,0))="Arbeit"),IF(ROUND((1+INDEX(Beginne,MATCH(S13,Codes,0))-INDEX(EndeRel,MATCH(R13,Codes,0)))*1440,0)&lt;660,1,0),0),0))</f>
      </c>
      <c r="T62" s="1">
        <f>IF(OR(T$52=0,S13="",T13=""),0,IFERROR(IF(AND(INDEX(Arten,MATCH(S13,Codes,0))="Arbeit",INDEX(Arten,MATCH(T13,Codes,0))="Arbeit"),IF(ROUND((1+INDEX(Beginne,MATCH(T13,Codes,0))-INDEX(EndeRel,MATCH(S13,Codes,0)))*1440,0)&lt;660,1,0),0),0))</f>
      </c>
      <c r="U62" s="1">
        <f>IF(OR(U$52=0,T13="",U13=""),0,IFERROR(IF(AND(INDEX(Arten,MATCH(T13,Codes,0))="Arbeit",INDEX(Arten,MATCH(U13,Codes,0))="Arbeit"),IF(ROUND((1+INDEX(Beginne,MATCH(U13,Codes,0))-INDEX(EndeRel,MATCH(T13,Codes,0)))*1440,0)&lt;660,1,0),0),0))</f>
      </c>
      <c r="V62" s="1">
        <f>IF(OR(V$52=0,U13="",V13=""),0,IFERROR(IF(AND(INDEX(Arten,MATCH(U13,Codes,0))="Arbeit",INDEX(Arten,MATCH(V13,Codes,0))="Arbeit"),IF(ROUND((1+INDEX(Beginne,MATCH(V13,Codes,0))-INDEX(EndeRel,MATCH(U13,Codes,0)))*1440,0)&lt;660,1,0),0),0))</f>
      </c>
      <c r="W62" s="1">
        <f>IF(OR(W$52=0,V13="",W13=""),0,IFERROR(IF(AND(INDEX(Arten,MATCH(V13,Codes,0))="Arbeit",INDEX(Arten,MATCH(W13,Codes,0))="Arbeit"),IF(ROUND((1+INDEX(Beginne,MATCH(W13,Codes,0))-INDEX(EndeRel,MATCH(V13,Codes,0)))*1440,0)&lt;660,1,0),0),0))</f>
      </c>
      <c r="X62" s="1">
        <f>IF(OR(X$52=0,W13="",X13=""),0,IFERROR(IF(AND(INDEX(Arten,MATCH(W13,Codes,0))="Arbeit",INDEX(Arten,MATCH(X13,Codes,0))="Arbeit"),IF(ROUND((1+INDEX(Beginne,MATCH(X13,Codes,0))-INDEX(EndeRel,MATCH(W13,Codes,0)))*1440,0)&lt;660,1,0),0),0))</f>
      </c>
      <c r="Y62" s="1">
        <f>IF(OR(Y$52=0,X13="",Y13=""),0,IFERROR(IF(AND(INDEX(Arten,MATCH(X13,Codes,0))="Arbeit",INDEX(Arten,MATCH(Y13,Codes,0))="Arbeit"),IF(ROUND((1+INDEX(Beginne,MATCH(Y13,Codes,0))-INDEX(EndeRel,MATCH(X13,Codes,0)))*1440,0)&lt;660,1,0),0),0))</f>
      </c>
      <c r="Z62" s="1">
        <f>IF(OR(Z$52=0,Y13="",Z13=""),0,IFERROR(IF(AND(INDEX(Arten,MATCH(Y13,Codes,0))="Arbeit",INDEX(Arten,MATCH(Z13,Codes,0))="Arbeit"),IF(ROUND((1+INDEX(Beginne,MATCH(Z13,Codes,0))-INDEX(EndeRel,MATCH(Y13,Codes,0)))*1440,0)&lt;660,1,0),0),0))</f>
      </c>
      <c r="AA62" s="1">
        <f>IF(OR(AA$52=0,Z13="",AA13=""),0,IFERROR(IF(AND(INDEX(Arten,MATCH(Z13,Codes,0))="Arbeit",INDEX(Arten,MATCH(AA13,Codes,0))="Arbeit"),IF(ROUND((1+INDEX(Beginne,MATCH(AA13,Codes,0))-INDEX(EndeRel,MATCH(Z13,Codes,0)))*1440,0)&lt;660,1,0),0),0))</f>
      </c>
      <c r="AB62" s="1">
        <f>IF(OR(AB$52=0,AA13="",AB13=""),0,IFERROR(IF(AND(INDEX(Arten,MATCH(AA13,Codes,0))="Arbeit",INDEX(Arten,MATCH(AB13,Codes,0))="Arbeit"),IF(ROUND((1+INDEX(Beginne,MATCH(AB13,Codes,0))-INDEX(EndeRel,MATCH(AA13,Codes,0)))*1440,0)&lt;660,1,0),0),0))</f>
      </c>
      <c r="AC62" s="1">
        <f>IF(OR(AC$52=0,AB13="",AC13=""),0,IFERROR(IF(AND(INDEX(Arten,MATCH(AB13,Codes,0))="Arbeit",INDEX(Arten,MATCH(AC13,Codes,0))="Arbeit"),IF(ROUND((1+INDEX(Beginne,MATCH(AC13,Codes,0))-INDEX(EndeRel,MATCH(AB13,Codes,0)))*1440,0)&lt;660,1,0),0),0))</f>
      </c>
      <c r="AD62" s="1">
        <f>IF(OR(AD$52=0,AC13="",AD13=""),0,IFERROR(IF(AND(INDEX(Arten,MATCH(AC13,Codes,0))="Arbeit",INDEX(Arten,MATCH(AD13,Codes,0))="Arbeit"),IF(ROUND((1+INDEX(Beginne,MATCH(AD13,Codes,0))-INDEX(EndeRel,MATCH(AC13,Codes,0)))*1440,0)&lt;660,1,0),0),0))</f>
      </c>
      <c r="AE62" s="1">
        <f>IF(OR(AE$52=0,AD13="",AE13=""),0,IFERROR(IF(AND(INDEX(Arten,MATCH(AD13,Codes,0))="Arbeit",INDEX(Arten,MATCH(AE13,Codes,0))="Arbeit"),IF(ROUND((1+INDEX(Beginne,MATCH(AE13,Codes,0))-INDEX(EndeRel,MATCH(AD13,Codes,0)))*1440,0)&lt;660,1,0),0),0))</f>
      </c>
      <c r="AF62" s="1">
        <f>IF(OR(AF$52=0,AE13="",AF13=""),0,IFERROR(IF(AND(INDEX(Arten,MATCH(AE13,Codes,0))="Arbeit",INDEX(Arten,MATCH(AF13,Codes,0))="Arbeit"),IF(ROUND((1+INDEX(Beginne,MATCH(AF13,Codes,0))-INDEX(EndeRel,MATCH(AE13,Codes,0)))*1440,0)&lt;660,1,0),0),0))</f>
      </c>
    </row>
    <row r="63" hidden="1" spans="1:32" x14ac:dyDescent="0.25">
      <c r="A63" s="1"/>
      <c r="B63" s="1">
        <f>IF(OR(B$52=0,INDEX('Februar'!$B$14:$AF$14,DAY(DATE(Jahr,3,0)))="",B14=""),0,IFERROR(IF(AND(INDEX(Arten,MATCH(INDEX('Februar'!$B$14:$AF$14,DAY(DATE(Jahr,3,0))),Codes,0))="Arbeit",INDEX(Arten,MATCH(B14,Codes,0))="Arbeit"),IF(ROUND((1+INDEX(Beginne,MATCH(B14,Codes,0))-INDEX(EndeRel,MATCH(INDEX('Februar'!$B$14:$AF$14,DAY(DATE(Jahr,3,0))),Codes,0)))*1440,0)&lt;660,1,0),0),0))</f>
      </c>
      <c r="C63" s="1">
        <f>IF(OR(C$52=0,B14="",C14=""),0,IFERROR(IF(AND(INDEX(Arten,MATCH(B14,Codes,0))="Arbeit",INDEX(Arten,MATCH(C14,Codes,0))="Arbeit"),IF(ROUND((1+INDEX(Beginne,MATCH(C14,Codes,0))-INDEX(EndeRel,MATCH(B14,Codes,0)))*1440,0)&lt;660,1,0),0),0))</f>
      </c>
      <c r="D63" s="1">
        <f>IF(OR(D$52=0,C14="",D14=""),0,IFERROR(IF(AND(INDEX(Arten,MATCH(C14,Codes,0))="Arbeit",INDEX(Arten,MATCH(D14,Codes,0))="Arbeit"),IF(ROUND((1+INDEX(Beginne,MATCH(D14,Codes,0))-INDEX(EndeRel,MATCH(C14,Codes,0)))*1440,0)&lt;660,1,0),0),0))</f>
      </c>
      <c r="E63" s="1">
        <f>IF(OR(E$52=0,D14="",E14=""),0,IFERROR(IF(AND(INDEX(Arten,MATCH(D14,Codes,0))="Arbeit",INDEX(Arten,MATCH(E14,Codes,0))="Arbeit"),IF(ROUND((1+INDEX(Beginne,MATCH(E14,Codes,0))-INDEX(EndeRel,MATCH(D14,Codes,0)))*1440,0)&lt;660,1,0),0),0))</f>
      </c>
      <c r="F63" s="1">
        <f>IF(OR(F$52=0,E14="",F14=""),0,IFERROR(IF(AND(INDEX(Arten,MATCH(E14,Codes,0))="Arbeit",INDEX(Arten,MATCH(F14,Codes,0))="Arbeit"),IF(ROUND((1+INDEX(Beginne,MATCH(F14,Codes,0))-INDEX(EndeRel,MATCH(E14,Codes,0)))*1440,0)&lt;660,1,0),0),0))</f>
      </c>
      <c r="G63" s="1">
        <f>IF(OR(G$52=0,F14="",G14=""),0,IFERROR(IF(AND(INDEX(Arten,MATCH(F14,Codes,0))="Arbeit",INDEX(Arten,MATCH(G14,Codes,0))="Arbeit"),IF(ROUND((1+INDEX(Beginne,MATCH(G14,Codes,0))-INDEX(EndeRel,MATCH(F14,Codes,0)))*1440,0)&lt;660,1,0),0),0))</f>
      </c>
      <c r="H63" s="1">
        <f>IF(OR(H$52=0,G14="",H14=""),0,IFERROR(IF(AND(INDEX(Arten,MATCH(G14,Codes,0))="Arbeit",INDEX(Arten,MATCH(H14,Codes,0))="Arbeit"),IF(ROUND((1+INDEX(Beginne,MATCH(H14,Codes,0))-INDEX(EndeRel,MATCH(G14,Codes,0)))*1440,0)&lt;660,1,0),0),0))</f>
      </c>
      <c r="I63" s="1">
        <f>IF(OR(I$52=0,H14="",I14=""),0,IFERROR(IF(AND(INDEX(Arten,MATCH(H14,Codes,0))="Arbeit",INDEX(Arten,MATCH(I14,Codes,0))="Arbeit"),IF(ROUND((1+INDEX(Beginne,MATCH(I14,Codes,0))-INDEX(EndeRel,MATCH(H14,Codes,0)))*1440,0)&lt;660,1,0),0),0))</f>
      </c>
      <c r="J63" s="1">
        <f>IF(OR(J$52=0,I14="",J14=""),0,IFERROR(IF(AND(INDEX(Arten,MATCH(I14,Codes,0))="Arbeit",INDEX(Arten,MATCH(J14,Codes,0))="Arbeit"),IF(ROUND((1+INDEX(Beginne,MATCH(J14,Codes,0))-INDEX(EndeRel,MATCH(I14,Codes,0)))*1440,0)&lt;660,1,0),0),0))</f>
      </c>
      <c r="K63" s="1">
        <f>IF(OR(K$52=0,J14="",K14=""),0,IFERROR(IF(AND(INDEX(Arten,MATCH(J14,Codes,0))="Arbeit",INDEX(Arten,MATCH(K14,Codes,0))="Arbeit"),IF(ROUND((1+INDEX(Beginne,MATCH(K14,Codes,0))-INDEX(EndeRel,MATCH(J14,Codes,0)))*1440,0)&lt;660,1,0),0),0))</f>
      </c>
      <c r="L63" s="1">
        <f>IF(OR(L$52=0,K14="",L14=""),0,IFERROR(IF(AND(INDEX(Arten,MATCH(K14,Codes,0))="Arbeit",INDEX(Arten,MATCH(L14,Codes,0))="Arbeit"),IF(ROUND((1+INDEX(Beginne,MATCH(L14,Codes,0))-INDEX(EndeRel,MATCH(K14,Codes,0)))*1440,0)&lt;660,1,0),0),0))</f>
      </c>
      <c r="M63" s="1">
        <f>IF(OR(M$52=0,L14="",M14=""),0,IFERROR(IF(AND(INDEX(Arten,MATCH(L14,Codes,0))="Arbeit",INDEX(Arten,MATCH(M14,Codes,0))="Arbeit"),IF(ROUND((1+INDEX(Beginne,MATCH(M14,Codes,0))-INDEX(EndeRel,MATCH(L14,Codes,0)))*1440,0)&lt;660,1,0),0),0))</f>
      </c>
      <c r="N63" s="1">
        <f>IF(OR(N$52=0,M14="",N14=""),0,IFERROR(IF(AND(INDEX(Arten,MATCH(M14,Codes,0))="Arbeit",INDEX(Arten,MATCH(N14,Codes,0))="Arbeit"),IF(ROUND((1+INDEX(Beginne,MATCH(N14,Codes,0))-INDEX(EndeRel,MATCH(M14,Codes,0)))*1440,0)&lt;660,1,0),0),0))</f>
      </c>
      <c r="O63" s="1">
        <f>IF(OR(O$52=0,N14="",O14=""),0,IFERROR(IF(AND(INDEX(Arten,MATCH(N14,Codes,0))="Arbeit",INDEX(Arten,MATCH(O14,Codes,0))="Arbeit"),IF(ROUND((1+INDEX(Beginne,MATCH(O14,Codes,0))-INDEX(EndeRel,MATCH(N14,Codes,0)))*1440,0)&lt;660,1,0),0),0))</f>
      </c>
      <c r="P63" s="1">
        <f>IF(OR(P$52=0,O14="",P14=""),0,IFERROR(IF(AND(INDEX(Arten,MATCH(O14,Codes,0))="Arbeit",INDEX(Arten,MATCH(P14,Codes,0))="Arbeit"),IF(ROUND((1+INDEX(Beginne,MATCH(P14,Codes,0))-INDEX(EndeRel,MATCH(O14,Codes,0)))*1440,0)&lt;660,1,0),0),0))</f>
      </c>
      <c r="Q63" s="1">
        <f>IF(OR(Q$52=0,P14="",Q14=""),0,IFERROR(IF(AND(INDEX(Arten,MATCH(P14,Codes,0))="Arbeit",INDEX(Arten,MATCH(Q14,Codes,0))="Arbeit"),IF(ROUND((1+INDEX(Beginne,MATCH(Q14,Codes,0))-INDEX(EndeRel,MATCH(P14,Codes,0)))*1440,0)&lt;660,1,0),0),0))</f>
      </c>
      <c r="R63" s="1">
        <f>IF(OR(R$52=0,Q14="",R14=""),0,IFERROR(IF(AND(INDEX(Arten,MATCH(Q14,Codes,0))="Arbeit",INDEX(Arten,MATCH(R14,Codes,0))="Arbeit"),IF(ROUND((1+INDEX(Beginne,MATCH(R14,Codes,0))-INDEX(EndeRel,MATCH(Q14,Codes,0)))*1440,0)&lt;660,1,0),0),0))</f>
      </c>
      <c r="S63" s="1">
        <f>IF(OR(S$52=0,R14="",S14=""),0,IFERROR(IF(AND(INDEX(Arten,MATCH(R14,Codes,0))="Arbeit",INDEX(Arten,MATCH(S14,Codes,0))="Arbeit"),IF(ROUND((1+INDEX(Beginne,MATCH(S14,Codes,0))-INDEX(EndeRel,MATCH(R14,Codes,0)))*1440,0)&lt;660,1,0),0),0))</f>
      </c>
      <c r="T63" s="1">
        <f>IF(OR(T$52=0,S14="",T14=""),0,IFERROR(IF(AND(INDEX(Arten,MATCH(S14,Codes,0))="Arbeit",INDEX(Arten,MATCH(T14,Codes,0))="Arbeit"),IF(ROUND((1+INDEX(Beginne,MATCH(T14,Codes,0))-INDEX(EndeRel,MATCH(S14,Codes,0)))*1440,0)&lt;660,1,0),0),0))</f>
      </c>
      <c r="U63" s="1">
        <f>IF(OR(U$52=0,T14="",U14=""),0,IFERROR(IF(AND(INDEX(Arten,MATCH(T14,Codes,0))="Arbeit",INDEX(Arten,MATCH(U14,Codes,0))="Arbeit"),IF(ROUND((1+INDEX(Beginne,MATCH(U14,Codes,0))-INDEX(EndeRel,MATCH(T14,Codes,0)))*1440,0)&lt;660,1,0),0),0))</f>
      </c>
      <c r="V63" s="1">
        <f>IF(OR(V$52=0,U14="",V14=""),0,IFERROR(IF(AND(INDEX(Arten,MATCH(U14,Codes,0))="Arbeit",INDEX(Arten,MATCH(V14,Codes,0))="Arbeit"),IF(ROUND((1+INDEX(Beginne,MATCH(V14,Codes,0))-INDEX(EndeRel,MATCH(U14,Codes,0)))*1440,0)&lt;660,1,0),0),0))</f>
      </c>
      <c r="W63" s="1">
        <f>IF(OR(W$52=0,V14="",W14=""),0,IFERROR(IF(AND(INDEX(Arten,MATCH(V14,Codes,0))="Arbeit",INDEX(Arten,MATCH(W14,Codes,0))="Arbeit"),IF(ROUND((1+INDEX(Beginne,MATCH(W14,Codes,0))-INDEX(EndeRel,MATCH(V14,Codes,0)))*1440,0)&lt;660,1,0),0),0))</f>
      </c>
      <c r="X63" s="1">
        <f>IF(OR(X$52=0,W14="",X14=""),0,IFERROR(IF(AND(INDEX(Arten,MATCH(W14,Codes,0))="Arbeit",INDEX(Arten,MATCH(X14,Codes,0))="Arbeit"),IF(ROUND((1+INDEX(Beginne,MATCH(X14,Codes,0))-INDEX(EndeRel,MATCH(W14,Codes,0)))*1440,0)&lt;660,1,0),0),0))</f>
      </c>
      <c r="Y63" s="1">
        <f>IF(OR(Y$52=0,X14="",Y14=""),0,IFERROR(IF(AND(INDEX(Arten,MATCH(X14,Codes,0))="Arbeit",INDEX(Arten,MATCH(Y14,Codes,0))="Arbeit"),IF(ROUND((1+INDEX(Beginne,MATCH(Y14,Codes,0))-INDEX(EndeRel,MATCH(X14,Codes,0)))*1440,0)&lt;660,1,0),0),0))</f>
      </c>
      <c r="Z63" s="1">
        <f>IF(OR(Z$52=0,Y14="",Z14=""),0,IFERROR(IF(AND(INDEX(Arten,MATCH(Y14,Codes,0))="Arbeit",INDEX(Arten,MATCH(Z14,Codes,0))="Arbeit"),IF(ROUND((1+INDEX(Beginne,MATCH(Z14,Codes,0))-INDEX(EndeRel,MATCH(Y14,Codes,0)))*1440,0)&lt;660,1,0),0),0))</f>
      </c>
      <c r="AA63" s="1">
        <f>IF(OR(AA$52=0,Z14="",AA14=""),0,IFERROR(IF(AND(INDEX(Arten,MATCH(Z14,Codes,0))="Arbeit",INDEX(Arten,MATCH(AA14,Codes,0))="Arbeit"),IF(ROUND((1+INDEX(Beginne,MATCH(AA14,Codes,0))-INDEX(EndeRel,MATCH(Z14,Codes,0)))*1440,0)&lt;660,1,0),0),0))</f>
      </c>
      <c r="AB63" s="1">
        <f>IF(OR(AB$52=0,AA14="",AB14=""),0,IFERROR(IF(AND(INDEX(Arten,MATCH(AA14,Codes,0))="Arbeit",INDEX(Arten,MATCH(AB14,Codes,0))="Arbeit"),IF(ROUND((1+INDEX(Beginne,MATCH(AB14,Codes,0))-INDEX(EndeRel,MATCH(AA14,Codes,0)))*1440,0)&lt;660,1,0),0),0))</f>
      </c>
      <c r="AC63" s="1">
        <f>IF(OR(AC$52=0,AB14="",AC14=""),0,IFERROR(IF(AND(INDEX(Arten,MATCH(AB14,Codes,0))="Arbeit",INDEX(Arten,MATCH(AC14,Codes,0))="Arbeit"),IF(ROUND((1+INDEX(Beginne,MATCH(AC14,Codes,0))-INDEX(EndeRel,MATCH(AB14,Codes,0)))*1440,0)&lt;660,1,0),0),0))</f>
      </c>
      <c r="AD63" s="1">
        <f>IF(OR(AD$52=0,AC14="",AD14=""),0,IFERROR(IF(AND(INDEX(Arten,MATCH(AC14,Codes,0))="Arbeit",INDEX(Arten,MATCH(AD14,Codes,0))="Arbeit"),IF(ROUND((1+INDEX(Beginne,MATCH(AD14,Codes,0))-INDEX(EndeRel,MATCH(AC14,Codes,0)))*1440,0)&lt;660,1,0),0),0))</f>
      </c>
      <c r="AE63" s="1">
        <f>IF(OR(AE$52=0,AD14="",AE14=""),0,IFERROR(IF(AND(INDEX(Arten,MATCH(AD14,Codes,0))="Arbeit",INDEX(Arten,MATCH(AE14,Codes,0))="Arbeit"),IF(ROUND((1+INDEX(Beginne,MATCH(AE14,Codes,0))-INDEX(EndeRel,MATCH(AD14,Codes,0)))*1440,0)&lt;660,1,0),0),0))</f>
      </c>
      <c r="AF63" s="1">
        <f>IF(OR(AF$52=0,AE14="",AF14=""),0,IFERROR(IF(AND(INDEX(Arten,MATCH(AE14,Codes,0))="Arbeit",INDEX(Arten,MATCH(AF14,Codes,0))="Arbeit"),IF(ROUND((1+INDEX(Beginne,MATCH(AF14,Codes,0))-INDEX(EndeRel,MATCH(AE14,Codes,0)))*1440,0)&lt;660,1,0),0),0))</f>
      </c>
    </row>
    <row r="64" hidden="1" spans="1:32" x14ac:dyDescent="0.25">
      <c r="A64" s="1"/>
      <c r="B64" s="1">
        <f>IF(OR(B$52=0,INDEX('Februar'!$B$15:$AF$15,DAY(DATE(Jahr,3,0)))="",B15=""),0,IFERROR(IF(AND(INDEX(Arten,MATCH(INDEX('Februar'!$B$15:$AF$15,DAY(DATE(Jahr,3,0))),Codes,0))="Arbeit",INDEX(Arten,MATCH(B15,Codes,0))="Arbeit"),IF(ROUND((1+INDEX(Beginne,MATCH(B15,Codes,0))-INDEX(EndeRel,MATCH(INDEX('Februar'!$B$15:$AF$15,DAY(DATE(Jahr,3,0))),Codes,0)))*1440,0)&lt;660,1,0),0),0))</f>
      </c>
      <c r="C64" s="1">
        <f>IF(OR(C$52=0,B15="",C15=""),0,IFERROR(IF(AND(INDEX(Arten,MATCH(B15,Codes,0))="Arbeit",INDEX(Arten,MATCH(C15,Codes,0))="Arbeit"),IF(ROUND((1+INDEX(Beginne,MATCH(C15,Codes,0))-INDEX(EndeRel,MATCH(B15,Codes,0)))*1440,0)&lt;660,1,0),0),0))</f>
      </c>
      <c r="D64" s="1">
        <f>IF(OR(D$52=0,C15="",D15=""),0,IFERROR(IF(AND(INDEX(Arten,MATCH(C15,Codes,0))="Arbeit",INDEX(Arten,MATCH(D15,Codes,0))="Arbeit"),IF(ROUND((1+INDEX(Beginne,MATCH(D15,Codes,0))-INDEX(EndeRel,MATCH(C15,Codes,0)))*1440,0)&lt;660,1,0),0),0))</f>
      </c>
      <c r="E64" s="1">
        <f>IF(OR(E$52=0,D15="",E15=""),0,IFERROR(IF(AND(INDEX(Arten,MATCH(D15,Codes,0))="Arbeit",INDEX(Arten,MATCH(E15,Codes,0))="Arbeit"),IF(ROUND((1+INDEX(Beginne,MATCH(E15,Codes,0))-INDEX(EndeRel,MATCH(D15,Codes,0)))*1440,0)&lt;660,1,0),0),0))</f>
      </c>
      <c r="F64" s="1">
        <f>IF(OR(F$52=0,E15="",F15=""),0,IFERROR(IF(AND(INDEX(Arten,MATCH(E15,Codes,0))="Arbeit",INDEX(Arten,MATCH(F15,Codes,0))="Arbeit"),IF(ROUND((1+INDEX(Beginne,MATCH(F15,Codes,0))-INDEX(EndeRel,MATCH(E15,Codes,0)))*1440,0)&lt;660,1,0),0),0))</f>
      </c>
      <c r="G64" s="1">
        <f>IF(OR(G$52=0,F15="",G15=""),0,IFERROR(IF(AND(INDEX(Arten,MATCH(F15,Codes,0))="Arbeit",INDEX(Arten,MATCH(G15,Codes,0))="Arbeit"),IF(ROUND((1+INDEX(Beginne,MATCH(G15,Codes,0))-INDEX(EndeRel,MATCH(F15,Codes,0)))*1440,0)&lt;660,1,0),0),0))</f>
      </c>
      <c r="H64" s="1">
        <f>IF(OR(H$52=0,G15="",H15=""),0,IFERROR(IF(AND(INDEX(Arten,MATCH(G15,Codes,0))="Arbeit",INDEX(Arten,MATCH(H15,Codes,0))="Arbeit"),IF(ROUND((1+INDEX(Beginne,MATCH(H15,Codes,0))-INDEX(EndeRel,MATCH(G15,Codes,0)))*1440,0)&lt;660,1,0),0),0))</f>
      </c>
      <c r="I64" s="1">
        <f>IF(OR(I$52=0,H15="",I15=""),0,IFERROR(IF(AND(INDEX(Arten,MATCH(H15,Codes,0))="Arbeit",INDEX(Arten,MATCH(I15,Codes,0))="Arbeit"),IF(ROUND((1+INDEX(Beginne,MATCH(I15,Codes,0))-INDEX(EndeRel,MATCH(H15,Codes,0)))*1440,0)&lt;660,1,0),0),0))</f>
      </c>
      <c r="J64" s="1">
        <f>IF(OR(J$52=0,I15="",J15=""),0,IFERROR(IF(AND(INDEX(Arten,MATCH(I15,Codes,0))="Arbeit",INDEX(Arten,MATCH(J15,Codes,0))="Arbeit"),IF(ROUND((1+INDEX(Beginne,MATCH(J15,Codes,0))-INDEX(EndeRel,MATCH(I15,Codes,0)))*1440,0)&lt;660,1,0),0),0))</f>
      </c>
      <c r="K64" s="1">
        <f>IF(OR(K$52=0,J15="",K15=""),0,IFERROR(IF(AND(INDEX(Arten,MATCH(J15,Codes,0))="Arbeit",INDEX(Arten,MATCH(K15,Codes,0))="Arbeit"),IF(ROUND((1+INDEX(Beginne,MATCH(K15,Codes,0))-INDEX(EndeRel,MATCH(J15,Codes,0)))*1440,0)&lt;660,1,0),0),0))</f>
      </c>
      <c r="L64" s="1">
        <f>IF(OR(L$52=0,K15="",L15=""),0,IFERROR(IF(AND(INDEX(Arten,MATCH(K15,Codes,0))="Arbeit",INDEX(Arten,MATCH(L15,Codes,0))="Arbeit"),IF(ROUND((1+INDEX(Beginne,MATCH(L15,Codes,0))-INDEX(EndeRel,MATCH(K15,Codes,0)))*1440,0)&lt;660,1,0),0),0))</f>
      </c>
      <c r="M64" s="1">
        <f>IF(OR(M$52=0,L15="",M15=""),0,IFERROR(IF(AND(INDEX(Arten,MATCH(L15,Codes,0))="Arbeit",INDEX(Arten,MATCH(M15,Codes,0))="Arbeit"),IF(ROUND((1+INDEX(Beginne,MATCH(M15,Codes,0))-INDEX(EndeRel,MATCH(L15,Codes,0)))*1440,0)&lt;660,1,0),0),0))</f>
      </c>
      <c r="N64" s="1">
        <f>IF(OR(N$52=0,M15="",N15=""),0,IFERROR(IF(AND(INDEX(Arten,MATCH(M15,Codes,0))="Arbeit",INDEX(Arten,MATCH(N15,Codes,0))="Arbeit"),IF(ROUND((1+INDEX(Beginne,MATCH(N15,Codes,0))-INDEX(EndeRel,MATCH(M15,Codes,0)))*1440,0)&lt;660,1,0),0),0))</f>
      </c>
      <c r="O64" s="1">
        <f>IF(OR(O$52=0,N15="",O15=""),0,IFERROR(IF(AND(INDEX(Arten,MATCH(N15,Codes,0))="Arbeit",INDEX(Arten,MATCH(O15,Codes,0))="Arbeit"),IF(ROUND((1+INDEX(Beginne,MATCH(O15,Codes,0))-INDEX(EndeRel,MATCH(N15,Codes,0)))*1440,0)&lt;660,1,0),0),0))</f>
      </c>
      <c r="P64" s="1">
        <f>IF(OR(P$52=0,O15="",P15=""),0,IFERROR(IF(AND(INDEX(Arten,MATCH(O15,Codes,0))="Arbeit",INDEX(Arten,MATCH(P15,Codes,0))="Arbeit"),IF(ROUND((1+INDEX(Beginne,MATCH(P15,Codes,0))-INDEX(EndeRel,MATCH(O15,Codes,0)))*1440,0)&lt;660,1,0),0),0))</f>
      </c>
      <c r="Q64" s="1">
        <f>IF(OR(Q$52=0,P15="",Q15=""),0,IFERROR(IF(AND(INDEX(Arten,MATCH(P15,Codes,0))="Arbeit",INDEX(Arten,MATCH(Q15,Codes,0))="Arbeit"),IF(ROUND((1+INDEX(Beginne,MATCH(Q15,Codes,0))-INDEX(EndeRel,MATCH(P15,Codes,0)))*1440,0)&lt;660,1,0),0),0))</f>
      </c>
      <c r="R64" s="1">
        <f>IF(OR(R$52=0,Q15="",R15=""),0,IFERROR(IF(AND(INDEX(Arten,MATCH(Q15,Codes,0))="Arbeit",INDEX(Arten,MATCH(R15,Codes,0))="Arbeit"),IF(ROUND((1+INDEX(Beginne,MATCH(R15,Codes,0))-INDEX(EndeRel,MATCH(Q15,Codes,0)))*1440,0)&lt;660,1,0),0),0))</f>
      </c>
      <c r="S64" s="1">
        <f>IF(OR(S$52=0,R15="",S15=""),0,IFERROR(IF(AND(INDEX(Arten,MATCH(R15,Codes,0))="Arbeit",INDEX(Arten,MATCH(S15,Codes,0))="Arbeit"),IF(ROUND((1+INDEX(Beginne,MATCH(S15,Codes,0))-INDEX(EndeRel,MATCH(R15,Codes,0)))*1440,0)&lt;660,1,0),0),0))</f>
      </c>
      <c r="T64" s="1">
        <f>IF(OR(T$52=0,S15="",T15=""),0,IFERROR(IF(AND(INDEX(Arten,MATCH(S15,Codes,0))="Arbeit",INDEX(Arten,MATCH(T15,Codes,0))="Arbeit"),IF(ROUND((1+INDEX(Beginne,MATCH(T15,Codes,0))-INDEX(EndeRel,MATCH(S15,Codes,0)))*1440,0)&lt;660,1,0),0),0))</f>
      </c>
      <c r="U64" s="1">
        <f>IF(OR(U$52=0,T15="",U15=""),0,IFERROR(IF(AND(INDEX(Arten,MATCH(T15,Codes,0))="Arbeit",INDEX(Arten,MATCH(U15,Codes,0))="Arbeit"),IF(ROUND((1+INDEX(Beginne,MATCH(U15,Codes,0))-INDEX(EndeRel,MATCH(T15,Codes,0)))*1440,0)&lt;660,1,0),0),0))</f>
      </c>
      <c r="V64" s="1">
        <f>IF(OR(V$52=0,U15="",V15=""),0,IFERROR(IF(AND(INDEX(Arten,MATCH(U15,Codes,0))="Arbeit",INDEX(Arten,MATCH(V15,Codes,0))="Arbeit"),IF(ROUND((1+INDEX(Beginne,MATCH(V15,Codes,0))-INDEX(EndeRel,MATCH(U15,Codes,0)))*1440,0)&lt;660,1,0),0),0))</f>
      </c>
      <c r="W64" s="1">
        <f>IF(OR(W$52=0,V15="",W15=""),0,IFERROR(IF(AND(INDEX(Arten,MATCH(V15,Codes,0))="Arbeit",INDEX(Arten,MATCH(W15,Codes,0))="Arbeit"),IF(ROUND((1+INDEX(Beginne,MATCH(W15,Codes,0))-INDEX(EndeRel,MATCH(V15,Codes,0)))*1440,0)&lt;660,1,0),0),0))</f>
      </c>
      <c r="X64" s="1">
        <f>IF(OR(X$52=0,W15="",X15=""),0,IFERROR(IF(AND(INDEX(Arten,MATCH(W15,Codes,0))="Arbeit",INDEX(Arten,MATCH(X15,Codes,0))="Arbeit"),IF(ROUND((1+INDEX(Beginne,MATCH(X15,Codes,0))-INDEX(EndeRel,MATCH(W15,Codes,0)))*1440,0)&lt;660,1,0),0),0))</f>
      </c>
      <c r="Y64" s="1">
        <f>IF(OR(Y$52=0,X15="",Y15=""),0,IFERROR(IF(AND(INDEX(Arten,MATCH(X15,Codes,0))="Arbeit",INDEX(Arten,MATCH(Y15,Codes,0))="Arbeit"),IF(ROUND((1+INDEX(Beginne,MATCH(Y15,Codes,0))-INDEX(EndeRel,MATCH(X15,Codes,0)))*1440,0)&lt;660,1,0),0),0))</f>
      </c>
      <c r="Z64" s="1">
        <f>IF(OR(Z$52=0,Y15="",Z15=""),0,IFERROR(IF(AND(INDEX(Arten,MATCH(Y15,Codes,0))="Arbeit",INDEX(Arten,MATCH(Z15,Codes,0))="Arbeit"),IF(ROUND((1+INDEX(Beginne,MATCH(Z15,Codes,0))-INDEX(EndeRel,MATCH(Y15,Codes,0)))*1440,0)&lt;660,1,0),0),0))</f>
      </c>
      <c r="AA64" s="1">
        <f>IF(OR(AA$52=0,Z15="",AA15=""),0,IFERROR(IF(AND(INDEX(Arten,MATCH(Z15,Codes,0))="Arbeit",INDEX(Arten,MATCH(AA15,Codes,0))="Arbeit"),IF(ROUND((1+INDEX(Beginne,MATCH(AA15,Codes,0))-INDEX(EndeRel,MATCH(Z15,Codes,0)))*1440,0)&lt;660,1,0),0),0))</f>
      </c>
      <c r="AB64" s="1">
        <f>IF(OR(AB$52=0,AA15="",AB15=""),0,IFERROR(IF(AND(INDEX(Arten,MATCH(AA15,Codes,0))="Arbeit",INDEX(Arten,MATCH(AB15,Codes,0))="Arbeit"),IF(ROUND((1+INDEX(Beginne,MATCH(AB15,Codes,0))-INDEX(EndeRel,MATCH(AA15,Codes,0)))*1440,0)&lt;660,1,0),0),0))</f>
      </c>
      <c r="AC64" s="1">
        <f>IF(OR(AC$52=0,AB15="",AC15=""),0,IFERROR(IF(AND(INDEX(Arten,MATCH(AB15,Codes,0))="Arbeit",INDEX(Arten,MATCH(AC15,Codes,0))="Arbeit"),IF(ROUND((1+INDEX(Beginne,MATCH(AC15,Codes,0))-INDEX(EndeRel,MATCH(AB15,Codes,0)))*1440,0)&lt;660,1,0),0),0))</f>
      </c>
      <c r="AD64" s="1">
        <f>IF(OR(AD$52=0,AC15="",AD15=""),0,IFERROR(IF(AND(INDEX(Arten,MATCH(AC15,Codes,0))="Arbeit",INDEX(Arten,MATCH(AD15,Codes,0))="Arbeit"),IF(ROUND((1+INDEX(Beginne,MATCH(AD15,Codes,0))-INDEX(EndeRel,MATCH(AC15,Codes,0)))*1440,0)&lt;660,1,0),0),0))</f>
      </c>
      <c r="AE64" s="1">
        <f>IF(OR(AE$52=0,AD15="",AE15=""),0,IFERROR(IF(AND(INDEX(Arten,MATCH(AD15,Codes,0))="Arbeit",INDEX(Arten,MATCH(AE15,Codes,0))="Arbeit"),IF(ROUND((1+INDEX(Beginne,MATCH(AE15,Codes,0))-INDEX(EndeRel,MATCH(AD15,Codes,0)))*1440,0)&lt;660,1,0),0),0))</f>
      </c>
      <c r="AF64" s="1">
        <f>IF(OR(AF$52=0,AE15="",AF15=""),0,IFERROR(IF(AND(INDEX(Arten,MATCH(AE15,Codes,0))="Arbeit",INDEX(Arten,MATCH(AF15,Codes,0))="Arbeit"),IF(ROUND((1+INDEX(Beginne,MATCH(AF15,Codes,0))-INDEX(EndeRel,MATCH(AE15,Codes,0)))*1440,0)&lt;660,1,0),0),0))</f>
      </c>
    </row>
    <row r="65" hidden="1" spans="1:32" x14ac:dyDescent="0.25">
      <c r="A65" s="1"/>
      <c r="B65" s="1">
        <f>IF(OR(B$52=0,INDEX('Februar'!$B$16:$AF$16,DAY(DATE(Jahr,3,0)))="",B16=""),0,IFERROR(IF(AND(INDEX(Arten,MATCH(INDEX('Februar'!$B$16:$AF$16,DAY(DATE(Jahr,3,0))),Codes,0))="Arbeit",INDEX(Arten,MATCH(B16,Codes,0))="Arbeit"),IF(ROUND((1+INDEX(Beginne,MATCH(B16,Codes,0))-INDEX(EndeRel,MATCH(INDEX('Februar'!$B$16:$AF$16,DAY(DATE(Jahr,3,0))),Codes,0)))*1440,0)&lt;660,1,0),0),0))</f>
      </c>
      <c r="C65" s="1">
        <f>IF(OR(C$52=0,B16="",C16=""),0,IFERROR(IF(AND(INDEX(Arten,MATCH(B16,Codes,0))="Arbeit",INDEX(Arten,MATCH(C16,Codes,0))="Arbeit"),IF(ROUND((1+INDEX(Beginne,MATCH(C16,Codes,0))-INDEX(EndeRel,MATCH(B16,Codes,0)))*1440,0)&lt;660,1,0),0),0))</f>
      </c>
      <c r="D65" s="1">
        <f>IF(OR(D$52=0,C16="",D16=""),0,IFERROR(IF(AND(INDEX(Arten,MATCH(C16,Codes,0))="Arbeit",INDEX(Arten,MATCH(D16,Codes,0))="Arbeit"),IF(ROUND((1+INDEX(Beginne,MATCH(D16,Codes,0))-INDEX(EndeRel,MATCH(C16,Codes,0)))*1440,0)&lt;660,1,0),0),0))</f>
      </c>
      <c r="E65" s="1">
        <f>IF(OR(E$52=0,D16="",E16=""),0,IFERROR(IF(AND(INDEX(Arten,MATCH(D16,Codes,0))="Arbeit",INDEX(Arten,MATCH(E16,Codes,0))="Arbeit"),IF(ROUND((1+INDEX(Beginne,MATCH(E16,Codes,0))-INDEX(EndeRel,MATCH(D16,Codes,0)))*1440,0)&lt;660,1,0),0),0))</f>
      </c>
      <c r="F65" s="1">
        <f>IF(OR(F$52=0,E16="",F16=""),0,IFERROR(IF(AND(INDEX(Arten,MATCH(E16,Codes,0))="Arbeit",INDEX(Arten,MATCH(F16,Codes,0))="Arbeit"),IF(ROUND((1+INDEX(Beginne,MATCH(F16,Codes,0))-INDEX(EndeRel,MATCH(E16,Codes,0)))*1440,0)&lt;660,1,0),0),0))</f>
      </c>
      <c r="G65" s="1">
        <f>IF(OR(G$52=0,F16="",G16=""),0,IFERROR(IF(AND(INDEX(Arten,MATCH(F16,Codes,0))="Arbeit",INDEX(Arten,MATCH(G16,Codes,0))="Arbeit"),IF(ROUND((1+INDEX(Beginne,MATCH(G16,Codes,0))-INDEX(EndeRel,MATCH(F16,Codes,0)))*1440,0)&lt;660,1,0),0),0))</f>
      </c>
      <c r="H65" s="1">
        <f>IF(OR(H$52=0,G16="",H16=""),0,IFERROR(IF(AND(INDEX(Arten,MATCH(G16,Codes,0))="Arbeit",INDEX(Arten,MATCH(H16,Codes,0))="Arbeit"),IF(ROUND((1+INDEX(Beginne,MATCH(H16,Codes,0))-INDEX(EndeRel,MATCH(G16,Codes,0)))*1440,0)&lt;660,1,0),0),0))</f>
      </c>
      <c r="I65" s="1">
        <f>IF(OR(I$52=0,H16="",I16=""),0,IFERROR(IF(AND(INDEX(Arten,MATCH(H16,Codes,0))="Arbeit",INDEX(Arten,MATCH(I16,Codes,0))="Arbeit"),IF(ROUND((1+INDEX(Beginne,MATCH(I16,Codes,0))-INDEX(EndeRel,MATCH(H16,Codes,0)))*1440,0)&lt;660,1,0),0),0))</f>
      </c>
      <c r="J65" s="1">
        <f>IF(OR(J$52=0,I16="",J16=""),0,IFERROR(IF(AND(INDEX(Arten,MATCH(I16,Codes,0))="Arbeit",INDEX(Arten,MATCH(J16,Codes,0))="Arbeit"),IF(ROUND((1+INDEX(Beginne,MATCH(J16,Codes,0))-INDEX(EndeRel,MATCH(I16,Codes,0)))*1440,0)&lt;660,1,0),0),0))</f>
      </c>
      <c r="K65" s="1">
        <f>IF(OR(K$52=0,J16="",K16=""),0,IFERROR(IF(AND(INDEX(Arten,MATCH(J16,Codes,0))="Arbeit",INDEX(Arten,MATCH(K16,Codes,0))="Arbeit"),IF(ROUND((1+INDEX(Beginne,MATCH(K16,Codes,0))-INDEX(EndeRel,MATCH(J16,Codes,0)))*1440,0)&lt;660,1,0),0),0))</f>
      </c>
      <c r="L65" s="1">
        <f>IF(OR(L$52=0,K16="",L16=""),0,IFERROR(IF(AND(INDEX(Arten,MATCH(K16,Codes,0))="Arbeit",INDEX(Arten,MATCH(L16,Codes,0))="Arbeit"),IF(ROUND((1+INDEX(Beginne,MATCH(L16,Codes,0))-INDEX(EndeRel,MATCH(K16,Codes,0)))*1440,0)&lt;660,1,0),0),0))</f>
      </c>
      <c r="M65" s="1">
        <f>IF(OR(M$52=0,L16="",M16=""),0,IFERROR(IF(AND(INDEX(Arten,MATCH(L16,Codes,0))="Arbeit",INDEX(Arten,MATCH(M16,Codes,0))="Arbeit"),IF(ROUND((1+INDEX(Beginne,MATCH(M16,Codes,0))-INDEX(EndeRel,MATCH(L16,Codes,0)))*1440,0)&lt;660,1,0),0),0))</f>
      </c>
      <c r="N65" s="1">
        <f>IF(OR(N$52=0,M16="",N16=""),0,IFERROR(IF(AND(INDEX(Arten,MATCH(M16,Codes,0))="Arbeit",INDEX(Arten,MATCH(N16,Codes,0))="Arbeit"),IF(ROUND((1+INDEX(Beginne,MATCH(N16,Codes,0))-INDEX(EndeRel,MATCH(M16,Codes,0)))*1440,0)&lt;660,1,0),0),0))</f>
      </c>
      <c r="O65" s="1">
        <f>IF(OR(O$52=0,N16="",O16=""),0,IFERROR(IF(AND(INDEX(Arten,MATCH(N16,Codes,0))="Arbeit",INDEX(Arten,MATCH(O16,Codes,0))="Arbeit"),IF(ROUND((1+INDEX(Beginne,MATCH(O16,Codes,0))-INDEX(EndeRel,MATCH(N16,Codes,0)))*1440,0)&lt;660,1,0),0),0))</f>
      </c>
      <c r="P65" s="1">
        <f>IF(OR(P$52=0,O16="",P16=""),0,IFERROR(IF(AND(INDEX(Arten,MATCH(O16,Codes,0))="Arbeit",INDEX(Arten,MATCH(P16,Codes,0))="Arbeit"),IF(ROUND((1+INDEX(Beginne,MATCH(P16,Codes,0))-INDEX(EndeRel,MATCH(O16,Codes,0)))*1440,0)&lt;660,1,0),0),0))</f>
      </c>
      <c r="Q65" s="1">
        <f>IF(OR(Q$52=0,P16="",Q16=""),0,IFERROR(IF(AND(INDEX(Arten,MATCH(P16,Codes,0))="Arbeit",INDEX(Arten,MATCH(Q16,Codes,0))="Arbeit"),IF(ROUND((1+INDEX(Beginne,MATCH(Q16,Codes,0))-INDEX(EndeRel,MATCH(P16,Codes,0)))*1440,0)&lt;660,1,0),0),0))</f>
      </c>
      <c r="R65" s="1">
        <f>IF(OR(R$52=0,Q16="",R16=""),0,IFERROR(IF(AND(INDEX(Arten,MATCH(Q16,Codes,0))="Arbeit",INDEX(Arten,MATCH(R16,Codes,0))="Arbeit"),IF(ROUND((1+INDEX(Beginne,MATCH(R16,Codes,0))-INDEX(EndeRel,MATCH(Q16,Codes,0)))*1440,0)&lt;660,1,0),0),0))</f>
      </c>
      <c r="S65" s="1">
        <f>IF(OR(S$52=0,R16="",S16=""),0,IFERROR(IF(AND(INDEX(Arten,MATCH(R16,Codes,0))="Arbeit",INDEX(Arten,MATCH(S16,Codes,0))="Arbeit"),IF(ROUND((1+INDEX(Beginne,MATCH(S16,Codes,0))-INDEX(EndeRel,MATCH(R16,Codes,0)))*1440,0)&lt;660,1,0),0),0))</f>
      </c>
      <c r="T65" s="1">
        <f>IF(OR(T$52=0,S16="",T16=""),0,IFERROR(IF(AND(INDEX(Arten,MATCH(S16,Codes,0))="Arbeit",INDEX(Arten,MATCH(T16,Codes,0))="Arbeit"),IF(ROUND((1+INDEX(Beginne,MATCH(T16,Codes,0))-INDEX(EndeRel,MATCH(S16,Codes,0)))*1440,0)&lt;660,1,0),0),0))</f>
      </c>
      <c r="U65" s="1">
        <f>IF(OR(U$52=0,T16="",U16=""),0,IFERROR(IF(AND(INDEX(Arten,MATCH(T16,Codes,0))="Arbeit",INDEX(Arten,MATCH(U16,Codes,0))="Arbeit"),IF(ROUND((1+INDEX(Beginne,MATCH(U16,Codes,0))-INDEX(EndeRel,MATCH(T16,Codes,0)))*1440,0)&lt;660,1,0),0),0))</f>
      </c>
      <c r="V65" s="1">
        <f>IF(OR(V$52=0,U16="",V16=""),0,IFERROR(IF(AND(INDEX(Arten,MATCH(U16,Codes,0))="Arbeit",INDEX(Arten,MATCH(V16,Codes,0))="Arbeit"),IF(ROUND((1+INDEX(Beginne,MATCH(V16,Codes,0))-INDEX(EndeRel,MATCH(U16,Codes,0)))*1440,0)&lt;660,1,0),0),0))</f>
      </c>
      <c r="W65" s="1">
        <f>IF(OR(W$52=0,V16="",W16=""),0,IFERROR(IF(AND(INDEX(Arten,MATCH(V16,Codes,0))="Arbeit",INDEX(Arten,MATCH(W16,Codes,0))="Arbeit"),IF(ROUND((1+INDEX(Beginne,MATCH(W16,Codes,0))-INDEX(EndeRel,MATCH(V16,Codes,0)))*1440,0)&lt;660,1,0),0),0))</f>
      </c>
      <c r="X65" s="1">
        <f>IF(OR(X$52=0,W16="",X16=""),0,IFERROR(IF(AND(INDEX(Arten,MATCH(W16,Codes,0))="Arbeit",INDEX(Arten,MATCH(X16,Codes,0))="Arbeit"),IF(ROUND((1+INDEX(Beginne,MATCH(X16,Codes,0))-INDEX(EndeRel,MATCH(W16,Codes,0)))*1440,0)&lt;660,1,0),0),0))</f>
      </c>
      <c r="Y65" s="1">
        <f>IF(OR(Y$52=0,X16="",Y16=""),0,IFERROR(IF(AND(INDEX(Arten,MATCH(X16,Codes,0))="Arbeit",INDEX(Arten,MATCH(Y16,Codes,0))="Arbeit"),IF(ROUND((1+INDEX(Beginne,MATCH(Y16,Codes,0))-INDEX(EndeRel,MATCH(X16,Codes,0)))*1440,0)&lt;660,1,0),0),0))</f>
      </c>
      <c r="Z65" s="1">
        <f>IF(OR(Z$52=0,Y16="",Z16=""),0,IFERROR(IF(AND(INDEX(Arten,MATCH(Y16,Codes,0))="Arbeit",INDEX(Arten,MATCH(Z16,Codes,0))="Arbeit"),IF(ROUND((1+INDEX(Beginne,MATCH(Z16,Codes,0))-INDEX(EndeRel,MATCH(Y16,Codes,0)))*1440,0)&lt;660,1,0),0),0))</f>
      </c>
      <c r="AA65" s="1">
        <f>IF(OR(AA$52=0,Z16="",AA16=""),0,IFERROR(IF(AND(INDEX(Arten,MATCH(Z16,Codes,0))="Arbeit",INDEX(Arten,MATCH(AA16,Codes,0))="Arbeit"),IF(ROUND((1+INDEX(Beginne,MATCH(AA16,Codes,0))-INDEX(EndeRel,MATCH(Z16,Codes,0)))*1440,0)&lt;660,1,0),0),0))</f>
      </c>
      <c r="AB65" s="1">
        <f>IF(OR(AB$52=0,AA16="",AB16=""),0,IFERROR(IF(AND(INDEX(Arten,MATCH(AA16,Codes,0))="Arbeit",INDEX(Arten,MATCH(AB16,Codes,0))="Arbeit"),IF(ROUND((1+INDEX(Beginne,MATCH(AB16,Codes,0))-INDEX(EndeRel,MATCH(AA16,Codes,0)))*1440,0)&lt;660,1,0),0),0))</f>
      </c>
      <c r="AC65" s="1">
        <f>IF(OR(AC$52=0,AB16="",AC16=""),0,IFERROR(IF(AND(INDEX(Arten,MATCH(AB16,Codes,0))="Arbeit",INDEX(Arten,MATCH(AC16,Codes,0))="Arbeit"),IF(ROUND((1+INDEX(Beginne,MATCH(AC16,Codes,0))-INDEX(EndeRel,MATCH(AB16,Codes,0)))*1440,0)&lt;660,1,0),0),0))</f>
      </c>
      <c r="AD65" s="1">
        <f>IF(OR(AD$52=0,AC16="",AD16=""),0,IFERROR(IF(AND(INDEX(Arten,MATCH(AC16,Codes,0))="Arbeit",INDEX(Arten,MATCH(AD16,Codes,0))="Arbeit"),IF(ROUND((1+INDEX(Beginne,MATCH(AD16,Codes,0))-INDEX(EndeRel,MATCH(AC16,Codes,0)))*1440,0)&lt;660,1,0),0),0))</f>
      </c>
      <c r="AE65" s="1">
        <f>IF(OR(AE$52=0,AD16="",AE16=""),0,IFERROR(IF(AND(INDEX(Arten,MATCH(AD16,Codes,0))="Arbeit",INDEX(Arten,MATCH(AE16,Codes,0))="Arbeit"),IF(ROUND((1+INDEX(Beginne,MATCH(AE16,Codes,0))-INDEX(EndeRel,MATCH(AD16,Codes,0)))*1440,0)&lt;660,1,0),0),0))</f>
      </c>
      <c r="AF65" s="1">
        <f>IF(OR(AF$52=0,AE16="",AF16=""),0,IFERROR(IF(AND(INDEX(Arten,MATCH(AE16,Codes,0))="Arbeit",INDEX(Arten,MATCH(AF16,Codes,0))="Arbeit"),IF(ROUND((1+INDEX(Beginne,MATCH(AF16,Codes,0))-INDEX(EndeRel,MATCH(AE16,Codes,0)))*1440,0)&lt;660,1,0),0),0))</f>
      </c>
    </row>
    <row r="66" hidden="1" spans="1:32" x14ac:dyDescent="0.25">
      <c r="A66" s="1"/>
      <c r="B66" s="1">
        <f>IF(OR(B$52=0,INDEX('Februar'!$B$17:$AF$17,DAY(DATE(Jahr,3,0)))="",B17=""),0,IFERROR(IF(AND(INDEX(Arten,MATCH(INDEX('Februar'!$B$17:$AF$17,DAY(DATE(Jahr,3,0))),Codes,0))="Arbeit",INDEX(Arten,MATCH(B17,Codes,0))="Arbeit"),IF(ROUND((1+INDEX(Beginne,MATCH(B17,Codes,0))-INDEX(EndeRel,MATCH(INDEX('Februar'!$B$17:$AF$17,DAY(DATE(Jahr,3,0))),Codes,0)))*1440,0)&lt;660,1,0),0),0))</f>
      </c>
      <c r="C66" s="1">
        <f>IF(OR(C$52=0,B17="",C17=""),0,IFERROR(IF(AND(INDEX(Arten,MATCH(B17,Codes,0))="Arbeit",INDEX(Arten,MATCH(C17,Codes,0))="Arbeit"),IF(ROUND((1+INDEX(Beginne,MATCH(C17,Codes,0))-INDEX(EndeRel,MATCH(B17,Codes,0)))*1440,0)&lt;660,1,0),0),0))</f>
      </c>
      <c r="D66" s="1">
        <f>IF(OR(D$52=0,C17="",D17=""),0,IFERROR(IF(AND(INDEX(Arten,MATCH(C17,Codes,0))="Arbeit",INDEX(Arten,MATCH(D17,Codes,0))="Arbeit"),IF(ROUND((1+INDEX(Beginne,MATCH(D17,Codes,0))-INDEX(EndeRel,MATCH(C17,Codes,0)))*1440,0)&lt;660,1,0),0),0))</f>
      </c>
      <c r="E66" s="1">
        <f>IF(OR(E$52=0,D17="",E17=""),0,IFERROR(IF(AND(INDEX(Arten,MATCH(D17,Codes,0))="Arbeit",INDEX(Arten,MATCH(E17,Codes,0))="Arbeit"),IF(ROUND((1+INDEX(Beginne,MATCH(E17,Codes,0))-INDEX(EndeRel,MATCH(D17,Codes,0)))*1440,0)&lt;660,1,0),0),0))</f>
      </c>
      <c r="F66" s="1">
        <f>IF(OR(F$52=0,E17="",F17=""),0,IFERROR(IF(AND(INDEX(Arten,MATCH(E17,Codes,0))="Arbeit",INDEX(Arten,MATCH(F17,Codes,0))="Arbeit"),IF(ROUND((1+INDEX(Beginne,MATCH(F17,Codes,0))-INDEX(EndeRel,MATCH(E17,Codes,0)))*1440,0)&lt;660,1,0),0),0))</f>
      </c>
      <c r="G66" s="1">
        <f>IF(OR(G$52=0,F17="",G17=""),0,IFERROR(IF(AND(INDEX(Arten,MATCH(F17,Codes,0))="Arbeit",INDEX(Arten,MATCH(G17,Codes,0))="Arbeit"),IF(ROUND((1+INDEX(Beginne,MATCH(G17,Codes,0))-INDEX(EndeRel,MATCH(F17,Codes,0)))*1440,0)&lt;660,1,0),0),0))</f>
      </c>
      <c r="H66" s="1">
        <f>IF(OR(H$52=0,G17="",H17=""),0,IFERROR(IF(AND(INDEX(Arten,MATCH(G17,Codes,0))="Arbeit",INDEX(Arten,MATCH(H17,Codes,0))="Arbeit"),IF(ROUND((1+INDEX(Beginne,MATCH(H17,Codes,0))-INDEX(EndeRel,MATCH(G17,Codes,0)))*1440,0)&lt;660,1,0),0),0))</f>
      </c>
      <c r="I66" s="1">
        <f>IF(OR(I$52=0,H17="",I17=""),0,IFERROR(IF(AND(INDEX(Arten,MATCH(H17,Codes,0))="Arbeit",INDEX(Arten,MATCH(I17,Codes,0))="Arbeit"),IF(ROUND((1+INDEX(Beginne,MATCH(I17,Codes,0))-INDEX(EndeRel,MATCH(H17,Codes,0)))*1440,0)&lt;660,1,0),0),0))</f>
      </c>
      <c r="J66" s="1">
        <f>IF(OR(J$52=0,I17="",J17=""),0,IFERROR(IF(AND(INDEX(Arten,MATCH(I17,Codes,0))="Arbeit",INDEX(Arten,MATCH(J17,Codes,0))="Arbeit"),IF(ROUND((1+INDEX(Beginne,MATCH(J17,Codes,0))-INDEX(EndeRel,MATCH(I17,Codes,0)))*1440,0)&lt;660,1,0),0),0))</f>
      </c>
      <c r="K66" s="1">
        <f>IF(OR(K$52=0,J17="",K17=""),0,IFERROR(IF(AND(INDEX(Arten,MATCH(J17,Codes,0))="Arbeit",INDEX(Arten,MATCH(K17,Codes,0))="Arbeit"),IF(ROUND((1+INDEX(Beginne,MATCH(K17,Codes,0))-INDEX(EndeRel,MATCH(J17,Codes,0)))*1440,0)&lt;660,1,0),0),0))</f>
      </c>
      <c r="L66" s="1">
        <f>IF(OR(L$52=0,K17="",L17=""),0,IFERROR(IF(AND(INDEX(Arten,MATCH(K17,Codes,0))="Arbeit",INDEX(Arten,MATCH(L17,Codes,0))="Arbeit"),IF(ROUND((1+INDEX(Beginne,MATCH(L17,Codes,0))-INDEX(EndeRel,MATCH(K17,Codes,0)))*1440,0)&lt;660,1,0),0),0))</f>
      </c>
      <c r="M66" s="1">
        <f>IF(OR(M$52=0,L17="",M17=""),0,IFERROR(IF(AND(INDEX(Arten,MATCH(L17,Codes,0))="Arbeit",INDEX(Arten,MATCH(M17,Codes,0))="Arbeit"),IF(ROUND((1+INDEX(Beginne,MATCH(M17,Codes,0))-INDEX(EndeRel,MATCH(L17,Codes,0)))*1440,0)&lt;660,1,0),0),0))</f>
      </c>
      <c r="N66" s="1">
        <f>IF(OR(N$52=0,M17="",N17=""),0,IFERROR(IF(AND(INDEX(Arten,MATCH(M17,Codes,0))="Arbeit",INDEX(Arten,MATCH(N17,Codes,0))="Arbeit"),IF(ROUND((1+INDEX(Beginne,MATCH(N17,Codes,0))-INDEX(EndeRel,MATCH(M17,Codes,0)))*1440,0)&lt;660,1,0),0),0))</f>
      </c>
      <c r="O66" s="1">
        <f>IF(OR(O$52=0,N17="",O17=""),0,IFERROR(IF(AND(INDEX(Arten,MATCH(N17,Codes,0))="Arbeit",INDEX(Arten,MATCH(O17,Codes,0))="Arbeit"),IF(ROUND((1+INDEX(Beginne,MATCH(O17,Codes,0))-INDEX(EndeRel,MATCH(N17,Codes,0)))*1440,0)&lt;660,1,0),0),0))</f>
      </c>
      <c r="P66" s="1">
        <f>IF(OR(P$52=0,O17="",P17=""),0,IFERROR(IF(AND(INDEX(Arten,MATCH(O17,Codes,0))="Arbeit",INDEX(Arten,MATCH(P17,Codes,0))="Arbeit"),IF(ROUND((1+INDEX(Beginne,MATCH(P17,Codes,0))-INDEX(EndeRel,MATCH(O17,Codes,0)))*1440,0)&lt;660,1,0),0),0))</f>
      </c>
      <c r="Q66" s="1">
        <f>IF(OR(Q$52=0,P17="",Q17=""),0,IFERROR(IF(AND(INDEX(Arten,MATCH(P17,Codes,0))="Arbeit",INDEX(Arten,MATCH(Q17,Codes,0))="Arbeit"),IF(ROUND((1+INDEX(Beginne,MATCH(Q17,Codes,0))-INDEX(EndeRel,MATCH(P17,Codes,0)))*1440,0)&lt;660,1,0),0),0))</f>
      </c>
      <c r="R66" s="1">
        <f>IF(OR(R$52=0,Q17="",R17=""),0,IFERROR(IF(AND(INDEX(Arten,MATCH(Q17,Codes,0))="Arbeit",INDEX(Arten,MATCH(R17,Codes,0))="Arbeit"),IF(ROUND((1+INDEX(Beginne,MATCH(R17,Codes,0))-INDEX(EndeRel,MATCH(Q17,Codes,0)))*1440,0)&lt;660,1,0),0),0))</f>
      </c>
      <c r="S66" s="1">
        <f>IF(OR(S$52=0,R17="",S17=""),0,IFERROR(IF(AND(INDEX(Arten,MATCH(R17,Codes,0))="Arbeit",INDEX(Arten,MATCH(S17,Codes,0))="Arbeit"),IF(ROUND((1+INDEX(Beginne,MATCH(S17,Codes,0))-INDEX(EndeRel,MATCH(R17,Codes,0)))*1440,0)&lt;660,1,0),0),0))</f>
      </c>
      <c r="T66" s="1">
        <f>IF(OR(T$52=0,S17="",T17=""),0,IFERROR(IF(AND(INDEX(Arten,MATCH(S17,Codes,0))="Arbeit",INDEX(Arten,MATCH(T17,Codes,0))="Arbeit"),IF(ROUND((1+INDEX(Beginne,MATCH(T17,Codes,0))-INDEX(EndeRel,MATCH(S17,Codes,0)))*1440,0)&lt;660,1,0),0),0))</f>
      </c>
      <c r="U66" s="1">
        <f>IF(OR(U$52=0,T17="",U17=""),0,IFERROR(IF(AND(INDEX(Arten,MATCH(T17,Codes,0))="Arbeit",INDEX(Arten,MATCH(U17,Codes,0))="Arbeit"),IF(ROUND((1+INDEX(Beginne,MATCH(U17,Codes,0))-INDEX(EndeRel,MATCH(T17,Codes,0)))*1440,0)&lt;660,1,0),0),0))</f>
      </c>
      <c r="V66" s="1">
        <f>IF(OR(V$52=0,U17="",V17=""),0,IFERROR(IF(AND(INDEX(Arten,MATCH(U17,Codes,0))="Arbeit",INDEX(Arten,MATCH(V17,Codes,0))="Arbeit"),IF(ROUND((1+INDEX(Beginne,MATCH(V17,Codes,0))-INDEX(EndeRel,MATCH(U17,Codes,0)))*1440,0)&lt;660,1,0),0),0))</f>
      </c>
      <c r="W66" s="1">
        <f>IF(OR(W$52=0,V17="",W17=""),0,IFERROR(IF(AND(INDEX(Arten,MATCH(V17,Codes,0))="Arbeit",INDEX(Arten,MATCH(W17,Codes,0))="Arbeit"),IF(ROUND((1+INDEX(Beginne,MATCH(W17,Codes,0))-INDEX(EndeRel,MATCH(V17,Codes,0)))*1440,0)&lt;660,1,0),0),0))</f>
      </c>
      <c r="X66" s="1">
        <f>IF(OR(X$52=0,W17="",X17=""),0,IFERROR(IF(AND(INDEX(Arten,MATCH(W17,Codes,0))="Arbeit",INDEX(Arten,MATCH(X17,Codes,0))="Arbeit"),IF(ROUND((1+INDEX(Beginne,MATCH(X17,Codes,0))-INDEX(EndeRel,MATCH(W17,Codes,0)))*1440,0)&lt;660,1,0),0),0))</f>
      </c>
      <c r="Y66" s="1">
        <f>IF(OR(Y$52=0,X17="",Y17=""),0,IFERROR(IF(AND(INDEX(Arten,MATCH(X17,Codes,0))="Arbeit",INDEX(Arten,MATCH(Y17,Codes,0))="Arbeit"),IF(ROUND((1+INDEX(Beginne,MATCH(Y17,Codes,0))-INDEX(EndeRel,MATCH(X17,Codes,0)))*1440,0)&lt;660,1,0),0),0))</f>
      </c>
      <c r="Z66" s="1">
        <f>IF(OR(Z$52=0,Y17="",Z17=""),0,IFERROR(IF(AND(INDEX(Arten,MATCH(Y17,Codes,0))="Arbeit",INDEX(Arten,MATCH(Z17,Codes,0))="Arbeit"),IF(ROUND((1+INDEX(Beginne,MATCH(Z17,Codes,0))-INDEX(EndeRel,MATCH(Y17,Codes,0)))*1440,0)&lt;660,1,0),0),0))</f>
      </c>
      <c r="AA66" s="1">
        <f>IF(OR(AA$52=0,Z17="",AA17=""),0,IFERROR(IF(AND(INDEX(Arten,MATCH(Z17,Codes,0))="Arbeit",INDEX(Arten,MATCH(AA17,Codes,0))="Arbeit"),IF(ROUND((1+INDEX(Beginne,MATCH(AA17,Codes,0))-INDEX(EndeRel,MATCH(Z17,Codes,0)))*1440,0)&lt;660,1,0),0),0))</f>
      </c>
      <c r="AB66" s="1">
        <f>IF(OR(AB$52=0,AA17="",AB17=""),0,IFERROR(IF(AND(INDEX(Arten,MATCH(AA17,Codes,0))="Arbeit",INDEX(Arten,MATCH(AB17,Codes,0))="Arbeit"),IF(ROUND((1+INDEX(Beginne,MATCH(AB17,Codes,0))-INDEX(EndeRel,MATCH(AA17,Codes,0)))*1440,0)&lt;660,1,0),0),0))</f>
      </c>
      <c r="AC66" s="1">
        <f>IF(OR(AC$52=0,AB17="",AC17=""),0,IFERROR(IF(AND(INDEX(Arten,MATCH(AB17,Codes,0))="Arbeit",INDEX(Arten,MATCH(AC17,Codes,0))="Arbeit"),IF(ROUND((1+INDEX(Beginne,MATCH(AC17,Codes,0))-INDEX(EndeRel,MATCH(AB17,Codes,0)))*1440,0)&lt;660,1,0),0),0))</f>
      </c>
      <c r="AD66" s="1">
        <f>IF(OR(AD$52=0,AC17="",AD17=""),0,IFERROR(IF(AND(INDEX(Arten,MATCH(AC17,Codes,0))="Arbeit",INDEX(Arten,MATCH(AD17,Codes,0))="Arbeit"),IF(ROUND((1+INDEX(Beginne,MATCH(AD17,Codes,0))-INDEX(EndeRel,MATCH(AC17,Codes,0)))*1440,0)&lt;660,1,0),0),0))</f>
      </c>
      <c r="AE66" s="1">
        <f>IF(OR(AE$52=0,AD17="",AE17=""),0,IFERROR(IF(AND(INDEX(Arten,MATCH(AD17,Codes,0))="Arbeit",INDEX(Arten,MATCH(AE17,Codes,0))="Arbeit"),IF(ROUND((1+INDEX(Beginne,MATCH(AE17,Codes,0))-INDEX(EndeRel,MATCH(AD17,Codes,0)))*1440,0)&lt;660,1,0),0),0))</f>
      </c>
      <c r="AF66" s="1">
        <f>IF(OR(AF$52=0,AE17="",AF17=""),0,IFERROR(IF(AND(INDEX(Arten,MATCH(AE17,Codes,0))="Arbeit",INDEX(Arten,MATCH(AF17,Codes,0))="Arbeit"),IF(ROUND((1+INDEX(Beginne,MATCH(AF17,Codes,0))-INDEX(EndeRel,MATCH(AE17,Codes,0)))*1440,0)&lt;660,1,0),0),0))</f>
      </c>
    </row>
    <row r="67" hidden="1" spans="1:32" x14ac:dyDescent="0.25">
      <c r="A67" s="1"/>
      <c r="B67" s="1">
        <f>IF(OR(B$52=0,INDEX('Februar'!$B$18:$AF$18,DAY(DATE(Jahr,3,0)))="",B18=""),0,IFERROR(IF(AND(INDEX(Arten,MATCH(INDEX('Februar'!$B$18:$AF$18,DAY(DATE(Jahr,3,0))),Codes,0))="Arbeit",INDEX(Arten,MATCH(B18,Codes,0))="Arbeit"),IF(ROUND((1+INDEX(Beginne,MATCH(B18,Codes,0))-INDEX(EndeRel,MATCH(INDEX('Februar'!$B$18:$AF$18,DAY(DATE(Jahr,3,0))),Codes,0)))*1440,0)&lt;660,1,0),0),0))</f>
      </c>
      <c r="C67" s="1">
        <f>IF(OR(C$52=0,B18="",C18=""),0,IFERROR(IF(AND(INDEX(Arten,MATCH(B18,Codes,0))="Arbeit",INDEX(Arten,MATCH(C18,Codes,0))="Arbeit"),IF(ROUND((1+INDEX(Beginne,MATCH(C18,Codes,0))-INDEX(EndeRel,MATCH(B18,Codes,0)))*1440,0)&lt;660,1,0),0),0))</f>
      </c>
      <c r="D67" s="1">
        <f>IF(OR(D$52=0,C18="",D18=""),0,IFERROR(IF(AND(INDEX(Arten,MATCH(C18,Codes,0))="Arbeit",INDEX(Arten,MATCH(D18,Codes,0))="Arbeit"),IF(ROUND((1+INDEX(Beginne,MATCH(D18,Codes,0))-INDEX(EndeRel,MATCH(C18,Codes,0)))*1440,0)&lt;660,1,0),0),0))</f>
      </c>
      <c r="E67" s="1">
        <f>IF(OR(E$52=0,D18="",E18=""),0,IFERROR(IF(AND(INDEX(Arten,MATCH(D18,Codes,0))="Arbeit",INDEX(Arten,MATCH(E18,Codes,0))="Arbeit"),IF(ROUND((1+INDEX(Beginne,MATCH(E18,Codes,0))-INDEX(EndeRel,MATCH(D18,Codes,0)))*1440,0)&lt;660,1,0),0),0))</f>
      </c>
      <c r="F67" s="1">
        <f>IF(OR(F$52=0,E18="",F18=""),0,IFERROR(IF(AND(INDEX(Arten,MATCH(E18,Codes,0))="Arbeit",INDEX(Arten,MATCH(F18,Codes,0))="Arbeit"),IF(ROUND((1+INDEX(Beginne,MATCH(F18,Codes,0))-INDEX(EndeRel,MATCH(E18,Codes,0)))*1440,0)&lt;660,1,0),0),0))</f>
      </c>
      <c r="G67" s="1">
        <f>IF(OR(G$52=0,F18="",G18=""),0,IFERROR(IF(AND(INDEX(Arten,MATCH(F18,Codes,0))="Arbeit",INDEX(Arten,MATCH(G18,Codes,0))="Arbeit"),IF(ROUND((1+INDEX(Beginne,MATCH(G18,Codes,0))-INDEX(EndeRel,MATCH(F18,Codes,0)))*1440,0)&lt;660,1,0),0),0))</f>
      </c>
      <c r="H67" s="1">
        <f>IF(OR(H$52=0,G18="",H18=""),0,IFERROR(IF(AND(INDEX(Arten,MATCH(G18,Codes,0))="Arbeit",INDEX(Arten,MATCH(H18,Codes,0))="Arbeit"),IF(ROUND((1+INDEX(Beginne,MATCH(H18,Codes,0))-INDEX(EndeRel,MATCH(G18,Codes,0)))*1440,0)&lt;660,1,0),0),0))</f>
      </c>
      <c r="I67" s="1">
        <f>IF(OR(I$52=0,H18="",I18=""),0,IFERROR(IF(AND(INDEX(Arten,MATCH(H18,Codes,0))="Arbeit",INDEX(Arten,MATCH(I18,Codes,0))="Arbeit"),IF(ROUND((1+INDEX(Beginne,MATCH(I18,Codes,0))-INDEX(EndeRel,MATCH(H18,Codes,0)))*1440,0)&lt;660,1,0),0),0))</f>
      </c>
      <c r="J67" s="1">
        <f>IF(OR(J$52=0,I18="",J18=""),0,IFERROR(IF(AND(INDEX(Arten,MATCH(I18,Codes,0))="Arbeit",INDEX(Arten,MATCH(J18,Codes,0))="Arbeit"),IF(ROUND((1+INDEX(Beginne,MATCH(J18,Codes,0))-INDEX(EndeRel,MATCH(I18,Codes,0)))*1440,0)&lt;660,1,0),0),0))</f>
      </c>
      <c r="K67" s="1">
        <f>IF(OR(K$52=0,J18="",K18=""),0,IFERROR(IF(AND(INDEX(Arten,MATCH(J18,Codes,0))="Arbeit",INDEX(Arten,MATCH(K18,Codes,0))="Arbeit"),IF(ROUND((1+INDEX(Beginne,MATCH(K18,Codes,0))-INDEX(EndeRel,MATCH(J18,Codes,0)))*1440,0)&lt;660,1,0),0),0))</f>
      </c>
      <c r="L67" s="1">
        <f>IF(OR(L$52=0,K18="",L18=""),0,IFERROR(IF(AND(INDEX(Arten,MATCH(K18,Codes,0))="Arbeit",INDEX(Arten,MATCH(L18,Codes,0))="Arbeit"),IF(ROUND((1+INDEX(Beginne,MATCH(L18,Codes,0))-INDEX(EndeRel,MATCH(K18,Codes,0)))*1440,0)&lt;660,1,0),0),0))</f>
      </c>
      <c r="M67" s="1">
        <f>IF(OR(M$52=0,L18="",M18=""),0,IFERROR(IF(AND(INDEX(Arten,MATCH(L18,Codes,0))="Arbeit",INDEX(Arten,MATCH(M18,Codes,0))="Arbeit"),IF(ROUND((1+INDEX(Beginne,MATCH(M18,Codes,0))-INDEX(EndeRel,MATCH(L18,Codes,0)))*1440,0)&lt;660,1,0),0),0))</f>
      </c>
      <c r="N67" s="1">
        <f>IF(OR(N$52=0,M18="",N18=""),0,IFERROR(IF(AND(INDEX(Arten,MATCH(M18,Codes,0))="Arbeit",INDEX(Arten,MATCH(N18,Codes,0))="Arbeit"),IF(ROUND((1+INDEX(Beginne,MATCH(N18,Codes,0))-INDEX(EndeRel,MATCH(M18,Codes,0)))*1440,0)&lt;660,1,0),0),0))</f>
      </c>
      <c r="O67" s="1">
        <f>IF(OR(O$52=0,N18="",O18=""),0,IFERROR(IF(AND(INDEX(Arten,MATCH(N18,Codes,0))="Arbeit",INDEX(Arten,MATCH(O18,Codes,0))="Arbeit"),IF(ROUND((1+INDEX(Beginne,MATCH(O18,Codes,0))-INDEX(EndeRel,MATCH(N18,Codes,0)))*1440,0)&lt;660,1,0),0),0))</f>
      </c>
      <c r="P67" s="1">
        <f>IF(OR(P$52=0,O18="",P18=""),0,IFERROR(IF(AND(INDEX(Arten,MATCH(O18,Codes,0))="Arbeit",INDEX(Arten,MATCH(P18,Codes,0))="Arbeit"),IF(ROUND((1+INDEX(Beginne,MATCH(P18,Codes,0))-INDEX(EndeRel,MATCH(O18,Codes,0)))*1440,0)&lt;660,1,0),0),0))</f>
      </c>
      <c r="Q67" s="1">
        <f>IF(OR(Q$52=0,P18="",Q18=""),0,IFERROR(IF(AND(INDEX(Arten,MATCH(P18,Codes,0))="Arbeit",INDEX(Arten,MATCH(Q18,Codes,0))="Arbeit"),IF(ROUND((1+INDEX(Beginne,MATCH(Q18,Codes,0))-INDEX(EndeRel,MATCH(P18,Codes,0)))*1440,0)&lt;660,1,0),0),0))</f>
      </c>
      <c r="R67" s="1">
        <f>IF(OR(R$52=0,Q18="",R18=""),0,IFERROR(IF(AND(INDEX(Arten,MATCH(Q18,Codes,0))="Arbeit",INDEX(Arten,MATCH(R18,Codes,0))="Arbeit"),IF(ROUND((1+INDEX(Beginne,MATCH(R18,Codes,0))-INDEX(EndeRel,MATCH(Q18,Codes,0)))*1440,0)&lt;660,1,0),0),0))</f>
      </c>
      <c r="S67" s="1">
        <f>IF(OR(S$52=0,R18="",S18=""),0,IFERROR(IF(AND(INDEX(Arten,MATCH(R18,Codes,0))="Arbeit",INDEX(Arten,MATCH(S18,Codes,0))="Arbeit"),IF(ROUND((1+INDEX(Beginne,MATCH(S18,Codes,0))-INDEX(EndeRel,MATCH(R18,Codes,0)))*1440,0)&lt;660,1,0),0),0))</f>
      </c>
      <c r="T67" s="1">
        <f>IF(OR(T$52=0,S18="",T18=""),0,IFERROR(IF(AND(INDEX(Arten,MATCH(S18,Codes,0))="Arbeit",INDEX(Arten,MATCH(T18,Codes,0))="Arbeit"),IF(ROUND((1+INDEX(Beginne,MATCH(T18,Codes,0))-INDEX(EndeRel,MATCH(S18,Codes,0)))*1440,0)&lt;660,1,0),0),0))</f>
      </c>
      <c r="U67" s="1">
        <f>IF(OR(U$52=0,T18="",U18=""),0,IFERROR(IF(AND(INDEX(Arten,MATCH(T18,Codes,0))="Arbeit",INDEX(Arten,MATCH(U18,Codes,0))="Arbeit"),IF(ROUND((1+INDEX(Beginne,MATCH(U18,Codes,0))-INDEX(EndeRel,MATCH(T18,Codes,0)))*1440,0)&lt;660,1,0),0),0))</f>
      </c>
      <c r="V67" s="1">
        <f>IF(OR(V$52=0,U18="",V18=""),0,IFERROR(IF(AND(INDEX(Arten,MATCH(U18,Codes,0))="Arbeit",INDEX(Arten,MATCH(V18,Codes,0))="Arbeit"),IF(ROUND((1+INDEX(Beginne,MATCH(V18,Codes,0))-INDEX(EndeRel,MATCH(U18,Codes,0)))*1440,0)&lt;660,1,0),0),0))</f>
      </c>
      <c r="W67" s="1">
        <f>IF(OR(W$52=0,V18="",W18=""),0,IFERROR(IF(AND(INDEX(Arten,MATCH(V18,Codes,0))="Arbeit",INDEX(Arten,MATCH(W18,Codes,0))="Arbeit"),IF(ROUND((1+INDEX(Beginne,MATCH(W18,Codes,0))-INDEX(EndeRel,MATCH(V18,Codes,0)))*1440,0)&lt;660,1,0),0),0))</f>
      </c>
      <c r="X67" s="1">
        <f>IF(OR(X$52=0,W18="",X18=""),0,IFERROR(IF(AND(INDEX(Arten,MATCH(W18,Codes,0))="Arbeit",INDEX(Arten,MATCH(X18,Codes,0))="Arbeit"),IF(ROUND((1+INDEX(Beginne,MATCH(X18,Codes,0))-INDEX(EndeRel,MATCH(W18,Codes,0)))*1440,0)&lt;660,1,0),0),0))</f>
      </c>
      <c r="Y67" s="1">
        <f>IF(OR(Y$52=0,X18="",Y18=""),0,IFERROR(IF(AND(INDEX(Arten,MATCH(X18,Codes,0))="Arbeit",INDEX(Arten,MATCH(Y18,Codes,0))="Arbeit"),IF(ROUND((1+INDEX(Beginne,MATCH(Y18,Codes,0))-INDEX(EndeRel,MATCH(X18,Codes,0)))*1440,0)&lt;660,1,0),0),0))</f>
      </c>
      <c r="Z67" s="1">
        <f>IF(OR(Z$52=0,Y18="",Z18=""),0,IFERROR(IF(AND(INDEX(Arten,MATCH(Y18,Codes,0))="Arbeit",INDEX(Arten,MATCH(Z18,Codes,0))="Arbeit"),IF(ROUND((1+INDEX(Beginne,MATCH(Z18,Codes,0))-INDEX(EndeRel,MATCH(Y18,Codes,0)))*1440,0)&lt;660,1,0),0),0))</f>
      </c>
      <c r="AA67" s="1">
        <f>IF(OR(AA$52=0,Z18="",AA18=""),0,IFERROR(IF(AND(INDEX(Arten,MATCH(Z18,Codes,0))="Arbeit",INDEX(Arten,MATCH(AA18,Codes,0))="Arbeit"),IF(ROUND((1+INDEX(Beginne,MATCH(AA18,Codes,0))-INDEX(EndeRel,MATCH(Z18,Codes,0)))*1440,0)&lt;660,1,0),0),0))</f>
      </c>
      <c r="AB67" s="1">
        <f>IF(OR(AB$52=0,AA18="",AB18=""),0,IFERROR(IF(AND(INDEX(Arten,MATCH(AA18,Codes,0))="Arbeit",INDEX(Arten,MATCH(AB18,Codes,0))="Arbeit"),IF(ROUND((1+INDEX(Beginne,MATCH(AB18,Codes,0))-INDEX(EndeRel,MATCH(AA18,Codes,0)))*1440,0)&lt;660,1,0),0),0))</f>
      </c>
      <c r="AC67" s="1">
        <f>IF(OR(AC$52=0,AB18="",AC18=""),0,IFERROR(IF(AND(INDEX(Arten,MATCH(AB18,Codes,0))="Arbeit",INDEX(Arten,MATCH(AC18,Codes,0))="Arbeit"),IF(ROUND((1+INDEX(Beginne,MATCH(AC18,Codes,0))-INDEX(EndeRel,MATCH(AB18,Codes,0)))*1440,0)&lt;660,1,0),0),0))</f>
      </c>
      <c r="AD67" s="1">
        <f>IF(OR(AD$52=0,AC18="",AD18=""),0,IFERROR(IF(AND(INDEX(Arten,MATCH(AC18,Codes,0))="Arbeit",INDEX(Arten,MATCH(AD18,Codes,0))="Arbeit"),IF(ROUND((1+INDEX(Beginne,MATCH(AD18,Codes,0))-INDEX(EndeRel,MATCH(AC18,Codes,0)))*1440,0)&lt;660,1,0),0),0))</f>
      </c>
      <c r="AE67" s="1">
        <f>IF(OR(AE$52=0,AD18="",AE18=""),0,IFERROR(IF(AND(INDEX(Arten,MATCH(AD18,Codes,0))="Arbeit",INDEX(Arten,MATCH(AE18,Codes,0))="Arbeit"),IF(ROUND((1+INDEX(Beginne,MATCH(AE18,Codes,0))-INDEX(EndeRel,MATCH(AD18,Codes,0)))*1440,0)&lt;660,1,0),0),0))</f>
      </c>
      <c r="AF67" s="1">
        <f>IF(OR(AF$52=0,AE18="",AF18=""),0,IFERROR(IF(AND(INDEX(Arten,MATCH(AE18,Codes,0))="Arbeit",INDEX(Arten,MATCH(AF18,Codes,0))="Arbeit"),IF(ROUND((1+INDEX(Beginne,MATCH(AF18,Codes,0))-INDEX(EndeRel,MATCH(AE18,Codes,0)))*1440,0)&lt;660,1,0),0),0))</f>
      </c>
    </row>
    <row r="68" hidden="1" spans="1:32" x14ac:dyDescent="0.25">
      <c r="A68" s="1"/>
      <c r="B68" s="1">
        <f>IF(OR(B$52=0,INDEX('Februar'!$B$19:$AF$19,DAY(DATE(Jahr,3,0)))="",B19=""),0,IFERROR(IF(AND(INDEX(Arten,MATCH(INDEX('Februar'!$B$19:$AF$19,DAY(DATE(Jahr,3,0))),Codes,0))="Arbeit",INDEX(Arten,MATCH(B19,Codes,0))="Arbeit"),IF(ROUND((1+INDEX(Beginne,MATCH(B19,Codes,0))-INDEX(EndeRel,MATCH(INDEX('Februar'!$B$19:$AF$19,DAY(DATE(Jahr,3,0))),Codes,0)))*1440,0)&lt;660,1,0),0),0))</f>
      </c>
      <c r="C68" s="1">
        <f>IF(OR(C$52=0,B19="",C19=""),0,IFERROR(IF(AND(INDEX(Arten,MATCH(B19,Codes,0))="Arbeit",INDEX(Arten,MATCH(C19,Codes,0))="Arbeit"),IF(ROUND((1+INDEX(Beginne,MATCH(C19,Codes,0))-INDEX(EndeRel,MATCH(B19,Codes,0)))*1440,0)&lt;660,1,0),0),0))</f>
      </c>
      <c r="D68" s="1">
        <f>IF(OR(D$52=0,C19="",D19=""),0,IFERROR(IF(AND(INDEX(Arten,MATCH(C19,Codes,0))="Arbeit",INDEX(Arten,MATCH(D19,Codes,0))="Arbeit"),IF(ROUND((1+INDEX(Beginne,MATCH(D19,Codes,0))-INDEX(EndeRel,MATCH(C19,Codes,0)))*1440,0)&lt;660,1,0),0),0))</f>
      </c>
      <c r="E68" s="1">
        <f>IF(OR(E$52=0,D19="",E19=""),0,IFERROR(IF(AND(INDEX(Arten,MATCH(D19,Codes,0))="Arbeit",INDEX(Arten,MATCH(E19,Codes,0))="Arbeit"),IF(ROUND((1+INDEX(Beginne,MATCH(E19,Codes,0))-INDEX(EndeRel,MATCH(D19,Codes,0)))*1440,0)&lt;660,1,0),0),0))</f>
      </c>
      <c r="F68" s="1">
        <f>IF(OR(F$52=0,E19="",F19=""),0,IFERROR(IF(AND(INDEX(Arten,MATCH(E19,Codes,0))="Arbeit",INDEX(Arten,MATCH(F19,Codes,0))="Arbeit"),IF(ROUND((1+INDEX(Beginne,MATCH(F19,Codes,0))-INDEX(EndeRel,MATCH(E19,Codes,0)))*1440,0)&lt;660,1,0),0),0))</f>
      </c>
      <c r="G68" s="1">
        <f>IF(OR(G$52=0,F19="",G19=""),0,IFERROR(IF(AND(INDEX(Arten,MATCH(F19,Codes,0))="Arbeit",INDEX(Arten,MATCH(G19,Codes,0))="Arbeit"),IF(ROUND((1+INDEX(Beginne,MATCH(G19,Codes,0))-INDEX(EndeRel,MATCH(F19,Codes,0)))*1440,0)&lt;660,1,0),0),0))</f>
      </c>
      <c r="H68" s="1">
        <f>IF(OR(H$52=0,G19="",H19=""),0,IFERROR(IF(AND(INDEX(Arten,MATCH(G19,Codes,0))="Arbeit",INDEX(Arten,MATCH(H19,Codes,0))="Arbeit"),IF(ROUND((1+INDEX(Beginne,MATCH(H19,Codes,0))-INDEX(EndeRel,MATCH(G19,Codes,0)))*1440,0)&lt;660,1,0),0),0))</f>
      </c>
      <c r="I68" s="1">
        <f>IF(OR(I$52=0,H19="",I19=""),0,IFERROR(IF(AND(INDEX(Arten,MATCH(H19,Codes,0))="Arbeit",INDEX(Arten,MATCH(I19,Codes,0))="Arbeit"),IF(ROUND((1+INDEX(Beginne,MATCH(I19,Codes,0))-INDEX(EndeRel,MATCH(H19,Codes,0)))*1440,0)&lt;660,1,0),0),0))</f>
      </c>
      <c r="J68" s="1">
        <f>IF(OR(J$52=0,I19="",J19=""),0,IFERROR(IF(AND(INDEX(Arten,MATCH(I19,Codes,0))="Arbeit",INDEX(Arten,MATCH(J19,Codes,0))="Arbeit"),IF(ROUND((1+INDEX(Beginne,MATCH(J19,Codes,0))-INDEX(EndeRel,MATCH(I19,Codes,0)))*1440,0)&lt;660,1,0),0),0))</f>
      </c>
      <c r="K68" s="1">
        <f>IF(OR(K$52=0,J19="",K19=""),0,IFERROR(IF(AND(INDEX(Arten,MATCH(J19,Codes,0))="Arbeit",INDEX(Arten,MATCH(K19,Codes,0))="Arbeit"),IF(ROUND((1+INDEX(Beginne,MATCH(K19,Codes,0))-INDEX(EndeRel,MATCH(J19,Codes,0)))*1440,0)&lt;660,1,0),0),0))</f>
      </c>
      <c r="L68" s="1">
        <f>IF(OR(L$52=0,K19="",L19=""),0,IFERROR(IF(AND(INDEX(Arten,MATCH(K19,Codes,0))="Arbeit",INDEX(Arten,MATCH(L19,Codes,0))="Arbeit"),IF(ROUND((1+INDEX(Beginne,MATCH(L19,Codes,0))-INDEX(EndeRel,MATCH(K19,Codes,0)))*1440,0)&lt;660,1,0),0),0))</f>
      </c>
      <c r="M68" s="1">
        <f>IF(OR(M$52=0,L19="",M19=""),0,IFERROR(IF(AND(INDEX(Arten,MATCH(L19,Codes,0))="Arbeit",INDEX(Arten,MATCH(M19,Codes,0))="Arbeit"),IF(ROUND((1+INDEX(Beginne,MATCH(M19,Codes,0))-INDEX(EndeRel,MATCH(L19,Codes,0)))*1440,0)&lt;660,1,0),0),0))</f>
      </c>
      <c r="N68" s="1">
        <f>IF(OR(N$52=0,M19="",N19=""),0,IFERROR(IF(AND(INDEX(Arten,MATCH(M19,Codes,0))="Arbeit",INDEX(Arten,MATCH(N19,Codes,0))="Arbeit"),IF(ROUND((1+INDEX(Beginne,MATCH(N19,Codes,0))-INDEX(EndeRel,MATCH(M19,Codes,0)))*1440,0)&lt;660,1,0),0),0))</f>
      </c>
      <c r="O68" s="1">
        <f>IF(OR(O$52=0,N19="",O19=""),0,IFERROR(IF(AND(INDEX(Arten,MATCH(N19,Codes,0))="Arbeit",INDEX(Arten,MATCH(O19,Codes,0))="Arbeit"),IF(ROUND((1+INDEX(Beginne,MATCH(O19,Codes,0))-INDEX(EndeRel,MATCH(N19,Codes,0)))*1440,0)&lt;660,1,0),0),0))</f>
      </c>
      <c r="P68" s="1">
        <f>IF(OR(P$52=0,O19="",P19=""),0,IFERROR(IF(AND(INDEX(Arten,MATCH(O19,Codes,0))="Arbeit",INDEX(Arten,MATCH(P19,Codes,0))="Arbeit"),IF(ROUND((1+INDEX(Beginne,MATCH(P19,Codes,0))-INDEX(EndeRel,MATCH(O19,Codes,0)))*1440,0)&lt;660,1,0),0),0))</f>
      </c>
      <c r="Q68" s="1">
        <f>IF(OR(Q$52=0,P19="",Q19=""),0,IFERROR(IF(AND(INDEX(Arten,MATCH(P19,Codes,0))="Arbeit",INDEX(Arten,MATCH(Q19,Codes,0))="Arbeit"),IF(ROUND((1+INDEX(Beginne,MATCH(Q19,Codes,0))-INDEX(EndeRel,MATCH(P19,Codes,0)))*1440,0)&lt;660,1,0),0),0))</f>
      </c>
      <c r="R68" s="1">
        <f>IF(OR(R$52=0,Q19="",R19=""),0,IFERROR(IF(AND(INDEX(Arten,MATCH(Q19,Codes,0))="Arbeit",INDEX(Arten,MATCH(R19,Codes,0))="Arbeit"),IF(ROUND((1+INDEX(Beginne,MATCH(R19,Codes,0))-INDEX(EndeRel,MATCH(Q19,Codes,0)))*1440,0)&lt;660,1,0),0),0))</f>
      </c>
      <c r="S68" s="1">
        <f>IF(OR(S$52=0,R19="",S19=""),0,IFERROR(IF(AND(INDEX(Arten,MATCH(R19,Codes,0))="Arbeit",INDEX(Arten,MATCH(S19,Codes,0))="Arbeit"),IF(ROUND((1+INDEX(Beginne,MATCH(S19,Codes,0))-INDEX(EndeRel,MATCH(R19,Codes,0)))*1440,0)&lt;660,1,0),0),0))</f>
      </c>
      <c r="T68" s="1">
        <f>IF(OR(T$52=0,S19="",T19=""),0,IFERROR(IF(AND(INDEX(Arten,MATCH(S19,Codes,0))="Arbeit",INDEX(Arten,MATCH(T19,Codes,0))="Arbeit"),IF(ROUND((1+INDEX(Beginne,MATCH(T19,Codes,0))-INDEX(EndeRel,MATCH(S19,Codes,0)))*1440,0)&lt;660,1,0),0),0))</f>
      </c>
      <c r="U68" s="1">
        <f>IF(OR(U$52=0,T19="",U19=""),0,IFERROR(IF(AND(INDEX(Arten,MATCH(T19,Codes,0))="Arbeit",INDEX(Arten,MATCH(U19,Codes,0))="Arbeit"),IF(ROUND((1+INDEX(Beginne,MATCH(U19,Codes,0))-INDEX(EndeRel,MATCH(T19,Codes,0)))*1440,0)&lt;660,1,0),0),0))</f>
      </c>
      <c r="V68" s="1">
        <f>IF(OR(V$52=0,U19="",V19=""),0,IFERROR(IF(AND(INDEX(Arten,MATCH(U19,Codes,0))="Arbeit",INDEX(Arten,MATCH(V19,Codes,0))="Arbeit"),IF(ROUND((1+INDEX(Beginne,MATCH(V19,Codes,0))-INDEX(EndeRel,MATCH(U19,Codes,0)))*1440,0)&lt;660,1,0),0),0))</f>
      </c>
      <c r="W68" s="1">
        <f>IF(OR(W$52=0,V19="",W19=""),0,IFERROR(IF(AND(INDEX(Arten,MATCH(V19,Codes,0))="Arbeit",INDEX(Arten,MATCH(W19,Codes,0))="Arbeit"),IF(ROUND((1+INDEX(Beginne,MATCH(W19,Codes,0))-INDEX(EndeRel,MATCH(V19,Codes,0)))*1440,0)&lt;660,1,0),0),0))</f>
      </c>
      <c r="X68" s="1">
        <f>IF(OR(X$52=0,W19="",X19=""),0,IFERROR(IF(AND(INDEX(Arten,MATCH(W19,Codes,0))="Arbeit",INDEX(Arten,MATCH(X19,Codes,0))="Arbeit"),IF(ROUND((1+INDEX(Beginne,MATCH(X19,Codes,0))-INDEX(EndeRel,MATCH(W19,Codes,0)))*1440,0)&lt;660,1,0),0),0))</f>
      </c>
      <c r="Y68" s="1">
        <f>IF(OR(Y$52=0,X19="",Y19=""),0,IFERROR(IF(AND(INDEX(Arten,MATCH(X19,Codes,0))="Arbeit",INDEX(Arten,MATCH(Y19,Codes,0))="Arbeit"),IF(ROUND((1+INDEX(Beginne,MATCH(Y19,Codes,0))-INDEX(EndeRel,MATCH(X19,Codes,0)))*1440,0)&lt;660,1,0),0),0))</f>
      </c>
      <c r="Z68" s="1">
        <f>IF(OR(Z$52=0,Y19="",Z19=""),0,IFERROR(IF(AND(INDEX(Arten,MATCH(Y19,Codes,0))="Arbeit",INDEX(Arten,MATCH(Z19,Codes,0))="Arbeit"),IF(ROUND((1+INDEX(Beginne,MATCH(Z19,Codes,0))-INDEX(EndeRel,MATCH(Y19,Codes,0)))*1440,0)&lt;660,1,0),0),0))</f>
      </c>
      <c r="AA68" s="1">
        <f>IF(OR(AA$52=0,Z19="",AA19=""),0,IFERROR(IF(AND(INDEX(Arten,MATCH(Z19,Codes,0))="Arbeit",INDEX(Arten,MATCH(AA19,Codes,0))="Arbeit"),IF(ROUND((1+INDEX(Beginne,MATCH(AA19,Codes,0))-INDEX(EndeRel,MATCH(Z19,Codes,0)))*1440,0)&lt;660,1,0),0),0))</f>
      </c>
      <c r="AB68" s="1">
        <f>IF(OR(AB$52=0,AA19="",AB19=""),0,IFERROR(IF(AND(INDEX(Arten,MATCH(AA19,Codes,0))="Arbeit",INDEX(Arten,MATCH(AB19,Codes,0))="Arbeit"),IF(ROUND((1+INDEX(Beginne,MATCH(AB19,Codes,0))-INDEX(EndeRel,MATCH(AA19,Codes,0)))*1440,0)&lt;660,1,0),0),0))</f>
      </c>
      <c r="AC68" s="1">
        <f>IF(OR(AC$52=0,AB19="",AC19=""),0,IFERROR(IF(AND(INDEX(Arten,MATCH(AB19,Codes,0))="Arbeit",INDEX(Arten,MATCH(AC19,Codes,0))="Arbeit"),IF(ROUND((1+INDEX(Beginne,MATCH(AC19,Codes,0))-INDEX(EndeRel,MATCH(AB19,Codes,0)))*1440,0)&lt;660,1,0),0),0))</f>
      </c>
      <c r="AD68" s="1">
        <f>IF(OR(AD$52=0,AC19="",AD19=""),0,IFERROR(IF(AND(INDEX(Arten,MATCH(AC19,Codes,0))="Arbeit",INDEX(Arten,MATCH(AD19,Codes,0))="Arbeit"),IF(ROUND((1+INDEX(Beginne,MATCH(AD19,Codes,0))-INDEX(EndeRel,MATCH(AC19,Codes,0)))*1440,0)&lt;660,1,0),0),0))</f>
      </c>
      <c r="AE68" s="1">
        <f>IF(OR(AE$52=0,AD19="",AE19=""),0,IFERROR(IF(AND(INDEX(Arten,MATCH(AD19,Codes,0))="Arbeit",INDEX(Arten,MATCH(AE19,Codes,0))="Arbeit"),IF(ROUND((1+INDEX(Beginne,MATCH(AE19,Codes,0))-INDEX(EndeRel,MATCH(AD19,Codes,0)))*1440,0)&lt;660,1,0),0),0))</f>
      </c>
      <c r="AF68" s="1">
        <f>IF(OR(AF$52=0,AE19="",AF19=""),0,IFERROR(IF(AND(INDEX(Arten,MATCH(AE19,Codes,0))="Arbeit",INDEX(Arten,MATCH(AF19,Codes,0))="Arbeit"),IF(ROUND((1+INDEX(Beginne,MATCH(AF19,Codes,0))-INDEX(EndeRel,MATCH(AE19,Codes,0)))*1440,0)&lt;660,1,0),0),0))</f>
      </c>
    </row>
    <row r="69" hidden="1" spans="1:32" x14ac:dyDescent="0.25">
      <c r="A69" s="1"/>
      <c r="B69" s="1">
        <f>IF(OR(B$52=0,INDEX('Februar'!$B$20:$AF$20,DAY(DATE(Jahr,3,0)))="",B20=""),0,IFERROR(IF(AND(INDEX(Arten,MATCH(INDEX('Februar'!$B$20:$AF$20,DAY(DATE(Jahr,3,0))),Codes,0))="Arbeit",INDEX(Arten,MATCH(B20,Codes,0))="Arbeit"),IF(ROUND((1+INDEX(Beginne,MATCH(B20,Codes,0))-INDEX(EndeRel,MATCH(INDEX('Februar'!$B$20:$AF$20,DAY(DATE(Jahr,3,0))),Codes,0)))*1440,0)&lt;660,1,0),0),0))</f>
      </c>
      <c r="C69" s="1">
        <f>IF(OR(C$52=0,B20="",C20=""),0,IFERROR(IF(AND(INDEX(Arten,MATCH(B20,Codes,0))="Arbeit",INDEX(Arten,MATCH(C20,Codes,0))="Arbeit"),IF(ROUND((1+INDEX(Beginne,MATCH(C20,Codes,0))-INDEX(EndeRel,MATCH(B20,Codes,0)))*1440,0)&lt;660,1,0),0),0))</f>
      </c>
      <c r="D69" s="1">
        <f>IF(OR(D$52=0,C20="",D20=""),0,IFERROR(IF(AND(INDEX(Arten,MATCH(C20,Codes,0))="Arbeit",INDEX(Arten,MATCH(D20,Codes,0))="Arbeit"),IF(ROUND((1+INDEX(Beginne,MATCH(D20,Codes,0))-INDEX(EndeRel,MATCH(C20,Codes,0)))*1440,0)&lt;660,1,0),0),0))</f>
      </c>
      <c r="E69" s="1">
        <f>IF(OR(E$52=0,D20="",E20=""),0,IFERROR(IF(AND(INDEX(Arten,MATCH(D20,Codes,0))="Arbeit",INDEX(Arten,MATCH(E20,Codes,0))="Arbeit"),IF(ROUND((1+INDEX(Beginne,MATCH(E20,Codes,0))-INDEX(EndeRel,MATCH(D20,Codes,0)))*1440,0)&lt;660,1,0),0),0))</f>
      </c>
      <c r="F69" s="1">
        <f>IF(OR(F$52=0,E20="",F20=""),0,IFERROR(IF(AND(INDEX(Arten,MATCH(E20,Codes,0))="Arbeit",INDEX(Arten,MATCH(F20,Codes,0))="Arbeit"),IF(ROUND((1+INDEX(Beginne,MATCH(F20,Codes,0))-INDEX(EndeRel,MATCH(E20,Codes,0)))*1440,0)&lt;660,1,0),0),0))</f>
      </c>
      <c r="G69" s="1">
        <f>IF(OR(G$52=0,F20="",G20=""),0,IFERROR(IF(AND(INDEX(Arten,MATCH(F20,Codes,0))="Arbeit",INDEX(Arten,MATCH(G20,Codes,0))="Arbeit"),IF(ROUND((1+INDEX(Beginne,MATCH(G20,Codes,0))-INDEX(EndeRel,MATCH(F20,Codes,0)))*1440,0)&lt;660,1,0),0),0))</f>
      </c>
      <c r="H69" s="1">
        <f>IF(OR(H$52=0,G20="",H20=""),0,IFERROR(IF(AND(INDEX(Arten,MATCH(G20,Codes,0))="Arbeit",INDEX(Arten,MATCH(H20,Codes,0))="Arbeit"),IF(ROUND((1+INDEX(Beginne,MATCH(H20,Codes,0))-INDEX(EndeRel,MATCH(G20,Codes,0)))*1440,0)&lt;660,1,0),0),0))</f>
      </c>
      <c r="I69" s="1">
        <f>IF(OR(I$52=0,H20="",I20=""),0,IFERROR(IF(AND(INDEX(Arten,MATCH(H20,Codes,0))="Arbeit",INDEX(Arten,MATCH(I20,Codes,0))="Arbeit"),IF(ROUND((1+INDEX(Beginne,MATCH(I20,Codes,0))-INDEX(EndeRel,MATCH(H20,Codes,0)))*1440,0)&lt;660,1,0),0),0))</f>
      </c>
      <c r="J69" s="1">
        <f>IF(OR(J$52=0,I20="",J20=""),0,IFERROR(IF(AND(INDEX(Arten,MATCH(I20,Codes,0))="Arbeit",INDEX(Arten,MATCH(J20,Codes,0))="Arbeit"),IF(ROUND((1+INDEX(Beginne,MATCH(J20,Codes,0))-INDEX(EndeRel,MATCH(I20,Codes,0)))*1440,0)&lt;660,1,0),0),0))</f>
      </c>
      <c r="K69" s="1">
        <f>IF(OR(K$52=0,J20="",K20=""),0,IFERROR(IF(AND(INDEX(Arten,MATCH(J20,Codes,0))="Arbeit",INDEX(Arten,MATCH(K20,Codes,0))="Arbeit"),IF(ROUND((1+INDEX(Beginne,MATCH(K20,Codes,0))-INDEX(EndeRel,MATCH(J20,Codes,0)))*1440,0)&lt;660,1,0),0),0))</f>
      </c>
      <c r="L69" s="1">
        <f>IF(OR(L$52=0,K20="",L20=""),0,IFERROR(IF(AND(INDEX(Arten,MATCH(K20,Codes,0))="Arbeit",INDEX(Arten,MATCH(L20,Codes,0))="Arbeit"),IF(ROUND((1+INDEX(Beginne,MATCH(L20,Codes,0))-INDEX(EndeRel,MATCH(K20,Codes,0)))*1440,0)&lt;660,1,0),0),0))</f>
      </c>
      <c r="M69" s="1">
        <f>IF(OR(M$52=0,L20="",M20=""),0,IFERROR(IF(AND(INDEX(Arten,MATCH(L20,Codes,0))="Arbeit",INDEX(Arten,MATCH(M20,Codes,0))="Arbeit"),IF(ROUND((1+INDEX(Beginne,MATCH(M20,Codes,0))-INDEX(EndeRel,MATCH(L20,Codes,0)))*1440,0)&lt;660,1,0),0),0))</f>
      </c>
      <c r="N69" s="1">
        <f>IF(OR(N$52=0,M20="",N20=""),0,IFERROR(IF(AND(INDEX(Arten,MATCH(M20,Codes,0))="Arbeit",INDEX(Arten,MATCH(N20,Codes,0))="Arbeit"),IF(ROUND((1+INDEX(Beginne,MATCH(N20,Codes,0))-INDEX(EndeRel,MATCH(M20,Codes,0)))*1440,0)&lt;660,1,0),0),0))</f>
      </c>
      <c r="O69" s="1">
        <f>IF(OR(O$52=0,N20="",O20=""),0,IFERROR(IF(AND(INDEX(Arten,MATCH(N20,Codes,0))="Arbeit",INDEX(Arten,MATCH(O20,Codes,0))="Arbeit"),IF(ROUND((1+INDEX(Beginne,MATCH(O20,Codes,0))-INDEX(EndeRel,MATCH(N20,Codes,0)))*1440,0)&lt;660,1,0),0),0))</f>
      </c>
      <c r="P69" s="1">
        <f>IF(OR(P$52=0,O20="",P20=""),0,IFERROR(IF(AND(INDEX(Arten,MATCH(O20,Codes,0))="Arbeit",INDEX(Arten,MATCH(P20,Codes,0))="Arbeit"),IF(ROUND((1+INDEX(Beginne,MATCH(P20,Codes,0))-INDEX(EndeRel,MATCH(O20,Codes,0)))*1440,0)&lt;660,1,0),0),0))</f>
      </c>
      <c r="Q69" s="1">
        <f>IF(OR(Q$52=0,P20="",Q20=""),0,IFERROR(IF(AND(INDEX(Arten,MATCH(P20,Codes,0))="Arbeit",INDEX(Arten,MATCH(Q20,Codes,0))="Arbeit"),IF(ROUND((1+INDEX(Beginne,MATCH(Q20,Codes,0))-INDEX(EndeRel,MATCH(P20,Codes,0)))*1440,0)&lt;660,1,0),0),0))</f>
      </c>
      <c r="R69" s="1">
        <f>IF(OR(R$52=0,Q20="",R20=""),0,IFERROR(IF(AND(INDEX(Arten,MATCH(Q20,Codes,0))="Arbeit",INDEX(Arten,MATCH(R20,Codes,0))="Arbeit"),IF(ROUND((1+INDEX(Beginne,MATCH(R20,Codes,0))-INDEX(EndeRel,MATCH(Q20,Codes,0)))*1440,0)&lt;660,1,0),0),0))</f>
      </c>
      <c r="S69" s="1">
        <f>IF(OR(S$52=0,R20="",S20=""),0,IFERROR(IF(AND(INDEX(Arten,MATCH(R20,Codes,0))="Arbeit",INDEX(Arten,MATCH(S20,Codes,0))="Arbeit"),IF(ROUND((1+INDEX(Beginne,MATCH(S20,Codes,0))-INDEX(EndeRel,MATCH(R20,Codes,0)))*1440,0)&lt;660,1,0),0),0))</f>
      </c>
      <c r="T69" s="1">
        <f>IF(OR(T$52=0,S20="",T20=""),0,IFERROR(IF(AND(INDEX(Arten,MATCH(S20,Codes,0))="Arbeit",INDEX(Arten,MATCH(T20,Codes,0))="Arbeit"),IF(ROUND((1+INDEX(Beginne,MATCH(T20,Codes,0))-INDEX(EndeRel,MATCH(S20,Codes,0)))*1440,0)&lt;660,1,0),0),0))</f>
      </c>
      <c r="U69" s="1">
        <f>IF(OR(U$52=0,T20="",U20=""),0,IFERROR(IF(AND(INDEX(Arten,MATCH(T20,Codes,0))="Arbeit",INDEX(Arten,MATCH(U20,Codes,0))="Arbeit"),IF(ROUND((1+INDEX(Beginne,MATCH(U20,Codes,0))-INDEX(EndeRel,MATCH(T20,Codes,0)))*1440,0)&lt;660,1,0),0),0))</f>
      </c>
      <c r="V69" s="1">
        <f>IF(OR(V$52=0,U20="",V20=""),0,IFERROR(IF(AND(INDEX(Arten,MATCH(U20,Codes,0))="Arbeit",INDEX(Arten,MATCH(V20,Codes,0))="Arbeit"),IF(ROUND((1+INDEX(Beginne,MATCH(V20,Codes,0))-INDEX(EndeRel,MATCH(U20,Codes,0)))*1440,0)&lt;660,1,0),0),0))</f>
      </c>
      <c r="W69" s="1">
        <f>IF(OR(W$52=0,V20="",W20=""),0,IFERROR(IF(AND(INDEX(Arten,MATCH(V20,Codes,0))="Arbeit",INDEX(Arten,MATCH(W20,Codes,0))="Arbeit"),IF(ROUND((1+INDEX(Beginne,MATCH(W20,Codes,0))-INDEX(EndeRel,MATCH(V20,Codes,0)))*1440,0)&lt;660,1,0),0),0))</f>
      </c>
      <c r="X69" s="1">
        <f>IF(OR(X$52=0,W20="",X20=""),0,IFERROR(IF(AND(INDEX(Arten,MATCH(W20,Codes,0))="Arbeit",INDEX(Arten,MATCH(X20,Codes,0))="Arbeit"),IF(ROUND((1+INDEX(Beginne,MATCH(X20,Codes,0))-INDEX(EndeRel,MATCH(W20,Codes,0)))*1440,0)&lt;660,1,0),0),0))</f>
      </c>
      <c r="Y69" s="1">
        <f>IF(OR(Y$52=0,X20="",Y20=""),0,IFERROR(IF(AND(INDEX(Arten,MATCH(X20,Codes,0))="Arbeit",INDEX(Arten,MATCH(Y20,Codes,0))="Arbeit"),IF(ROUND((1+INDEX(Beginne,MATCH(Y20,Codes,0))-INDEX(EndeRel,MATCH(X20,Codes,0)))*1440,0)&lt;660,1,0),0),0))</f>
      </c>
      <c r="Z69" s="1">
        <f>IF(OR(Z$52=0,Y20="",Z20=""),0,IFERROR(IF(AND(INDEX(Arten,MATCH(Y20,Codes,0))="Arbeit",INDEX(Arten,MATCH(Z20,Codes,0))="Arbeit"),IF(ROUND((1+INDEX(Beginne,MATCH(Z20,Codes,0))-INDEX(EndeRel,MATCH(Y20,Codes,0)))*1440,0)&lt;660,1,0),0),0))</f>
      </c>
      <c r="AA69" s="1">
        <f>IF(OR(AA$52=0,Z20="",AA20=""),0,IFERROR(IF(AND(INDEX(Arten,MATCH(Z20,Codes,0))="Arbeit",INDEX(Arten,MATCH(AA20,Codes,0))="Arbeit"),IF(ROUND((1+INDEX(Beginne,MATCH(AA20,Codes,0))-INDEX(EndeRel,MATCH(Z20,Codes,0)))*1440,0)&lt;660,1,0),0),0))</f>
      </c>
      <c r="AB69" s="1">
        <f>IF(OR(AB$52=0,AA20="",AB20=""),0,IFERROR(IF(AND(INDEX(Arten,MATCH(AA20,Codes,0))="Arbeit",INDEX(Arten,MATCH(AB20,Codes,0))="Arbeit"),IF(ROUND((1+INDEX(Beginne,MATCH(AB20,Codes,0))-INDEX(EndeRel,MATCH(AA20,Codes,0)))*1440,0)&lt;660,1,0),0),0))</f>
      </c>
      <c r="AC69" s="1">
        <f>IF(OR(AC$52=0,AB20="",AC20=""),0,IFERROR(IF(AND(INDEX(Arten,MATCH(AB20,Codes,0))="Arbeit",INDEX(Arten,MATCH(AC20,Codes,0))="Arbeit"),IF(ROUND((1+INDEX(Beginne,MATCH(AC20,Codes,0))-INDEX(EndeRel,MATCH(AB20,Codes,0)))*1440,0)&lt;660,1,0),0),0))</f>
      </c>
      <c r="AD69" s="1">
        <f>IF(OR(AD$52=0,AC20="",AD20=""),0,IFERROR(IF(AND(INDEX(Arten,MATCH(AC20,Codes,0))="Arbeit",INDEX(Arten,MATCH(AD20,Codes,0))="Arbeit"),IF(ROUND((1+INDEX(Beginne,MATCH(AD20,Codes,0))-INDEX(EndeRel,MATCH(AC20,Codes,0)))*1440,0)&lt;660,1,0),0),0))</f>
      </c>
      <c r="AE69" s="1">
        <f>IF(OR(AE$52=0,AD20="",AE20=""),0,IFERROR(IF(AND(INDEX(Arten,MATCH(AD20,Codes,0))="Arbeit",INDEX(Arten,MATCH(AE20,Codes,0))="Arbeit"),IF(ROUND((1+INDEX(Beginne,MATCH(AE20,Codes,0))-INDEX(EndeRel,MATCH(AD20,Codes,0)))*1440,0)&lt;660,1,0),0),0))</f>
      </c>
      <c r="AF69" s="1">
        <f>IF(OR(AF$52=0,AE20="",AF20=""),0,IFERROR(IF(AND(INDEX(Arten,MATCH(AE20,Codes,0))="Arbeit",INDEX(Arten,MATCH(AF20,Codes,0))="Arbeit"),IF(ROUND((1+INDEX(Beginne,MATCH(AF20,Codes,0))-INDEX(EndeRel,MATCH(AE20,Codes,0)))*1440,0)&lt;660,1,0),0),0))</f>
      </c>
    </row>
    <row r="70" hidden="1" spans="1:32" x14ac:dyDescent="0.25">
      <c r="A70" s="1"/>
      <c r="B70" s="1">
        <f>IF(OR(B$52=0,INDEX('Februar'!$B$21:$AF$21,DAY(DATE(Jahr,3,0)))="",B21=""),0,IFERROR(IF(AND(INDEX(Arten,MATCH(INDEX('Februar'!$B$21:$AF$21,DAY(DATE(Jahr,3,0))),Codes,0))="Arbeit",INDEX(Arten,MATCH(B21,Codes,0))="Arbeit"),IF(ROUND((1+INDEX(Beginne,MATCH(B21,Codes,0))-INDEX(EndeRel,MATCH(INDEX('Februar'!$B$21:$AF$21,DAY(DATE(Jahr,3,0))),Codes,0)))*1440,0)&lt;660,1,0),0),0))</f>
      </c>
      <c r="C70" s="1">
        <f>IF(OR(C$52=0,B21="",C21=""),0,IFERROR(IF(AND(INDEX(Arten,MATCH(B21,Codes,0))="Arbeit",INDEX(Arten,MATCH(C21,Codes,0))="Arbeit"),IF(ROUND((1+INDEX(Beginne,MATCH(C21,Codes,0))-INDEX(EndeRel,MATCH(B21,Codes,0)))*1440,0)&lt;660,1,0),0),0))</f>
      </c>
      <c r="D70" s="1">
        <f>IF(OR(D$52=0,C21="",D21=""),0,IFERROR(IF(AND(INDEX(Arten,MATCH(C21,Codes,0))="Arbeit",INDEX(Arten,MATCH(D21,Codes,0))="Arbeit"),IF(ROUND((1+INDEX(Beginne,MATCH(D21,Codes,0))-INDEX(EndeRel,MATCH(C21,Codes,0)))*1440,0)&lt;660,1,0),0),0))</f>
      </c>
      <c r="E70" s="1">
        <f>IF(OR(E$52=0,D21="",E21=""),0,IFERROR(IF(AND(INDEX(Arten,MATCH(D21,Codes,0))="Arbeit",INDEX(Arten,MATCH(E21,Codes,0))="Arbeit"),IF(ROUND((1+INDEX(Beginne,MATCH(E21,Codes,0))-INDEX(EndeRel,MATCH(D21,Codes,0)))*1440,0)&lt;660,1,0),0),0))</f>
      </c>
      <c r="F70" s="1">
        <f>IF(OR(F$52=0,E21="",F21=""),0,IFERROR(IF(AND(INDEX(Arten,MATCH(E21,Codes,0))="Arbeit",INDEX(Arten,MATCH(F21,Codes,0))="Arbeit"),IF(ROUND((1+INDEX(Beginne,MATCH(F21,Codes,0))-INDEX(EndeRel,MATCH(E21,Codes,0)))*1440,0)&lt;660,1,0),0),0))</f>
      </c>
      <c r="G70" s="1">
        <f>IF(OR(G$52=0,F21="",G21=""),0,IFERROR(IF(AND(INDEX(Arten,MATCH(F21,Codes,0))="Arbeit",INDEX(Arten,MATCH(G21,Codes,0))="Arbeit"),IF(ROUND((1+INDEX(Beginne,MATCH(G21,Codes,0))-INDEX(EndeRel,MATCH(F21,Codes,0)))*1440,0)&lt;660,1,0),0),0))</f>
      </c>
      <c r="H70" s="1">
        <f>IF(OR(H$52=0,G21="",H21=""),0,IFERROR(IF(AND(INDEX(Arten,MATCH(G21,Codes,0))="Arbeit",INDEX(Arten,MATCH(H21,Codes,0))="Arbeit"),IF(ROUND((1+INDEX(Beginne,MATCH(H21,Codes,0))-INDEX(EndeRel,MATCH(G21,Codes,0)))*1440,0)&lt;660,1,0),0),0))</f>
      </c>
      <c r="I70" s="1">
        <f>IF(OR(I$52=0,H21="",I21=""),0,IFERROR(IF(AND(INDEX(Arten,MATCH(H21,Codes,0))="Arbeit",INDEX(Arten,MATCH(I21,Codes,0))="Arbeit"),IF(ROUND((1+INDEX(Beginne,MATCH(I21,Codes,0))-INDEX(EndeRel,MATCH(H21,Codes,0)))*1440,0)&lt;660,1,0),0),0))</f>
      </c>
      <c r="J70" s="1">
        <f>IF(OR(J$52=0,I21="",J21=""),0,IFERROR(IF(AND(INDEX(Arten,MATCH(I21,Codes,0))="Arbeit",INDEX(Arten,MATCH(J21,Codes,0))="Arbeit"),IF(ROUND((1+INDEX(Beginne,MATCH(J21,Codes,0))-INDEX(EndeRel,MATCH(I21,Codes,0)))*1440,0)&lt;660,1,0),0),0))</f>
      </c>
      <c r="K70" s="1">
        <f>IF(OR(K$52=0,J21="",K21=""),0,IFERROR(IF(AND(INDEX(Arten,MATCH(J21,Codes,0))="Arbeit",INDEX(Arten,MATCH(K21,Codes,0))="Arbeit"),IF(ROUND((1+INDEX(Beginne,MATCH(K21,Codes,0))-INDEX(EndeRel,MATCH(J21,Codes,0)))*1440,0)&lt;660,1,0),0),0))</f>
      </c>
      <c r="L70" s="1">
        <f>IF(OR(L$52=0,K21="",L21=""),0,IFERROR(IF(AND(INDEX(Arten,MATCH(K21,Codes,0))="Arbeit",INDEX(Arten,MATCH(L21,Codes,0))="Arbeit"),IF(ROUND((1+INDEX(Beginne,MATCH(L21,Codes,0))-INDEX(EndeRel,MATCH(K21,Codes,0)))*1440,0)&lt;660,1,0),0),0))</f>
      </c>
      <c r="M70" s="1">
        <f>IF(OR(M$52=0,L21="",M21=""),0,IFERROR(IF(AND(INDEX(Arten,MATCH(L21,Codes,0))="Arbeit",INDEX(Arten,MATCH(M21,Codes,0))="Arbeit"),IF(ROUND((1+INDEX(Beginne,MATCH(M21,Codes,0))-INDEX(EndeRel,MATCH(L21,Codes,0)))*1440,0)&lt;660,1,0),0),0))</f>
      </c>
      <c r="N70" s="1">
        <f>IF(OR(N$52=0,M21="",N21=""),0,IFERROR(IF(AND(INDEX(Arten,MATCH(M21,Codes,0))="Arbeit",INDEX(Arten,MATCH(N21,Codes,0))="Arbeit"),IF(ROUND((1+INDEX(Beginne,MATCH(N21,Codes,0))-INDEX(EndeRel,MATCH(M21,Codes,0)))*1440,0)&lt;660,1,0),0),0))</f>
      </c>
      <c r="O70" s="1">
        <f>IF(OR(O$52=0,N21="",O21=""),0,IFERROR(IF(AND(INDEX(Arten,MATCH(N21,Codes,0))="Arbeit",INDEX(Arten,MATCH(O21,Codes,0))="Arbeit"),IF(ROUND((1+INDEX(Beginne,MATCH(O21,Codes,0))-INDEX(EndeRel,MATCH(N21,Codes,0)))*1440,0)&lt;660,1,0),0),0))</f>
      </c>
      <c r="P70" s="1">
        <f>IF(OR(P$52=0,O21="",P21=""),0,IFERROR(IF(AND(INDEX(Arten,MATCH(O21,Codes,0))="Arbeit",INDEX(Arten,MATCH(P21,Codes,0))="Arbeit"),IF(ROUND((1+INDEX(Beginne,MATCH(P21,Codes,0))-INDEX(EndeRel,MATCH(O21,Codes,0)))*1440,0)&lt;660,1,0),0),0))</f>
      </c>
      <c r="Q70" s="1">
        <f>IF(OR(Q$52=0,P21="",Q21=""),0,IFERROR(IF(AND(INDEX(Arten,MATCH(P21,Codes,0))="Arbeit",INDEX(Arten,MATCH(Q21,Codes,0))="Arbeit"),IF(ROUND((1+INDEX(Beginne,MATCH(Q21,Codes,0))-INDEX(EndeRel,MATCH(P21,Codes,0)))*1440,0)&lt;660,1,0),0),0))</f>
      </c>
      <c r="R70" s="1">
        <f>IF(OR(R$52=0,Q21="",R21=""),0,IFERROR(IF(AND(INDEX(Arten,MATCH(Q21,Codes,0))="Arbeit",INDEX(Arten,MATCH(R21,Codes,0))="Arbeit"),IF(ROUND((1+INDEX(Beginne,MATCH(R21,Codes,0))-INDEX(EndeRel,MATCH(Q21,Codes,0)))*1440,0)&lt;660,1,0),0),0))</f>
      </c>
      <c r="S70" s="1">
        <f>IF(OR(S$52=0,R21="",S21=""),0,IFERROR(IF(AND(INDEX(Arten,MATCH(R21,Codes,0))="Arbeit",INDEX(Arten,MATCH(S21,Codes,0))="Arbeit"),IF(ROUND((1+INDEX(Beginne,MATCH(S21,Codes,0))-INDEX(EndeRel,MATCH(R21,Codes,0)))*1440,0)&lt;660,1,0),0),0))</f>
      </c>
      <c r="T70" s="1">
        <f>IF(OR(T$52=0,S21="",T21=""),0,IFERROR(IF(AND(INDEX(Arten,MATCH(S21,Codes,0))="Arbeit",INDEX(Arten,MATCH(T21,Codes,0))="Arbeit"),IF(ROUND((1+INDEX(Beginne,MATCH(T21,Codes,0))-INDEX(EndeRel,MATCH(S21,Codes,0)))*1440,0)&lt;660,1,0),0),0))</f>
      </c>
      <c r="U70" s="1">
        <f>IF(OR(U$52=0,T21="",U21=""),0,IFERROR(IF(AND(INDEX(Arten,MATCH(T21,Codes,0))="Arbeit",INDEX(Arten,MATCH(U21,Codes,0))="Arbeit"),IF(ROUND((1+INDEX(Beginne,MATCH(U21,Codes,0))-INDEX(EndeRel,MATCH(T21,Codes,0)))*1440,0)&lt;660,1,0),0),0))</f>
      </c>
      <c r="V70" s="1">
        <f>IF(OR(V$52=0,U21="",V21=""),0,IFERROR(IF(AND(INDEX(Arten,MATCH(U21,Codes,0))="Arbeit",INDEX(Arten,MATCH(V21,Codes,0))="Arbeit"),IF(ROUND((1+INDEX(Beginne,MATCH(V21,Codes,0))-INDEX(EndeRel,MATCH(U21,Codes,0)))*1440,0)&lt;660,1,0),0),0))</f>
      </c>
      <c r="W70" s="1">
        <f>IF(OR(W$52=0,V21="",W21=""),0,IFERROR(IF(AND(INDEX(Arten,MATCH(V21,Codes,0))="Arbeit",INDEX(Arten,MATCH(W21,Codes,0))="Arbeit"),IF(ROUND((1+INDEX(Beginne,MATCH(W21,Codes,0))-INDEX(EndeRel,MATCH(V21,Codes,0)))*1440,0)&lt;660,1,0),0),0))</f>
      </c>
      <c r="X70" s="1">
        <f>IF(OR(X$52=0,W21="",X21=""),0,IFERROR(IF(AND(INDEX(Arten,MATCH(W21,Codes,0))="Arbeit",INDEX(Arten,MATCH(X21,Codes,0))="Arbeit"),IF(ROUND((1+INDEX(Beginne,MATCH(X21,Codes,0))-INDEX(EndeRel,MATCH(W21,Codes,0)))*1440,0)&lt;660,1,0),0),0))</f>
      </c>
      <c r="Y70" s="1">
        <f>IF(OR(Y$52=0,X21="",Y21=""),0,IFERROR(IF(AND(INDEX(Arten,MATCH(X21,Codes,0))="Arbeit",INDEX(Arten,MATCH(Y21,Codes,0))="Arbeit"),IF(ROUND((1+INDEX(Beginne,MATCH(Y21,Codes,0))-INDEX(EndeRel,MATCH(X21,Codes,0)))*1440,0)&lt;660,1,0),0),0))</f>
      </c>
      <c r="Z70" s="1">
        <f>IF(OR(Z$52=0,Y21="",Z21=""),0,IFERROR(IF(AND(INDEX(Arten,MATCH(Y21,Codes,0))="Arbeit",INDEX(Arten,MATCH(Z21,Codes,0))="Arbeit"),IF(ROUND((1+INDEX(Beginne,MATCH(Z21,Codes,0))-INDEX(EndeRel,MATCH(Y21,Codes,0)))*1440,0)&lt;660,1,0),0),0))</f>
      </c>
      <c r="AA70" s="1">
        <f>IF(OR(AA$52=0,Z21="",AA21=""),0,IFERROR(IF(AND(INDEX(Arten,MATCH(Z21,Codes,0))="Arbeit",INDEX(Arten,MATCH(AA21,Codes,0))="Arbeit"),IF(ROUND((1+INDEX(Beginne,MATCH(AA21,Codes,0))-INDEX(EndeRel,MATCH(Z21,Codes,0)))*1440,0)&lt;660,1,0),0),0))</f>
      </c>
      <c r="AB70" s="1">
        <f>IF(OR(AB$52=0,AA21="",AB21=""),0,IFERROR(IF(AND(INDEX(Arten,MATCH(AA21,Codes,0))="Arbeit",INDEX(Arten,MATCH(AB21,Codes,0))="Arbeit"),IF(ROUND((1+INDEX(Beginne,MATCH(AB21,Codes,0))-INDEX(EndeRel,MATCH(AA21,Codes,0)))*1440,0)&lt;660,1,0),0),0))</f>
      </c>
      <c r="AC70" s="1">
        <f>IF(OR(AC$52=0,AB21="",AC21=""),0,IFERROR(IF(AND(INDEX(Arten,MATCH(AB21,Codes,0))="Arbeit",INDEX(Arten,MATCH(AC21,Codes,0))="Arbeit"),IF(ROUND((1+INDEX(Beginne,MATCH(AC21,Codes,0))-INDEX(EndeRel,MATCH(AB21,Codes,0)))*1440,0)&lt;660,1,0),0),0))</f>
      </c>
      <c r="AD70" s="1">
        <f>IF(OR(AD$52=0,AC21="",AD21=""),0,IFERROR(IF(AND(INDEX(Arten,MATCH(AC21,Codes,0))="Arbeit",INDEX(Arten,MATCH(AD21,Codes,0))="Arbeit"),IF(ROUND((1+INDEX(Beginne,MATCH(AD21,Codes,0))-INDEX(EndeRel,MATCH(AC21,Codes,0)))*1440,0)&lt;660,1,0),0),0))</f>
      </c>
      <c r="AE70" s="1">
        <f>IF(OR(AE$52=0,AD21="",AE21=""),0,IFERROR(IF(AND(INDEX(Arten,MATCH(AD21,Codes,0))="Arbeit",INDEX(Arten,MATCH(AE21,Codes,0))="Arbeit"),IF(ROUND((1+INDEX(Beginne,MATCH(AE21,Codes,0))-INDEX(EndeRel,MATCH(AD21,Codes,0)))*1440,0)&lt;660,1,0),0),0))</f>
      </c>
      <c r="AF70" s="1">
        <f>IF(OR(AF$52=0,AE21="",AF21=""),0,IFERROR(IF(AND(INDEX(Arten,MATCH(AE21,Codes,0))="Arbeit",INDEX(Arten,MATCH(AF21,Codes,0))="Arbeit"),IF(ROUND((1+INDEX(Beginne,MATCH(AF21,Codes,0))-INDEX(EndeRel,MATCH(AE21,Codes,0)))*1440,0)&lt;660,1,0),0),0))</f>
      </c>
    </row>
    <row r="71" hidden="1" spans="1:32" x14ac:dyDescent="0.25">
      <c r="A71" s="1"/>
      <c r="B71" s="1">
        <f>IF(OR(B$52=0,INDEX('Februar'!$B$22:$AF$22,DAY(DATE(Jahr,3,0)))="",B22=""),0,IFERROR(IF(AND(INDEX(Arten,MATCH(INDEX('Februar'!$B$22:$AF$22,DAY(DATE(Jahr,3,0))),Codes,0))="Arbeit",INDEX(Arten,MATCH(B22,Codes,0))="Arbeit"),IF(ROUND((1+INDEX(Beginne,MATCH(B22,Codes,0))-INDEX(EndeRel,MATCH(INDEX('Februar'!$B$22:$AF$22,DAY(DATE(Jahr,3,0))),Codes,0)))*1440,0)&lt;660,1,0),0),0))</f>
      </c>
      <c r="C71" s="1">
        <f>IF(OR(C$52=0,B22="",C22=""),0,IFERROR(IF(AND(INDEX(Arten,MATCH(B22,Codes,0))="Arbeit",INDEX(Arten,MATCH(C22,Codes,0))="Arbeit"),IF(ROUND((1+INDEX(Beginne,MATCH(C22,Codes,0))-INDEX(EndeRel,MATCH(B22,Codes,0)))*1440,0)&lt;660,1,0),0),0))</f>
      </c>
      <c r="D71" s="1">
        <f>IF(OR(D$52=0,C22="",D22=""),0,IFERROR(IF(AND(INDEX(Arten,MATCH(C22,Codes,0))="Arbeit",INDEX(Arten,MATCH(D22,Codes,0))="Arbeit"),IF(ROUND((1+INDEX(Beginne,MATCH(D22,Codes,0))-INDEX(EndeRel,MATCH(C22,Codes,0)))*1440,0)&lt;660,1,0),0),0))</f>
      </c>
      <c r="E71" s="1">
        <f>IF(OR(E$52=0,D22="",E22=""),0,IFERROR(IF(AND(INDEX(Arten,MATCH(D22,Codes,0))="Arbeit",INDEX(Arten,MATCH(E22,Codes,0))="Arbeit"),IF(ROUND((1+INDEX(Beginne,MATCH(E22,Codes,0))-INDEX(EndeRel,MATCH(D22,Codes,0)))*1440,0)&lt;660,1,0),0),0))</f>
      </c>
      <c r="F71" s="1">
        <f>IF(OR(F$52=0,E22="",F22=""),0,IFERROR(IF(AND(INDEX(Arten,MATCH(E22,Codes,0))="Arbeit",INDEX(Arten,MATCH(F22,Codes,0))="Arbeit"),IF(ROUND((1+INDEX(Beginne,MATCH(F22,Codes,0))-INDEX(EndeRel,MATCH(E22,Codes,0)))*1440,0)&lt;660,1,0),0),0))</f>
      </c>
      <c r="G71" s="1">
        <f>IF(OR(G$52=0,F22="",G22=""),0,IFERROR(IF(AND(INDEX(Arten,MATCH(F22,Codes,0))="Arbeit",INDEX(Arten,MATCH(G22,Codes,0))="Arbeit"),IF(ROUND((1+INDEX(Beginne,MATCH(G22,Codes,0))-INDEX(EndeRel,MATCH(F22,Codes,0)))*1440,0)&lt;660,1,0),0),0))</f>
      </c>
      <c r="H71" s="1">
        <f>IF(OR(H$52=0,G22="",H22=""),0,IFERROR(IF(AND(INDEX(Arten,MATCH(G22,Codes,0))="Arbeit",INDEX(Arten,MATCH(H22,Codes,0))="Arbeit"),IF(ROUND((1+INDEX(Beginne,MATCH(H22,Codes,0))-INDEX(EndeRel,MATCH(G22,Codes,0)))*1440,0)&lt;660,1,0),0),0))</f>
      </c>
      <c r="I71" s="1">
        <f>IF(OR(I$52=0,H22="",I22=""),0,IFERROR(IF(AND(INDEX(Arten,MATCH(H22,Codes,0))="Arbeit",INDEX(Arten,MATCH(I22,Codes,0))="Arbeit"),IF(ROUND((1+INDEX(Beginne,MATCH(I22,Codes,0))-INDEX(EndeRel,MATCH(H22,Codes,0)))*1440,0)&lt;660,1,0),0),0))</f>
      </c>
      <c r="J71" s="1">
        <f>IF(OR(J$52=0,I22="",J22=""),0,IFERROR(IF(AND(INDEX(Arten,MATCH(I22,Codes,0))="Arbeit",INDEX(Arten,MATCH(J22,Codes,0))="Arbeit"),IF(ROUND((1+INDEX(Beginne,MATCH(J22,Codes,0))-INDEX(EndeRel,MATCH(I22,Codes,0)))*1440,0)&lt;660,1,0),0),0))</f>
      </c>
      <c r="K71" s="1">
        <f>IF(OR(K$52=0,J22="",K22=""),0,IFERROR(IF(AND(INDEX(Arten,MATCH(J22,Codes,0))="Arbeit",INDEX(Arten,MATCH(K22,Codes,0))="Arbeit"),IF(ROUND((1+INDEX(Beginne,MATCH(K22,Codes,0))-INDEX(EndeRel,MATCH(J22,Codes,0)))*1440,0)&lt;660,1,0),0),0))</f>
      </c>
      <c r="L71" s="1">
        <f>IF(OR(L$52=0,K22="",L22=""),0,IFERROR(IF(AND(INDEX(Arten,MATCH(K22,Codes,0))="Arbeit",INDEX(Arten,MATCH(L22,Codes,0))="Arbeit"),IF(ROUND((1+INDEX(Beginne,MATCH(L22,Codes,0))-INDEX(EndeRel,MATCH(K22,Codes,0)))*1440,0)&lt;660,1,0),0),0))</f>
      </c>
      <c r="M71" s="1">
        <f>IF(OR(M$52=0,L22="",M22=""),0,IFERROR(IF(AND(INDEX(Arten,MATCH(L22,Codes,0))="Arbeit",INDEX(Arten,MATCH(M22,Codes,0))="Arbeit"),IF(ROUND((1+INDEX(Beginne,MATCH(M22,Codes,0))-INDEX(EndeRel,MATCH(L22,Codes,0)))*1440,0)&lt;660,1,0),0),0))</f>
      </c>
      <c r="N71" s="1">
        <f>IF(OR(N$52=0,M22="",N22=""),0,IFERROR(IF(AND(INDEX(Arten,MATCH(M22,Codes,0))="Arbeit",INDEX(Arten,MATCH(N22,Codes,0))="Arbeit"),IF(ROUND((1+INDEX(Beginne,MATCH(N22,Codes,0))-INDEX(EndeRel,MATCH(M22,Codes,0)))*1440,0)&lt;660,1,0),0),0))</f>
      </c>
      <c r="O71" s="1">
        <f>IF(OR(O$52=0,N22="",O22=""),0,IFERROR(IF(AND(INDEX(Arten,MATCH(N22,Codes,0))="Arbeit",INDEX(Arten,MATCH(O22,Codes,0))="Arbeit"),IF(ROUND((1+INDEX(Beginne,MATCH(O22,Codes,0))-INDEX(EndeRel,MATCH(N22,Codes,0)))*1440,0)&lt;660,1,0),0),0))</f>
      </c>
      <c r="P71" s="1">
        <f>IF(OR(P$52=0,O22="",P22=""),0,IFERROR(IF(AND(INDEX(Arten,MATCH(O22,Codes,0))="Arbeit",INDEX(Arten,MATCH(P22,Codes,0))="Arbeit"),IF(ROUND((1+INDEX(Beginne,MATCH(P22,Codes,0))-INDEX(EndeRel,MATCH(O22,Codes,0)))*1440,0)&lt;660,1,0),0),0))</f>
      </c>
      <c r="Q71" s="1">
        <f>IF(OR(Q$52=0,P22="",Q22=""),0,IFERROR(IF(AND(INDEX(Arten,MATCH(P22,Codes,0))="Arbeit",INDEX(Arten,MATCH(Q22,Codes,0))="Arbeit"),IF(ROUND((1+INDEX(Beginne,MATCH(Q22,Codes,0))-INDEX(EndeRel,MATCH(P22,Codes,0)))*1440,0)&lt;660,1,0),0),0))</f>
      </c>
      <c r="R71" s="1">
        <f>IF(OR(R$52=0,Q22="",R22=""),0,IFERROR(IF(AND(INDEX(Arten,MATCH(Q22,Codes,0))="Arbeit",INDEX(Arten,MATCH(R22,Codes,0))="Arbeit"),IF(ROUND((1+INDEX(Beginne,MATCH(R22,Codes,0))-INDEX(EndeRel,MATCH(Q22,Codes,0)))*1440,0)&lt;660,1,0),0),0))</f>
      </c>
      <c r="S71" s="1">
        <f>IF(OR(S$52=0,R22="",S22=""),0,IFERROR(IF(AND(INDEX(Arten,MATCH(R22,Codes,0))="Arbeit",INDEX(Arten,MATCH(S22,Codes,0))="Arbeit"),IF(ROUND((1+INDEX(Beginne,MATCH(S22,Codes,0))-INDEX(EndeRel,MATCH(R22,Codes,0)))*1440,0)&lt;660,1,0),0),0))</f>
      </c>
      <c r="T71" s="1">
        <f>IF(OR(T$52=0,S22="",T22=""),0,IFERROR(IF(AND(INDEX(Arten,MATCH(S22,Codes,0))="Arbeit",INDEX(Arten,MATCH(T22,Codes,0))="Arbeit"),IF(ROUND((1+INDEX(Beginne,MATCH(T22,Codes,0))-INDEX(EndeRel,MATCH(S22,Codes,0)))*1440,0)&lt;660,1,0),0),0))</f>
      </c>
      <c r="U71" s="1">
        <f>IF(OR(U$52=0,T22="",U22=""),0,IFERROR(IF(AND(INDEX(Arten,MATCH(T22,Codes,0))="Arbeit",INDEX(Arten,MATCH(U22,Codes,0))="Arbeit"),IF(ROUND((1+INDEX(Beginne,MATCH(U22,Codes,0))-INDEX(EndeRel,MATCH(T22,Codes,0)))*1440,0)&lt;660,1,0),0),0))</f>
      </c>
      <c r="V71" s="1">
        <f>IF(OR(V$52=0,U22="",V22=""),0,IFERROR(IF(AND(INDEX(Arten,MATCH(U22,Codes,0))="Arbeit",INDEX(Arten,MATCH(V22,Codes,0))="Arbeit"),IF(ROUND((1+INDEX(Beginne,MATCH(V22,Codes,0))-INDEX(EndeRel,MATCH(U22,Codes,0)))*1440,0)&lt;660,1,0),0),0))</f>
      </c>
      <c r="W71" s="1">
        <f>IF(OR(W$52=0,V22="",W22=""),0,IFERROR(IF(AND(INDEX(Arten,MATCH(V22,Codes,0))="Arbeit",INDEX(Arten,MATCH(W22,Codes,0))="Arbeit"),IF(ROUND((1+INDEX(Beginne,MATCH(W22,Codes,0))-INDEX(EndeRel,MATCH(V22,Codes,0)))*1440,0)&lt;660,1,0),0),0))</f>
      </c>
      <c r="X71" s="1">
        <f>IF(OR(X$52=0,W22="",X22=""),0,IFERROR(IF(AND(INDEX(Arten,MATCH(W22,Codes,0))="Arbeit",INDEX(Arten,MATCH(X22,Codes,0))="Arbeit"),IF(ROUND((1+INDEX(Beginne,MATCH(X22,Codes,0))-INDEX(EndeRel,MATCH(W22,Codes,0)))*1440,0)&lt;660,1,0),0),0))</f>
      </c>
      <c r="Y71" s="1">
        <f>IF(OR(Y$52=0,X22="",Y22=""),0,IFERROR(IF(AND(INDEX(Arten,MATCH(X22,Codes,0))="Arbeit",INDEX(Arten,MATCH(Y22,Codes,0))="Arbeit"),IF(ROUND((1+INDEX(Beginne,MATCH(Y22,Codes,0))-INDEX(EndeRel,MATCH(X22,Codes,0)))*1440,0)&lt;660,1,0),0),0))</f>
      </c>
      <c r="Z71" s="1">
        <f>IF(OR(Z$52=0,Y22="",Z22=""),0,IFERROR(IF(AND(INDEX(Arten,MATCH(Y22,Codes,0))="Arbeit",INDEX(Arten,MATCH(Z22,Codes,0))="Arbeit"),IF(ROUND((1+INDEX(Beginne,MATCH(Z22,Codes,0))-INDEX(EndeRel,MATCH(Y22,Codes,0)))*1440,0)&lt;660,1,0),0),0))</f>
      </c>
      <c r="AA71" s="1">
        <f>IF(OR(AA$52=0,Z22="",AA22=""),0,IFERROR(IF(AND(INDEX(Arten,MATCH(Z22,Codes,0))="Arbeit",INDEX(Arten,MATCH(AA22,Codes,0))="Arbeit"),IF(ROUND((1+INDEX(Beginne,MATCH(AA22,Codes,0))-INDEX(EndeRel,MATCH(Z22,Codes,0)))*1440,0)&lt;660,1,0),0),0))</f>
      </c>
      <c r="AB71" s="1">
        <f>IF(OR(AB$52=0,AA22="",AB22=""),0,IFERROR(IF(AND(INDEX(Arten,MATCH(AA22,Codes,0))="Arbeit",INDEX(Arten,MATCH(AB22,Codes,0))="Arbeit"),IF(ROUND((1+INDEX(Beginne,MATCH(AB22,Codes,0))-INDEX(EndeRel,MATCH(AA22,Codes,0)))*1440,0)&lt;660,1,0),0),0))</f>
      </c>
      <c r="AC71" s="1">
        <f>IF(OR(AC$52=0,AB22="",AC22=""),0,IFERROR(IF(AND(INDEX(Arten,MATCH(AB22,Codes,0))="Arbeit",INDEX(Arten,MATCH(AC22,Codes,0))="Arbeit"),IF(ROUND((1+INDEX(Beginne,MATCH(AC22,Codes,0))-INDEX(EndeRel,MATCH(AB22,Codes,0)))*1440,0)&lt;660,1,0),0),0))</f>
      </c>
      <c r="AD71" s="1">
        <f>IF(OR(AD$52=0,AC22="",AD22=""),0,IFERROR(IF(AND(INDEX(Arten,MATCH(AC22,Codes,0))="Arbeit",INDEX(Arten,MATCH(AD22,Codes,0))="Arbeit"),IF(ROUND((1+INDEX(Beginne,MATCH(AD22,Codes,0))-INDEX(EndeRel,MATCH(AC22,Codes,0)))*1440,0)&lt;660,1,0),0),0))</f>
      </c>
      <c r="AE71" s="1">
        <f>IF(OR(AE$52=0,AD22="",AE22=""),0,IFERROR(IF(AND(INDEX(Arten,MATCH(AD22,Codes,0))="Arbeit",INDEX(Arten,MATCH(AE22,Codes,0))="Arbeit"),IF(ROUND((1+INDEX(Beginne,MATCH(AE22,Codes,0))-INDEX(EndeRel,MATCH(AD22,Codes,0)))*1440,0)&lt;660,1,0),0),0))</f>
      </c>
      <c r="AF71" s="1">
        <f>IF(OR(AF$52=0,AE22="",AF22=""),0,IFERROR(IF(AND(INDEX(Arten,MATCH(AE22,Codes,0))="Arbeit",INDEX(Arten,MATCH(AF22,Codes,0))="Arbeit"),IF(ROUND((1+INDEX(Beginne,MATCH(AF22,Codes,0))-INDEX(EndeRel,MATCH(AE22,Codes,0)))*1440,0)&lt;660,1,0),0),0))</f>
      </c>
    </row>
    <row r="72" hidden="1" spans="1:32" x14ac:dyDescent="0.25">
      <c r="A72" s="1"/>
      <c r="B72" s="1">
        <f>IF(OR(B$52=0,INDEX('Februar'!$B$23:$AF$23,DAY(DATE(Jahr,3,0)))="",B23=""),0,IFERROR(IF(AND(INDEX(Arten,MATCH(INDEX('Februar'!$B$23:$AF$23,DAY(DATE(Jahr,3,0))),Codes,0))="Arbeit",INDEX(Arten,MATCH(B23,Codes,0))="Arbeit"),IF(ROUND((1+INDEX(Beginne,MATCH(B23,Codes,0))-INDEX(EndeRel,MATCH(INDEX('Februar'!$B$23:$AF$23,DAY(DATE(Jahr,3,0))),Codes,0)))*1440,0)&lt;660,1,0),0),0))</f>
      </c>
      <c r="C72" s="1">
        <f>IF(OR(C$52=0,B23="",C23=""),0,IFERROR(IF(AND(INDEX(Arten,MATCH(B23,Codes,0))="Arbeit",INDEX(Arten,MATCH(C23,Codes,0))="Arbeit"),IF(ROUND((1+INDEX(Beginne,MATCH(C23,Codes,0))-INDEX(EndeRel,MATCH(B23,Codes,0)))*1440,0)&lt;660,1,0),0),0))</f>
      </c>
      <c r="D72" s="1">
        <f>IF(OR(D$52=0,C23="",D23=""),0,IFERROR(IF(AND(INDEX(Arten,MATCH(C23,Codes,0))="Arbeit",INDEX(Arten,MATCH(D23,Codes,0))="Arbeit"),IF(ROUND((1+INDEX(Beginne,MATCH(D23,Codes,0))-INDEX(EndeRel,MATCH(C23,Codes,0)))*1440,0)&lt;660,1,0),0),0))</f>
      </c>
      <c r="E72" s="1">
        <f>IF(OR(E$52=0,D23="",E23=""),0,IFERROR(IF(AND(INDEX(Arten,MATCH(D23,Codes,0))="Arbeit",INDEX(Arten,MATCH(E23,Codes,0))="Arbeit"),IF(ROUND((1+INDEX(Beginne,MATCH(E23,Codes,0))-INDEX(EndeRel,MATCH(D23,Codes,0)))*1440,0)&lt;660,1,0),0),0))</f>
      </c>
      <c r="F72" s="1">
        <f>IF(OR(F$52=0,E23="",F23=""),0,IFERROR(IF(AND(INDEX(Arten,MATCH(E23,Codes,0))="Arbeit",INDEX(Arten,MATCH(F23,Codes,0))="Arbeit"),IF(ROUND((1+INDEX(Beginne,MATCH(F23,Codes,0))-INDEX(EndeRel,MATCH(E23,Codes,0)))*1440,0)&lt;660,1,0),0),0))</f>
      </c>
      <c r="G72" s="1">
        <f>IF(OR(G$52=0,F23="",G23=""),0,IFERROR(IF(AND(INDEX(Arten,MATCH(F23,Codes,0))="Arbeit",INDEX(Arten,MATCH(G23,Codes,0))="Arbeit"),IF(ROUND((1+INDEX(Beginne,MATCH(G23,Codes,0))-INDEX(EndeRel,MATCH(F23,Codes,0)))*1440,0)&lt;660,1,0),0),0))</f>
      </c>
      <c r="H72" s="1">
        <f>IF(OR(H$52=0,G23="",H23=""),0,IFERROR(IF(AND(INDEX(Arten,MATCH(G23,Codes,0))="Arbeit",INDEX(Arten,MATCH(H23,Codes,0))="Arbeit"),IF(ROUND((1+INDEX(Beginne,MATCH(H23,Codes,0))-INDEX(EndeRel,MATCH(G23,Codes,0)))*1440,0)&lt;660,1,0),0),0))</f>
      </c>
      <c r="I72" s="1">
        <f>IF(OR(I$52=0,H23="",I23=""),0,IFERROR(IF(AND(INDEX(Arten,MATCH(H23,Codes,0))="Arbeit",INDEX(Arten,MATCH(I23,Codes,0))="Arbeit"),IF(ROUND((1+INDEX(Beginne,MATCH(I23,Codes,0))-INDEX(EndeRel,MATCH(H23,Codes,0)))*1440,0)&lt;660,1,0),0),0))</f>
      </c>
      <c r="J72" s="1">
        <f>IF(OR(J$52=0,I23="",J23=""),0,IFERROR(IF(AND(INDEX(Arten,MATCH(I23,Codes,0))="Arbeit",INDEX(Arten,MATCH(J23,Codes,0))="Arbeit"),IF(ROUND((1+INDEX(Beginne,MATCH(J23,Codes,0))-INDEX(EndeRel,MATCH(I23,Codes,0)))*1440,0)&lt;660,1,0),0),0))</f>
      </c>
      <c r="K72" s="1">
        <f>IF(OR(K$52=0,J23="",K23=""),0,IFERROR(IF(AND(INDEX(Arten,MATCH(J23,Codes,0))="Arbeit",INDEX(Arten,MATCH(K23,Codes,0))="Arbeit"),IF(ROUND((1+INDEX(Beginne,MATCH(K23,Codes,0))-INDEX(EndeRel,MATCH(J23,Codes,0)))*1440,0)&lt;660,1,0),0),0))</f>
      </c>
      <c r="L72" s="1">
        <f>IF(OR(L$52=0,K23="",L23=""),0,IFERROR(IF(AND(INDEX(Arten,MATCH(K23,Codes,0))="Arbeit",INDEX(Arten,MATCH(L23,Codes,0))="Arbeit"),IF(ROUND((1+INDEX(Beginne,MATCH(L23,Codes,0))-INDEX(EndeRel,MATCH(K23,Codes,0)))*1440,0)&lt;660,1,0),0),0))</f>
      </c>
      <c r="M72" s="1">
        <f>IF(OR(M$52=0,L23="",M23=""),0,IFERROR(IF(AND(INDEX(Arten,MATCH(L23,Codes,0))="Arbeit",INDEX(Arten,MATCH(M23,Codes,0))="Arbeit"),IF(ROUND((1+INDEX(Beginne,MATCH(M23,Codes,0))-INDEX(EndeRel,MATCH(L23,Codes,0)))*1440,0)&lt;660,1,0),0),0))</f>
      </c>
      <c r="N72" s="1">
        <f>IF(OR(N$52=0,M23="",N23=""),0,IFERROR(IF(AND(INDEX(Arten,MATCH(M23,Codes,0))="Arbeit",INDEX(Arten,MATCH(N23,Codes,0))="Arbeit"),IF(ROUND((1+INDEX(Beginne,MATCH(N23,Codes,0))-INDEX(EndeRel,MATCH(M23,Codes,0)))*1440,0)&lt;660,1,0),0),0))</f>
      </c>
      <c r="O72" s="1">
        <f>IF(OR(O$52=0,N23="",O23=""),0,IFERROR(IF(AND(INDEX(Arten,MATCH(N23,Codes,0))="Arbeit",INDEX(Arten,MATCH(O23,Codes,0))="Arbeit"),IF(ROUND((1+INDEX(Beginne,MATCH(O23,Codes,0))-INDEX(EndeRel,MATCH(N23,Codes,0)))*1440,0)&lt;660,1,0),0),0))</f>
      </c>
      <c r="P72" s="1">
        <f>IF(OR(P$52=0,O23="",P23=""),0,IFERROR(IF(AND(INDEX(Arten,MATCH(O23,Codes,0))="Arbeit",INDEX(Arten,MATCH(P23,Codes,0))="Arbeit"),IF(ROUND((1+INDEX(Beginne,MATCH(P23,Codes,0))-INDEX(EndeRel,MATCH(O23,Codes,0)))*1440,0)&lt;660,1,0),0),0))</f>
      </c>
      <c r="Q72" s="1">
        <f>IF(OR(Q$52=0,P23="",Q23=""),0,IFERROR(IF(AND(INDEX(Arten,MATCH(P23,Codes,0))="Arbeit",INDEX(Arten,MATCH(Q23,Codes,0))="Arbeit"),IF(ROUND((1+INDEX(Beginne,MATCH(Q23,Codes,0))-INDEX(EndeRel,MATCH(P23,Codes,0)))*1440,0)&lt;660,1,0),0),0))</f>
      </c>
      <c r="R72" s="1">
        <f>IF(OR(R$52=0,Q23="",R23=""),0,IFERROR(IF(AND(INDEX(Arten,MATCH(Q23,Codes,0))="Arbeit",INDEX(Arten,MATCH(R23,Codes,0))="Arbeit"),IF(ROUND((1+INDEX(Beginne,MATCH(R23,Codes,0))-INDEX(EndeRel,MATCH(Q23,Codes,0)))*1440,0)&lt;660,1,0),0),0))</f>
      </c>
      <c r="S72" s="1">
        <f>IF(OR(S$52=0,R23="",S23=""),0,IFERROR(IF(AND(INDEX(Arten,MATCH(R23,Codes,0))="Arbeit",INDEX(Arten,MATCH(S23,Codes,0))="Arbeit"),IF(ROUND((1+INDEX(Beginne,MATCH(S23,Codes,0))-INDEX(EndeRel,MATCH(R23,Codes,0)))*1440,0)&lt;660,1,0),0),0))</f>
      </c>
      <c r="T72" s="1">
        <f>IF(OR(T$52=0,S23="",T23=""),0,IFERROR(IF(AND(INDEX(Arten,MATCH(S23,Codes,0))="Arbeit",INDEX(Arten,MATCH(T23,Codes,0))="Arbeit"),IF(ROUND((1+INDEX(Beginne,MATCH(T23,Codes,0))-INDEX(EndeRel,MATCH(S23,Codes,0)))*1440,0)&lt;660,1,0),0),0))</f>
      </c>
      <c r="U72" s="1">
        <f>IF(OR(U$52=0,T23="",U23=""),0,IFERROR(IF(AND(INDEX(Arten,MATCH(T23,Codes,0))="Arbeit",INDEX(Arten,MATCH(U23,Codes,0))="Arbeit"),IF(ROUND((1+INDEX(Beginne,MATCH(U23,Codes,0))-INDEX(EndeRel,MATCH(T23,Codes,0)))*1440,0)&lt;660,1,0),0),0))</f>
      </c>
      <c r="V72" s="1">
        <f>IF(OR(V$52=0,U23="",V23=""),0,IFERROR(IF(AND(INDEX(Arten,MATCH(U23,Codes,0))="Arbeit",INDEX(Arten,MATCH(V23,Codes,0))="Arbeit"),IF(ROUND((1+INDEX(Beginne,MATCH(V23,Codes,0))-INDEX(EndeRel,MATCH(U23,Codes,0)))*1440,0)&lt;660,1,0),0),0))</f>
      </c>
      <c r="W72" s="1">
        <f>IF(OR(W$52=0,V23="",W23=""),0,IFERROR(IF(AND(INDEX(Arten,MATCH(V23,Codes,0))="Arbeit",INDEX(Arten,MATCH(W23,Codes,0))="Arbeit"),IF(ROUND((1+INDEX(Beginne,MATCH(W23,Codes,0))-INDEX(EndeRel,MATCH(V23,Codes,0)))*1440,0)&lt;660,1,0),0),0))</f>
      </c>
      <c r="X72" s="1">
        <f>IF(OR(X$52=0,W23="",X23=""),0,IFERROR(IF(AND(INDEX(Arten,MATCH(W23,Codes,0))="Arbeit",INDEX(Arten,MATCH(X23,Codes,0))="Arbeit"),IF(ROUND((1+INDEX(Beginne,MATCH(X23,Codes,0))-INDEX(EndeRel,MATCH(W23,Codes,0)))*1440,0)&lt;660,1,0),0),0))</f>
      </c>
      <c r="Y72" s="1">
        <f>IF(OR(Y$52=0,X23="",Y23=""),0,IFERROR(IF(AND(INDEX(Arten,MATCH(X23,Codes,0))="Arbeit",INDEX(Arten,MATCH(Y23,Codes,0))="Arbeit"),IF(ROUND((1+INDEX(Beginne,MATCH(Y23,Codes,0))-INDEX(EndeRel,MATCH(X23,Codes,0)))*1440,0)&lt;660,1,0),0),0))</f>
      </c>
      <c r="Z72" s="1">
        <f>IF(OR(Z$52=0,Y23="",Z23=""),0,IFERROR(IF(AND(INDEX(Arten,MATCH(Y23,Codes,0))="Arbeit",INDEX(Arten,MATCH(Z23,Codes,0))="Arbeit"),IF(ROUND((1+INDEX(Beginne,MATCH(Z23,Codes,0))-INDEX(EndeRel,MATCH(Y23,Codes,0)))*1440,0)&lt;660,1,0),0),0))</f>
      </c>
      <c r="AA72" s="1">
        <f>IF(OR(AA$52=0,Z23="",AA23=""),0,IFERROR(IF(AND(INDEX(Arten,MATCH(Z23,Codes,0))="Arbeit",INDEX(Arten,MATCH(AA23,Codes,0))="Arbeit"),IF(ROUND((1+INDEX(Beginne,MATCH(AA23,Codes,0))-INDEX(EndeRel,MATCH(Z23,Codes,0)))*1440,0)&lt;660,1,0),0),0))</f>
      </c>
      <c r="AB72" s="1">
        <f>IF(OR(AB$52=0,AA23="",AB23=""),0,IFERROR(IF(AND(INDEX(Arten,MATCH(AA23,Codes,0))="Arbeit",INDEX(Arten,MATCH(AB23,Codes,0))="Arbeit"),IF(ROUND((1+INDEX(Beginne,MATCH(AB23,Codes,0))-INDEX(EndeRel,MATCH(AA23,Codes,0)))*1440,0)&lt;660,1,0),0),0))</f>
      </c>
      <c r="AC72" s="1">
        <f>IF(OR(AC$52=0,AB23="",AC23=""),0,IFERROR(IF(AND(INDEX(Arten,MATCH(AB23,Codes,0))="Arbeit",INDEX(Arten,MATCH(AC23,Codes,0))="Arbeit"),IF(ROUND((1+INDEX(Beginne,MATCH(AC23,Codes,0))-INDEX(EndeRel,MATCH(AB23,Codes,0)))*1440,0)&lt;660,1,0),0),0))</f>
      </c>
      <c r="AD72" s="1">
        <f>IF(OR(AD$52=0,AC23="",AD23=""),0,IFERROR(IF(AND(INDEX(Arten,MATCH(AC23,Codes,0))="Arbeit",INDEX(Arten,MATCH(AD23,Codes,0))="Arbeit"),IF(ROUND((1+INDEX(Beginne,MATCH(AD23,Codes,0))-INDEX(EndeRel,MATCH(AC23,Codes,0)))*1440,0)&lt;660,1,0),0),0))</f>
      </c>
      <c r="AE72" s="1">
        <f>IF(OR(AE$52=0,AD23="",AE23=""),0,IFERROR(IF(AND(INDEX(Arten,MATCH(AD23,Codes,0))="Arbeit",INDEX(Arten,MATCH(AE23,Codes,0))="Arbeit"),IF(ROUND((1+INDEX(Beginne,MATCH(AE23,Codes,0))-INDEX(EndeRel,MATCH(AD23,Codes,0)))*1440,0)&lt;660,1,0),0),0))</f>
      </c>
      <c r="AF72" s="1">
        <f>IF(OR(AF$52=0,AE23="",AF23=""),0,IFERROR(IF(AND(INDEX(Arten,MATCH(AE23,Codes,0))="Arbeit",INDEX(Arten,MATCH(AF23,Codes,0))="Arbeit"),IF(ROUND((1+INDEX(Beginne,MATCH(AF23,Codes,0))-INDEX(EndeRel,MATCH(AE23,Codes,0)))*1440,0)&lt;660,1,0),0),0))</f>
      </c>
    </row>
    <row r="73" hidden="1" spans="1:32" x14ac:dyDescent="0.25">
      <c r="A73" s="1"/>
      <c r="B73" s="1">
        <f>IF(OR(B$52=0,INDEX('Februar'!$B$24:$AF$24,DAY(DATE(Jahr,3,0)))="",B24=""),0,IFERROR(IF(AND(INDEX(Arten,MATCH(INDEX('Februar'!$B$24:$AF$24,DAY(DATE(Jahr,3,0))),Codes,0))="Arbeit",INDEX(Arten,MATCH(B24,Codes,0))="Arbeit"),IF(ROUND((1+INDEX(Beginne,MATCH(B24,Codes,0))-INDEX(EndeRel,MATCH(INDEX('Februar'!$B$24:$AF$24,DAY(DATE(Jahr,3,0))),Codes,0)))*1440,0)&lt;660,1,0),0),0))</f>
      </c>
      <c r="C73" s="1">
        <f>IF(OR(C$52=0,B24="",C24=""),0,IFERROR(IF(AND(INDEX(Arten,MATCH(B24,Codes,0))="Arbeit",INDEX(Arten,MATCH(C24,Codes,0))="Arbeit"),IF(ROUND((1+INDEX(Beginne,MATCH(C24,Codes,0))-INDEX(EndeRel,MATCH(B24,Codes,0)))*1440,0)&lt;660,1,0),0),0))</f>
      </c>
      <c r="D73" s="1">
        <f>IF(OR(D$52=0,C24="",D24=""),0,IFERROR(IF(AND(INDEX(Arten,MATCH(C24,Codes,0))="Arbeit",INDEX(Arten,MATCH(D24,Codes,0))="Arbeit"),IF(ROUND((1+INDEX(Beginne,MATCH(D24,Codes,0))-INDEX(EndeRel,MATCH(C24,Codes,0)))*1440,0)&lt;660,1,0),0),0))</f>
      </c>
      <c r="E73" s="1">
        <f>IF(OR(E$52=0,D24="",E24=""),0,IFERROR(IF(AND(INDEX(Arten,MATCH(D24,Codes,0))="Arbeit",INDEX(Arten,MATCH(E24,Codes,0))="Arbeit"),IF(ROUND((1+INDEX(Beginne,MATCH(E24,Codes,0))-INDEX(EndeRel,MATCH(D24,Codes,0)))*1440,0)&lt;660,1,0),0),0))</f>
      </c>
      <c r="F73" s="1">
        <f>IF(OR(F$52=0,E24="",F24=""),0,IFERROR(IF(AND(INDEX(Arten,MATCH(E24,Codes,0))="Arbeit",INDEX(Arten,MATCH(F24,Codes,0))="Arbeit"),IF(ROUND((1+INDEX(Beginne,MATCH(F24,Codes,0))-INDEX(EndeRel,MATCH(E24,Codes,0)))*1440,0)&lt;660,1,0),0),0))</f>
      </c>
      <c r="G73" s="1">
        <f>IF(OR(G$52=0,F24="",G24=""),0,IFERROR(IF(AND(INDEX(Arten,MATCH(F24,Codes,0))="Arbeit",INDEX(Arten,MATCH(G24,Codes,0))="Arbeit"),IF(ROUND((1+INDEX(Beginne,MATCH(G24,Codes,0))-INDEX(EndeRel,MATCH(F24,Codes,0)))*1440,0)&lt;660,1,0),0),0))</f>
      </c>
      <c r="H73" s="1">
        <f>IF(OR(H$52=0,G24="",H24=""),0,IFERROR(IF(AND(INDEX(Arten,MATCH(G24,Codes,0))="Arbeit",INDEX(Arten,MATCH(H24,Codes,0))="Arbeit"),IF(ROUND((1+INDEX(Beginne,MATCH(H24,Codes,0))-INDEX(EndeRel,MATCH(G24,Codes,0)))*1440,0)&lt;660,1,0),0),0))</f>
      </c>
      <c r="I73" s="1">
        <f>IF(OR(I$52=0,H24="",I24=""),0,IFERROR(IF(AND(INDEX(Arten,MATCH(H24,Codes,0))="Arbeit",INDEX(Arten,MATCH(I24,Codes,0))="Arbeit"),IF(ROUND((1+INDEX(Beginne,MATCH(I24,Codes,0))-INDEX(EndeRel,MATCH(H24,Codes,0)))*1440,0)&lt;660,1,0),0),0))</f>
      </c>
      <c r="J73" s="1">
        <f>IF(OR(J$52=0,I24="",J24=""),0,IFERROR(IF(AND(INDEX(Arten,MATCH(I24,Codes,0))="Arbeit",INDEX(Arten,MATCH(J24,Codes,0))="Arbeit"),IF(ROUND((1+INDEX(Beginne,MATCH(J24,Codes,0))-INDEX(EndeRel,MATCH(I24,Codes,0)))*1440,0)&lt;660,1,0),0),0))</f>
      </c>
      <c r="K73" s="1">
        <f>IF(OR(K$52=0,J24="",K24=""),0,IFERROR(IF(AND(INDEX(Arten,MATCH(J24,Codes,0))="Arbeit",INDEX(Arten,MATCH(K24,Codes,0))="Arbeit"),IF(ROUND((1+INDEX(Beginne,MATCH(K24,Codes,0))-INDEX(EndeRel,MATCH(J24,Codes,0)))*1440,0)&lt;660,1,0),0),0))</f>
      </c>
      <c r="L73" s="1">
        <f>IF(OR(L$52=0,K24="",L24=""),0,IFERROR(IF(AND(INDEX(Arten,MATCH(K24,Codes,0))="Arbeit",INDEX(Arten,MATCH(L24,Codes,0))="Arbeit"),IF(ROUND((1+INDEX(Beginne,MATCH(L24,Codes,0))-INDEX(EndeRel,MATCH(K24,Codes,0)))*1440,0)&lt;660,1,0),0),0))</f>
      </c>
      <c r="M73" s="1">
        <f>IF(OR(M$52=0,L24="",M24=""),0,IFERROR(IF(AND(INDEX(Arten,MATCH(L24,Codes,0))="Arbeit",INDEX(Arten,MATCH(M24,Codes,0))="Arbeit"),IF(ROUND((1+INDEX(Beginne,MATCH(M24,Codes,0))-INDEX(EndeRel,MATCH(L24,Codes,0)))*1440,0)&lt;660,1,0),0),0))</f>
      </c>
      <c r="N73" s="1">
        <f>IF(OR(N$52=0,M24="",N24=""),0,IFERROR(IF(AND(INDEX(Arten,MATCH(M24,Codes,0))="Arbeit",INDEX(Arten,MATCH(N24,Codes,0))="Arbeit"),IF(ROUND((1+INDEX(Beginne,MATCH(N24,Codes,0))-INDEX(EndeRel,MATCH(M24,Codes,0)))*1440,0)&lt;660,1,0),0),0))</f>
      </c>
      <c r="O73" s="1">
        <f>IF(OR(O$52=0,N24="",O24=""),0,IFERROR(IF(AND(INDEX(Arten,MATCH(N24,Codes,0))="Arbeit",INDEX(Arten,MATCH(O24,Codes,0))="Arbeit"),IF(ROUND((1+INDEX(Beginne,MATCH(O24,Codes,0))-INDEX(EndeRel,MATCH(N24,Codes,0)))*1440,0)&lt;660,1,0),0),0))</f>
      </c>
      <c r="P73" s="1">
        <f>IF(OR(P$52=0,O24="",P24=""),0,IFERROR(IF(AND(INDEX(Arten,MATCH(O24,Codes,0))="Arbeit",INDEX(Arten,MATCH(P24,Codes,0))="Arbeit"),IF(ROUND((1+INDEX(Beginne,MATCH(P24,Codes,0))-INDEX(EndeRel,MATCH(O24,Codes,0)))*1440,0)&lt;660,1,0),0),0))</f>
      </c>
      <c r="Q73" s="1">
        <f>IF(OR(Q$52=0,P24="",Q24=""),0,IFERROR(IF(AND(INDEX(Arten,MATCH(P24,Codes,0))="Arbeit",INDEX(Arten,MATCH(Q24,Codes,0))="Arbeit"),IF(ROUND((1+INDEX(Beginne,MATCH(Q24,Codes,0))-INDEX(EndeRel,MATCH(P24,Codes,0)))*1440,0)&lt;660,1,0),0),0))</f>
      </c>
      <c r="R73" s="1">
        <f>IF(OR(R$52=0,Q24="",R24=""),0,IFERROR(IF(AND(INDEX(Arten,MATCH(Q24,Codes,0))="Arbeit",INDEX(Arten,MATCH(R24,Codes,0))="Arbeit"),IF(ROUND((1+INDEX(Beginne,MATCH(R24,Codes,0))-INDEX(EndeRel,MATCH(Q24,Codes,0)))*1440,0)&lt;660,1,0),0),0))</f>
      </c>
      <c r="S73" s="1">
        <f>IF(OR(S$52=0,R24="",S24=""),0,IFERROR(IF(AND(INDEX(Arten,MATCH(R24,Codes,0))="Arbeit",INDEX(Arten,MATCH(S24,Codes,0))="Arbeit"),IF(ROUND((1+INDEX(Beginne,MATCH(S24,Codes,0))-INDEX(EndeRel,MATCH(R24,Codes,0)))*1440,0)&lt;660,1,0),0),0))</f>
      </c>
      <c r="T73" s="1">
        <f>IF(OR(T$52=0,S24="",T24=""),0,IFERROR(IF(AND(INDEX(Arten,MATCH(S24,Codes,0))="Arbeit",INDEX(Arten,MATCH(T24,Codes,0))="Arbeit"),IF(ROUND((1+INDEX(Beginne,MATCH(T24,Codes,0))-INDEX(EndeRel,MATCH(S24,Codes,0)))*1440,0)&lt;660,1,0),0),0))</f>
      </c>
      <c r="U73" s="1">
        <f>IF(OR(U$52=0,T24="",U24=""),0,IFERROR(IF(AND(INDEX(Arten,MATCH(T24,Codes,0))="Arbeit",INDEX(Arten,MATCH(U24,Codes,0))="Arbeit"),IF(ROUND((1+INDEX(Beginne,MATCH(U24,Codes,0))-INDEX(EndeRel,MATCH(T24,Codes,0)))*1440,0)&lt;660,1,0),0),0))</f>
      </c>
      <c r="V73" s="1">
        <f>IF(OR(V$52=0,U24="",V24=""),0,IFERROR(IF(AND(INDEX(Arten,MATCH(U24,Codes,0))="Arbeit",INDEX(Arten,MATCH(V24,Codes,0))="Arbeit"),IF(ROUND((1+INDEX(Beginne,MATCH(V24,Codes,0))-INDEX(EndeRel,MATCH(U24,Codes,0)))*1440,0)&lt;660,1,0),0),0))</f>
      </c>
      <c r="W73" s="1">
        <f>IF(OR(W$52=0,V24="",W24=""),0,IFERROR(IF(AND(INDEX(Arten,MATCH(V24,Codes,0))="Arbeit",INDEX(Arten,MATCH(W24,Codes,0))="Arbeit"),IF(ROUND((1+INDEX(Beginne,MATCH(W24,Codes,0))-INDEX(EndeRel,MATCH(V24,Codes,0)))*1440,0)&lt;660,1,0),0),0))</f>
      </c>
      <c r="X73" s="1">
        <f>IF(OR(X$52=0,W24="",X24=""),0,IFERROR(IF(AND(INDEX(Arten,MATCH(W24,Codes,0))="Arbeit",INDEX(Arten,MATCH(X24,Codes,0))="Arbeit"),IF(ROUND((1+INDEX(Beginne,MATCH(X24,Codes,0))-INDEX(EndeRel,MATCH(W24,Codes,0)))*1440,0)&lt;660,1,0),0),0))</f>
      </c>
      <c r="Y73" s="1">
        <f>IF(OR(Y$52=0,X24="",Y24=""),0,IFERROR(IF(AND(INDEX(Arten,MATCH(X24,Codes,0))="Arbeit",INDEX(Arten,MATCH(Y24,Codes,0))="Arbeit"),IF(ROUND((1+INDEX(Beginne,MATCH(Y24,Codes,0))-INDEX(EndeRel,MATCH(X24,Codes,0)))*1440,0)&lt;660,1,0),0),0))</f>
      </c>
      <c r="Z73" s="1">
        <f>IF(OR(Z$52=0,Y24="",Z24=""),0,IFERROR(IF(AND(INDEX(Arten,MATCH(Y24,Codes,0))="Arbeit",INDEX(Arten,MATCH(Z24,Codes,0))="Arbeit"),IF(ROUND((1+INDEX(Beginne,MATCH(Z24,Codes,0))-INDEX(EndeRel,MATCH(Y24,Codes,0)))*1440,0)&lt;660,1,0),0),0))</f>
      </c>
      <c r="AA73" s="1">
        <f>IF(OR(AA$52=0,Z24="",AA24=""),0,IFERROR(IF(AND(INDEX(Arten,MATCH(Z24,Codes,0))="Arbeit",INDEX(Arten,MATCH(AA24,Codes,0))="Arbeit"),IF(ROUND((1+INDEX(Beginne,MATCH(AA24,Codes,0))-INDEX(EndeRel,MATCH(Z24,Codes,0)))*1440,0)&lt;660,1,0),0),0))</f>
      </c>
      <c r="AB73" s="1">
        <f>IF(OR(AB$52=0,AA24="",AB24=""),0,IFERROR(IF(AND(INDEX(Arten,MATCH(AA24,Codes,0))="Arbeit",INDEX(Arten,MATCH(AB24,Codes,0))="Arbeit"),IF(ROUND((1+INDEX(Beginne,MATCH(AB24,Codes,0))-INDEX(EndeRel,MATCH(AA24,Codes,0)))*1440,0)&lt;660,1,0),0),0))</f>
      </c>
      <c r="AC73" s="1">
        <f>IF(OR(AC$52=0,AB24="",AC24=""),0,IFERROR(IF(AND(INDEX(Arten,MATCH(AB24,Codes,0))="Arbeit",INDEX(Arten,MATCH(AC24,Codes,0))="Arbeit"),IF(ROUND((1+INDEX(Beginne,MATCH(AC24,Codes,0))-INDEX(EndeRel,MATCH(AB24,Codes,0)))*1440,0)&lt;660,1,0),0),0))</f>
      </c>
      <c r="AD73" s="1">
        <f>IF(OR(AD$52=0,AC24="",AD24=""),0,IFERROR(IF(AND(INDEX(Arten,MATCH(AC24,Codes,0))="Arbeit",INDEX(Arten,MATCH(AD24,Codes,0))="Arbeit"),IF(ROUND((1+INDEX(Beginne,MATCH(AD24,Codes,0))-INDEX(EndeRel,MATCH(AC24,Codes,0)))*1440,0)&lt;660,1,0),0),0))</f>
      </c>
      <c r="AE73" s="1">
        <f>IF(OR(AE$52=0,AD24="",AE24=""),0,IFERROR(IF(AND(INDEX(Arten,MATCH(AD24,Codes,0))="Arbeit",INDEX(Arten,MATCH(AE24,Codes,0))="Arbeit"),IF(ROUND((1+INDEX(Beginne,MATCH(AE24,Codes,0))-INDEX(EndeRel,MATCH(AD24,Codes,0)))*1440,0)&lt;660,1,0),0),0))</f>
      </c>
      <c r="AF73" s="1">
        <f>IF(OR(AF$52=0,AE24="",AF24=""),0,IFERROR(IF(AND(INDEX(Arten,MATCH(AE24,Codes,0))="Arbeit",INDEX(Arten,MATCH(AF24,Codes,0))="Arbeit"),IF(ROUND((1+INDEX(Beginne,MATCH(AF24,Codes,0))-INDEX(EndeRel,MATCH(AE24,Codes,0)))*1440,0)&lt;660,1,0),0),0))</f>
      </c>
    </row>
    <row r="74" hidden="1" spans="1:32" x14ac:dyDescent="0.25">
      <c r="A74" s="1"/>
      <c r="B74" s="1">
        <f>IF(OR(B$52=0,INDEX('Februar'!$B$25:$AF$25,DAY(DATE(Jahr,3,0)))="",B25=""),0,IFERROR(IF(AND(INDEX(Arten,MATCH(INDEX('Februar'!$B$25:$AF$25,DAY(DATE(Jahr,3,0))),Codes,0))="Arbeit",INDEX(Arten,MATCH(B25,Codes,0))="Arbeit"),IF(ROUND((1+INDEX(Beginne,MATCH(B25,Codes,0))-INDEX(EndeRel,MATCH(INDEX('Februar'!$B$25:$AF$25,DAY(DATE(Jahr,3,0))),Codes,0)))*1440,0)&lt;660,1,0),0),0))</f>
      </c>
      <c r="C74" s="1">
        <f>IF(OR(C$52=0,B25="",C25=""),0,IFERROR(IF(AND(INDEX(Arten,MATCH(B25,Codes,0))="Arbeit",INDEX(Arten,MATCH(C25,Codes,0))="Arbeit"),IF(ROUND((1+INDEX(Beginne,MATCH(C25,Codes,0))-INDEX(EndeRel,MATCH(B25,Codes,0)))*1440,0)&lt;660,1,0),0),0))</f>
      </c>
      <c r="D74" s="1">
        <f>IF(OR(D$52=0,C25="",D25=""),0,IFERROR(IF(AND(INDEX(Arten,MATCH(C25,Codes,0))="Arbeit",INDEX(Arten,MATCH(D25,Codes,0))="Arbeit"),IF(ROUND((1+INDEX(Beginne,MATCH(D25,Codes,0))-INDEX(EndeRel,MATCH(C25,Codes,0)))*1440,0)&lt;660,1,0),0),0))</f>
      </c>
      <c r="E74" s="1">
        <f>IF(OR(E$52=0,D25="",E25=""),0,IFERROR(IF(AND(INDEX(Arten,MATCH(D25,Codes,0))="Arbeit",INDEX(Arten,MATCH(E25,Codes,0))="Arbeit"),IF(ROUND((1+INDEX(Beginne,MATCH(E25,Codes,0))-INDEX(EndeRel,MATCH(D25,Codes,0)))*1440,0)&lt;660,1,0),0),0))</f>
      </c>
      <c r="F74" s="1">
        <f>IF(OR(F$52=0,E25="",F25=""),0,IFERROR(IF(AND(INDEX(Arten,MATCH(E25,Codes,0))="Arbeit",INDEX(Arten,MATCH(F25,Codes,0))="Arbeit"),IF(ROUND((1+INDEX(Beginne,MATCH(F25,Codes,0))-INDEX(EndeRel,MATCH(E25,Codes,0)))*1440,0)&lt;660,1,0),0),0))</f>
      </c>
      <c r="G74" s="1">
        <f>IF(OR(G$52=0,F25="",G25=""),0,IFERROR(IF(AND(INDEX(Arten,MATCH(F25,Codes,0))="Arbeit",INDEX(Arten,MATCH(G25,Codes,0))="Arbeit"),IF(ROUND((1+INDEX(Beginne,MATCH(G25,Codes,0))-INDEX(EndeRel,MATCH(F25,Codes,0)))*1440,0)&lt;660,1,0),0),0))</f>
      </c>
      <c r="H74" s="1">
        <f>IF(OR(H$52=0,G25="",H25=""),0,IFERROR(IF(AND(INDEX(Arten,MATCH(G25,Codes,0))="Arbeit",INDEX(Arten,MATCH(H25,Codes,0))="Arbeit"),IF(ROUND((1+INDEX(Beginne,MATCH(H25,Codes,0))-INDEX(EndeRel,MATCH(G25,Codes,0)))*1440,0)&lt;660,1,0),0),0))</f>
      </c>
      <c r="I74" s="1">
        <f>IF(OR(I$52=0,H25="",I25=""),0,IFERROR(IF(AND(INDEX(Arten,MATCH(H25,Codes,0))="Arbeit",INDEX(Arten,MATCH(I25,Codes,0))="Arbeit"),IF(ROUND((1+INDEX(Beginne,MATCH(I25,Codes,0))-INDEX(EndeRel,MATCH(H25,Codes,0)))*1440,0)&lt;660,1,0),0),0))</f>
      </c>
      <c r="J74" s="1">
        <f>IF(OR(J$52=0,I25="",J25=""),0,IFERROR(IF(AND(INDEX(Arten,MATCH(I25,Codes,0))="Arbeit",INDEX(Arten,MATCH(J25,Codes,0))="Arbeit"),IF(ROUND((1+INDEX(Beginne,MATCH(J25,Codes,0))-INDEX(EndeRel,MATCH(I25,Codes,0)))*1440,0)&lt;660,1,0),0),0))</f>
      </c>
      <c r="K74" s="1">
        <f>IF(OR(K$52=0,J25="",K25=""),0,IFERROR(IF(AND(INDEX(Arten,MATCH(J25,Codes,0))="Arbeit",INDEX(Arten,MATCH(K25,Codes,0))="Arbeit"),IF(ROUND((1+INDEX(Beginne,MATCH(K25,Codes,0))-INDEX(EndeRel,MATCH(J25,Codes,0)))*1440,0)&lt;660,1,0),0),0))</f>
      </c>
      <c r="L74" s="1">
        <f>IF(OR(L$52=0,K25="",L25=""),0,IFERROR(IF(AND(INDEX(Arten,MATCH(K25,Codes,0))="Arbeit",INDEX(Arten,MATCH(L25,Codes,0))="Arbeit"),IF(ROUND((1+INDEX(Beginne,MATCH(L25,Codes,0))-INDEX(EndeRel,MATCH(K25,Codes,0)))*1440,0)&lt;660,1,0),0),0))</f>
      </c>
      <c r="M74" s="1">
        <f>IF(OR(M$52=0,L25="",M25=""),0,IFERROR(IF(AND(INDEX(Arten,MATCH(L25,Codes,0))="Arbeit",INDEX(Arten,MATCH(M25,Codes,0))="Arbeit"),IF(ROUND((1+INDEX(Beginne,MATCH(M25,Codes,0))-INDEX(EndeRel,MATCH(L25,Codes,0)))*1440,0)&lt;660,1,0),0),0))</f>
      </c>
      <c r="N74" s="1">
        <f>IF(OR(N$52=0,M25="",N25=""),0,IFERROR(IF(AND(INDEX(Arten,MATCH(M25,Codes,0))="Arbeit",INDEX(Arten,MATCH(N25,Codes,0))="Arbeit"),IF(ROUND((1+INDEX(Beginne,MATCH(N25,Codes,0))-INDEX(EndeRel,MATCH(M25,Codes,0)))*1440,0)&lt;660,1,0),0),0))</f>
      </c>
      <c r="O74" s="1">
        <f>IF(OR(O$52=0,N25="",O25=""),0,IFERROR(IF(AND(INDEX(Arten,MATCH(N25,Codes,0))="Arbeit",INDEX(Arten,MATCH(O25,Codes,0))="Arbeit"),IF(ROUND((1+INDEX(Beginne,MATCH(O25,Codes,0))-INDEX(EndeRel,MATCH(N25,Codes,0)))*1440,0)&lt;660,1,0),0),0))</f>
      </c>
      <c r="P74" s="1">
        <f>IF(OR(P$52=0,O25="",P25=""),0,IFERROR(IF(AND(INDEX(Arten,MATCH(O25,Codes,0))="Arbeit",INDEX(Arten,MATCH(P25,Codes,0))="Arbeit"),IF(ROUND((1+INDEX(Beginne,MATCH(P25,Codes,0))-INDEX(EndeRel,MATCH(O25,Codes,0)))*1440,0)&lt;660,1,0),0),0))</f>
      </c>
      <c r="Q74" s="1">
        <f>IF(OR(Q$52=0,P25="",Q25=""),0,IFERROR(IF(AND(INDEX(Arten,MATCH(P25,Codes,0))="Arbeit",INDEX(Arten,MATCH(Q25,Codes,0))="Arbeit"),IF(ROUND((1+INDEX(Beginne,MATCH(Q25,Codes,0))-INDEX(EndeRel,MATCH(P25,Codes,0)))*1440,0)&lt;660,1,0),0),0))</f>
      </c>
      <c r="R74" s="1">
        <f>IF(OR(R$52=0,Q25="",R25=""),0,IFERROR(IF(AND(INDEX(Arten,MATCH(Q25,Codes,0))="Arbeit",INDEX(Arten,MATCH(R25,Codes,0))="Arbeit"),IF(ROUND((1+INDEX(Beginne,MATCH(R25,Codes,0))-INDEX(EndeRel,MATCH(Q25,Codes,0)))*1440,0)&lt;660,1,0),0),0))</f>
      </c>
      <c r="S74" s="1">
        <f>IF(OR(S$52=0,R25="",S25=""),0,IFERROR(IF(AND(INDEX(Arten,MATCH(R25,Codes,0))="Arbeit",INDEX(Arten,MATCH(S25,Codes,0))="Arbeit"),IF(ROUND((1+INDEX(Beginne,MATCH(S25,Codes,0))-INDEX(EndeRel,MATCH(R25,Codes,0)))*1440,0)&lt;660,1,0),0),0))</f>
      </c>
      <c r="T74" s="1">
        <f>IF(OR(T$52=0,S25="",T25=""),0,IFERROR(IF(AND(INDEX(Arten,MATCH(S25,Codes,0))="Arbeit",INDEX(Arten,MATCH(T25,Codes,0))="Arbeit"),IF(ROUND((1+INDEX(Beginne,MATCH(T25,Codes,0))-INDEX(EndeRel,MATCH(S25,Codes,0)))*1440,0)&lt;660,1,0),0),0))</f>
      </c>
      <c r="U74" s="1">
        <f>IF(OR(U$52=0,T25="",U25=""),0,IFERROR(IF(AND(INDEX(Arten,MATCH(T25,Codes,0))="Arbeit",INDEX(Arten,MATCH(U25,Codes,0))="Arbeit"),IF(ROUND((1+INDEX(Beginne,MATCH(U25,Codes,0))-INDEX(EndeRel,MATCH(T25,Codes,0)))*1440,0)&lt;660,1,0),0),0))</f>
      </c>
      <c r="V74" s="1">
        <f>IF(OR(V$52=0,U25="",V25=""),0,IFERROR(IF(AND(INDEX(Arten,MATCH(U25,Codes,0))="Arbeit",INDEX(Arten,MATCH(V25,Codes,0))="Arbeit"),IF(ROUND((1+INDEX(Beginne,MATCH(V25,Codes,0))-INDEX(EndeRel,MATCH(U25,Codes,0)))*1440,0)&lt;660,1,0),0),0))</f>
      </c>
      <c r="W74" s="1">
        <f>IF(OR(W$52=0,V25="",W25=""),0,IFERROR(IF(AND(INDEX(Arten,MATCH(V25,Codes,0))="Arbeit",INDEX(Arten,MATCH(W25,Codes,0))="Arbeit"),IF(ROUND((1+INDEX(Beginne,MATCH(W25,Codes,0))-INDEX(EndeRel,MATCH(V25,Codes,0)))*1440,0)&lt;660,1,0),0),0))</f>
      </c>
      <c r="X74" s="1">
        <f>IF(OR(X$52=0,W25="",X25=""),0,IFERROR(IF(AND(INDEX(Arten,MATCH(W25,Codes,0))="Arbeit",INDEX(Arten,MATCH(X25,Codes,0))="Arbeit"),IF(ROUND((1+INDEX(Beginne,MATCH(X25,Codes,0))-INDEX(EndeRel,MATCH(W25,Codes,0)))*1440,0)&lt;660,1,0),0),0))</f>
      </c>
      <c r="Y74" s="1">
        <f>IF(OR(Y$52=0,X25="",Y25=""),0,IFERROR(IF(AND(INDEX(Arten,MATCH(X25,Codes,0))="Arbeit",INDEX(Arten,MATCH(Y25,Codes,0))="Arbeit"),IF(ROUND((1+INDEX(Beginne,MATCH(Y25,Codes,0))-INDEX(EndeRel,MATCH(X25,Codes,0)))*1440,0)&lt;660,1,0),0),0))</f>
      </c>
      <c r="Z74" s="1">
        <f>IF(OR(Z$52=0,Y25="",Z25=""),0,IFERROR(IF(AND(INDEX(Arten,MATCH(Y25,Codes,0))="Arbeit",INDEX(Arten,MATCH(Z25,Codes,0))="Arbeit"),IF(ROUND((1+INDEX(Beginne,MATCH(Z25,Codes,0))-INDEX(EndeRel,MATCH(Y25,Codes,0)))*1440,0)&lt;660,1,0),0),0))</f>
      </c>
      <c r="AA74" s="1">
        <f>IF(OR(AA$52=0,Z25="",AA25=""),0,IFERROR(IF(AND(INDEX(Arten,MATCH(Z25,Codes,0))="Arbeit",INDEX(Arten,MATCH(AA25,Codes,0))="Arbeit"),IF(ROUND((1+INDEX(Beginne,MATCH(AA25,Codes,0))-INDEX(EndeRel,MATCH(Z25,Codes,0)))*1440,0)&lt;660,1,0),0),0))</f>
      </c>
      <c r="AB74" s="1">
        <f>IF(OR(AB$52=0,AA25="",AB25=""),0,IFERROR(IF(AND(INDEX(Arten,MATCH(AA25,Codes,0))="Arbeit",INDEX(Arten,MATCH(AB25,Codes,0))="Arbeit"),IF(ROUND((1+INDEX(Beginne,MATCH(AB25,Codes,0))-INDEX(EndeRel,MATCH(AA25,Codes,0)))*1440,0)&lt;660,1,0),0),0))</f>
      </c>
      <c r="AC74" s="1">
        <f>IF(OR(AC$52=0,AB25="",AC25=""),0,IFERROR(IF(AND(INDEX(Arten,MATCH(AB25,Codes,0))="Arbeit",INDEX(Arten,MATCH(AC25,Codes,0))="Arbeit"),IF(ROUND((1+INDEX(Beginne,MATCH(AC25,Codes,0))-INDEX(EndeRel,MATCH(AB25,Codes,0)))*1440,0)&lt;660,1,0),0),0))</f>
      </c>
      <c r="AD74" s="1">
        <f>IF(OR(AD$52=0,AC25="",AD25=""),0,IFERROR(IF(AND(INDEX(Arten,MATCH(AC25,Codes,0))="Arbeit",INDEX(Arten,MATCH(AD25,Codes,0))="Arbeit"),IF(ROUND((1+INDEX(Beginne,MATCH(AD25,Codes,0))-INDEX(EndeRel,MATCH(AC25,Codes,0)))*1440,0)&lt;660,1,0),0),0))</f>
      </c>
      <c r="AE74" s="1">
        <f>IF(OR(AE$52=0,AD25="",AE25=""),0,IFERROR(IF(AND(INDEX(Arten,MATCH(AD25,Codes,0))="Arbeit",INDEX(Arten,MATCH(AE25,Codes,0))="Arbeit"),IF(ROUND((1+INDEX(Beginne,MATCH(AE25,Codes,0))-INDEX(EndeRel,MATCH(AD25,Codes,0)))*1440,0)&lt;660,1,0),0),0))</f>
      </c>
      <c r="AF74" s="1">
        <f>IF(OR(AF$52=0,AE25="",AF25=""),0,IFERROR(IF(AND(INDEX(Arten,MATCH(AE25,Codes,0))="Arbeit",INDEX(Arten,MATCH(AF25,Codes,0))="Arbeit"),IF(ROUND((1+INDEX(Beginne,MATCH(AF25,Codes,0))-INDEX(EndeRel,MATCH(AE25,Codes,0)))*1440,0)&lt;660,1,0),0),0))</f>
      </c>
    </row>
    <row r="75" hidden="1" spans="1:32" x14ac:dyDescent="0.25">
      <c r="A75" s="1"/>
      <c r="B75" s="1">
        <f>IF(OR(B$52=0,INDEX('Februar'!$B$26:$AF$26,DAY(DATE(Jahr,3,0)))="",B26=""),0,IFERROR(IF(AND(INDEX(Arten,MATCH(INDEX('Februar'!$B$26:$AF$26,DAY(DATE(Jahr,3,0))),Codes,0))="Arbeit",INDEX(Arten,MATCH(B26,Codes,0))="Arbeit"),IF(ROUND((1+INDEX(Beginne,MATCH(B26,Codes,0))-INDEX(EndeRel,MATCH(INDEX('Februar'!$B$26:$AF$26,DAY(DATE(Jahr,3,0))),Codes,0)))*1440,0)&lt;660,1,0),0),0))</f>
      </c>
      <c r="C75" s="1">
        <f>IF(OR(C$52=0,B26="",C26=""),0,IFERROR(IF(AND(INDEX(Arten,MATCH(B26,Codes,0))="Arbeit",INDEX(Arten,MATCH(C26,Codes,0))="Arbeit"),IF(ROUND((1+INDEX(Beginne,MATCH(C26,Codes,0))-INDEX(EndeRel,MATCH(B26,Codes,0)))*1440,0)&lt;660,1,0),0),0))</f>
      </c>
      <c r="D75" s="1">
        <f>IF(OR(D$52=0,C26="",D26=""),0,IFERROR(IF(AND(INDEX(Arten,MATCH(C26,Codes,0))="Arbeit",INDEX(Arten,MATCH(D26,Codes,0))="Arbeit"),IF(ROUND((1+INDEX(Beginne,MATCH(D26,Codes,0))-INDEX(EndeRel,MATCH(C26,Codes,0)))*1440,0)&lt;660,1,0),0),0))</f>
      </c>
      <c r="E75" s="1">
        <f>IF(OR(E$52=0,D26="",E26=""),0,IFERROR(IF(AND(INDEX(Arten,MATCH(D26,Codes,0))="Arbeit",INDEX(Arten,MATCH(E26,Codes,0))="Arbeit"),IF(ROUND((1+INDEX(Beginne,MATCH(E26,Codes,0))-INDEX(EndeRel,MATCH(D26,Codes,0)))*1440,0)&lt;660,1,0),0),0))</f>
      </c>
      <c r="F75" s="1">
        <f>IF(OR(F$52=0,E26="",F26=""),0,IFERROR(IF(AND(INDEX(Arten,MATCH(E26,Codes,0))="Arbeit",INDEX(Arten,MATCH(F26,Codes,0))="Arbeit"),IF(ROUND((1+INDEX(Beginne,MATCH(F26,Codes,0))-INDEX(EndeRel,MATCH(E26,Codes,0)))*1440,0)&lt;660,1,0),0),0))</f>
      </c>
      <c r="G75" s="1">
        <f>IF(OR(G$52=0,F26="",G26=""),0,IFERROR(IF(AND(INDEX(Arten,MATCH(F26,Codes,0))="Arbeit",INDEX(Arten,MATCH(G26,Codes,0))="Arbeit"),IF(ROUND((1+INDEX(Beginne,MATCH(G26,Codes,0))-INDEX(EndeRel,MATCH(F26,Codes,0)))*1440,0)&lt;660,1,0),0),0))</f>
      </c>
      <c r="H75" s="1">
        <f>IF(OR(H$52=0,G26="",H26=""),0,IFERROR(IF(AND(INDEX(Arten,MATCH(G26,Codes,0))="Arbeit",INDEX(Arten,MATCH(H26,Codes,0))="Arbeit"),IF(ROUND((1+INDEX(Beginne,MATCH(H26,Codes,0))-INDEX(EndeRel,MATCH(G26,Codes,0)))*1440,0)&lt;660,1,0),0),0))</f>
      </c>
      <c r="I75" s="1">
        <f>IF(OR(I$52=0,H26="",I26=""),0,IFERROR(IF(AND(INDEX(Arten,MATCH(H26,Codes,0))="Arbeit",INDEX(Arten,MATCH(I26,Codes,0))="Arbeit"),IF(ROUND((1+INDEX(Beginne,MATCH(I26,Codes,0))-INDEX(EndeRel,MATCH(H26,Codes,0)))*1440,0)&lt;660,1,0),0),0))</f>
      </c>
      <c r="J75" s="1">
        <f>IF(OR(J$52=0,I26="",J26=""),0,IFERROR(IF(AND(INDEX(Arten,MATCH(I26,Codes,0))="Arbeit",INDEX(Arten,MATCH(J26,Codes,0))="Arbeit"),IF(ROUND((1+INDEX(Beginne,MATCH(J26,Codes,0))-INDEX(EndeRel,MATCH(I26,Codes,0)))*1440,0)&lt;660,1,0),0),0))</f>
      </c>
      <c r="K75" s="1">
        <f>IF(OR(K$52=0,J26="",K26=""),0,IFERROR(IF(AND(INDEX(Arten,MATCH(J26,Codes,0))="Arbeit",INDEX(Arten,MATCH(K26,Codes,0))="Arbeit"),IF(ROUND((1+INDEX(Beginne,MATCH(K26,Codes,0))-INDEX(EndeRel,MATCH(J26,Codes,0)))*1440,0)&lt;660,1,0),0),0))</f>
      </c>
      <c r="L75" s="1">
        <f>IF(OR(L$52=0,K26="",L26=""),0,IFERROR(IF(AND(INDEX(Arten,MATCH(K26,Codes,0))="Arbeit",INDEX(Arten,MATCH(L26,Codes,0))="Arbeit"),IF(ROUND((1+INDEX(Beginne,MATCH(L26,Codes,0))-INDEX(EndeRel,MATCH(K26,Codes,0)))*1440,0)&lt;660,1,0),0),0))</f>
      </c>
      <c r="M75" s="1">
        <f>IF(OR(M$52=0,L26="",M26=""),0,IFERROR(IF(AND(INDEX(Arten,MATCH(L26,Codes,0))="Arbeit",INDEX(Arten,MATCH(M26,Codes,0))="Arbeit"),IF(ROUND((1+INDEX(Beginne,MATCH(M26,Codes,0))-INDEX(EndeRel,MATCH(L26,Codes,0)))*1440,0)&lt;660,1,0),0),0))</f>
      </c>
      <c r="N75" s="1">
        <f>IF(OR(N$52=0,M26="",N26=""),0,IFERROR(IF(AND(INDEX(Arten,MATCH(M26,Codes,0))="Arbeit",INDEX(Arten,MATCH(N26,Codes,0))="Arbeit"),IF(ROUND((1+INDEX(Beginne,MATCH(N26,Codes,0))-INDEX(EndeRel,MATCH(M26,Codes,0)))*1440,0)&lt;660,1,0),0),0))</f>
      </c>
      <c r="O75" s="1">
        <f>IF(OR(O$52=0,N26="",O26=""),0,IFERROR(IF(AND(INDEX(Arten,MATCH(N26,Codes,0))="Arbeit",INDEX(Arten,MATCH(O26,Codes,0))="Arbeit"),IF(ROUND((1+INDEX(Beginne,MATCH(O26,Codes,0))-INDEX(EndeRel,MATCH(N26,Codes,0)))*1440,0)&lt;660,1,0),0),0))</f>
      </c>
      <c r="P75" s="1">
        <f>IF(OR(P$52=0,O26="",P26=""),0,IFERROR(IF(AND(INDEX(Arten,MATCH(O26,Codes,0))="Arbeit",INDEX(Arten,MATCH(P26,Codes,0))="Arbeit"),IF(ROUND((1+INDEX(Beginne,MATCH(P26,Codes,0))-INDEX(EndeRel,MATCH(O26,Codes,0)))*1440,0)&lt;660,1,0),0),0))</f>
      </c>
      <c r="Q75" s="1">
        <f>IF(OR(Q$52=0,P26="",Q26=""),0,IFERROR(IF(AND(INDEX(Arten,MATCH(P26,Codes,0))="Arbeit",INDEX(Arten,MATCH(Q26,Codes,0))="Arbeit"),IF(ROUND((1+INDEX(Beginne,MATCH(Q26,Codes,0))-INDEX(EndeRel,MATCH(P26,Codes,0)))*1440,0)&lt;660,1,0),0),0))</f>
      </c>
      <c r="R75" s="1">
        <f>IF(OR(R$52=0,Q26="",R26=""),0,IFERROR(IF(AND(INDEX(Arten,MATCH(Q26,Codes,0))="Arbeit",INDEX(Arten,MATCH(R26,Codes,0))="Arbeit"),IF(ROUND((1+INDEX(Beginne,MATCH(R26,Codes,0))-INDEX(EndeRel,MATCH(Q26,Codes,0)))*1440,0)&lt;660,1,0),0),0))</f>
      </c>
      <c r="S75" s="1">
        <f>IF(OR(S$52=0,R26="",S26=""),0,IFERROR(IF(AND(INDEX(Arten,MATCH(R26,Codes,0))="Arbeit",INDEX(Arten,MATCH(S26,Codes,0))="Arbeit"),IF(ROUND((1+INDEX(Beginne,MATCH(S26,Codes,0))-INDEX(EndeRel,MATCH(R26,Codes,0)))*1440,0)&lt;660,1,0),0),0))</f>
      </c>
      <c r="T75" s="1">
        <f>IF(OR(T$52=0,S26="",T26=""),0,IFERROR(IF(AND(INDEX(Arten,MATCH(S26,Codes,0))="Arbeit",INDEX(Arten,MATCH(T26,Codes,0))="Arbeit"),IF(ROUND((1+INDEX(Beginne,MATCH(T26,Codes,0))-INDEX(EndeRel,MATCH(S26,Codes,0)))*1440,0)&lt;660,1,0),0),0))</f>
      </c>
      <c r="U75" s="1">
        <f>IF(OR(U$52=0,T26="",U26=""),0,IFERROR(IF(AND(INDEX(Arten,MATCH(T26,Codes,0))="Arbeit",INDEX(Arten,MATCH(U26,Codes,0))="Arbeit"),IF(ROUND((1+INDEX(Beginne,MATCH(U26,Codes,0))-INDEX(EndeRel,MATCH(T26,Codes,0)))*1440,0)&lt;660,1,0),0),0))</f>
      </c>
      <c r="V75" s="1">
        <f>IF(OR(V$52=0,U26="",V26=""),0,IFERROR(IF(AND(INDEX(Arten,MATCH(U26,Codes,0))="Arbeit",INDEX(Arten,MATCH(V26,Codes,0))="Arbeit"),IF(ROUND((1+INDEX(Beginne,MATCH(V26,Codes,0))-INDEX(EndeRel,MATCH(U26,Codes,0)))*1440,0)&lt;660,1,0),0),0))</f>
      </c>
      <c r="W75" s="1">
        <f>IF(OR(W$52=0,V26="",W26=""),0,IFERROR(IF(AND(INDEX(Arten,MATCH(V26,Codes,0))="Arbeit",INDEX(Arten,MATCH(W26,Codes,0))="Arbeit"),IF(ROUND((1+INDEX(Beginne,MATCH(W26,Codes,0))-INDEX(EndeRel,MATCH(V26,Codes,0)))*1440,0)&lt;660,1,0),0),0))</f>
      </c>
      <c r="X75" s="1">
        <f>IF(OR(X$52=0,W26="",X26=""),0,IFERROR(IF(AND(INDEX(Arten,MATCH(W26,Codes,0))="Arbeit",INDEX(Arten,MATCH(X26,Codes,0))="Arbeit"),IF(ROUND((1+INDEX(Beginne,MATCH(X26,Codes,0))-INDEX(EndeRel,MATCH(W26,Codes,0)))*1440,0)&lt;660,1,0),0),0))</f>
      </c>
      <c r="Y75" s="1">
        <f>IF(OR(Y$52=0,X26="",Y26=""),0,IFERROR(IF(AND(INDEX(Arten,MATCH(X26,Codes,0))="Arbeit",INDEX(Arten,MATCH(Y26,Codes,0))="Arbeit"),IF(ROUND((1+INDEX(Beginne,MATCH(Y26,Codes,0))-INDEX(EndeRel,MATCH(X26,Codes,0)))*1440,0)&lt;660,1,0),0),0))</f>
      </c>
      <c r="Z75" s="1">
        <f>IF(OR(Z$52=0,Y26="",Z26=""),0,IFERROR(IF(AND(INDEX(Arten,MATCH(Y26,Codes,0))="Arbeit",INDEX(Arten,MATCH(Z26,Codes,0))="Arbeit"),IF(ROUND((1+INDEX(Beginne,MATCH(Z26,Codes,0))-INDEX(EndeRel,MATCH(Y26,Codes,0)))*1440,0)&lt;660,1,0),0),0))</f>
      </c>
      <c r="AA75" s="1">
        <f>IF(OR(AA$52=0,Z26="",AA26=""),0,IFERROR(IF(AND(INDEX(Arten,MATCH(Z26,Codes,0))="Arbeit",INDEX(Arten,MATCH(AA26,Codes,0))="Arbeit"),IF(ROUND((1+INDEX(Beginne,MATCH(AA26,Codes,0))-INDEX(EndeRel,MATCH(Z26,Codes,0)))*1440,0)&lt;660,1,0),0),0))</f>
      </c>
      <c r="AB75" s="1">
        <f>IF(OR(AB$52=0,AA26="",AB26=""),0,IFERROR(IF(AND(INDEX(Arten,MATCH(AA26,Codes,0))="Arbeit",INDEX(Arten,MATCH(AB26,Codes,0))="Arbeit"),IF(ROUND((1+INDEX(Beginne,MATCH(AB26,Codes,0))-INDEX(EndeRel,MATCH(AA26,Codes,0)))*1440,0)&lt;660,1,0),0),0))</f>
      </c>
      <c r="AC75" s="1">
        <f>IF(OR(AC$52=0,AB26="",AC26=""),0,IFERROR(IF(AND(INDEX(Arten,MATCH(AB26,Codes,0))="Arbeit",INDEX(Arten,MATCH(AC26,Codes,0))="Arbeit"),IF(ROUND((1+INDEX(Beginne,MATCH(AC26,Codes,0))-INDEX(EndeRel,MATCH(AB26,Codes,0)))*1440,0)&lt;660,1,0),0),0))</f>
      </c>
      <c r="AD75" s="1">
        <f>IF(OR(AD$52=0,AC26="",AD26=""),0,IFERROR(IF(AND(INDEX(Arten,MATCH(AC26,Codes,0))="Arbeit",INDEX(Arten,MATCH(AD26,Codes,0))="Arbeit"),IF(ROUND((1+INDEX(Beginne,MATCH(AD26,Codes,0))-INDEX(EndeRel,MATCH(AC26,Codes,0)))*1440,0)&lt;660,1,0),0),0))</f>
      </c>
      <c r="AE75" s="1">
        <f>IF(OR(AE$52=0,AD26="",AE26=""),0,IFERROR(IF(AND(INDEX(Arten,MATCH(AD26,Codes,0))="Arbeit",INDEX(Arten,MATCH(AE26,Codes,0))="Arbeit"),IF(ROUND((1+INDEX(Beginne,MATCH(AE26,Codes,0))-INDEX(EndeRel,MATCH(AD26,Codes,0)))*1440,0)&lt;660,1,0),0),0))</f>
      </c>
      <c r="AF75" s="1">
        <f>IF(OR(AF$52=0,AE26="",AF26=""),0,IFERROR(IF(AND(INDEX(Arten,MATCH(AE26,Codes,0))="Arbeit",INDEX(Arten,MATCH(AF26,Codes,0))="Arbeit"),IF(ROUND((1+INDEX(Beginne,MATCH(AF26,Codes,0))-INDEX(EndeRel,MATCH(AE26,Codes,0)))*1440,0)&lt;660,1,0),0),0))</f>
      </c>
    </row>
    <row r="76" hidden="1" spans="1:32" x14ac:dyDescent="0.25">
      <c r="A76" s="1"/>
      <c r="B76" s="1">
        <f>IF(OR(B$52=0,INDEX('Februar'!$B$27:$AF$27,DAY(DATE(Jahr,3,0)))="",B27=""),0,IFERROR(IF(AND(INDEX(Arten,MATCH(INDEX('Februar'!$B$27:$AF$27,DAY(DATE(Jahr,3,0))),Codes,0))="Arbeit",INDEX(Arten,MATCH(B27,Codes,0))="Arbeit"),IF(ROUND((1+INDEX(Beginne,MATCH(B27,Codes,0))-INDEX(EndeRel,MATCH(INDEX('Februar'!$B$27:$AF$27,DAY(DATE(Jahr,3,0))),Codes,0)))*1440,0)&lt;660,1,0),0),0))</f>
      </c>
      <c r="C76" s="1">
        <f>IF(OR(C$52=0,B27="",C27=""),0,IFERROR(IF(AND(INDEX(Arten,MATCH(B27,Codes,0))="Arbeit",INDEX(Arten,MATCH(C27,Codes,0))="Arbeit"),IF(ROUND((1+INDEX(Beginne,MATCH(C27,Codes,0))-INDEX(EndeRel,MATCH(B27,Codes,0)))*1440,0)&lt;660,1,0),0),0))</f>
      </c>
      <c r="D76" s="1">
        <f>IF(OR(D$52=0,C27="",D27=""),0,IFERROR(IF(AND(INDEX(Arten,MATCH(C27,Codes,0))="Arbeit",INDEX(Arten,MATCH(D27,Codes,0))="Arbeit"),IF(ROUND((1+INDEX(Beginne,MATCH(D27,Codes,0))-INDEX(EndeRel,MATCH(C27,Codes,0)))*1440,0)&lt;660,1,0),0),0))</f>
      </c>
      <c r="E76" s="1">
        <f>IF(OR(E$52=0,D27="",E27=""),0,IFERROR(IF(AND(INDEX(Arten,MATCH(D27,Codes,0))="Arbeit",INDEX(Arten,MATCH(E27,Codes,0))="Arbeit"),IF(ROUND((1+INDEX(Beginne,MATCH(E27,Codes,0))-INDEX(EndeRel,MATCH(D27,Codes,0)))*1440,0)&lt;660,1,0),0),0))</f>
      </c>
      <c r="F76" s="1">
        <f>IF(OR(F$52=0,E27="",F27=""),0,IFERROR(IF(AND(INDEX(Arten,MATCH(E27,Codes,0))="Arbeit",INDEX(Arten,MATCH(F27,Codes,0))="Arbeit"),IF(ROUND((1+INDEX(Beginne,MATCH(F27,Codes,0))-INDEX(EndeRel,MATCH(E27,Codes,0)))*1440,0)&lt;660,1,0),0),0))</f>
      </c>
      <c r="G76" s="1">
        <f>IF(OR(G$52=0,F27="",G27=""),0,IFERROR(IF(AND(INDEX(Arten,MATCH(F27,Codes,0))="Arbeit",INDEX(Arten,MATCH(G27,Codes,0))="Arbeit"),IF(ROUND((1+INDEX(Beginne,MATCH(G27,Codes,0))-INDEX(EndeRel,MATCH(F27,Codes,0)))*1440,0)&lt;660,1,0),0),0))</f>
      </c>
      <c r="H76" s="1">
        <f>IF(OR(H$52=0,G27="",H27=""),0,IFERROR(IF(AND(INDEX(Arten,MATCH(G27,Codes,0))="Arbeit",INDEX(Arten,MATCH(H27,Codes,0))="Arbeit"),IF(ROUND((1+INDEX(Beginne,MATCH(H27,Codes,0))-INDEX(EndeRel,MATCH(G27,Codes,0)))*1440,0)&lt;660,1,0),0),0))</f>
      </c>
      <c r="I76" s="1">
        <f>IF(OR(I$52=0,H27="",I27=""),0,IFERROR(IF(AND(INDEX(Arten,MATCH(H27,Codes,0))="Arbeit",INDEX(Arten,MATCH(I27,Codes,0))="Arbeit"),IF(ROUND((1+INDEX(Beginne,MATCH(I27,Codes,0))-INDEX(EndeRel,MATCH(H27,Codes,0)))*1440,0)&lt;660,1,0),0),0))</f>
      </c>
      <c r="J76" s="1">
        <f>IF(OR(J$52=0,I27="",J27=""),0,IFERROR(IF(AND(INDEX(Arten,MATCH(I27,Codes,0))="Arbeit",INDEX(Arten,MATCH(J27,Codes,0))="Arbeit"),IF(ROUND((1+INDEX(Beginne,MATCH(J27,Codes,0))-INDEX(EndeRel,MATCH(I27,Codes,0)))*1440,0)&lt;660,1,0),0),0))</f>
      </c>
      <c r="K76" s="1">
        <f>IF(OR(K$52=0,J27="",K27=""),0,IFERROR(IF(AND(INDEX(Arten,MATCH(J27,Codes,0))="Arbeit",INDEX(Arten,MATCH(K27,Codes,0))="Arbeit"),IF(ROUND((1+INDEX(Beginne,MATCH(K27,Codes,0))-INDEX(EndeRel,MATCH(J27,Codes,0)))*1440,0)&lt;660,1,0),0),0))</f>
      </c>
      <c r="L76" s="1">
        <f>IF(OR(L$52=0,K27="",L27=""),0,IFERROR(IF(AND(INDEX(Arten,MATCH(K27,Codes,0))="Arbeit",INDEX(Arten,MATCH(L27,Codes,0))="Arbeit"),IF(ROUND((1+INDEX(Beginne,MATCH(L27,Codes,0))-INDEX(EndeRel,MATCH(K27,Codes,0)))*1440,0)&lt;660,1,0),0),0))</f>
      </c>
      <c r="M76" s="1">
        <f>IF(OR(M$52=0,L27="",M27=""),0,IFERROR(IF(AND(INDEX(Arten,MATCH(L27,Codes,0))="Arbeit",INDEX(Arten,MATCH(M27,Codes,0))="Arbeit"),IF(ROUND((1+INDEX(Beginne,MATCH(M27,Codes,0))-INDEX(EndeRel,MATCH(L27,Codes,0)))*1440,0)&lt;660,1,0),0),0))</f>
      </c>
      <c r="N76" s="1">
        <f>IF(OR(N$52=0,M27="",N27=""),0,IFERROR(IF(AND(INDEX(Arten,MATCH(M27,Codes,0))="Arbeit",INDEX(Arten,MATCH(N27,Codes,0))="Arbeit"),IF(ROUND((1+INDEX(Beginne,MATCH(N27,Codes,0))-INDEX(EndeRel,MATCH(M27,Codes,0)))*1440,0)&lt;660,1,0),0),0))</f>
      </c>
      <c r="O76" s="1">
        <f>IF(OR(O$52=0,N27="",O27=""),0,IFERROR(IF(AND(INDEX(Arten,MATCH(N27,Codes,0))="Arbeit",INDEX(Arten,MATCH(O27,Codes,0))="Arbeit"),IF(ROUND((1+INDEX(Beginne,MATCH(O27,Codes,0))-INDEX(EndeRel,MATCH(N27,Codes,0)))*1440,0)&lt;660,1,0),0),0))</f>
      </c>
      <c r="P76" s="1">
        <f>IF(OR(P$52=0,O27="",P27=""),0,IFERROR(IF(AND(INDEX(Arten,MATCH(O27,Codes,0))="Arbeit",INDEX(Arten,MATCH(P27,Codes,0))="Arbeit"),IF(ROUND((1+INDEX(Beginne,MATCH(P27,Codes,0))-INDEX(EndeRel,MATCH(O27,Codes,0)))*1440,0)&lt;660,1,0),0),0))</f>
      </c>
      <c r="Q76" s="1">
        <f>IF(OR(Q$52=0,P27="",Q27=""),0,IFERROR(IF(AND(INDEX(Arten,MATCH(P27,Codes,0))="Arbeit",INDEX(Arten,MATCH(Q27,Codes,0))="Arbeit"),IF(ROUND((1+INDEX(Beginne,MATCH(Q27,Codes,0))-INDEX(EndeRel,MATCH(P27,Codes,0)))*1440,0)&lt;660,1,0),0),0))</f>
      </c>
      <c r="R76" s="1">
        <f>IF(OR(R$52=0,Q27="",R27=""),0,IFERROR(IF(AND(INDEX(Arten,MATCH(Q27,Codes,0))="Arbeit",INDEX(Arten,MATCH(R27,Codes,0))="Arbeit"),IF(ROUND((1+INDEX(Beginne,MATCH(R27,Codes,0))-INDEX(EndeRel,MATCH(Q27,Codes,0)))*1440,0)&lt;660,1,0),0),0))</f>
      </c>
      <c r="S76" s="1">
        <f>IF(OR(S$52=0,R27="",S27=""),0,IFERROR(IF(AND(INDEX(Arten,MATCH(R27,Codes,0))="Arbeit",INDEX(Arten,MATCH(S27,Codes,0))="Arbeit"),IF(ROUND((1+INDEX(Beginne,MATCH(S27,Codes,0))-INDEX(EndeRel,MATCH(R27,Codes,0)))*1440,0)&lt;660,1,0),0),0))</f>
      </c>
      <c r="T76" s="1">
        <f>IF(OR(T$52=0,S27="",T27=""),0,IFERROR(IF(AND(INDEX(Arten,MATCH(S27,Codes,0))="Arbeit",INDEX(Arten,MATCH(T27,Codes,0))="Arbeit"),IF(ROUND((1+INDEX(Beginne,MATCH(T27,Codes,0))-INDEX(EndeRel,MATCH(S27,Codes,0)))*1440,0)&lt;660,1,0),0),0))</f>
      </c>
      <c r="U76" s="1">
        <f>IF(OR(U$52=0,T27="",U27=""),0,IFERROR(IF(AND(INDEX(Arten,MATCH(T27,Codes,0))="Arbeit",INDEX(Arten,MATCH(U27,Codes,0))="Arbeit"),IF(ROUND((1+INDEX(Beginne,MATCH(U27,Codes,0))-INDEX(EndeRel,MATCH(T27,Codes,0)))*1440,0)&lt;660,1,0),0),0))</f>
      </c>
      <c r="V76" s="1">
        <f>IF(OR(V$52=0,U27="",V27=""),0,IFERROR(IF(AND(INDEX(Arten,MATCH(U27,Codes,0))="Arbeit",INDEX(Arten,MATCH(V27,Codes,0))="Arbeit"),IF(ROUND((1+INDEX(Beginne,MATCH(V27,Codes,0))-INDEX(EndeRel,MATCH(U27,Codes,0)))*1440,0)&lt;660,1,0),0),0))</f>
      </c>
      <c r="W76" s="1">
        <f>IF(OR(W$52=0,V27="",W27=""),0,IFERROR(IF(AND(INDEX(Arten,MATCH(V27,Codes,0))="Arbeit",INDEX(Arten,MATCH(W27,Codes,0))="Arbeit"),IF(ROUND((1+INDEX(Beginne,MATCH(W27,Codes,0))-INDEX(EndeRel,MATCH(V27,Codes,0)))*1440,0)&lt;660,1,0),0),0))</f>
      </c>
      <c r="X76" s="1">
        <f>IF(OR(X$52=0,W27="",X27=""),0,IFERROR(IF(AND(INDEX(Arten,MATCH(W27,Codes,0))="Arbeit",INDEX(Arten,MATCH(X27,Codes,0))="Arbeit"),IF(ROUND((1+INDEX(Beginne,MATCH(X27,Codes,0))-INDEX(EndeRel,MATCH(W27,Codes,0)))*1440,0)&lt;660,1,0),0),0))</f>
      </c>
      <c r="Y76" s="1">
        <f>IF(OR(Y$52=0,X27="",Y27=""),0,IFERROR(IF(AND(INDEX(Arten,MATCH(X27,Codes,0))="Arbeit",INDEX(Arten,MATCH(Y27,Codes,0))="Arbeit"),IF(ROUND((1+INDEX(Beginne,MATCH(Y27,Codes,0))-INDEX(EndeRel,MATCH(X27,Codes,0)))*1440,0)&lt;660,1,0),0),0))</f>
      </c>
      <c r="Z76" s="1">
        <f>IF(OR(Z$52=0,Y27="",Z27=""),0,IFERROR(IF(AND(INDEX(Arten,MATCH(Y27,Codes,0))="Arbeit",INDEX(Arten,MATCH(Z27,Codes,0))="Arbeit"),IF(ROUND((1+INDEX(Beginne,MATCH(Z27,Codes,0))-INDEX(EndeRel,MATCH(Y27,Codes,0)))*1440,0)&lt;660,1,0),0),0))</f>
      </c>
      <c r="AA76" s="1">
        <f>IF(OR(AA$52=0,Z27="",AA27=""),0,IFERROR(IF(AND(INDEX(Arten,MATCH(Z27,Codes,0))="Arbeit",INDEX(Arten,MATCH(AA27,Codes,0))="Arbeit"),IF(ROUND((1+INDEX(Beginne,MATCH(AA27,Codes,0))-INDEX(EndeRel,MATCH(Z27,Codes,0)))*1440,0)&lt;660,1,0),0),0))</f>
      </c>
      <c r="AB76" s="1">
        <f>IF(OR(AB$52=0,AA27="",AB27=""),0,IFERROR(IF(AND(INDEX(Arten,MATCH(AA27,Codes,0))="Arbeit",INDEX(Arten,MATCH(AB27,Codes,0))="Arbeit"),IF(ROUND((1+INDEX(Beginne,MATCH(AB27,Codes,0))-INDEX(EndeRel,MATCH(AA27,Codes,0)))*1440,0)&lt;660,1,0),0),0))</f>
      </c>
      <c r="AC76" s="1">
        <f>IF(OR(AC$52=0,AB27="",AC27=""),0,IFERROR(IF(AND(INDEX(Arten,MATCH(AB27,Codes,0))="Arbeit",INDEX(Arten,MATCH(AC27,Codes,0))="Arbeit"),IF(ROUND((1+INDEX(Beginne,MATCH(AC27,Codes,0))-INDEX(EndeRel,MATCH(AB27,Codes,0)))*1440,0)&lt;660,1,0),0),0))</f>
      </c>
      <c r="AD76" s="1">
        <f>IF(OR(AD$52=0,AC27="",AD27=""),0,IFERROR(IF(AND(INDEX(Arten,MATCH(AC27,Codes,0))="Arbeit",INDEX(Arten,MATCH(AD27,Codes,0))="Arbeit"),IF(ROUND((1+INDEX(Beginne,MATCH(AD27,Codes,0))-INDEX(EndeRel,MATCH(AC27,Codes,0)))*1440,0)&lt;660,1,0),0),0))</f>
      </c>
      <c r="AE76" s="1">
        <f>IF(OR(AE$52=0,AD27="",AE27=""),0,IFERROR(IF(AND(INDEX(Arten,MATCH(AD27,Codes,0))="Arbeit",INDEX(Arten,MATCH(AE27,Codes,0))="Arbeit"),IF(ROUND((1+INDEX(Beginne,MATCH(AE27,Codes,0))-INDEX(EndeRel,MATCH(AD27,Codes,0)))*1440,0)&lt;660,1,0),0),0))</f>
      </c>
      <c r="AF76" s="1">
        <f>IF(OR(AF$52=0,AE27="",AF27=""),0,IFERROR(IF(AND(INDEX(Arten,MATCH(AE27,Codes,0))="Arbeit",INDEX(Arten,MATCH(AF27,Codes,0))="Arbeit"),IF(ROUND((1+INDEX(Beginne,MATCH(AF27,Codes,0))-INDEX(EndeRel,MATCH(AE27,Codes,0)))*1440,0)&lt;660,1,0),0),0))</f>
      </c>
    </row>
    <row r="77" hidden="1" spans="1:32" x14ac:dyDescent="0.25">
      <c r="A77" s="1"/>
      <c r="B77" s="1">
        <f>IF(OR(B$52=0,INDEX('Februar'!$B$28:$AF$28,DAY(DATE(Jahr,3,0)))="",B28=""),0,IFERROR(IF(AND(INDEX(Arten,MATCH(INDEX('Februar'!$B$28:$AF$28,DAY(DATE(Jahr,3,0))),Codes,0))="Arbeit",INDEX(Arten,MATCH(B28,Codes,0))="Arbeit"),IF(ROUND((1+INDEX(Beginne,MATCH(B28,Codes,0))-INDEX(EndeRel,MATCH(INDEX('Februar'!$B$28:$AF$28,DAY(DATE(Jahr,3,0))),Codes,0)))*1440,0)&lt;660,1,0),0),0))</f>
      </c>
      <c r="C77" s="1">
        <f>IF(OR(C$52=0,B28="",C28=""),0,IFERROR(IF(AND(INDEX(Arten,MATCH(B28,Codes,0))="Arbeit",INDEX(Arten,MATCH(C28,Codes,0))="Arbeit"),IF(ROUND((1+INDEX(Beginne,MATCH(C28,Codes,0))-INDEX(EndeRel,MATCH(B28,Codes,0)))*1440,0)&lt;660,1,0),0),0))</f>
      </c>
      <c r="D77" s="1">
        <f>IF(OR(D$52=0,C28="",D28=""),0,IFERROR(IF(AND(INDEX(Arten,MATCH(C28,Codes,0))="Arbeit",INDEX(Arten,MATCH(D28,Codes,0))="Arbeit"),IF(ROUND((1+INDEX(Beginne,MATCH(D28,Codes,0))-INDEX(EndeRel,MATCH(C28,Codes,0)))*1440,0)&lt;660,1,0),0),0))</f>
      </c>
      <c r="E77" s="1">
        <f>IF(OR(E$52=0,D28="",E28=""),0,IFERROR(IF(AND(INDEX(Arten,MATCH(D28,Codes,0))="Arbeit",INDEX(Arten,MATCH(E28,Codes,0))="Arbeit"),IF(ROUND((1+INDEX(Beginne,MATCH(E28,Codes,0))-INDEX(EndeRel,MATCH(D28,Codes,0)))*1440,0)&lt;660,1,0),0),0))</f>
      </c>
      <c r="F77" s="1">
        <f>IF(OR(F$52=0,E28="",F28=""),0,IFERROR(IF(AND(INDEX(Arten,MATCH(E28,Codes,0))="Arbeit",INDEX(Arten,MATCH(F28,Codes,0))="Arbeit"),IF(ROUND((1+INDEX(Beginne,MATCH(F28,Codes,0))-INDEX(EndeRel,MATCH(E28,Codes,0)))*1440,0)&lt;660,1,0),0),0))</f>
      </c>
      <c r="G77" s="1">
        <f>IF(OR(G$52=0,F28="",G28=""),0,IFERROR(IF(AND(INDEX(Arten,MATCH(F28,Codes,0))="Arbeit",INDEX(Arten,MATCH(G28,Codes,0))="Arbeit"),IF(ROUND((1+INDEX(Beginne,MATCH(G28,Codes,0))-INDEX(EndeRel,MATCH(F28,Codes,0)))*1440,0)&lt;660,1,0),0),0))</f>
      </c>
      <c r="H77" s="1">
        <f>IF(OR(H$52=0,G28="",H28=""),0,IFERROR(IF(AND(INDEX(Arten,MATCH(G28,Codes,0))="Arbeit",INDEX(Arten,MATCH(H28,Codes,0))="Arbeit"),IF(ROUND((1+INDEX(Beginne,MATCH(H28,Codes,0))-INDEX(EndeRel,MATCH(G28,Codes,0)))*1440,0)&lt;660,1,0),0),0))</f>
      </c>
      <c r="I77" s="1">
        <f>IF(OR(I$52=0,H28="",I28=""),0,IFERROR(IF(AND(INDEX(Arten,MATCH(H28,Codes,0))="Arbeit",INDEX(Arten,MATCH(I28,Codes,0))="Arbeit"),IF(ROUND((1+INDEX(Beginne,MATCH(I28,Codes,0))-INDEX(EndeRel,MATCH(H28,Codes,0)))*1440,0)&lt;660,1,0),0),0))</f>
      </c>
      <c r="J77" s="1">
        <f>IF(OR(J$52=0,I28="",J28=""),0,IFERROR(IF(AND(INDEX(Arten,MATCH(I28,Codes,0))="Arbeit",INDEX(Arten,MATCH(J28,Codes,0))="Arbeit"),IF(ROUND((1+INDEX(Beginne,MATCH(J28,Codes,0))-INDEX(EndeRel,MATCH(I28,Codes,0)))*1440,0)&lt;660,1,0),0),0))</f>
      </c>
      <c r="K77" s="1">
        <f>IF(OR(K$52=0,J28="",K28=""),0,IFERROR(IF(AND(INDEX(Arten,MATCH(J28,Codes,0))="Arbeit",INDEX(Arten,MATCH(K28,Codes,0))="Arbeit"),IF(ROUND((1+INDEX(Beginne,MATCH(K28,Codes,0))-INDEX(EndeRel,MATCH(J28,Codes,0)))*1440,0)&lt;660,1,0),0),0))</f>
      </c>
      <c r="L77" s="1">
        <f>IF(OR(L$52=0,K28="",L28=""),0,IFERROR(IF(AND(INDEX(Arten,MATCH(K28,Codes,0))="Arbeit",INDEX(Arten,MATCH(L28,Codes,0))="Arbeit"),IF(ROUND((1+INDEX(Beginne,MATCH(L28,Codes,0))-INDEX(EndeRel,MATCH(K28,Codes,0)))*1440,0)&lt;660,1,0),0),0))</f>
      </c>
      <c r="M77" s="1">
        <f>IF(OR(M$52=0,L28="",M28=""),0,IFERROR(IF(AND(INDEX(Arten,MATCH(L28,Codes,0))="Arbeit",INDEX(Arten,MATCH(M28,Codes,0))="Arbeit"),IF(ROUND((1+INDEX(Beginne,MATCH(M28,Codes,0))-INDEX(EndeRel,MATCH(L28,Codes,0)))*1440,0)&lt;660,1,0),0),0))</f>
      </c>
      <c r="N77" s="1">
        <f>IF(OR(N$52=0,M28="",N28=""),0,IFERROR(IF(AND(INDEX(Arten,MATCH(M28,Codes,0))="Arbeit",INDEX(Arten,MATCH(N28,Codes,0))="Arbeit"),IF(ROUND((1+INDEX(Beginne,MATCH(N28,Codes,0))-INDEX(EndeRel,MATCH(M28,Codes,0)))*1440,0)&lt;660,1,0),0),0))</f>
      </c>
      <c r="O77" s="1">
        <f>IF(OR(O$52=0,N28="",O28=""),0,IFERROR(IF(AND(INDEX(Arten,MATCH(N28,Codes,0))="Arbeit",INDEX(Arten,MATCH(O28,Codes,0))="Arbeit"),IF(ROUND((1+INDEX(Beginne,MATCH(O28,Codes,0))-INDEX(EndeRel,MATCH(N28,Codes,0)))*1440,0)&lt;660,1,0),0),0))</f>
      </c>
      <c r="P77" s="1">
        <f>IF(OR(P$52=0,O28="",P28=""),0,IFERROR(IF(AND(INDEX(Arten,MATCH(O28,Codes,0))="Arbeit",INDEX(Arten,MATCH(P28,Codes,0))="Arbeit"),IF(ROUND((1+INDEX(Beginne,MATCH(P28,Codes,0))-INDEX(EndeRel,MATCH(O28,Codes,0)))*1440,0)&lt;660,1,0),0),0))</f>
      </c>
      <c r="Q77" s="1">
        <f>IF(OR(Q$52=0,P28="",Q28=""),0,IFERROR(IF(AND(INDEX(Arten,MATCH(P28,Codes,0))="Arbeit",INDEX(Arten,MATCH(Q28,Codes,0))="Arbeit"),IF(ROUND((1+INDEX(Beginne,MATCH(Q28,Codes,0))-INDEX(EndeRel,MATCH(P28,Codes,0)))*1440,0)&lt;660,1,0),0),0))</f>
      </c>
      <c r="R77" s="1">
        <f>IF(OR(R$52=0,Q28="",R28=""),0,IFERROR(IF(AND(INDEX(Arten,MATCH(Q28,Codes,0))="Arbeit",INDEX(Arten,MATCH(R28,Codes,0))="Arbeit"),IF(ROUND((1+INDEX(Beginne,MATCH(R28,Codes,0))-INDEX(EndeRel,MATCH(Q28,Codes,0)))*1440,0)&lt;660,1,0),0),0))</f>
      </c>
      <c r="S77" s="1">
        <f>IF(OR(S$52=0,R28="",S28=""),0,IFERROR(IF(AND(INDEX(Arten,MATCH(R28,Codes,0))="Arbeit",INDEX(Arten,MATCH(S28,Codes,0))="Arbeit"),IF(ROUND((1+INDEX(Beginne,MATCH(S28,Codes,0))-INDEX(EndeRel,MATCH(R28,Codes,0)))*1440,0)&lt;660,1,0),0),0))</f>
      </c>
      <c r="T77" s="1">
        <f>IF(OR(T$52=0,S28="",T28=""),0,IFERROR(IF(AND(INDEX(Arten,MATCH(S28,Codes,0))="Arbeit",INDEX(Arten,MATCH(T28,Codes,0))="Arbeit"),IF(ROUND((1+INDEX(Beginne,MATCH(T28,Codes,0))-INDEX(EndeRel,MATCH(S28,Codes,0)))*1440,0)&lt;660,1,0),0),0))</f>
      </c>
      <c r="U77" s="1">
        <f>IF(OR(U$52=0,T28="",U28=""),0,IFERROR(IF(AND(INDEX(Arten,MATCH(T28,Codes,0))="Arbeit",INDEX(Arten,MATCH(U28,Codes,0))="Arbeit"),IF(ROUND((1+INDEX(Beginne,MATCH(U28,Codes,0))-INDEX(EndeRel,MATCH(T28,Codes,0)))*1440,0)&lt;660,1,0),0),0))</f>
      </c>
      <c r="V77" s="1">
        <f>IF(OR(V$52=0,U28="",V28=""),0,IFERROR(IF(AND(INDEX(Arten,MATCH(U28,Codes,0))="Arbeit",INDEX(Arten,MATCH(V28,Codes,0))="Arbeit"),IF(ROUND((1+INDEX(Beginne,MATCH(V28,Codes,0))-INDEX(EndeRel,MATCH(U28,Codes,0)))*1440,0)&lt;660,1,0),0),0))</f>
      </c>
      <c r="W77" s="1">
        <f>IF(OR(W$52=0,V28="",W28=""),0,IFERROR(IF(AND(INDEX(Arten,MATCH(V28,Codes,0))="Arbeit",INDEX(Arten,MATCH(W28,Codes,0))="Arbeit"),IF(ROUND((1+INDEX(Beginne,MATCH(W28,Codes,0))-INDEX(EndeRel,MATCH(V28,Codes,0)))*1440,0)&lt;660,1,0),0),0))</f>
      </c>
      <c r="X77" s="1">
        <f>IF(OR(X$52=0,W28="",X28=""),0,IFERROR(IF(AND(INDEX(Arten,MATCH(W28,Codes,0))="Arbeit",INDEX(Arten,MATCH(X28,Codes,0))="Arbeit"),IF(ROUND((1+INDEX(Beginne,MATCH(X28,Codes,0))-INDEX(EndeRel,MATCH(W28,Codes,0)))*1440,0)&lt;660,1,0),0),0))</f>
      </c>
      <c r="Y77" s="1">
        <f>IF(OR(Y$52=0,X28="",Y28=""),0,IFERROR(IF(AND(INDEX(Arten,MATCH(X28,Codes,0))="Arbeit",INDEX(Arten,MATCH(Y28,Codes,0))="Arbeit"),IF(ROUND((1+INDEX(Beginne,MATCH(Y28,Codes,0))-INDEX(EndeRel,MATCH(X28,Codes,0)))*1440,0)&lt;660,1,0),0),0))</f>
      </c>
      <c r="Z77" s="1">
        <f>IF(OR(Z$52=0,Y28="",Z28=""),0,IFERROR(IF(AND(INDEX(Arten,MATCH(Y28,Codes,0))="Arbeit",INDEX(Arten,MATCH(Z28,Codes,0))="Arbeit"),IF(ROUND((1+INDEX(Beginne,MATCH(Z28,Codes,0))-INDEX(EndeRel,MATCH(Y28,Codes,0)))*1440,0)&lt;660,1,0),0),0))</f>
      </c>
      <c r="AA77" s="1">
        <f>IF(OR(AA$52=0,Z28="",AA28=""),0,IFERROR(IF(AND(INDEX(Arten,MATCH(Z28,Codes,0))="Arbeit",INDEX(Arten,MATCH(AA28,Codes,0))="Arbeit"),IF(ROUND((1+INDEX(Beginne,MATCH(AA28,Codes,0))-INDEX(EndeRel,MATCH(Z28,Codes,0)))*1440,0)&lt;660,1,0),0),0))</f>
      </c>
      <c r="AB77" s="1">
        <f>IF(OR(AB$52=0,AA28="",AB28=""),0,IFERROR(IF(AND(INDEX(Arten,MATCH(AA28,Codes,0))="Arbeit",INDEX(Arten,MATCH(AB28,Codes,0))="Arbeit"),IF(ROUND((1+INDEX(Beginne,MATCH(AB28,Codes,0))-INDEX(EndeRel,MATCH(AA28,Codes,0)))*1440,0)&lt;660,1,0),0),0))</f>
      </c>
      <c r="AC77" s="1">
        <f>IF(OR(AC$52=0,AB28="",AC28=""),0,IFERROR(IF(AND(INDEX(Arten,MATCH(AB28,Codes,0))="Arbeit",INDEX(Arten,MATCH(AC28,Codes,0))="Arbeit"),IF(ROUND((1+INDEX(Beginne,MATCH(AC28,Codes,0))-INDEX(EndeRel,MATCH(AB28,Codes,0)))*1440,0)&lt;660,1,0),0),0))</f>
      </c>
      <c r="AD77" s="1">
        <f>IF(OR(AD$52=0,AC28="",AD28=""),0,IFERROR(IF(AND(INDEX(Arten,MATCH(AC28,Codes,0))="Arbeit",INDEX(Arten,MATCH(AD28,Codes,0))="Arbeit"),IF(ROUND((1+INDEX(Beginne,MATCH(AD28,Codes,0))-INDEX(EndeRel,MATCH(AC28,Codes,0)))*1440,0)&lt;660,1,0),0),0))</f>
      </c>
      <c r="AE77" s="1">
        <f>IF(OR(AE$52=0,AD28="",AE28=""),0,IFERROR(IF(AND(INDEX(Arten,MATCH(AD28,Codes,0))="Arbeit",INDEX(Arten,MATCH(AE28,Codes,0))="Arbeit"),IF(ROUND((1+INDEX(Beginne,MATCH(AE28,Codes,0))-INDEX(EndeRel,MATCH(AD28,Codes,0)))*1440,0)&lt;660,1,0),0),0))</f>
      </c>
      <c r="AF77" s="1">
        <f>IF(OR(AF$52=0,AE28="",AF28=""),0,IFERROR(IF(AND(INDEX(Arten,MATCH(AE28,Codes,0))="Arbeit",INDEX(Arten,MATCH(AF28,Codes,0))="Arbeit"),IF(ROUND((1+INDEX(Beginne,MATCH(AF28,Codes,0))-INDEX(EndeRel,MATCH(AE28,Codes,0)))*1440,0)&lt;660,1,0),0),0))</f>
      </c>
    </row>
    <row r="78" hidden="1" spans="1:32" x14ac:dyDescent="0.25">
      <c r="A78" s="1"/>
      <c r="B78" s="1">
        <f>IF(OR(B$52=0,INDEX('Februar'!$B$29:$AF$29,DAY(DATE(Jahr,3,0)))="",B29=""),0,IFERROR(IF(AND(INDEX(Arten,MATCH(INDEX('Februar'!$B$29:$AF$29,DAY(DATE(Jahr,3,0))),Codes,0))="Arbeit",INDEX(Arten,MATCH(B29,Codes,0))="Arbeit"),IF(ROUND((1+INDEX(Beginne,MATCH(B29,Codes,0))-INDEX(EndeRel,MATCH(INDEX('Februar'!$B$29:$AF$29,DAY(DATE(Jahr,3,0))),Codes,0)))*1440,0)&lt;660,1,0),0),0))</f>
      </c>
      <c r="C78" s="1">
        <f>IF(OR(C$52=0,B29="",C29=""),0,IFERROR(IF(AND(INDEX(Arten,MATCH(B29,Codes,0))="Arbeit",INDEX(Arten,MATCH(C29,Codes,0))="Arbeit"),IF(ROUND((1+INDEX(Beginne,MATCH(C29,Codes,0))-INDEX(EndeRel,MATCH(B29,Codes,0)))*1440,0)&lt;660,1,0),0),0))</f>
      </c>
      <c r="D78" s="1">
        <f>IF(OR(D$52=0,C29="",D29=""),0,IFERROR(IF(AND(INDEX(Arten,MATCH(C29,Codes,0))="Arbeit",INDEX(Arten,MATCH(D29,Codes,0))="Arbeit"),IF(ROUND((1+INDEX(Beginne,MATCH(D29,Codes,0))-INDEX(EndeRel,MATCH(C29,Codes,0)))*1440,0)&lt;660,1,0),0),0))</f>
      </c>
      <c r="E78" s="1">
        <f>IF(OR(E$52=0,D29="",E29=""),0,IFERROR(IF(AND(INDEX(Arten,MATCH(D29,Codes,0))="Arbeit",INDEX(Arten,MATCH(E29,Codes,0))="Arbeit"),IF(ROUND((1+INDEX(Beginne,MATCH(E29,Codes,0))-INDEX(EndeRel,MATCH(D29,Codes,0)))*1440,0)&lt;660,1,0),0),0))</f>
      </c>
      <c r="F78" s="1">
        <f>IF(OR(F$52=0,E29="",F29=""),0,IFERROR(IF(AND(INDEX(Arten,MATCH(E29,Codes,0))="Arbeit",INDEX(Arten,MATCH(F29,Codes,0))="Arbeit"),IF(ROUND((1+INDEX(Beginne,MATCH(F29,Codes,0))-INDEX(EndeRel,MATCH(E29,Codes,0)))*1440,0)&lt;660,1,0),0),0))</f>
      </c>
      <c r="G78" s="1">
        <f>IF(OR(G$52=0,F29="",G29=""),0,IFERROR(IF(AND(INDEX(Arten,MATCH(F29,Codes,0))="Arbeit",INDEX(Arten,MATCH(G29,Codes,0))="Arbeit"),IF(ROUND((1+INDEX(Beginne,MATCH(G29,Codes,0))-INDEX(EndeRel,MATCH(F29,Codes,0)))*1440,0)&lt;660,1,0),0),0))</f>
      </c>
      <c r="H78" s="1">
        <f>IF(OR(H$52=0,G29="",H29=""),0,IFERROR(IF(AND(INDEX(Arten,MATCH(G29,Codes,0))="Arbeit",INDEX(Arten,MATCH(H29,Codes,0))="Arbeit"),IF(ROUND((1+INDEX(Beginne,MATCH(H29,Codes,0))-INDEX(EndeRel,MATCH(G29,Codes,0)))*1440,0)&lt;660,1,0),0),0))</f>
      </c>
      <c r="I78" s="1">
        <f>IF(OR(I$52=0,H29="",I29=""),0,IFERROR(IF(AND(INDEX(Arten,MATCH(H29,Codes,0))="Arbeit",INDEX(Arten,MATCH(I29,Codes,0))="Arbeit"),IF(ROUND((1+INDEX(Beginne,MATCH(I29,Codes,0))-INDEX(EndeRel,MATCH(H29,Codes,0)))*1440,0)&lt;660,1,0),0),0))</f>
      </c>
      <c r="J78" s="1">
        <f>IF(OR(J$52=0,I29="",J29=""),0,IFERROR(IF(AND(INDEX(Arten,MATCH(I29,Codes,0))="Arbeit",INDEX(Arten,MATCH(J29,Codes,0))="Arbeit"),IF(ROUND((1+INDEX(Beginne,MATCH(J29,Codes,0))-INDEX(EndeRel,MATCH(I29,Codes,0)))*1440,0)&lt;660,1,0),0),0))</f>
      </c>
      <c r="K78" s="1">
        <f>IF(OR(K$52=0,J29="",K29=""),0,IFERROR(IF(AND(INDEX(Arten,MATCH(J29,Codes,0))="Arbeit",INDEX(Arten,MATCH(K29,Codes,0))="Arbeit"),IF(ROUND((1+INDEX(Beginne,MATCH(K29,Codes,0))-INDEX(EndeRel,MATCH(J29,Codes,0)))*1440,0)&lt;660,1,0),0),0))</f>
      </c>
      <c r="L78" s="1">
        <f>IF(OR(L$52=0,K29="",L29=""),0,IFERROR(IF(AND(INDEX(Arten,MATCH(K29,Codes,0))="Arbeit",INDEX(Arten,MATCH(L29,Codes,0))="Arbeit"),IF(ROUND((1+INDEX(Beginne,MATCH(L29,Codes,0))-INDEX(EndeRel,MATCH(K29,Codes,0)))*1440,0)&lt;660,1,0),0),0))</f>
      </c>
      <c r="M78" s="1">
        <f>IF(OR(M$52=0,L29="",M29=""),0,IFERROR(IF(AND(INDEX(Arten,MATCH(L29,Codes,0))="Arbeit",INDEX(Arten,MATCH(M29,Codes,0))="Arbeit"),IF(ROUND((1+INDEX(Beginne,MATCH(M29,Codes,0))-INDEX(EndeRel,MATCH(L29,Codes,0)))*1440,0)&lt;660,1,0),0),0))</f>
      </c>
      <c r="N78" s="1">
        <f>IF(OR(N$52=0,M29="",N29=""),0,IFERROR(IF(AND(INDEX(Arten,MATCH(M29,Codes,0))="Arbeit",INDEX(Arten,MATCH(N29,Codes,0))="Arbeit"),IF(ROUND((1+INDEX(Beginne,MATCH(N29,Codes,0))-INDEX(EndeRel,MATCH(M29,Codes,0)))*1440,0)&lt;660,1,0),0),0))</f>
      </c>
      <c r="O78" s="1">
        <f>IF(OR(O$52=0,N29="",O29=""),0,IFERROR(IF(AND(INDEX(Arten,MATCH(N29,Codes,0))="Arbeit",INDEX(Arten,MATCH(O29,Codes,0))="Arbeit"),IF(ROUND((1+INDEX(Beginne,MATCH(O29,Codes,0))-INDEX(EndeRel,MATCH(N29,Codes,0)))*1440,0)&lt;660,1,0),0),0))</f>
      </c>
      <c r="P78" s="1">
        <f>IF(OR(P$52=0,O29="",P29=""),0,IFERROR(IF(AND(INDEX(Arten,MATCH(O29,Codes,0))="Arbeit",INDEX(Arten,MATCH(P29,Codes,0))="Arbeit"),IF(ROUND((1+INDEX(Beginne,MATCH(P29,Codes,0))-INDEX(EndeRel,MATCH(O29,Codes,0)))*1440,0)&lt;660,1,0),0),0))</f>
      </c>
      <c r="Q78" s="1">
        <f>IF(OR(Q$52=0,P29="",Q29=""),0,IFERROR(IF(AND(INDEX(Arten,MATCH(P29,Codes,0))="Arbeit",INDEX(Arten,MATCH(Q29,Codes,0))="Arbeit"),IF(ROUND((1+INDEX(Beginne,MATCH(Q29,Codes,0))-INDEX(EndeRel,MATCH(P29,Codes,0)))*1440,0)&lt;660,1,0),0),0))</f>
      </c>
      <c r="R78" s="1">
        <f>IF(OR(R$52=0,Q29="",R29=""),0,IFERROR(IF(AND(INDEX(Arten,MATCH(Q29,Codes,0))="Arbeit",INDEX(Arten,MATCH(R29,Codes,0))="Arbeit"),IF(ROUND((1+INDEX(Beginne,MATCH(R29,Codes,0))-INDEX(EndeRel,MATCH(Q29,Codes,0)))*1440,0)&lt;660,1,0),0),0))</f>
      </c>
      <c r="S78" s="1">
        <f>IF(OR(S$52=0,R29="",S29=""),0,IFERROR(IF(AND(INDEX(Arten,MATCH(R29,Codes,0))="Arbeit",INDEX(Arten,MATCH(S29,Codes,0))="Arbeit"),IF(ROUND((1+INDEX(Beginne,MATCH(S29,Codes,0))-INDEX(EndeRel,MATCH(R29,Codes,0)))*1440,0)&lt;660,1,0),0),0))</f>
      </c>
      <c r="T78" s="1">
        <f>IF(OR(T$52=0,S29="",T29=""),0,IFERROR(IF(AND(INDEX(Arten,MATCH(S29,Codes,0))="Arbeit",INDEX(Arten,MATCH(T29,Codes,0))="Arbeit"),IF(ROUND((1+INDEX(Beginne,MATCH(T29,Codes,0))-INDEX(EndeRel,MATCH(S29,Codes,0)))*1440,0)&lt;660,1,0),0),0))</f>
      </c>
      <c r="U78" s="1">
        <f>IF(OR(U$52=0,T29="",U29=""),0,IFERROR(IF(AND(INDEX(Arten,MATCH(T29,Codes,0))="Arbeit",INDEX(Arten,MATCH(U29,Codes,0))="Arbeit"),IF(ROUND((1+INDEX(Beginne,MATCH(U29,Codes,0))-INDEX(EndeRel,MATCH(T29,Codes,0)))*1440,0)&lt;660,1,0),0),0))</f>
      </c>
      <c r="V78" s="1">
        <f>IF(OR(V$52=0,U29="",V29=""),0,IFERROR(IF(AND(INDEX(Arten,MATCH(U29,Codes,0))="Arbeit",INDEX(Arten,MATCH(V29,Codes,0))="Arbeit"),IF(ROUND((1+INDEX(Beginne,MATCH(V29,Codes,0))-INDEX(EndeRel,MATCH(U29,Codes,0)))*1440,0)&lt;660,1,0),0),0))</f>
      </c>
      <c r="W78" s="1">
        <f>IF(OR(W$52=0,V29="",W29=""),0,IFERROR(IF(AND(INDEX(Arten,MATCH(V29,Codes,0))="Arbeit",INDEX(Arten,MATCH(W29,Codes,0))="Arbeit"),IF(ROUND((1+INDEX(Beginne,MATCH(W29,Codes,0))-INDEX(EndeRel,MATCH(V29,Codes,0)))*1440,0)&lt;660,1,0),0),0))</f>
      </c>
      <c r="X78" s="1">
        <f>IF(OR(X$52=0,W29="",X29=""),0,IFERROR(IF(AND(INDEX(Arten,MATCH(W29,Codes,0))="Arbeit",INDEX(Arten,MATCH(X29,Codes,0))="Arbeit"),IF(ROUND((1+INDEX(Beginne,MATCH(X29,Codes,0))-INDEX(EndeRel,MATCH(W29,Codes,0)))*1440,0)&lt;660,1,0),0),0))</f>
      </c>
      <c r="Y78" s="1">
        <f>IF(OR(Y$52=0,X29="",Y29=""),0,IFERROR(IF(AND(INDEX(Arten,MATCH(X29,Codes,0))="Arbeit",INDEX(Arten,MATCH(Y29,Codes,0))="Arbeit"),IF(ROUND((1+INDEX(Beginne,MATCH(Y29,Codes,0))-INDEX(EndeRel,MATCH(X29,Codes,0)))*1440,0)&lt;660,1,0),0),0))</f>
      </c>
      <c r="Z78" s="1">
        <f>IF(OR(Z$52=0,Y29="",Z29=""),0,IFERROR(IF(AND(INDEX(Arten,MATCH(Y29,Codes,0))="Arbeit",INDEX(Arten,MATCH(Z29,Codes,0))="Arbeit"),IF(ROUND((1+INDEX(Beginne,MATCH(Z29,Codes,0))-INDEX(EndeRel,MATCH(Y29,Codes,0)))*1440,0)&lt;660,1,0),0),0))</f>
      </c>
      <c r="AA78" s="1">
        <f>IF(OR(AA$52=0,Z29="",AA29=""),0,IFERROR(IF(AND(INDEX(Arten,MATCH(Z29,Codes,0))="Arbeit",INDEX(Arten,MATCH(AA29,Codes,0))="Arbeit"),IF(ROUND((1+INDEX(Beginne,MATCH(AA29,Codes,0))-INDEX(EndeRel,MATCH(Z29,Codes,0)))*1440,0)&lt;660,1,0),0),0))</f>
      </c>
      <c r="AB78" s="1">
        <f>IF(OR(AB$52=0,AA29="",AB29=""),0,IFERROR(IF(AND(INDEX(Arten,MATCH(AA29,Codes,0))="Arbeit",INDEX(Arten,MATCH(AB29,Codes,0))="Arbeit"),IF(ROUND((1+INDEX(Beginne,MATCH(AB29,Codes,0))-INDEX(EndeRel,MATCH(AA29,Codes,0)))*1440,0)&lt;660,1,0),0),0))</f>
      </c>
      <c r="AC78" s="1">
        <f>IF(OR(AC$52=0,AB29="",AC29=""),0,IFERROR(IF(AND(INDEX(Arten,MATCH(AB29,Codes,0))="Arbeit",INDEX(Arten,MATCH(AC29,Codes,0))="Arbeit"),IF(ROUND((1+INDEX(Beginne,MATCH(AC29,Codes,0))-INDEX(EndeRel,MATCH(AB29,Codes,0)))*1440,0)&lt;660,1,0),0),0))</f>
      </c>
      <c r="AD78" s="1">
        <f>IF(OR(AD$52=0,AC29="",AD29=""),0,IFERROR(IF(AND(INDEX(Arten,MATCH(AC29,Codes,0))="Arbeit",INDEX(Arten,MATCH(AD29,Codes,0))="Arbeit"),IF(ROUND((1+INDEX(Beginne,MATCH(AD29,Codes,0))-INDEX(EndeRel,MATCH(AC29,Codes,0)))*1440,0)&lt;660,1,0),0),0))</f>
      </c>
      <c r="AE78" s="1">
        <f>IF(OR(AE$52=0,AD29="",AE29=""),0,IFERROR(IF(AND(INDEX(Arten,MATCH(AD29,Codes,0))="Arbeit",INDEX(Arten,MATCH(AE29,Codes,0))="Arbeit"),IF(ROUND((1+INDEX(Beginne,MATCH(AE29,Codes,0))-INDEX(EndeRel,MATCH(AD29,Codes,0)))*1440,0)&lt;660,1,0),0),0))</f>
      </c>
      <c r="AF78" s="1">
        <f>IF(OR(AF$52=0,AE29="",AF29=""),0,IFERROR(IF(AND(INDEX(Arten,MATCH(AE29,Codes,0))="Arbeit",INDEX(Arten,MATCH(AF29,Codes,0))="Arbeit"),IF(ROUND((1+INDEX(Beginne,MATCH(AF29,Codes,0))-INDEX(EndeRel,MATCH(AE29,Codes,0)))*1440,0)&lt;660,1,0),0),0))</f>
      </c>
    </row>
    <row r="79" hidden="1" spans="1:32" x14ac:dyDescent="0.25">
      <c r="A79" s="1"/>
      <c r="B79" s="1">
        <f>IF(OR(B$52=0,INDEX('Februar'!$B$30:$AF$30,DAY(DATE(Jahr,3,0)))="",B30=""),0,IFERROR(IF(AND(INDEX(Arten,MATCH(INDEX('Februar'!$B$30:$AF$30,DAY(DATE(Jahr,3,0))),Codes,0))="Arbeit",INDEX(Arten,MATCH(B30,Codes,0))="Arbeit"),IF(ROUND((1+INDEX(Beginne,MATCH(B30,Codes,0))-INDEX(EndeRel,MATCH(INDEX('Februar'!$B$30:$AF$30,DAY(DATE(Jahr,3,0))),Codes,0)))*1440,0)&lt;660,1,0),0),0))</f>
      </c>
      <c r="C79" s="1">
        <f>IF(OR(C$52=0,B30="",C30=""),0,IFERROR(IF(AND(INDEX(Arten,MATCH(B30,Codes,0))="Arbeit",INDEX(Arten,MATCH(C30,Codes,0))="Arbeit"),IF(ROUND((1+INDEX(Beginne,MATCH(C30,Codes,0))-INDEX(EndeRel,MATCH(B30,Codes,0)))*1440,0)&lt;660,1,0),0),0))</f>
      </c>
      <c r="D79" s="1">
        <f>IF(OR(D$52=0,C30="",D30=""),0,IFERROR(IF(AND(INDEX(Arten,MATCH(C30,Codes,0))="Arbeit",INDEX(Arten,MATCH(D30,Codes,0))="Arbeit"),IF(ROUND((1+INDEX(Beginne,MATCH(D30,Codes,0))-INDEX(EndeRel,MATCH(C30,Codes,0)))*1440,0)&lt;660,1,0),0),0))</f>
      </c>
      <c r="E79" s="1">
        <f>IF(OR(E$52=0,D30="",E30=""),0,IFERROR(IF(AND(INDEX(Arten,MATCH(D30,Codes,0))="Arbeit",INDEX(Arten,MATCH(E30,Codes,0))="Arbeit"),IF(ROUND((1+INDEX(Beginne,MATCH(E30,Codes,0))-INDEX(EndeRel,MATCH(D30,Codes,0)))*1440,0)&lt;660,1,0),0),0))</f>
      </c>
      <c r="F79" s="1">
        <f>IF(OR(F$52=0,E30="",F30=""),0,IFERROR(IF(AND(INDEX(Arten,MATCH(E30,Codes,0))="Arbeit",INDEX(Arten,MATCH(F30,Codes,0))="Arbeit"),IF(ROUND((1+INDEX(Beginne,MATCH(F30,Codes,0))-INDEX(EndeRel,MATCH(E30,Codes,0)))*1440,0)&lt;660,1,0),0),0))</f>
      </c>
      <c r="G79" s="1">
        <f>IF(OR(G$52=0,F30="",G30=""),0,IFERROR(IF(AND(INDEX(Arten,MATCH(F30,Codes,0))="Arbeit",INDEX(Arten,MATCH(G30,Codes,0))="Arbeit"),IF(ROUND((1+INDEX(Beginne,MATCH(G30,Codes,0))-INDEX(EndeRel,MATCH(F30,Codes,0)))*1440,0)&lt;660,1,0),0),0))</f>
      </c>
      <c r="H79" s="1">
        <f>IF(OR(H$52=0,G30="",H30=""),0,IFERROR(IF(AND(INDEX(Arten,MATCH(G30,Codes,0))="Arbeit",INDEX(Arten,MATCH(H30,Codes,0))="Arbeit"),IF(ROUND((1+INDEX(Beginne,MATCH(H30,Codes,0))-INDEX(EndeRel,MATCH(G30,Codes,0)))*1440,0)&lt;660,1,0),0),0))</f>
      </c>
      <c r="I79" s="1">
        <f>IF(OR(I$52=0,H30="",I30=""),0,IFERROR(IF(AND(INDEX(Arten,MATCH(H30,Codes,0))="Arbeit",INDEX(Arten,MATCH(I30,Codes,0))="Arbeit"),IF(ROUND((1+INDEX(Beginne,MATCH(I30,Codes,0))-INDEX(EndeRel,MATCH(H30,Codes,0)))*1440,0)&lt;660,1,0),0),0))</f>
      </c>
      <c r="J79" s="1">
        <f>IF(OR(J$52=0,I30="",J30=""),0,IFERROR(IF(AND(INDEX(Arten,MATCH(I30,Codes,0))="Arbeit",INDEX(Arten,MATCH(J30,Codes,0))="Arbeit"),IF(ROUND((1+INDEX(Beginne,MATCH(J30,Codes,0))-INDEX(EndeRel,MATCH(I30,Codes,0)))*1440,0)&lt;660,1,0),0),0))</f>
      </c>
      <c r="K79" s="1">
        <f>IF(OR(K$52=0,J30="",K30=""),0,IFERROR(IF(AND(INDEX(Arten,MATCH(J30,Codes,0))="Arbeit",INDEX(Arten,MATCH(K30,Codes,0))="Arbeit"),IF(ROUND((1+INDEX(Beginne,MATCH(K30,Codes,0))-INDEX(EndeRel,MATCH(J30,Codes,0)))*1440,0)&lt;660,1,0),0),0))</f>
      </c>
      <c r="L79" s="1">
        <f>IF(OR(L$52=0,K30="",L30=""),0,IFERROR(IF(AND(INDEX(Arten,MATCH(K30,Codes,0))="Arbeit",INDEX(Arten,MATCH(L30,Codes,0))="Arbeit"),IF(ROUND((1+INDEX(Beginne,MATCH(L30,Codes,0))-INDEX(EndeRel,MATCH(K30,Codes,0)))*1440,0)&lt;660,1,0),0),0))</f>
      </c>
      <c r="M79" s="1">
        <f>IF(OR(M$52=0,L30="",M30=""),0,IFERROR(IF(AND(INDEX(Arten,MATCH(L30,Codes,0))="Arbeit",INDEX(Arten,MATCH(M30,Codes,0))="Arbeit"),IF(ROUND((1+INDEX(Beginne,MATCH(M30,Codes,0))-INDEX(EndeRel,MATCH(L30,Codes,0)))*1440,0)&lt;660,1,0),0),0))</f>
      </c>
      <c r="N79" s="1">
        <f>IF(OR(N$52=0,M30="",N30=""),0,IFERROR(IF(AND(INDEX(Arten,MATCH(M30,Codes,0))="Arbeit",INDEX(Arten,MATCH(N30,Codes,0))="Arbeit"),IF(ROUND((1+INDEX(Beginne,MATCH(N30,Codes,0))-INDEX(EndeRel,MATCH(M30,Codes,0)))*1440,0)&lt;660,1,0),0),0))</f>
      </c>
      <c r="O79" s="1">
        <f>IF(OR(O$52=0,N30="",O30=""),0,IFERROR(IF(AND(INDEX(Arten,MATCH(N30,Codes,0))="Arbeit",INDEX(Arten,MATCH(O30,Codes,0))="Arbeit"),IF(ROUND((1+INDEX(Beginne,MATCH(O30,Codes,0))-INDEX(EndeRel,MATCH(N30,Codes,0)))*1440,0)&lt;660,1,0),0),0))</f>
      </c>
      <c r="P79" s="1">
        <f>IF(OR(P$52=0,O30="",P30=""),0,IFERROR(IF(AND(INDEX(Arten,MATCH(O30,Codes,0))="Arbeit",INDEX(Arten,MATCH(P30,Codes,0))="Arbeit"),IF(ROUND((1+INDEX(Beginne,MATCH(P30,Codes,0))-INDEX(EndeRel,MATCH(O30,Codes,0)))*1440,0)&lt;660,1,0),0),0))</f>
      </c>
      <c r="Q79" s="1">
        <f>IF(OR(Q$52=0,P30="",Q30=""),0,IFERROR(IF(AND(INDEX(Arten,MATCH(P30,Codes,0))="Arbeit",INDEX(Arten,MATCH(Q30,Codes,0))="Arbeit"),IF(ROUND((1+INDEX(Beginne,MATCH(Q30,Codes,0))-INDEX(EndeRel,MATCH(P30,Codes,0)))*1440,0)&lt;660,1,0),0),0))</f>
      </c>
      <c r="R79" s="1">
        <f>IF(OR(R$52=0,Q30="",R30=""),0,IFERROR(IF(AND(INDEX(Arten,MATCH(Q30,Codes,0))="Arbeit",INDEX(Arten,MATCH(R30,Codes,0))="Arbeit"),IF(ROUND((1+INDEX(Beginne,MATCH(R30,Codes,0))-INDEX(EndeRel,MATCH(Q30,Codes,0)))*1440,0)&lt;660,1,0),0),0))</f>
      </c>
      <c r="S79" s="1">
        <f>IF(OR(S$52=0,R30="",S30=""),0,IFERROR(IF(AND(INDEX(Arten,MATCH(R30,Codes,0))="Arbeit",INDEX(Arten,MATCH(S30,Codes,0))="Arbeit"),IF(ROUND((1+INDEX(Beginne,MATCH(S30,Codes,0))-INDEX(EndeRel,MATCH(R30,Codes,0)))*1440,0)&lt;660,1,0),0),0))</f>
      </c>
      <c r="T79" s="1">
        <f>IF(OR(T$52=0,S30="",T30=""),0,IFERROR(IF(AND(INDEX(Arten,MATCH(S30,Codes,0))="Arbeit",INDEX(Arten,MATCH(T30,Codes,0))="Arbeit"),IF(ROUND((1+INDEX(Beginne,MATCH(T30,Codes,0))-INDEX(EndeRel,MATCH(S30,Codes,0)))*1440,0)&lt;660,1,0),0),0))</f>
      </c>
      <c r="U79" s="1">
        <f>IF(OR(U$52=0,T30="",U30=""),0,IFERROR(IF(AND(INDEX(Arten,MATCH(T30,Codes,0))="Arbeit",INDEX(Arten,MATCH(U30,Codes,0))="Arbeit"),IF(ROUND((1+INDEX(Beginne,MATCH(U30,Codes,0))-INDEX(EndeRel,MATCH(T30,Codes,0)))*1440,0)&lt;660,1,0),0),0))</f>
      </c>
      <c r="V79" s="1">
        <f>IF(OR(V$52=0,U30="",V30=""),0,IFERROR(IF(AND(INDEX(Arten,MATCH(U30,Codes,0))="Arbeit",INDEX(Arten,MATCH(V30,Codes,0))="Arbeit"),IF(ROUND((1+INDEX(Beginne,MATCH(V30,Codes,0))-INDEX(EndeRel,MATCH(U30,Codes,0)))*1440,0)&lt;660,1,0),0),0))</f>
      </c>
      <c r="W79" s="1">
        <f>IF(OR(W$52=0,V30="",W30=""),0,IFERROR(IF(AND(INDEX(Arten,MATCH(V30,Codes,0))="Arbeit",INDEX(Arten,MATCH(W30,Codes,0))="Arbeit"),IF(ROUND((1+INDEX(Beginne,MATCH(W30,Codes,0))-INDEX(EndeRel,MATCH(V30,Codes,0)))*1440,0)&lt;660,1,0),0),0))</f>
      </c>
      <c r="X79" s="1">
        <f>IF(OR(X$52=0,W30="",X30=""),0,IFERROR(IF(AND(INDEX(Arten,MATCH(W30,Codes,0))="Arbeit",INDEX(Arten,MATCH(X30,Codes,0))="Arbeit"),IF(ROUND((1+INDEX(Beginne,MATCH(X30,Codes,0))-INDEX(EndeRel,MATCH(W30,Codes,0)))*1440,0)&lt;660,1,0),0),0))</f>
      </c>
      <c r="Y79" s="1">
        <f>IF(OR(Y$52=0,X30="",Y30=""),0,IFERROR(IF(AND(INDEX(Arten,MATCH(X30,Codes,0))="Arbeit",INDEX(Arten,MATCH(Y30,Codes,0))="Arbeit"),IF(ROUND((1+INDEX(Beginne,MATCH(Y30,Codes,0))-INDEX(EndeRel,MATCH(X30,Codes,0)))*1440,0)&lt;660,1,0),0),0))</f>
      </c>
      <c r="Z79" s="1">
        <f>IF(OR(Z$52=0,Y30="",Z30=""),0,IFERROR(IF(AND(INDEX(Arten,MATCH(Y30,Codes,0))="Arbeit",INDEX(Arten,MATCH(Z30,Codes,0))="Arbeit"),IF(ROUND((1+INDEX(Beginne,MATCH(Z30,Codes,0))-INDEX(EndeRel,MATCH(Y30,Codes,0)))*1440,0)&lt;660,1,0),0),0))</f>
      </c>
      <c r="AA79" s="1">
        <f>IF(OR(AA$52=0,Z30="",AA30=""),0,IFERROR(IF(AND(INDEX(Arten,MATCH(Z30,Codes,0))="Arbeit",INDEX(Arten,MATCH(AA30,Codes,0))="Arbeit"),IF(ROUND((1+INDEX(Beginne,MATCH(AA30,Codes,0))-INDEX(EndeRel,MATCH(Z30,Codes,0)))*1440,0)&lt;660,1,0),0),0))</f>
      </c>
      <c r="AB79" s="1">
        <f>IF(OR(AB$52=0,AA30="",AB30=""),0,IFERROR(IF(AND(INDEX(Arten,MATCH(AA30,Codes,0))="Arbeit",INDEX(Arten,MATCH(AB30,Codes,0))="Arbeit"),IF(ROUND((1+INDEX(Beginne,MATCH(AB30,Codes,0))-INDEX(EndeRel,MATCH(AA30,Codes,0)))*1440,0)&lt;660,1,0),0),0))</f>
      </c>
      <c r="AC79" s="1">
        <f>IF(OR(AC$52=0,AB30="",AC30=""),0,IFERROR(IF(AND(INDEX(Arten,MATCH(AB30,Codes,0))="Arbeit",INDEX(Arten,MATCH(AC30,Codes,0))="Arbeit"),IF(ROUND((1+INDEX(Beginne,MATCH(AC30,Codes,0))-INDEX(EndeRel,MATCH(AB30,Codes,0)))*1440,0)&lt;660,1,0),0),0))</f>
      </c>
      <c r="AD79" s="1">
        <f>IF(OR(AD$52=0,AC30="",AD30=""),0,IFERROR(IF(AND(INDEX(Arten,MATCH(AC30,Codes,0))="Arbeit",INDEX(Arten,MATCH(AD30,Codes,0))="Arbeit"),IF(ROUND((1+INDEX(Beginne,MATCH(AD30,Codes,0))-INDEX(EndeRel,MATCH(AC30,Codes,0)))*1440,0)&lt;660,1,0),0),0))</f>
      </c>
      <c r="AE79" s="1">
        <f>IF(OR(AE$52=0,AD30="",AE30=""),0,IFERROR(IF(AND(INDEX(Arten,MATCH(AD30,Codes,0))="Arbeit",INDEX(Arten,MATCH(AE30,Codes,0))="Arbeit"),IF(ROUND((1+INDEX(Beginne,MATCH(AE30,Codes,0))-INDEX(EndeRel,MATCH(AD30,Codes,0)))*1440,0)&lt;660,1,0),0),0))</f>
      </c>
      <c r="AF79" s="1">
        <f>IF(OR(AF$52=0,AE30="",AF30=""),0,IFERROR(IF(AND(INDEX(Arten,MATCH(AE30,Codes,0))="Arbeit",INDEX(Arten,MATCH(AF30,Codes,0))="Arbeit"),IF(ROUND((1+INDEX(Beginne,MATCH(AF30,Codes,0))-INDEX(EndeRel,MATCH(AE30,Codes,0)))*1440,0)&lt;660,1,0),0),0))</f>
      </c>
    </row>
    <row r="80" hidden="1" spans="1:32" x14ac:dyDescent="0.25">
      <c r="A80" s="1"/>
      <c r="B80" s="1">
        <f>IF(OR(B$52=0,INDEX('Februar'!$B$31:$AF$31,DAY(DATE(Jahr,3,0)))="",B31=""),0,IFERROR(IF(AND(INDEX(Arten,MATCH(INDEX('Februar'!$B$31:$AF$31,DAY(DATE(Jahr,3,0))),Codes,0))="Arbeit",INDEX(Arten,MATCH(B31,Codes,0))="Arbeit"),IF(ROUND((1+INDEX(Beginne,MATCH(B31,Codes,0))-INDEX(EndeRel,MATCH(INDEX('Februar'!$B$31:$AF$31,DAY(DATE(Jahr,3,0))),Codes,0)))*1440,0)&lt;660,1,0),0),0))</f>
      </c>
      <c r="C80" s="1">
        <f>IF(OR(C$52=0,B31="",C31=""),0,IFERROR(IF(AND(INDEX(Arten,MATCH(B31,Codes,0))="Arbeit",INDEX(Arten,MATCH(C31,Codes,0))="Arbeit"),IF(ROUND((1+INDEX(Beginne,MATCH(C31,Codes,0))-INDEX(EndeRel,MATCH(B31,Codes,0)))*1440,0)&lt;660,1,0),0),0))</f>
      </c>
      <c r="D80" s="1">
        <f>IF(OR(D$52=0,C31="",D31=""),0,IFERROR(IF(AND(INDEX(Arten,MATCH(C31,Codes,0))="Arbeit",INDEX(Arten,MATCH(D31,Codes,0))="Arbeit"),IF(ROUND((1+INDEX(Beginne,MATCH(D31,Codes,0))-INDEX(EndeRel,MATCH(C31,Codes,0)))*1440,0)&lt;660,1,0),0),0))</f>
      </c>
      <c r="E80" s="1">
        <f>IF(OR(E$52=0,D31="",E31=""),0,IFERROR(IF(AND(INDEX(Arten,MATCH(D31,Codes,0))="Arbeit",INDEX(Arten,MATCH(E31,Codes,0))="Arbeit"),IF(ROUND((1+INDEX(Beginne,MATCH(E31,Codes,0))-INDEX(EndeRel,MATCH(D31,Codes,0)))*1440,0)&lt;660,1,0),0),0))</f>
      </c>
      <c r="F80" s="1">
        <f>IF(OR(F$52=0,E31="",F31=""),0,IFERROR(IF(AND(INDEX(Arten,MATCH(E31,Codes,0))="Arbeit",INDEX(Arten,MATCH(F31,Codes,0))="Arbeit"),IF(ROUND((1+INDEX(Beginne,MATCH(F31,Codes,0))-INDEX(EndeRel,MATCH(E31,Codes,0)))*1440,0)&lt;660,1,0),0),0))</f>
      </c>
      <c r="G80" s="1">
        <f>IF(OR(G$52=0,F31="",G31=""),0,IFERROR(IF(AND(INDEX(Arten,MATCH(F31,Codes,0))="Arbeit",INDEX(Arten,MATCH(G31,Codes,0))="Arbeit"),IF(ROUND((1+INDEX(Beginne,MATCH(G31,Codes,0))-INDEX(EndeRel,MATCH(F31,Codes,0)))*1440,0)&lt;660,1,0),0),0))</f>
      </c>
      <c r="H80" s="1">
        <f>IF(OR(H$52=0,G31="",H31=""),0,IFERROR(IF(AND(INDEX(Arten,MATCH(G31,Codes,0))="Arbeit",INDEX(Arten,MATCH(H31,Codes,0))="Arbeit"),IF(ROUND((1+INDEX(Beginne,MATCH(H31,Codes,0))-INDEX(EndeRel,MATCH(G31,Codes,0)))*1440,0)&lt;660,1,0),0),0))</f>
      </c>
      <c r="I80" s="1">
        <f>IF(OR(I$52=0,H31="",I31=""),0,IFERROR(IF(AND(INDEX(Arten,MATCH(H31,Codes,0))="Arbeit",INDEX(Arten,MATCH(I31,Codes,0))="Arbeit"),IF(ROUND((1+INDEX(Beginne,MATCH(I31,Codes,0))-INDEX(EndeRel,MATCH(H31,Codes,0)))*1440,0)&lt;660,1,0),0),0))</f>
      </c>
      <c r="J80" s="1">
        <f>IF(OR(J$52=0,I31="",J31=""),0,IFERROR(IF(AND(INDEX(Arten,MATCH(I31,Codes,0))="Arbeit",INDEX(Arten,MATCH(J31,Codes,0))="Arbeit"),IF(ROUND((1+INDEX(Beginne,MATCH(J31,Codes,0))-INDEX(EndeRel,MATCH(I31,Codes,0)))*1440,0)&lt;660,1,0),0),0))</f>
      </c>
      <c r="K80" s="1">
        <f>IF(OR(K$52=0,J31="",K31=""),0,IFERROR(IF(AND(INDEX(Arten,MATCH(J31,Codes,0))="Arbeit",INDEX(Arten,MATCH(K31,Codes,0))="Arbeit"),IF(ROUND((1+INDEX(Beginne,MATCH(K31,Codes,0))-INDEX(EndeRel,MATCH(J31,Codes,0)))*1440,0)&lt;660,1,0),0),0))</f>
      </c>
      <c r="L80" s="1">
        <f>IF(OR(L$52=0,K31="",L31=""),0,IFERROR(IF(AND(INDEX(Arten,MATCH(K31,Codes,0))="Arbeit",INDEX(Arten,MATCH(L31,Codes,0))="Arbeit"),IF(ROUND((1+INDEX(Beginne,MATCH(L31,Codes,0))-INDEX(EndeRel,MATCH(K31,Codes,0)))*1440,0)&lt;660,1,0),0),0))</f>
      </c>
      <c r="M80" s="1">
        <f>IF(OR(M$52=0,L31="",M31=""),0,IFERROR(IF(AND(INDEX(Arten,MATCH(L31,Codes,0))="Arbeit",INDEX(Arten,MATCH(M31,Codes,0))="Arbeit"),IF(ROUND((1+INDEX(Beginne,MATCH(M31,Codes,0))-INDEX(EndeRel,MATCH(L31,Codes,0)))*1440,0)&lt;660,1,0),0),0))</f>
      </c>
      <c r="N80" s="1">
        <f>IF(OR(N$52=0,M31="",N31=""),0,IFERROR(IF(AND(INDEX(Arten,MATCH(M31,Codes,0))="Arbeit",INDEX(Arten,MATCH(N31,Codes,0))="Arbeit"),IF(ROUND((1+INDEX(Beginne,MATCH(N31,Codes,0))-INDEX(EndeRel,MATCH(M31,Codes,0)))*1440,0)&lt;660,1,0),0),0))</f>
      </c>
      <c r="O80" s="1">
        <f>IF(OR(O$52=0,N31="",O31=""),0,IFERROR(IF(AND(INDEX(Arten,MATCH(N31,Codes,0))="Arbeit",INDEX(Arten,MATCH(O31,Codes,0))="Arbeit"),IF(ROUND((1+INDEX(Beginne,MATCH(O31,Codes,0))-INDEX(EndeRel,MATCH(N31,Codes,0)))*1440,0)&lt;660,1,0),0),0))</f>
      </c>
      <c r="P80" s="1">
        <f>IF(OR(P$52=0,O31="",P31=""),0,IFERROR(IF(AND(INDEX(Arten,MATCH(O31,Codes,0))="Arbeit",INDEX(Arten,MATCH(P31,Codes,0))="Arbeit"),IF(ROUND((1+INDEX(Beginne,MATCH(P31,Codes,0))-INDEX(EndeRel,MATCH(O31,Codes,0)))*1440,0)&lt;660,1,0),0),0))</f>
      </c>
      <c r="Q80" s="1">
        <f>IF(OR(Q$52=0,P31="",Q31=""),0,IFERROR(IF(AND(INDEX(Arten,MATCH(P31,Codes,0))="Arbeit",INDEX(Arten,MATCH(Q31,Codes,0))="Arbeit"),IF(ROUND((1+INDEX(Beginne,MATCH(Q31,Codes,0))-INDEX(EndeRel,MATCH(P31,Codes,0)))*1440,0)&lt;660,1,0),0),0))</f>
      </c>
      <c r="R80" s="1">
        <f>IF(OR(R$52=0,Q31="",R31=""),0,IFERROR(IF(AND(INDEX(Arten,MATCH(Q31,Codes,0))="Arbeit",INDEX(Arten,MATCH(R31,Codes,0))="Arbeit"),IF(ROUND((1+INDEX(Beginne,MATCH(R31,Codes,0))-INDEX(EndeRel,MATCH(Q31,Codes,0)))*1440,0)&lt;660,1,0),0),0))</f>
      </c>
      <c r="S80" s="1">
        <f>IF(OR(S$52=0,R31="",S31=""),0,IFERROR(IF(AND(INDEX(Arten,MATCH(R31,Codes,0))="Arbeit",INDEX(Arten,MATCH(S31,Codes,0))="Arbeit"),IF(ROUND((1+INDEX(Beginne,MATCH(S31,Codes,0))-INDEX(EndeRel,MATCH(R31,Codes,0)))*1440,0)&lt;660,1,0),0),0))</f>
      </c>
      <c r="T80" s="1">
        <f>IF(OR(T$52=0,S31="",T31=""),0,IFERROR(IF(AND(INDEX(Arten,MATCH(S31,Codes,0))="Arbeit",INDEX(Arten,MATCH(T31,Codes,0))="Arbeit"),IF(ROUND((1+INDEX(Beginne,MATCH(T31,Codes,0))-INDEX(EndeRel,MATCH(S31,Codes,0)))*1440,0)&lt;660,1,0),0),0))</f>
      </c>
      <c r="U80" s="1">
        <f>IF(OR(U$52=0,T31="",U31=""),0,IFERROR(IF(AND(INDEX(Arten,MATCH(T31,Codes,0))="Arbeit",INDEX(Arten,MATCH(U31,Codes,0))="Arbeit"),IF(ROUND((1+INDEX(Beginne,MATCH(U31,Codes,0))-INDEX(EndeRel,MATCH(T31,Codes,0)))*1440,0)&lt;660,1,0),0),0))</f>
      </c>
      <c r="V80" s="1">
        <f>IF(OR(V$52=0,U31="",V31=""),0,IFERROR(IF(AND(INDEX(Arten,MATCH(U31,Codes,0))="Arbeit",INDEX(Arten,MATCH(V31,Codes,0))="Arbeit"),IF(ROUND((1+INDEX(Beginne,MATCH(V31,Codes,0))-INDEX(EndeRel,MATCH(U31,Codes,0)))*1440,0)&lt;660,1,0),0),0))</f>
      </c>
      <c r="W80" s="1">
        <f>IF(OR(W$52=0,V31="",W31=""),0,IFERROR(IF(AND(INDEX(Arten,MATCH(V31,Codes,0))="Arbeit",INDEX(Arten,MATCH(W31,Codes,0))="Arbeit"),IF(ROUND((1+INDEX(Beginne,MATCH(W31,Codes,0))-INDEX(EndeRel,MATCH(V31,Codes,0)))*1440,0)&lt;660,1,0),0),0))</f>
      </c>
      <c r="X80" s="1">
        <f>IF(OR(X$52=0,W31="",X31=""),0,IFERROR(IF(AND(INDEX(Arten,MATCH(W31,Codes,0))="Arbeit",INDEX(Arten,MATCH(X31,Codes,0))="Arbeit"),IF(ROUND((1+INDEX(Beginne,MATCH(X31,Codes,0))-INDEX(EndeRel,MATCH(W31,Codes,0)))*1440,0)&lt;660,1,0),0),0))</f>
      </c>
      <c r="Y80" s="1">
        <f>IF(OR(Y$52=0,X31="",Y31=""),0,IFERROR(IF(AND(INDEX(Arten,MATCH(X31,Codes,0))="Arbeit",INDEX(Arten,MATCH(Y31,Codes,0))="Arbeit"),IF(ROUND((1+INDEX(Beginne,MATCH(Y31,Codes,0))-INDEX(EndeRel,MATCH(X31,Codes,0)))*1440,0)&lt;660,1,0),0),0))</f>
      </c>
      <c r="Z80" s="1">
        <f>IF(OR(Z$52=0,Y31="",Z31=""),0,IFERROR(IF(AND(INDEX(Arten,MATCH(Y31,Codes,0))="Arbeit",INDEX(Arten,MATCH(Z31,Codes,0))="Arbeit"),IF(ROUND((1+INDEX(Beginne,MATCH(Z31,Codes,0))-INDEX(EndeRel,MATCH(Y31,Codes,0)))*1440,0)&lt;660,1,0),0),0))</f>
      </c>
      <c r="AA80" s="1">
        <f>IF(OR(AA$52=0,Z31="",AA31=""),0,IFERROR(IF(AND(INDEX(Arten,MATCH(Z31,Codes,0))="Arbeit",INDEX(Arten,MATCH(AA31,Codes,0))="Arbeit"),IF(ROUND((1+INDEX(Beginne,MATCH(AA31,Codes,0))-INDEX(EndeRel,MATCH(Z31,Codes,0)))*1440,0)&lt;660,1,0),0),0))</f>
      </c>
      <c r="AB80" s="1">
        <f>IF(OR(AB$52=0,AA31="",AB31=""),0,IFERROR(IF(AND(INDEX(Arten,MATCH(AA31,Codes,0))="Arbeit",INDEX(Arten,MATCH(AB31,Codes,0))="Arbeit"),IF(ROUND((1+INDEX(Beginne,MATCH(AB31,Codes,0))-INDEX(EndeRel,MATCH(AA31,Codes,0)))*1440,0)&lt;660,1,0),0),0))</f>
      </c>
      <c r="AC80" s="1">
        <f>IF(OR(AC$52=0,AB31="",AC31=""),0,IFERROR(IF(AND(INDEX(Arten,MATCH(AB31,Codes,0))="Arbeit",INDEX(Arten,MATCH(AC31,Codes,0))="Arbeit"),IF(ROUND((1+INDEX(Beginne,MATCH(AC31,Codes,0))-INDEX(EndeRel,MATCH(AB31,Codes,0)))*1440,0)&lt;660,1,0),0),0))</f>
      </c>
      <c r="AD80" s="1">
        <f>IF(OR(AD$52=0,AC31="",AD31=""),0,IFERROR(IF(AND(INDEX(Arten,MATCH(AC31,Codes,0))="Arbeit",INDEX(Arten,MATCH(AD31,Codes,0))="Arbeit"),IF(ROUND((1+INDEX(Beginne,MATCH(AD31,Codes,0))-INDEX(EndeRel,MATCH(AC31,Codes,0)))*1440,0)&lt;660,1,0),0),0))</f>
      </c>
      <c r="AE80" s="1">
        <f>IF(OR(AE$52=0,AD31="",AE31=""),0,IFERROR(IF(AND(INDEX(Arten,MATCH(AD31,Codes,0))="Arbeit",INDEX(Arten,MATCH(AE31,Codes,0))="Arbeit"),IF(ROUND((1+INDEX(Beginne,MATCH(AE31,Codes,0))-INDEX(EndeRel,MATCH(AD31,Codes,0)))*1440,0)&lt;660,1,0),0),0))</f>
      </c>
      <c r="AF80" s="1">
        <f>IF(OR(AF$52=0,AE31="",AF31=""),0,IFERROR(IF(AND(INDEX(Arten,MATCH(AE31,Codes,0))="Arbeit",INDEX(Arten,MATCH(AF31,Codes,0))="Arbeit"),IF(ROUND((1+INDEX(Beginne,MATCH(AF31,Codes,0))-INDEX(EndeRel,MATCH(AE31,Codes,0)))*1440,0)&lt;660,1,0),0),0))</f>
      </c>
    </row>
    <row r="81" hidden="1" spans="1:32" x14ac:dyDescent="0.25">
      <c r="A81" s="1"/>
      <c r="B81" s="1">
        <f>IF(OR(B$52=0,INDEX('Februar'!$B$32:$AF$32,DAY(DATE(Jahr,3,0)))="",B32=""),0,IFERROR(IF(AND(INDEX(Arten,MATCH(INDEX('Februar'!$B$32:$AF$32,DAY(DATE(Jahr,3,0))),Codes,0))="Arbeit",INDEX(Arten,MATCH(B32,Codes,0))="Arbeit"),IF(ROUND((1+INDEX(Beginne,MATCH(B32,Codes,0))-INDEX(EndeRel,MATCH(INDEX('Februar'!$B$32:$AF$32,DAY(DATE(Jahr,3,0))),Codes,0)))*1440,0)&lt;660,1,0),0),0))</f>
      </c>
      <c r="C81" s="1">
        <f>IF(OR(C$52=0,B32="",C32=""),0,IFERROR(IF(AND(INDEX(Arten,MATCH(B32,Codes,0))="Arbeit",INDEX(Arten,MATCH(C32,Codes,0))="Arbeit"),IF(ROUND((1+INDEX(Beginne,MATCH(C32,Codes,0))-INDEX(EndeRel,MATCH(B32,Codes,0)))*1440,0)&lt;660,1,0),0),0))</f>
      </c>
      <c r="D81" s="1">
        <f>IF(OR(D$52=0,C32="",D32=""),0,IFERROR(IF(AND(INDEX(Arten,MATCH(C32,Codes,0))="Arbeit",INDEX(Arten,MATCH(D32,Codes,0))="Arbeit"),IF(ROUND((1+INDEX(Beginne,MATCH(D32,Codes,0))-INDEX(EndeRel,MATCH(C32,Codes,0)))*1440,0)&lt;660,1,0),0),0))</f>
      </c>
      <c r="E81" s="1">
        <f>IF(OR(E$52=0,D32="",E32=""),0,IFERROR(IF(AND(INDEX(Arten,MATCH(D32,Codes,0))="Arbeit",INDEX(Arten,MATCH(E32,Codes,0))="Arbeit"),IF(ROUND((1+INDEX(Beginne,MATCH(E32,Codes,0))-INDEX(EndeRel,MATCH(D32,Codes,0)))*1440,0)&lt;660,1,0),0),0))</f>
      </c>
      <c r="F81" s="1">
        <f>IF(OR(F$52=0,E32="",F32=""),0,IFERROR(IF(AND(INDEX(Arten,MATCH(E32,Codes,0))="Arbeit",INDEX(Arten,MATCH(F32,Codes,0))="Arbeit"),IF(ROUND((1+INDEX(Beginne,MATCH(F32,Codes,0))-INDEX(EndeRel,MATCH(E32,Codes,0)))*1440,0)&lt;660,1,0),0),0))</f>
      </c>
      <c r="G81" s="1">
        <f>IF(OR(G$52=0,F32="",G32=""),0,IFERROR(IF(AND(INDEX(Arten,MATCH(F32,Codes,0))="Arbeit",INDEX(Arten,MATCH(G32,Codes,0))="Arbeit"),IF(ROUND((1+INDEX(Beginne,MATCH(G32,Codes,0))-INDEX(EndeRel,MATCH(F32,Codes,0)))*1440,0)&lt;660,1,0),0),0))</f>
      </c>
      <c r="H81" s="1">
        <f>IF(OR(H$52=0,G32="",H32=""),0,IFERROR(IF(AND(INDEX(Arten,MATCH(G32,Codes,0))="Arbeit",INDEX(Arten,MATCH(H32,Codes,0))="Arbeit"),IF(ROUND((1+INDEX(Beginne,MATCH(H32,Codes,0))-INDEX(EndeRel,MATCH(G32,Codes,0)))*1440,0)&lt;660,1,0),0),0))</f>
      </c>
      <c r="I81" s="1">
        <f>IF(OR(I$52=0,H32="",I32=""),0,IFERROR(IF(AND(INDEX(Arten,MATCH(H32,Codes,0))="Arbeit",INDEX(Arten,MATCH(I32,Codes,0))="Arbeit"),IF(ROUND((1+INDEX(Beginne,MATCH(I32,Codes,0))-INDEX(EndeRel,MATCH(H32,Codes,0)))*1440,0)&lt;660,1,0),0),0))</f>
      </c>
      <c r="J81" s="1">
        <f>IF(OR(J$52=0,I32="",J32=""),0,IFERROR(IF(AND(INDEX(Arten,MATCH(I32,Codes,0))="Arbeit",INDEX(Arten,MATCH(J32,Codes,0))="Arbeit"),IF(ROUND((1+INDEX(Beginne,MATCH(J32,Codes,0))-INDEX(EndeRel,MATCH(I32,Codes,0)))*1440,0)&lt;660,1,0),0),0))</f>
      </c>
      <c r="K81" s="1">
        <f>IF(OR(K$52=0,J32="",K32=""),0,IFERROR(IF(AND(INDEX(Arten,MATCH(J32,Codes,0))="Arbeit",INDEX(Arten,MATCH(K32,Codes,0))="Arbeit"),IF(ROUND((1+INDEX(Beginne,MATCH(K32,Codes,0))-INDEX(EndeRel,MATCH(J32,Codes,0)))*1440,0)&lt;660,1,0),0),0))</f>
      </c>
      <c r="L81" s="1">
        <f>IF(OR(L$52=0,K32="",L32=""),0,IFERROR(IF(AND(INDEX(Arten,MATCH(K32,Codes,0))="Arbeit",INDEX(Arten,MATCH(L32,Codes,0))="Arbeit"),IF(ROUND((1+INDEX(Beginne,MATCH(L32,Codes,0))-INDEX(EndeRel,MATCH(K32,Codes,0)))*1440,0)&lt;660,1,0),0),0))</f>
      </c>
      <c r="M81" s="1">
        <f>IF(OR(M$52=0,L32="",M32=""),0,IFERROR(IF(AND(INDEX(Arten,MATCH(L32,Codes,0))="Arbeit",INDEX(Arten,MATCH(M32,Codes,0))="Arbeit"),IF(ROUND((1+INDEX(Beginne,MATCH(M32,Codes,0))-INDEX(EndeRel,MATCH(L32,Codes,0)))*1440,0)&lt;660,1,0),0),0))</f>
      </c>
      <c r="N81" s="1">
        <f>IF(OR(N$52=0,M32="",N32=""),0,IFERROR(IF(AND(INDEX(Arten,MATCH(M32,Codes,0))="Arbeit",INDEX(Arten,MATCH(N32,Codes,0))="Arbeit"),IF(ROUND((1+INDEX(Beginne,MATCH(N32,Codes,0))-INDEX(EndeRel,MATCH(M32,Codes,0)))*1440,0)&lt;660,1,0),0),0))</f>
      </c>
      <c r="O81" s="1">
        <f>IF(OR(O$52=0,N32="",O32=""),0,IFERROR(IF(AND(INDEX(Arten,MATCH(N32,Codes,0))="Arbeit",INDEX(Arten,MATCH(O32,Codes,0))="Arbeit"),IF(ROUND((1+INDEX(Beginne,MATCH(O32,Codes,0))-INDEX(EndeRel,MATCH(N32,Codes,0)))*1440,0)&lt;660,1,0),0),0))</f>
      </c>
      <c r="P81" s="1">
        <f>IF(OR(P$52=0,O32="",P32=""),0,IFERROR(IF(AND(INDEX(Arten,MATCH(O32,Codes,0))="Arbeit",INDEX(Arten,MATCH(P32,Codes,0))="Arbeit"),IF(ROUND((1+INDEX(Beginne,MATCH(P32,Codes,0))-INDEX(EndeRel,MATCH(O32,Codes,0)))*1440,0)&lt;660,1,0),0),0))</f>
      </c>
      <c r="Q81" s="1">
        <f>IF(OR(Q$52=0,P32="",Q32=""),0,IFERROR(IF(AND(INDEX(Arten,MATCH(P32,Codes,0))="Arbeit",INDEX(Arten,MATCH(Q32,Codes,0))="Arbeit"),IF(ROUND((1+INDEX(Beginne,MATCH(Q32,Codes,0))-INDEX(EndeRel,MATCH(P32,Codes,0)))*1440,0)&lt;660,1,0),0),0))</f>
      </c>
      <c r="R81" s="1">
        <f>IF(OR(R$52=0,Q32="",R32=""),0,IFERROR(IF(AND(INDEX(Arten,MATCH(Q32,Codes,0))="Arbeit",INDEX(Arten,MATCH(R32,Codes,0))="Arbeit"),IF(ROUND((1+INDEX(Beginne,MATCH(R32,Codes,0))-INDEX(EndeRel,MATCH(Q32,Codes,0)))*1440,0)&lt;660,1,0),0),0))</f>
      </c>
      <c r="S81" s="1">
        <f>IF(OR(S$52=0,R32="",S32=""),0,IFERROR(IF(AND(INDEX(Arten,MATCH(R32,Codes,0))="Arbeit",INDEX(Arten,MATCH(S32,Codes,0))="Arbeit"),IF(ROUND((1+INDEX(Beginne,MATCH(S32,Codes,0))-INDEX(EndeRel,MATCH(R32,Codes,0)))*1440,0)&lt;660,1,0),0),0))</f>
      </c>
      <c r="T81" s="1">
        <f>IF(OR(T$52=0,S32="",T32=""),0,IFERROR(IF(AND(INDEX(Arten,MATCH(S32,Codes,0))="Arbeit",INDEX(Arten,MATCH(T32,Codes,0))="Arbeit"),IF(ROUND((1+INDEX(Beginne,MATCH(T32,Codes,0))-INDEX(EndeRel,MATCH(S32,Codes,0)))*1440,0)&lt;660,1,0),0),0))</f>
      </c>
      <c r="U81" s="1">
        <f>IF(OR(U$52=0,T32="",U32=""),0,IFERROR(IF(AND(INDEX(Arten,MATCH(T32,Codes,0))="Arbeit",INDEX(Arten,MATCH(U32,Codes,0))="Arbeit"),IF(ROUND((1+INDEX(Beginne,MATCH(U32,Codes,0))-INDEX(EndeRel,MATCH(T32,Codes,0)))*1440,0)&lt;660,1,0),0),0))</f>
      </c>
      <c r="V81" s="1">
        <f>IF(OR(V$52=0,U32="",V32=""),0,IFERROR(IF(AND(INDEX(Arten,MATCH(U32,Codes,0))="Arbeit",INDEX(Arten,MATCH(V32,Codes,0))="Arbeit"),IF(ROUND((1+INDEX(Beginne,MATCH(V32,Codes,0))-INDEX(EndeRel,MATCH(U32,Codes,0)))*1440,0)&lt;660,1,0),0),0))</f>
      </c>
      <c r="W81" s="1">
        <f>IF(OR(W$52=0,V32="",W32=""),0,IFERROR(IF(AND(INDEX(Arten,MATCH(V32,Codes,0))="Arbeit",INDEX(Arten,MATCH(W32,Codes,0))="Arbeit"),IF(ROUND((1+INDEX(Beginne,MATCH(W32,Codes,0))-INDEX(EndeRel,MATCH(V32,Codes,0)))*1440,0)&lt;660,1,0),0),0))</f>
      </c>
      <c r="X81" s="1">
        <f>IF(OR(X$52=0,W32="",X32=""),0,IFERROR(IF(AND(INDEX(Arten,MATCH(W32,Codes,0))="Arbeit",INDEX(Arten,MATCH(X32,Codes,0))="Arbeit"),IF(ROUND((1+INDEX(Beginne,MATCH(X32,Codes,0))-INDEX(EndeRel,MATCH(W32,Codes,0)))*1440,0)&lt;660,1,0),0),0))</f>
      </c>
      <c r="Y81" s="1">
        <f>IF(OR(Y$52=0,X32="",Y32=""),0,IFERROR(IF(AND(INDEX(Arten,MATCH(X32,Codes,0))="Arbeit",INDEX(Arten,MATCH(Y32,Codes,0))="Arbeit"),IF(ROUND((1+INDEX(Beginne,MATCH(Y32,Codes,0))-INDEX(EndeRel,MATCH(X32,Codes,0)))*1440,0)&lt;660,1,0),0),0))</f>
      </c>
      <c r="Z81" s="1">
        <f>IF(OR(Z$52=0,Y32="",Z32=""),0,IFERROR(IF(AND(INDEX(Arten,MATCH(Y32,Codes,0))="Arbeit",INDEX(Arten,MATCH(Z32,Codes,0))="Arbeit"),IF(ROUND((1+INDEX(Beginne,MATCH(Z32,Codes,0))-INDEX(EndeRel,MATCH(Y32,Codes,0)))*1440,0)&lt;660,1,0),0),0))</f>
      </c>
      <c r="AA81" s="1">
        <f>IF(OR(AA$52=0,Z32="",AA32=""),0,IFERROR(IF(AND(INDEX(Arten,MATCH(Z32,Codes,0))="Arbeit",INDEX(Arten,MATCH(AA32,Codes,0))="Arbeit"),IF(ROUND((1+INDEX(Beginne,MATCH(AA32,Codes,0))-INDEX(EndeRel,MATCH(Z32,Codes,0)))*1440,0)&lt;660,1,0),0),0))</f>
      </c>
      <c r="AB81" s="1">
        <f>IF(OR(AB$52=0,AA32="",AB32=""),0,IFERROR(IF(AND(INDEX(Arten,MATCH(AA32,Codes,0))="Arbeit",INDEX(Arten,MATCH(AB32,Codes,0))="Arbeit"),IF(ROUND((1+INDEX(Beginne,MATCH(AB32,Codes,0))-INDEX(EndeRel,MATCH(AA32,Codes,0)))*1440,0)&lt;660,1,0),0),0))</f>
      </c>
      <c r="AC81" s="1">
        <f>IF(OR(AC$52=0,AB32="",AC32=""),0,IFERROR(IF(AND(INDEX(Arten,MATCH(AB32,Codes,0))="Arbeit",INDEX(Arten,MATCH(AC32,Codes,0))="Arbeit"),IF(ROUND((1+INDEX(Beginne,MATCH(AC32,Codes,0))-INDEX(EndeRel,MATCH(AB32,Codes,0)))*1440,0)&lt;660,1,0),0),0))</f>
      </c>
      <c r="AD81" s="1">
        <f>IF(OR(AD$52=0,AC32="",AD32=""),0,IFERROR(IF(AND(INDEX(Arten,MATCH(AC32,Codes,0))="Arbeit",INDEX(Arten,MATCH(AD32,Codes,0))="Arbeit"),IF(ROUND((1+INDEX(Beginne,MATCH(AD32,Codes,0))-INDEX(EndeRel,MATCH(AC32,Codes,0)))*1440,0)&lt;660,1,0),0),0))</f>
      </c>
      <c r="AE81" s="1">
        <f>IF(OR(AE$52=0,AD32="",AE32=""),0,IFERROR(IF(AND(INDEX(Arten,MATCH(AD32,Codes,0))="Arbeit",INDEX(Arten,MATCH(AE32,Codes,0))="Arbeit"),IF(ROUND((1+INDEX(Beginne,MATCH(AE32,Codes,0))-INDEX(EndeRel,MATCH(AD32,Codes,0)))*1440,0)&lt;660,1,0),0),0))</f>
      </c>
      <c r="AF81" s="1">
        <f>IF(OR(AF$52=0,AE32="",AF32=""),0,IFERROR(IF(AND(INDEX(Arten,MATCH(AE32,Codes,0))="Arbeit",INDEX(Arten,MATCH(AF32,Codes,0))="Arbeit"),IF(ROUND((1+INDEX(Beginne,MATCH(AF32,Codes,0))-INDEX(EndeRel,MATCH(AE32,Codes,0)))*1440,0)&lt;660,1,0),0),0))</f>
      </c>
    </row>
    <row r="82" hidden="1" spans="1:32" x14ac:dyDescent="0.25">
      <c r="A82" s="1"/>
      <c r="B82" s="1">
        <f>IF(OR(B$52=0,INDEX('Februar'!$B$33:$AF$33,DAY(DATE(Jahr,3,0)))="",B33=""),0,IFERROR(IF(AND(INDEX(Arten,MATCH(INDEX('Februar'!$B$33:$AF$33,DAY(DATE(Jahr,3,0))),Codes,0))="Arbeit",INDEX(Arten,MATCH(B33,Codes,0))="Arbeit"),IF(ROUND((1+INDEX(Beginne,MATCH(B33,Codes,0))-INDEX(EndeRel,MATCH(INDEX('Februar'!$B$33:$AF$33,DAY(DATE(Jahr,3,0))),Codes,0)))*1440,0)&lt;660,1,0),0),0))</f>
      </c>
      <c r="C82" s="1">
        <f>IF(OR(C$52=0,B33="",C33=""),0,IFERROR(IF(AND(INDEX(Arten,MATCH(B33,Codes,0))="Arbeit",INDEX(Arten,MATCH(C33,Codes,0))="Arbeit"),IF(ROUND((1+INDEX(Beginne,MATCH(C33,Codes,0))-INDEX(EndeRel,MATCH(B33,Codes,0)))*1440,0)&lt;660,1,0),0),0))</f>
      </c>
      <c r="D82" s="1">
        <f>IF(OR(D$52=0,C33="",D33=""),0,IFERROR(IF(AND(INDEX(Arten,MATCH(C33,Codes,0))="Arbeit",INDEX(Arten,MATCH(D33,Codes,0))="Arbeit"),IF(ROUND((1+INDEX(Beginne,MATCH(D33,Codes,0))-INDEX(EndeRel,MATCH(C33,Codes,0)))*1440,0)&lt;660,1,0),0),0))</f>
      </c>
      <c r="E82" s="1">
        <f>IF(OR(E$52=0,D33="",E33=""),0,IFERROR(IF(AND(INDEX(Arten,MATCH(D33,Codes,0))="Arbeit",INDEX(Arten,MATCH(E33,Codes,0))="Arbeit"),IF(ROUND((1+INDEX(Beginne,MATCH(E33,Codes,0))-INDEX(EndeRel,MATCH(D33,Codes,0)))*1440,0)&lt;660,1,0),0),0))</f>
      </c>
      <c r="F82" s="1">
        <f>IF(OR(F$52=0,E33="",F33=""),0,IFERROR(IF(AND(INDEX(Arten,MATCH(E33,Codes,0))="Arbeit",INDEX(Arten,MATCH(F33,Codes,0))="Arbeit"),IF(ROUND((1+INDEX(Beginne,MATCH(F33,Codes,0))-INDEX(EndeRel,MATCH(E33,Codes,0)))*1440,0)&lt;660,1,0),0),0))</f>
      </c>
      <c r="G82" s="1">
        <f>IF(OR(G$52=0,F33="",G33=""),0,IFERROR(IF(AND(INDEX(Arten,MATCH(F33,Codes,0))="Arbeit",INDEX(Arten,MATCH(G33,Codes,0))="Arbeit"),IF(ROUND((1+INDEX(Beginne,MATCH(G33,Codes,0))-INDEX(EndeRel,MATCH(F33,Codes,0)))*1440,0)&lt;660,1,0),0),0))</f>
      </c>
      <c r="H82" s="1">
        <f>IF(OR(H$52=0,G33="",H33=""),0,IFERROR(IF(AND(INDEX(Arten,MATCH(G33,Codes,0))="Arbeit",INDEX(Arten,MATCH(H33,Codes,0))="Arbeit"),IF(ROUND((1+INDEX(Beginne,MATCH(H33,Codes,0))-INDEX(EndeRel,MATCH(G33,Codes,0)))*1440,0)&lt;660,1,0),0),0))</f>
      </c>
      <c r="I82" s="1">
        <f>IF(OR(I$52=0,H33="",I33=""),0,IFERROR(IF(AND(INDEX(Arten,MATCH(H33,Codes,0))="Arbeit",INDEX(Arten,MATCH(I33,Codes,0))="Arbeit"),IF(ROUND((1+INDEX(Beginne,MATCH(I33,Codes,0))-INDEX(EndeRel,MATCH(H33,Codes,0)))*1440,0)&lt;660,1,0),0),0))</f>
      </c>
      <c r="J82" s="1">
        <f>IF(OR(J$52=0,I33="",J33=""),0,IFERROR(IF(AND(INDEX(Arten,MATCH(I33,Codes,0))="Arbeit",INDEX(Arten,MATCH(J33,Codes,0))="Arbeit"),IF(ROUND((1+INDEX(Beginne,MATCH(J33,Codes,0))-INDEX(EndeRel,MATCH(I33,Codes,0)))*1440,0)&lt;660,1,0),0),0))</f>
      </c>
      <c r="K82" s="1">
        <f>IF(OR(K$52=0,J33="",K33=""),0,IFERROR(IF(AND(INDEX(Arten,MATCH(J33,Codes,0))="Arbeit",INDEX(Arten,MATCH(K33,Codes,0))="Arbeit"),IF(ROUND((1+INDEX(Beginne,MATCH(K33,Codes,0))-INDEX(EndeRel,MATCH(J33,Codes,0)))*1440,0)&lt;660,1,0),0),0))</f>
      </c>
      <c r="L82" s="1">
        <f>IF(OR(L$52=0,K33="",L33=""),0,IFERROR(IF(AND(INDEX(Arten,MATCH(K33,Codes,0))="Arbeit",INDEX(Arten,MATCH(L33,Codes,0))="Arbeit"),IF(ROUND((1+INDEX(Beginne,MATCH(L33,Codes,0))-INDEX(EndeRel,MATCH(K33,Codes,0)))*1440,0)&lt;660,1,0),0),0))</f>
      </c>
      <c r="M82" s="1">
        <f>IF(OR(M$52=0,L33="",M33=""),0,IFERROR(IF(AND(INDEX(Arten,MATCH(L33,Codes,0))="Arbeit",INDEX(Arten,MATCH(M33,Codes,0))="Arbeit"),IF(ROUND((1+INDEX(Beginne,MATCH(M33,Codes,0))-INDEX(EndeRel,MATCH(L33,Codes,0)))*1440,0)&lt;660,1,0),0),0))</f>
      </c>
      <c r="N82" s="1">
        <f>IF(OR(N$52=0,M33="",N33=""),0,IFERROR(IF(AND(INDEX(Arten,MATCH(M33,Codes,0))="Arbeit",INDEX(Arten,MATCH(N33,Codes,0))="Arbeit"),IF(ROUND((1+INDEX(Beginne,MATCH(N33,Codes,0))-INDEX(EndeRel,MATCH(M33,Codes,0)))*1440,0)&lt;660,1,0),0),0))</f>
      </c>
      <c r="O82" s="1">
        <f>IF(OR(O$52=0,N33="",O33=""),0,IFERROR(IF(AND(INDEX(Arten,MATCH(N33,Codes,0))="Arbeit",INDEX(Arten,MATCH(O33,Codes,0))="Arbeit"),IF(ROUND((1+INDEX(Beginne,MATCH(O33,Codes,0))-INDEX(EndeRel,MATCH(N33,Codes,0)))*1440,0)&lt;660,1,0),0),0))</f>
      </c>
      <c r="P82" s="1">
        <f>IF(OR(P$52=0,O33="",P33=""),0,IFERROR(IF(AND(INDEX(Arten,MATCH(O33,Codes,0))="Arbeit",INDEX(Arten,MATCH(P33,Codes,0))="Arbeit"),IF(ROUND((1+INDEX(Beginne,MATCH(P33,Codes,0))-INDEX(EndeRel,MATCH(O33,Codes,0)))*1440,0)&lt;660,1,0),0),0))</f>
      </c>
      <c r="Q82" s="1">
        <f>IF(OR(Q$52=0,P33="",Q33=""),0,IFERROR(IF(AND(INDEX(Arten,MATCH(P33,Codes,0))="Arbeit",INDEX(Arten,MATCH(Q33,Codes,0))="Arbeit"),IF(ROUND((1+INDEX(Beginne,MATCH(Q33,Codes,0))-INDEX(EndeRel,MATCH(P33,Codes,0)))*1440,0)&lt;660,1,0),0),0))</f>
      </c>
      <c r="R82" s="1">
        <f>IF(OR(R$52=0,Q33="",R33=""),0,IFERROR(IF(AND(INDEX(Arten,MATCH(Q33,Codes,0))="Arbeit",INDEX(Arten,MATCH(R33,Codes,0))="Arbeit"),IF(ROUND((1+INDEX(Beginne,MATCH(R33,Codes,0))-INDEX(EndeRel,MATCH(Q33,Codes,0)))*1440,0)&lt;660,1,0),0),0))</f>
      </c>
      <c r="S82" s="1">
        <f>IF(OR(S$52=0,R33="",S33=""),0,IFERROR(IF(AND(INDEX(Arten,MATCH(R33,Codes,0))="Arbeit",INDEX(Arten,MATCH(S33,Codes,0))="Arbeit"),IF(ROUND((1+INDEX(Beginne,MATCH(S33,Codes,0))-INDEX(EndeRel,MATCH(R33,Codes,0)))*1440,0)&lt;660,1,0),0),0))</f>
      </c>
      <c r="T82" s="1">
        <f>IF(OR(T$52=0,S33="",T33=""),0,IFERROR(IF(AND(INDEX(Arten,MATCH(S33,Codes,0))="Arbeit",INDEX(Arten,MATCH(T33,Codes,0))="Arbeit"),IF(ROUND((1+INDEX(Beginne,MATCH(T33,Codes,0))-INDEX(EndeRel,MATCH(S33,Codes,0)))*1440,0)&lt;660,1,0),0),0))</f>
      </c>
      <c r="U82" s="1">
        <f>IF(OR(U$52=0,T33="",U33=""),0,IFERROR(IF(AND(INDEX(Arten,MATCH(T33,Codes,0))="Arbeit",INDEX(Arten,MATCH(U33,Codes,0))="Arbeit"),IF(ROUND((1+INDEX(Beginne,MATCH(U33,Codes,0))-INDEX(EndeRel,MATCH(T33,Codes,0)))*1440,0)&lt;660,1,0),0),0))</f>
      </c>
      <c r="V82" s="1">
        <f>IF(OR(V$52=0,U33="",V33=""),0,IFERROR(IF(AND(INDEX(Arten,MATCH(U33,Codes,0))="Arbeit",INDEX(Arten,MATCH(V33,Codes,0))="Arbeit"),IF(ROUND((1+INDEX(Beginne,MATCH(V33,Codes,0))-INDEX(EndeRel,MATCH(U33,Codes,0)))*1440,0)&lt;660,1,0),0),0))</f>
      </c>
      <c r="W82" s="1">
        <f>IF(OR(W$52=0,V33="",W33=""),0,IFERROR(IF(AND(INDEX(Arten,MATCH(V33,Codes,0))="Arbeit",INDEX(Arten,MATCH(W33,Codes,0))="Arbeit"),IF(ROUND((1+INDEX(Beginne,MATCH(W33,Codes,0))-INDEX(EndeRel,MATCH(V33,Codes,0)))*1440,0)&lt;660,1,0),0),0))</f>
      </c>
      <c r="X82" s="1">
        <f>IF(OR(X$52=0,W33="",X33=""),0,IFERROR(IF(AND(INDEX(Arten,MATCH(W33,Codes,0))="Arbeit",INDEX(Arten,MATCH(X33,Codes,0))="Arbeit"),IF(ROUND((1+INDEX(Beginne,MATCH(X33,Codes,0))-INDEX(EndeRel,MATCH(W33,Codes,0)))*1440,0)&lt;660,1,0),0),0))</f>
      </c>
      <c r="Y82" s="1">
        <f>IF(OR(Y$52=0,X33="",Y33=""),0,IFERROR(IF(AND(INDEX(Arten,MATCH(X33,Codes,0))="Arbeit",INDEX(Arten,MATCH(Y33,Codes,0))="Arbeit"),IF(ROUND((1+INDEX(Beginne,MATCH(Y33,Codes,0))-INDEX(EndeRel,MATCH(X33,Codes,0)))*1440,0)&lt;660,1,0),0),0))</f>
      </c>
      <c r="Z82" s="1">
        <f>IF(OR(Z$52=0,Y33="",Z33=""),0,IFERROR(IF(AND(INDEX(Arten,MATCH(Y33,Codes,0))="Arbeit",INDEX(Arten,MATCH(Z33,Codes,0))="Arbeit"),IF(ROUND((1+INDEX(Beginne,MATCH(Z33,Codes,0))-INDEX(EndeRel,MATCH(Y33,Codes,0)))*1440,0)&lt;660,1,0),0),0))</f>
      </c>
      <c r="AA82" s="1">
        <f>IF(OR(AA$52=0,Z33="",AA33=""),0,IFERROR(IF(AND(INDEX(Arten,MATCH(Z33,Codes,0))="Arbeit",INDEX(Arten,MATCH(AA33,Codes,0))="Arbeit"),IF(ROUND((1+INDEX(Beginne,MATCH(AA33,Codes,0))-INDEX(EndeRel,MATCH(Z33,Codes,0)))*1440,0)&lt;660,1,0),0),0))</f>
      </c>
      <c r="AB82" s="1">
        <f>IF(OR(AB$52=0,AA33="",AB33=""),0,IFERROR(IF(AND(INDEX(Arten,MATCH(AA33,Codes,0))="Arbeit",INDEX(Arten,MATCH(AB33,Codes,0))="Arbeit"),IF(ROUND((1+INDEX(Beginne,MATCH(AB33,Codes,0))-INDEX(EndeRel,MATCH(AA33,Codes,0)))*1440,0)&lt;660,1,0),0),0))</f>
      </c>
      <c r="AC82" s="1">
        <f>IF(OR(AC$52=0,AB33="",AC33=""),0,IFERROR(IF(AND(INDEX(Arten,MATCH(AB33,Codes,0))="Arbeit",INDEX(Arten,MATCH(AC33,Codes,0))="Arbeit"),IF(ROUND((1+INDEX(Beginne,MATCH(AC33,Codes,0))-INDEX(EndeRel,MATCH(AB33,Codes,0)))*1440,0)&lt;660,1,0),0),0))</f>
      </c>
      <c r="AD82" s="1">
        <f>IF(OR(AD$52=0,AC33="",AD33=""),0,IFERROR(IF(AND(INDEX(Arten,MATCH(AC33,Codes,0))="Arbeit",INDEX(Arten,MATCH(AD33,Codes,0))="Arbeit"),IF(ROUND((1+INDEX(Beginne,MATCH(AD33,Codes,0))-INDEX(EndeRel,MATCH(AC33,Codes,0)))*1440,0)&lt;660,1,0),0),0))</f>
      </c>
      <c r="AE82" s="1">
        <f>IF(OR(AE$52=0,AD33="",AE33=""),0,IFERROR(IF(AND(INDEX(Arten,MATCH(AD33,Codes,0))="Arbeit",INDEX(Arten,MATCH(AE33,Codes,0))="Arbeit"),IF(ROUND((1+INDEX(Beginne,MATCH(AE33,Codes,0))-INDEX(EndeRel,MATCH(AD33,Codes,0)))*1440,0)&lt;660,1,0),0),0))</f>
      </c>
      <c r="AF82" s="1">
        <f>IF(OR(AF$52=0,AE33="",AF33=""),0,IFERROR(IF(AND(INDEX(Arten,MATCH(AE33,Codes,0))="Arbeit",INDEX(Arten,MATCH(AF33,Codes,0))="Arbeit"),IF(ROUND((1+INDEX(Beginne,MATCH(AF33,Codes,0))-INDEX(EndeRel,MATCH(AE33,Codes,0)))*1440,0)&lt;660,1,0),0),0))</f>
      </c>
    </row>
    <row r="83" hidden="1" spans="1:32" x14ac:dyDescent="0.25">
      <c r="A83" s="1"/>
      <c r="B83" s="1">
        <f>IF(OR(B$52=0,INDEX('Februar'!$B$34:$AF$34,DAY(DATE(Jahr,3,0)))="",B34=""),0,IFERROR(IF(AND(INDEX(Arten,MATCH(INDEX('Februar'!$B$34:$AF$34,DAY(DATE(Jahr,3,0))),Codes,0))="Arbeit",INDEX(Arten,MATCH(B34,Codes,0))="Arbeit"),IF(ROUND((1+INDEX(Beginne,MATCH(B34,Codes,0))-INDEX(EndeRel,MATCH(INDEX('Februar'!$B$34:$AF$34,DAY(DATE(Jahr,3,0))),Codes,0)))*1440,0)&lt;660,1,0),0),0))</f>
      </c>
      <c r="C83" s="1">
        <f>IF(OR(C$52=0,B34="",C34=""),0,IFERROR(IF(AND(INDEX(Arten,MATCH(B34,Codes,0))="Arbeit",INDEX(Arten,MATCH(C34,Codes,0))="Arbeit"),IF(ROUND((1+INDEX(Beginne,MATCH(C34,Codes,0))-INDEX(EndeRel,MATCH(B34,Codes,0)))*1440,0)&lt;660,1,0),0),0))</f>
      </c>
      <c r="D83" s="1">
        <f>IF(OR(D$52=0,C34="",D34=""),0,IFERROR(IF(AND(INDEX(Arten,MATCH(C34,Codes,0))="Arbeit",INDEX(Arten,MATCH(D34,Codes,0))="Arbeit"),IF(ROUND((1+INDEX(Beginne,MATCH(D34,Codes,0))-INDEX(EndeRel,MATCH(C34,Codes,0)))*1440,0)&lt;660,1,0),0),0))</f>
      </c>
      <c r="E83" s="1">
        <f>IF(OR(E$52=0,D34="",E34=""),0,IFERROR(IF(AND(INDEX(Arten,MATCH(D34,Codes,0))="Arbeit",INDEX(Arten,MATCH(E34,Codes,0))="Arbeit"),IF(ROUND((1+INDEX(Beginne,MATCH(E34,Codes,0))-INDEX(EndeRel,MATCH(D34,Codes,0)))*1440,0)&lt;660,1,0),0),0))</f>
      </c>
      <c r="F83" s="1">
        <f>IF(OR(F$52=0,E34="",F34=""),0,IFERROR(IF(AND(INDEX(Arten,MATCH(E34,Codes,0))="Arbeit",INDEX(Arten,MATCH(F34,Codes,0))="Arbeit"),IF(ROUND((1+INDEX(Beginne,MATCH(F34,Codes,0))-INDEX(EndeRel,MATCH(E34,Codes,0)))*1440,0)&lt;660,1,0),0),0))</f>
      </c>
      <c r="G83" s="1">
        <f>IF(OR(G$52=0,F34="",G34=""),0,IFERROR(IF(AND(INDEX(Arten,MATCH(F34,Codes,0))="Arbeit",INDEX(Arten,MATCH(G34,Codes,0))="Arbeit"),IF(ROUND((1+INDEX(Beginne,MATCH(G34,Codes,0))-INDEX(EndeRel,MATCH(F34,Codes,0)))*1440,0)&lt;660,1,0),0),0))</f>
      </c>
      <c r="H83" s="1">
        <f>IF(OR(H$52=0,G34="",H34=""),0,IFERROR(IF(AND(INDEX(Arten,MATCH(G34,Codes,0))="Arbeit",INDEX(Arten,MATCH(H34,Codes,0))="Arbeit"),IF(ROUND((1+INDEX(Beginne,MATCH(H34,Codes,0))-INDEX(EndeRel,MATCH(G34,Codes,0)))*1440,0)&lt;660,1,0),0),0))</f>
      </c>
      <c r="I83" s="1">
        <f>IF(OR(I$52=0,H34="",I34=""),0,IFERROR(IF(AND(INDEX(Arten,MATCH(H34,Codes,0))="Arbeit",INDEX(Arten,MATCH(I34,Codes,0))="Arbeit"),IF(ROUND((1+INDEX(Beginne,MATCH(I34,Codes,0))-INDEX(EndeRel,MATCH(H34,Codes,0)))*1440,0)&lt;660,1,0),0),0))</f>
      </c>
      <c r="J83" s="1">
        <f>IF(OR(J$52=0,I34="",J34=""),0,IFERROR(IF(AND(INDEX(Arten,MATCH(I34,Codes,0))="Arbeit",INDEX(Arten,MATCH(J34,Codes,0))="Arbeit"),IF(ROUND((1+INDEX(Beginne,MATCH(J34,Codes,0))-INDEX(EndeRel,MATCH(I34,Codes,0)))*1440,0)&lt;660,1,0),0),0))</f>
      </c>
      <c r="K83" s="1">
        <f>IF(OR(K$52=0,J34="",K34=""),0,IFERROR(IF(AND(INDEX(Arten,MATCH(J34,Codes,0))="Arbeit",INDEX(Arten,MATCH(K34,Codes,0))="Arbeit"),IF(ROUND((1+INDEX(Beginne,MATCH(K34,Codes,0))-INDEX(EndeRel,MATCH(J34,Codes,0)))*1440,0)&lt;660,1,0),0),0))</f>
      </c>
      <c r="L83" s="1">
        <f>IF(OR(L$52=0,K34="",L34=""),0,IFERROR(IF(AND(INDEX(Arten,MATCH(K34,Codes,0))="Arbeit",INDEX(Arten,MATCH(L34,Codes,0))="Arbeit"),IF(ROUND((1+INDEX(Beginne,MATCH(L34,Codes,0))-INDEX(EndeRel,MATCH(K34,Codes,0)))*1440,0)&lt;660,1,0),0),0))</f>
      </c>
      <c r="M83" s="1">
        <f>IF(OR(M$52=0,L34="",M34=""),0,IFERROR(IF(AND(INDEX(Arten,MATCH(L34,Codes,0))="Arbeit",INDEX(Arten,MATCH(M34,Codes,0))="Arbeit"),IF(ROUND((1+INDEX(Beginne,MATCH(M34,Codes,0))-INDEX(EndeRel,MATCH(L34,Codes,0)))*1440,0)&lt;660,1,0),0),0))</f>
      </c>
      <c r="N83" s="1">
        <f>IF(OR(N$52=0,M34="",N34=""),0,IFERROR(IF(AND(INDEX(Arten,MATCH(M34,Codes,0))="Arbeit",INDEX(Arten,MATCH(N34,Codes,0))="Arbeit"),IF(ROUND((1+INDEX(Beginne,MATCH(N34,Codes,0))-INDEX(EndeRel,MATCH(M34,Codes,0)))*1440,0)&lt;660,1,0),0),0))</f>
      </c>
      <c r="O83" s="1">
        <f>IF(OR(O$52=0,N34="",O34=""),0,IFERROR(IF(AND(INDEX(Arten,MATCH(N34,Codes,0))="Arbeit",INDEX(Arten,MATCH(O34,Codes,0))="Arbeit"),IF(ROUND((1+INDEX(Beginne,MATCH(O34,Codes,0))-INDEX(EndeRel,MATCH(N34,Codes,0)))*1440,0)&lt;660,1,0),0),0))</f>
      </c>
      <c r="P83" s="1">
        <f>IF(OR(P$52=0,O34="",P34=""),0,IFERROR(IF(AND(INDEX(Arten,MATCH(O34,Codes,0))="Arbeit",INDEX(Arten,MATCH(P34,Codes,0))="Arbeit"),IF(ROUND((1+INDEX(Beginne,MATCH(P34,Codes,0))-INDEX(EndeRel,MATCH(O34,Codes,0)))*1440,0)&lt;660,1,0),0),0))</f>
      </c>
      <c r="Q83" s="1">
        <f>IF(OR(Q$52=0,P34="",Q34=""),0,IFERROR(IF(AND(INDEX(Arten,MATCH(P34,Codes,0))="Arbeit",INDEX(Arten,MATCH(Q34,Codes,0))="Arbeit"),IF(ROUND((1+INDEX(Beginne,MATCH(Q34,Codes,0))-INDEX(EndeRel,MATCH(P34,Codes,0)))*1440,0)&lt;660,1,0),0),0))</f>
      </c>
      <c r="R83" s="1">
        <f>IF(OR(R$52=0,Q34="",R34=""),0,IFERROR(IF(AND(INDEX(Arten,MATCH(Q34,Codes,0))="Arbeit",INDEX(Arten,MATCH(R34,Codes,0))="Arbeit"),IF(ROUND((1+INDEX(Beginne,MATCH(R34,Codes,0))-INDEX(EndeRel,MATCH(Q34,Codes,0)))*1440,0)&lt;660,1,0),0),0))</f>
      </c>
      <c r="S83" s="1">
        <f>IF(OR(S$52=0,R34="",S34=""),0,IFERROR(IF(AND(INDEX(Arten,MATCH(R34,Codes,0))="Arbeit",INDEX(Arten,MATCH(S34,Codes,0))="Arbeit"),IF(ROUND((1+INDEX(Beginne,MATCH(S34,Codes,0))-INDEX(EndeRel,MATCH(R34,Codes,0)))*1440,0)&lt;660,1,0),0),0))</f>
      </c>
      <c r="T83" s="1">
        <f>IF(OR(T$52=0,S34="",T34=""),0,IFERROR(IF(AND(INDEX(Arten,MATCH(S34,Codes,0))="Arbeit",INDEX(Arten,MATCH(T34,Codes,0))="Arbeit"),IF(ROUND((1+INDEX(Beginne,MATCH(T34,Codes,0))-INDEX(EndeRel,MATCH(S34,Codes,0)))*1440,0)&lt;660,1,0),0),0))</f>
      </c>
      <c r="U83" s="1">
        <f>IF(OR(U$52=0,T34="",U34=""),0,IFERROR(IF(AND(INDEX(Arten,MATCH(T34,Codes,0))="Arbeit",INDEX(Arten,MATCH(U34,Codes,0))="Arbeit"),IF(ROUND((1+INDEX(Beginne,MATCH(U34,Codes,0))-INDEX(EndeRel,MATCH(T34,Codes,0)))*1440,0)&lt;660,1,0),0),0))</f>
      </c>
      <c r="V83" s="1">
        <f>IF(OR(V$52=0,U34="",V34=""),0,IFERROR(IF(AND(INDEX(Arten,MATCH(U34,Codes,0))="Arbeit",INDEX(Arten,MATCH(V34,Codes,0))="Arbeit"),IF(ROUND((1+INDEX(Beginne,MATCH(V34,Codes,0))-INDEX(EndeRel,MATCH(U34,Codes,0)))*1440,0)&lt;660,1,0),0),0))</f>
      </c>
      <c r="W83" s="1">
        <f>IF(OR(W$52=0,V34="",W34=""),0,IFERROR(IF(AND(INDEX(Arten,MATCH(V34,Codes,0))="Arbeit",INDEX(Arten,MATCH(W34,Codes,0))="Arbeit"),IF(ROUND((1+INDEX(Beginne,MATCH(W34,Codes,0))-INDEX(EndeRel,MATCH(V34,Codes,0)))*1440,0)&lt;660,1,0),0),0))</f>
      </c>
      <c r="X83" s="1">
        <f>IF(OR(X$52=0,W34="",X34=""),0,IFERROR(IF(AND(INDEX(Arten,MATCH(W34,Codes,0))="Arbeit",INDEX(Arten,MATCH(X34,Codes,0))="Arbeit"),IF(ROUND((1+INDEX(Beginne,MATCH(X34,Codes,0))-INDEX(EndeRel,MATCH(W34,Codes,0)))*1440,0)&lt;660,1,0),0),0))</f>
      </c>
      <c r="Y83" s="1">
        <f>IF(OR(Y$52=0,X34="",Y34=""),0,IFERROR(IF(AND(INDEX(Arten,MATCH(X34,Codes,0))="Arbeit",INDEX(Arten,MATCH(Y34,Codes,0))="Arbeit"),IF(ROUND((1+INDEX(Beginne,MATCH(Y34,Codes,0))-INDEX(EndeRel,MATCH(X34,Codes,0)))*1440,0)&lt;660,1,0),0),0))</f>
      </c>
      <c r="Z83" s="1">
        <f>IF(OR(Z$52=0,Y34="",Z34=""),0,IFERROR(IF(AND(INDEX(Arten,MATCH(Y34,Codes,0))="Arbeit",INDEX(Arten,MATCH(Z34,Codes,0))="Arbeit"),IF(ROUND((1+INDEX(Beginne,MATCH(Z34,Codes,0))-INDEX(EndeRel,MATCH(Y34,Codes,0)))*1440,0)&lt;660,1,0),0),0))</f>
      </c>
      <c r="AA83" s="1">
        <f>IF(OR(AA$52=0,Z34="",AA34=""),0,IFERROR(IF(AND(INDEX(Arten,MATCH(Z34,Codes,0))="Arbeit",INDEX(Arten,MATCH(AA34,Codes,0))="Arbeit"),IF(ROUND((1+INDEX(Beginne,MATCH(AA34,Codes,0))-INDEX(EndeRel,MATCH(Z34,Codes,0)))*1440,0)&lt;660,1,0),0),0))</f>
      </c>
      <c r="AB83" s="1">
        <f>IF(OR(AB$52=0,AA34="",AB34=""),0,IFERROR(IF(AND(INDEX(Arten,MATCH(AA34,Codes,0))="Arbeit",INDEX(Arten,MATCH(AB34,Codes,0))="Arbeit"),IF(ROUND((1+INDEX(Beginne,MATCH(AB34,Codes,0))-INDEX(EndeRel,MATCH(AA34,Codes,0)))*1440,0)&lt;660,1,0),0),0))</f>
      </c>
      <c r="AC83" s="1">
        <f>IF(OR(AC$52=0,AB34="",AC34=""),0,IFERROR(IF(AND(INDEX(Arten,MATCH(AB34,Codes,0))="Arbeit",INDEX(Arten,MATCH(AC34,Codes,0))="Arbeit"),IF(ROUND((1+INDEX(Beginne,MATCH(AC34,Codes,0))-INDEX(EndeRel,MATCH(AB34,Codes,0)))*1440,0)&lt;660,1,0),0),0))</f>
      </c>
      <c r="AD83" s="1">
        <f>IF(OR(AD$52=0,AC34="",AD34=""),0,IFERROR(IF(AND(INDEX(Arten,MATCH(AC34,Codes,0))="Arbeit",INDEX(Arten,MATCH(AD34,Codes,0))="Arbeit"),IF(ROUND((1+INDEX(Beginne,MATCH(AD34,Codes,0))-INDEX(EndeRel,MATCH(AC34,Codes,0)))*1440,0)&lt;660,1,0),0),0))</f>
      </c>
      <c r="AE83" s="1">
        <f>IF(OR(AE$52=0,AD34="",AE34=""),0,IFERROR(IF(AND(INDEX(Arten,MATCH(AD34,Codes,0))="Arbeit",INDEX(Arten,MATCH(AE34,Codes,0))="Arbeit"),IF(ROUND((1+INDEX(Beginne,MATCH(AE34,Codes,0))-INDEX(EndeRel,MATCH(AD34,Codes,0)))*1440,0)&lt;660,1,0),0),0))</f>
      </c>
      <c r="AF83" s="1">
        <f>IF(OR(AF$52=0,AE34="",AF34=""),0,IFERROR(IF(AND(INDEX(Arten,MATCH(AE34,Codes,0))="Arbeit",INDEX(Arten,MATCH(AF34,Codes,0))="Arbeit"),IF(ROUND((1+INDEX(Beginne,MATCH(AF34,Codes,0))-INDEX(EndeRel,MATCH(AE34,Codes,0)))*1440,0)&lt;660,1,0),0),0))</f>
      </c>
    </row>
    <row r="84" hidden="1" spans="1:32" x14ac:dyDescent="0.25">
      <c r="A84" s="1"/>
      <c r="B84" s="1">
        <f>IF(OR(B$52=0,INDEX('Februar'!$B$35:$AF$35,DAY(DATE(Jahr,3,0)))="",B35=""),0,IFERROR(IF(AND(INDEX(Arten,MATCH(INDEX('Februar'!$B$35:$AF$35,DAY(DATE(Jahr,3,0))),Codes,0))="Arbeit",INDEX(Arten,MATCH(B35,Codes,0))="Arbeit"),IF(ROUND((1+INDEX(Beginne,MATCH(B35,Codes,0))-INDEX(EndeRel,MATCH(INDEX('Februar'!$B$35:$AF$35,DAY(DATE(Jahr,3,0))),Codes,0)))*1440,0)&lt;660,1,0),0),0))</f>
      </c>
      <c r="C84" s="1">
        <f>IF(OR(C$52=0,B35="",C35=""),0,IFERROR(IF(AND(INDEX(Arten,MATCH(B35,Codes,0))="Arbeit",INDEX(Arten,MATCH(C35,Codes,0))="Arbeit"),IF(ROUND((1+INDEX(Beginne,MATCH(C35,Codes,0))-INDEX(EndeRel,MATCH(B35,Codes,0)))*1440,0)&lt;660,1,0),0),0))</f>
      </c>
      <c r="D84" s="1">
        <f>IF(OR(D$52=0,C35="",D35=""),0,IFERROR(IF(AND(INDEX(Arten,MATCH(C35,Codes,0))="Arbeit",INDEX(Arten,MATCH(D35,Codes,0))="Arbeit"),IF(ROUND((1+INDEX(Beginne,MATCH(D35,Codes,0))-INDEX(EndeRel,MATCH(C35,Codes,0)))*1440,0)&lt;660,1,0),0),0))</f>
      </c>
      <c r="E84" s="1">
        <f>IF(OR(E$52=0,D35="",E35=""),0,IFERROR(IF(AND(INDEX(Arten,MATCH(D35,Codes,0))="Arbeit",INDEX(Arten,MATCH(E35,Codes,0))="Arbeit"),IF(ROUND((1+INDEX(Beginne,MATCH(E35,Codes,0))-INDEX(EndeRel,MATCH(D35,Codes,0)))*1440,0)&lt;660,1,0),0),0))</f>
      </c>
      <c r="F84" s="1">
        <f>IF(OR(F$52=0,E35="",F35=""),0,IFERROR(IF(AND(INDEX(Arten,MATCH(E35,Codes,0))="Arbeit",INDEX(Arten,MATCH(F35,Codes,0))="Arbeit"),IF(ROUND((1+INDEX(Beginne,MATCH(F35,Codes,0))-INDEX(EndeRel,MATCH(E35,Codes,0)))*1440,0)&lt;660,1,0),0),0))</f>
      </c>
      <c r="G84" s="1">
        <f>IF(OR(G$52=0,F35="",G35=""),0,IFERROR(IF(AND(INDEX(Arten,MATCH(F35,Codes,0))="Arbeit",INDEX(Arten,MATCH(G35,Codes,0))="Arbeit"),IF(ROUND((1+INDEX(Beginne,MATCH(G35,Codes,0))-INDEX(EndeRel,MATCH(F35,Codes,0)))*1440,0)&lt;660,1,0),0),0))</f>
      </c>
      <c r="H84" s="1">
        <f>IF(OR(H$52=0,G35="",H35=""),0,IFERROR(IF(AND(INDEX(Arten,MATCH(G35,Codes,0))="Arbeit",INDEX(Arten,MATCH(H35,Codes,0))="Arbeit"),IF(ROUND((1+INDEX(Beginne,MATCH(H35,Codes,0))-INDEX(EndeRel,MATCH(G35,Codes,0)))*1440,0)&lt;660,1,0),0),0))</f>
      </c>
      <c r="I84" s="1">
        <f>IF(OR(I$52=0,H35="",I35=""),0,IFERROR(IF(AND(INDEX(Arten,MATCH(H35,Codes,0))="Arbeit",INDEX(Arten,MATCH(I35,Codes,0))="Arbeit"),IF(ROUND((1+INDEX(Beginne,MATCH(I35,Codes,0))-INDEX(EndeRel,MATCH(H35,Codes,0)))*1440,0)&lt;660,1,0),0),0))</f>
      </c>
      <c r="J84" s="1">
        <f>IF(OR(J$52=0,I35="",J35=""),0,IFERROR(IF(AND(INDEX(Arten,MATCH(I35,Codes,0))="Arbeit",INDEX(Arten,MATCH(J35,Codes,0))="Arbeit"),IF(ROUND((1+INDEX(Beginne,MATCH(J35,Codes,0))-INDEX(EndeRel,MATCH(I35,Codes,0)))*1440,0)&lt;660,1,0),0),0))</f>
      </c>
      <c r="K84" s="1">
        <f>IF(OR(K$52=0,J35="",K35=""),0,IFERROR(IF(AND(INDEX(Arten,MATCH(J35,Codes,0))="Arbeit",INDEX(Arten,MATCH(K35,Codes,0))="Arbeit"),IF(ROUND((1+INDEX(Beginne,MATCH(K35,Codes,0))-INDEX(EndeRel,MATCH(J35,Codes,0)))*1440,0)&lt;660,1,0),0),0))</f>
      </c>
      <c r="L84" s="1">
        <f>IF(OR(L$52=0,K35="",L35=""),0,IFERROR(IF(AND(INDEX(Arten,MATCH(K35,Codes,0))="Arbeit",INDEX(Arten,MATCH(L35,Codes,0))="Arbeit"),IF(ROUND((1+INDEX(Beginne,MATCH(L35,Codes,0))-INDEX(EndeRel,MATCH(K35,Codes,0)))*1440,0)&lt;660,1,0),0),0))</f>
      </c>
      <c r="M84" s="1">
        <f>IF(OR(M$52=0,L35="",M35=""),0,IFERROR(IF(AND(INDEX(Arten,MATCH(L35,Codes,0))="Arbeit",INDEX(Arten,MATCH(M35,Codes,0))="Arbeit"),IF(ROUND((1+INDEX(Beginne,MATCH(M35,Codes,0))-INDEX(EndeRel,MATCH(L35,Codes,0)))*1440,0)&lt;660,1,0),0),0))</f>
      </c>
      <c r="N84" s="1">
        <f>IF(OR(N$52=0,M35="",N35=""),0,IFERROR(IF(AND(INDEX(Arten,MATCH(M35,Codes,0))="Arbeit",INDEX(Arten,MATCH(N35,Codes,0))="Arbeit"),IF(ROUND((1+INDEX(Beginne,MATCH(N35,Codes,0))-INDEX(EndeRel,MATCH(M35,Codes,0)))*1440,0)&lt;660,1,0),0),0))</f>
      </c>
      <c r="O84" s="1">
        <f>IF(OR(O$52=0,N35="",O35=""),0,IFERROR(IF(AND(INDEX(Arten,MATCH(N35,Codes,0))="Arbeit",INDEX(Arten,MATCH(O35,Codes,0))="Arbeit"),IF(ROUND((1+INDEX(Beginne,MATCH(O35,Codes,0))-INDEX(EndeRel,MATCH(N35,Codes,0)))*1440,0)&lt;660,1,0),0),0))</f>
      </c>
      <c r="P84" s="1">
        <f>IF(OR(P$52=0,O35="",P35=""),0,IFERROR(IF(AND(INDEX(Arten,MATCH(O35,Codes,0))="Arbeit",INDEX(Arten,MATCH(P35,Codes,0))="Arbeit"),IF(ROUND((1+INDEX(Beginne,MATCH(P35,Codes,0))-INDEX(EndeRel,MATCH(O35,Codes,0)))*1440,0)&lt;660,1,0),0),0))</f>
      </c>
      <c r="Q84" s="1">
        <f>IF(OR(Q$52=0,P35="",Q35=""),0,IFERROR(IF(AND(INDEX(Arten,MATCH(P35,Codes,0))="Arbeit",INDEX(Arten,MATCH(Q35,Codes,0))="Arbeit"),IF(ROUND((1+INDEX(Beginne,MATCH(Q35,Codes,0))-INDEX(EndeRel,MATCH(P35,Codes,0)))*1440,0)&lt;660,1,0),0),0))</f>
      </c>
      <c r="R84" s="1">
        <f>IF(OR(R$52=0,Q35="",R35=""),0,IFERROR(IF(AND(INDEX(Arten,MATCH(Q35,Codes,0))="Arbeit",INDEX(Arten,MATCH(R35,Codes,0))="Arbeit"),IF(ROUND((1+INDEX(Beginne,MATCH(R35,Codes,0))-INDEX(EndeRel,MATCH(Q35,Codes,0)))*1440,0)&lt;660,1,0),0),0))</f>
      </c>
      <c r="S84" s="1">
        <f>IF(OR(S$52=0,R35="",S35=""),0,IFERROR(IF(AND(INDEX(Arten,MATCH(R35,Codes,0))="Arbeit",INDEX(Arten,MATCH(S35,Codes,0))="Arbeit"),IF(ROUND((1+INDEX(Beginne,MATCH(S35,Codes,0))-INDEX(EndeRel,MATCH(R35,Codes,0)))*1440,0)&lt;660,1,0),0),0))</f>
      </c>
      <c r="T84" s="1">
        <f>IF(OR(T$52=0,S35="",T35=""),0,IFERROR(IF(AND(INDEX(Arten,MATCH(S35,Codes,0))="Arbeit",INDEX(Arten,MATCH(T35,Codes,0))="Arbeit"),IF(ROUND((1+INDEX(Beginne,MATCH(T35,Codes,0))-INDEX(EndeRel,MATCH(S35,Codes,0)))*1440,0)&lt;660,1,0),0),0))</f>
      </c>
      <c r="U84" s="1">
        <f>IF(OR(U$52=0,T35="",U35=""),0,IFERROR(IF(AND(INDEX(Arten,MATCH(T35,Codes,0))="Arbeit",INDEX(Arten,MATCH(U35,Codes,0))="Arbeit"),IF(ROUND((1+INDEX(Beginne,MATCH(U35,Codes,0))-INDEX(EndeRel,MATCH(T35,Codes,0)))*1440,0)&lt;660,1,0),0),0))</f>
      </c>
      <c r="V84" s="1">
        <f>IF(OR(V$52=0,U35="",V35=""),0,IFERROR(IF(AND(INDEX(Arten,MATCH(U35,Codes,0))="Arbeit",INDEX(Arten,MATCH(V35,Codes,0))="Arbeit"),IF(ROUND((1+INDEX(Beginne,MATCH(V35,Codes,0))-INDEX(EndeRel,MATCH(U35,Codes,0)))*1440,0)&lt;660,1,0),0),0))</f>
      </c>
      <c r="W84" s="1">
        <f>IF(OR(W$52=0,V35="",W35=""),0,IFERROR(IF(AND(INDEX(Arten,MATCH(V35,Codes,0))="Arbeit",INDEX(Arten,MATCH(W35,Codes,0))="Arbeit"),IF(ROUND((1+INDEX(Beginne,MATCH(W35,Codes,0))-INDEX(EndeRel,MATCH(V35,Codes,0)))*1440,0)&lt;660,1,0),0),0))</f>
      </c>
      <c r="X84" s="1">
        <f>IF(OR(X$52=0,W35="",X35=""),0,IFERROR(IF(AND(INDEX(Arten,MATCH(W35,Codes,0))="Arbeit",INDEX(Arten,MATCH(X35,Codes,0))="Arbeit"),IF(ROUND((1+INDEX(Beginne,MATCH(X35,Codes,0))-INDEX(EndeRel,MATCH(W35,Codes,0)))*1440,0)&lt;660,1,0),0),0))</f>
      </c>
      <c r="Y84" s="1">
        <f>IF(OR(Y$52=0,X35="",Y35=""),0,IFERROR(IF(AND(INDEX(Arten,MATCH(X35,Codes,0))="Arbeit",INDEX(Arten,MATCH(Y35,Codes,0))="Arbeit"),IF(ROUND((1+INDEX(Beginne,MATCH(Y35,Codes,0))-INDEX(EndeRel,MATCH(X35,Codes,0)))*1440,0)&lt;660,1,0),0),0))</f>
      </c>
      <c r="Z84" s="1">
        <f>IF(OR(Z$52=0,Y35="",Z35=""),0,IFERROR(IF(AND(INDEX(Arten,MATCH(Y35,Codes,0))="Arbeit",INDEX(Arten,MATCH(Z35,Codes,0))="Arbeit"),IF(ROUND((1+INDEX(Beginne,MATCH(Z35,Codes,0))-INDEX(EndeRel,MATCH(Y35,Codes,0)))*1440,0)&lt;660,1,0),0),0))</f>
      </c>
      <c r="AA84" s="1">
        <f>IF(OR(AA$52=0,Z35="",AA35=""),0,IFERROR(IF(AND(INDEX(Arten,MATCH(Z35,Codes,0))="Arbeit",INDEX(Arten,MATCH(AA35,Codes,0))="Arbeit"),IF(ROUND((1+INDEX(Beginne,MATCH(AA35,Codes,0))-INDEX(EndeRel,MATCH(Z35,Codes,0)))*1440,0)&lt;660,1,0),0),0))</f>
      </c>
      <c r="AB84" s="1">
        <f>IF(OR(AB$52=0,AA35="",AB35=""),0,IFERROR(IF(AND(INDEX(Arten,MATCH(AA35,Codes,0))="Arbeit",INDEX(Arten,MATCH(AB35,Codes,0))="Arbeit"),IF(ROUND((1+INDEX(Beginne,MATCH(AB35,Codes,0))-INDEX(EndeRel,MATCH(AA35,Codes,0)))*1440,0)&lt;660,1,0),0),0))</f>
      </c>
      <c r="AC84" s="1">
        <f>IF(OR(AC$52=0,AB35="",AC35=""),0,IFERROR(IF(AND(INDEX(Arten,MATCH(AB35,Codes,0))="Arbeit",INDEX(Arten,MATCH(AC35,Codes,0))="Arbeit"),IF(ROUND((1+INDEX(Beginne,MATCH(AC35,Codes,0))-INDEX(EndeRel,MATCH(AB35,Codes,0)))*1440,0)&lt;660,1,0),0),0))</f>
      </c>
      <c r="AD84" s="1">
        <f>IF(OR(AD$52=0,AC35="",AD35=""),0,IFERROR(IF(AND(INDEX(Arten,MATCH(AC35,Codes,0))="Arbeit",INDEX(Arten,MATCH(AD35,Codes,0))="Arbeit"),IF(ROUND((1+INDEX(Beginne,MATCH(AD35,Codes,0))-INDEX(EndeRel,MATCH(AC35,Codes,0)))*1440,0)&lt;660,1,0),0),0))</f>
      </c>
      <c r="AE84" s="1">
        <f>IF(OR(AE$52=0,AD35="",AE35=""),0,IFERROR(IF(AND(INDEX(Arten,MATCH(AD35,Codes,0))="Arbeit",INDEX(Arten,MATCH(AE35,Codes,0))="Arbeit"),IF(ROUND((1+INDEX(Beginne,MATCH(AE35,Codes,0))-INDEX(EndeRel,MATCH(AD35,Codes,0)))*1440,0)&lt;660,1,0),0),0))</f>
      </c>
      <c r="AF84" s="1">
        <f>IF(OR(AF$52=0,AE35="",AF35=""),0,IFERROR(IF(AND(INDEX(Arten,MATCH(AE35,Codes,0))="Arbeit",INDEX(Arten,MATCH(AF35,Codes,0))="Arbeit"),IF(ROUND((1+INDEX(Beginne,MATCH(AF35,Codes,0))-INDEX(EndeRel,MATCH(AE35,Codes,0)))*1440,0)&lt;660,1,0),0),0))</f>
      </c>
    </row>
    <row r="86" hidden="1" spans="1:32" x14ac:dyDescent="0.25">
      <c r="A86" s="1"/>
      <c r="B86" s="1">
        <f>IF($AM38="","",IF(OR(B$51&gt;=6,B$50=1),N(INDEX(MinFrei,MATCH(1,ArbeitNr,0))),N(INDEX(MinWerktag,MATCH(1,ArbeitNr,0)))))</f>
      </c>
      <c r="C86" s="1">
        <f>IF($AM38="","",IF(OR(C$51&gt;=6,C$50=1),N(INDEX(MinFrei,MATCH(1,ArbeitNr,0))),N(INDEX(MinWerktag,MATCH(1,ArbeitNr,0)))))</f>
      </c>
      <c r="D86" s="1">
        <f>IF($AM38="","",IF(OR(D$51&gt;=6,D$50=1),N(INDEX(MinFrei,MATCH(1,ArbeitNr,0))),N(INDEX(MinWerktag,MATCH(1,ArbeitNr,0)))))</f>
      </c>
      <c r="E86" s="1">
        <f>IF($AM38="","",IF(OR(E$51&gt;=6,E$50=1),N(INDEX(MinFrei,MATCH(1,ArbeitNr,0))),N(INDEX(MinWerktag,MATCH(1,ArbeitNr,0)))))</f>
      </c>
      <c r="F86" s="1">
        <f>IF($AM38="","",IF(OR(F$51&gt;=6,F$50=1),N(INDEX(MinFrei,MATCH(1,ArbeitNr,0))),N(INDEX(MinWerktag,MATCH(1,ArbeitNr,0)))))</f>
      </c>
      <c r="G86" s="1">
        <f>IF($AM38="","",IF(OR(G$51&gt;=6,G$50=1),N(INDEX(MinFrei,MATCH(1,ArbeitNr,0))),N(INDEX(MinWerktag,MATCH(1,ArbeitNr,0)))))</f>
      </c>
      <c r="H86" s="1">
        <f>IF($AM38="","",IF(OR(H$51&gt;=6,H$50=1),N(INDEX(MinFrei,MATCH(1,ArbeitNr,0))),N(INDEX(MinWerktag,MATCH(1,ArbeitNr,0)))))</f>
      </c>
      <c r="I86" s="1">
        <f>IF($AM38="","",IF(OR(I$51&gt;=6,I$50=1),N(INDEX(MinFrei,MATCH(1,ArbeitNr,0))),N(INDEX(MinWerktag,MATCH(1,ArbeitNr,0)))))</f>
      </c>
      <c r="J86" s="1">
        <f>IF($AM38="","",IF(OR(J$51&gt;=6,J$50=1),N(INDEX(MinFrei,MATCH(1,ArbeitNr,0))),N(INDEX(MinWerktag,MATCH(1,ArbeitNr,0)))))</f>
      </c>
      <c r="K86" s="1">
        <f>IF($AM38="","",IF(OR(K$51&gt;=6,K$50=1),N(INDEX(MinFrei,MATCH(1,ArbeitNr,0))),N(INDEX(MinWerktag,MATCH(1,ArbeitNr,0)))))</f>
      </c>
      <c r="L86" s="1">
        <f>IF($AM38="","",IF(OR(L$51&gt;=6,L$50=1),N(INDEX(MinFrei,MATCH(1,ArbeitNr,0))),N(INDEX(MinWerktag,MATCH(1,ArbeitNr,0)))))</f>
      </c>
      <c r="M86" s="1">
        <f>IF($AM38="","",IF(OR(M$51&gt;=6,M$50=1),N(INDEX(MinFrei,MATCH(1,ArbeitNr,0))),N(INDEX(MinWerktag,MATCH(1,ArbeitNr,0)))))</f>
      </c>
      <c r="N86" s="1">
        <f>IF($AM38="","",IF(OR(N$51&gt;=6,N$50=1),N(INDEX(MinFrei,MATCH(1,ArbeitNr,0))),N(INDEX(MinWerktag,MATCH(1,ArbeitNr,0)))))</f>
      </c>
      <c r="O86" s="1">
        <f>IF($AM38="","",IF(OR(O$51&gt;=6,O$50=1),N(INDEX(MinFrei,MATCH(1,ArbeitNr,0))),N(INDEX(MinWerktag,MATCH(1,ArbeitNr,0)))))</f>
      </c>
      <c r="P86" s="1">
        <f>IF($AM38="","",IF(OR(P$51&gt;=6,P$50=1),N(INDEX(MinFrei,MATCH(1,ArbeitNr,0))),N(INDEX(MinWerktag,MATCH(1,ArbeitNr,0)))))</f>
      </c>
      <c r="Q86" s="1">
        <f>IF($AM38="","",IF(OR(Q$51&gt;=6,Q$50=1),N(INDEX(MinFrei,MATCH(1,ArbeitNr,0))),N(INDEX(MinWerktag,MATCH(1,ArbeitNr,0)))))</f>
      </c>
      <c r="R86" s="1">
        <f>IF($AM38="","",IF(OR(R$51&gt;=6,R$50=1),N(INDEX(MinFrei,MATCH(1,ArbeitNr,0))),N(INDEX(MinWerktag,MATCH(1,ArbeitNr,0)))))</f>
      </c>
      <c r="S86" s="1">
        <f>IF($AM38="","",IF(OR(S$51&gt;=6,S$50=1),N(INDEX(MinFrei,MATCH(1,ArbeitNr,0))),N(INDEX(MinWerktag,MATCH(1,ArbeitNr,0)))))</f>
      </c>
      <c r="T86" s="1">
        <f>IF($AM38="","",IF(OR(T$51&gt;=6,T$50=1),N(INDEX(MinFrei,MATCH(1,ArbeitNr,0))),N(INDEX(MinWerktag,MATCH(1,ArbeitNr,0)))))</f>
      </c>
      <c r="U86" s="1">
        <f>IF($AM38="","",IF(OR(U$51&gt;=6,U$50=1),N(INDEX(MinFrei,MATCH(1,ArbeitNr,0))),N(INDEX(MinWerktag,MATCH(1,ArbeitNr,0)))))</f>
      </c>
      <c r="V86" s="1">
        <f>IF($AM38="","",IF(OR(V$51&gt;=6,V$50=1),N(INDEX(MinFrei,MATCH(1,ArbeitNr,0))),N(INDEX(MinWerktag,MATCH(1,ArbeitNr,0)))))</f>
      </c>
      <c r="W86" s="1">
        <f>IF($AM38="","",IF(OR(W$51&gt;=6,W$50=1),N(INDEX(MinFrei,MATCH(1,ArbeitNr,0))),N(INDEX(MinWerktag,MATCH(1,ArbeitNr,0)))))</f>
      </c>
      <c r="X86" s="1">
        <f>IF($AM38="","",IF(OR(X$51&gt;=6,X$50=1),N(INDEX(MinFrei,MATCH(1,ArbeitNr,0))),N(INDEX(MinWerktag,MATCH(1,ArbeitNr,0)))))</f>
      </c>
      <c r="Y86" s="1">
        <f>IF($AM38="","",IF(OR(Y$51&gt;=6,Y$50=1),N(INDEX(MinFrei,MATCH(1,ArbeitNr,0))),N(INDEX(MinWerktag,MATCH(1,ArbeitNr,0)))))</f>
      </c>
      <c r="Z86" s="1">
        <f>IF($AM38="","",IF(OR(Z$51&gt;=6,Z$50=1),N(INDEX(MinFrei,MATCH(1,ArbeitNr,0))),N(INDEX(MinWerktag,MATCH(1,ArbeitNr,0)))))</f>
      </c>
      <c r="AA86" s="1">
        <f>IF($AM38="","",IF(OR(AA$51&gt;=6,AA$50=1),N(INDEX(MinFrei,MATCH(1,ArbeitNr,0))),N(INDEX(MinWerktag,MATCH(1,ArbeitNr,0)))))</f>
      </c>
      <c r="AB86" s="1">
        <f>IF($AM38="","",IF(OR(AB$51&gt;=6,AB$50=1),N(INDEX(MinFrei,MATCH(1,ArbeitNr,0))),N(INDEX(MinWerktag,MATCH(1,ArbeitNr,0)))))</f>
      </c>
      <c r="AC86" s="1">
        <f>IF($AM38="","",IF(OR(AC$51&gt;=6,AC$50=1),N(INDEX(MinFrei,MATCH(1,ArbeitNr,0))),N(INDEX(MinWerktag,MATCH(1,ArbeitNr,0)))))</f>
      </c>
      <c r="AD86" s="1">
        <f>IF($AM38="","",IF(OR(AD$51&gt;=6,AD$50=1),N(INDEX(MinFrei,MATCH(1,ArbeitNr,0))),N(INDEX(MinWerktag,MATCH(1,ArbeitNr,0)))))</f>
      </c>
      <c r="AE86" s="1">
        <f>IF($AM38="","",IF(OR(AE$51&gt;=6,AE$50=1),N(INDEX(MinFrei,MATCH(1,ArbeitNr,0))),N(INDEX(MinWerktag,MATCH(1,ArbeitNr,0)))))</f>
      </c>
      <c r="AF86" s="1">
        <f>IF($AM38="","",IF(OR(AF$51&gt;=6,AF$50=1),N(INDEX(MinFrei,MATCH(1,ArbeitNr,0))),N(INDEX(MinWerktag,MATCH(1,ArbeitNr,0)))))</f>
      </c>
    </row>
    <row r="87" hidden="1" spans="1:32" x14ac:dyDescent="0.25">
      <c r="A87" s="1"/>
      <c r="B87" s="1">
        <f>IF($AM39="","",IF(OR(B$51&gt;=6,B$50=1),N(INDEX(MinFrei,MATCH(2,ArbeitNr,0))),N(INDEX(MinWerktag,MATCH(2,ArbeitNr,0)))))</f>
      </c>
      <c r="C87" s="1">
        <f>IF($AM39="","",IF(OR(C$51&gt;=6,C$50=1),N(INDEX(MinFrei,MATCH(2,ArbeitNr,0))),N(INDEX(MinWerktag,MATCH(2,ArbeitNr,0)))))</f>
      </c>
      <c r="D87" s="1">
        <f>IF($AM39="","",IF(OR(D$51&gt;=6,D$50=1),N(INDEX(MinFrei,MATCH(2,ArbeitNr,0))),N(INDEX(MinWerktag,MATCH(2,ArbeitNr,0)))))</f>
      </c>
      <c r="E87" s="1">
        <f>IF($AM39="","",IF(OR(E$51&gt;=6,E$50=1),N(INDEX(MinFrei,MATCH(2,ArbeitNr,0))),N(INDEX(MinWerktag,MATCH(2,ArbeitNr,0)))))</f>
      </c>
      <c r="F87" s="1">
        <f>IF($AM39="","",IF(OR(F$51&gt;=6,F$50=1),N(INDEX(MinFrei,MATCH(2,ArbeitNr,0))),N(INDEX(MinWerktag,MATCH(2,ArbeitNr,0)))))</f>
      </c>
      <c r="G87" s="1">
        <f>IF($AM39="","",IF(OR(G$51&gt;=6,G$50=1),N(INDEX(MinFrei,MATCH(2,ArbeitNr,0))),N(INDEX(MinWerktag,MATCH(2,ArbeitNr,0)))))</f>
      </c>
      <c r="H87" s="1">
        <f>IF($AM39="","",IF(OR(H$51&gt;=6,H$50=1),N(INDEX(MinFrei,MATCH(2,ArbeitNr,0))),N(INDEX(MinWerktag,MATCH(2,ArbeitNr,0)))))</f>
      </c>
      <c r="I87" s="1">
        <f>IF($AM39="","",IF(OR(I$51&gt;=6,I$50=1),N(INDEX(MinFrei,MATCH(2,ArbeitNr,0))),N(INDEX(MinWerktag,MATCH(2,ArbeitNr,0)))))</f>
      </c>
      <c r="J87" s="1">
        <f>IF($AM39="","",IF(OR(J$51&gt;=6,J$50=1),N(INDEX(MinFrei,MATCH(2,ArbeitNr,0))),N(INDEX(MinWerktag,MATCH(2,ArbeitNr,0)))))</f>
      </c>
      <c r="K87" s="1">
        <f>IF($AM39="","",IF(OR(K$51&gt;=6,K$50=1),N(INDEX(MinFrei,MATCH(2,ArbeitNr,0))),N(INDEX(MinWerktag,MATCH(2,ArbeitNr,0)))))</f>
      </c>
      <c r="L87" s="1">
        <f>IF($AM39="","",IF(OR(L$51&gt;=6,L$50=1),N(INDEX(MinFrei,MATCH(2,ArbeitNr,0))),N(INDEX(MinWerktag,MATCH(2,ArbeitNr,0)))))</f>
      </c>
      <c r="M87" s="1">
        <f>IF($AM39="","",IF(OR(M$51&gt;=6,M$50=1),N(INDEX(MinFrei,MATCH(2,ArbeitNr,0))),N(INDEX(MinWerktag,MATCH(2,ArbeitNr,0)))))</f>
      </c>
      <c r="N87" s="1">
        <f>IF($AM39="","",IF(OR(N$51&gt;=6,N$50=1),N(INDEX(MinFrei,MATCH(2,ArbeitNr,0))),N(INDEX(MinWerktag,MATCH(2,ArbeitNr,0)))))</f>
      </c>
      <c r="O87" s="1">
        <f>IF($AM39="","",IF(OR(O$51&gt;=6,O$50=1),N(INDEX(MinFrei,MATCH(2,ArbeitNr,0))),N(INDEX(MinWerktag,MATCH(2,ArbeitNr,0)))))</f>
      </c>
      <c r="P87" s="1">
        <f>IF($AM39="","",IF(OR(P$51&gt;=6,P$50=1),N(INDEX(MinFrei,MATCH(2,ArbeitNr,0))),N(INDEX(MinWerktag,MATCH(2,ArbeitNr,0)))))</f>
      </c>
      <c r="Q87" s="1">
        <f>IF($AM39="","",IF(OR(Q$51&gt;=6,Q$50=1),N(INDEX(MinFrei,MATCH(2,ArbeitNr,0))),N(INDEX(MinWerktag,MATCH(2,ArbeitNr,0)))))</f>
      </c>
      <c r="R87" s="1">
        <f>IF($AM39="","",IF(OR(R$51&gt;=6,R$50=1),N(INDEX(MinFrei,MATCH(2,ArbeitNr,0))),N(INDEX(MinWerktag,MATCH(2,ArbeitNr,0)))))</f>
      </c>
      <c r="S87" s="1">
        <f>IF($AM39="","",IF(OR(S$51&gt;=6,S$50=1),N(INDEX(MinFrei,MATCH(2,ArbeitNr,0))),N(INDEX(MinWerktag,MATCH(2,ArbeitNr,0)))))</f>
      </c>
      <c r="T87" s="1">
        <f>IF($AM39="","",IF(OR(T$51&gt;=6,T$50=1),N(INDEX(MinFrei,MATCH(2,ArbeitNr,0))),N(INDEX(MinWerktag,MATCH(2,ArbeitNr,0)))))</f>
      </c>
      <c r="U87" s="1">
        <f>IF($AM39="","",IF(OR(U$51&gt;=6,U$50=1),N(INDEX(MinFrei,MATCH(2,ArbeitNr,0))),N(INDEX(MinWerktag,MATCH(2,ArbeitNr,0)))))</f>
      </c>
      <c r="V87" s="1">
        <f>IF($AM39="","",IF(OR(V$51&gt;=6,V$50=1),N(INDEX(MinFrei,MATCH(2,ArbeitNr,0))),N(INDEX(MinWerktag,MATCH(2,ArbeitNr,0)))))</f>
      </c>
      <c r="W87" s="1">
        <f>IF($AM39="","",IF(OR(W$51&gt;=6,W$50=1),N(INDEX(MinFrei,MATCH(2,ArbeitNr,0))),N(INDEX(MinWerktag,MATCH(2,ArbeitNr,0)))))</f>
      </c>
      <c r="X87" s="1">
        <f>IF($AM39="","",IF(OR(X$51&gt;=6,X$50=1),N(INDEX(MinFrei,MATCH(2,ArbeitNr,0))),N(INDEX(MinWerktag,MATCH(2,ArbeitNr,0)))))</f>
      </c>
      <c r="Y87" s="1">
        <f>IF($AM39="","",IF(OR(Y$51&gt;=6,Y$50=1),N(INDEX(MinFrei,MATCH(2,ArbeitNr,0))),N(INDEX(MinWerktag,MATCH(2,ArbeitNr,0)))))</f>
      </c>
      <c r="Z87" s="1">
        <f>IF($AM39="","",IF(OR(Z$51&gt;=6,Z$50=1),N(INDEX(MinFrei,MATCH(2,ArbeitNr,0))),N(INDEX(MinWerktag,MATCH(2,ArbeitNr,0)))))</f>
      </c>
      <c r="AA87" s="1">
        <f>IF($AM39="","",IF(OR(AA$51&gt;=6,AA$50=1),N(INDEX(MinFrei,MATCH(2,ArbeitNr,0))),N(INDEX(MinWerktag,MATCH(2,ArbeitNr,0)))))</f>
      </c>
      <c r="AB87" s="1">
        <f>IF($AM39="","",IF(OR(AB$51&gt;=6,AB$50=1),N(INDEX(MinFrei,MATCH(2,ArbeitNr,0))),N(INDEX(MinWerktag,MATCH(2,ArbeitNr,0)))))</f>
      </c>
      <c r="AC87" s="1">
        <f>IF($AM39="","",IF(OR(AC$51&gt;=6,AC$50=1),N(INDEX(MinFrei,MATCH(2,ArbeitNr,0))),N(INDEX(MinWerktag,MATCH(2,ArbeitNr,0)))))</f>
      </c>
      <c r="AD87" s="1">
        <f>IF($AM39="","",IF(OR(AD$51&gt;=6,AD$50=1),N(INDEX(MinFrei,MATCH(2,ArbeitNr,0))),N(INDEX(MinWerktag,MATCH(2,ArbeitNr,0)))))</f>
      </c>
      <c r="AE87" s="1">
        <f>IF($AM39="","",IF(OR(AE$51&gt;=6,AE$50=1),N(INDEX(MinFrei,MATCH(2,ArbeitNr,0))),N(INDEX(MinWerktag,MATCH(2,ArbeitNr,0)))))</f>
      </c>
      <c r="AF87" s="1">
        <f>IF($AM39="","",IF(OR(AF$51&gt;=6,AF$50=1),N(INDEX(MinFrei,MATCH(2,ArbeitNr,0))),N(INDEX(MinWerktag,MATCH(2,ArbeitNr,0)))))</f>
      </c>
    </row>
    <row r="88" hidden="1" spans="1:32" x14ac:dyDescent="0.25">
      <c r="A88" s="1"/>
      <c r="B88" s="1">
        <f>IF($AM40="","",IF(OR(B$51&gt;=6,B$50=1),N(INDEX(MinFrei,MATCH(3,ArbeitNr,0))),N(INDEX(MinWerktag,MATCH(3,ArbeitNr,0)))))</f>
      </c>
      <c r="C88" s="1">
        <f>IF($AM40="","",IF(OR(C$51&gt;=6,C$50=1),N(INDEX(MinFrei,MATCH(3,ArbeitNr,0))),N(INDEX(MinWerktag,MATCH(3,ArbeitNr,0)))))</f>
      </c>
      <c r="D88" s="1">
        <f>IF($AM40="","",IF(OR(D$51&gt;=6,D$50=1),N(INDEX(MinFrei,MATCH(3,ArbeitNr,0))),N(INDEX(MinWerktag,MATCH(3,ArbeitNr,0)))))</f>
      </c>
      <c r="E88" s="1">
        <f>IF($AM40="","",IF(OR(E$51&gt;=6,E$50=1),N(INDEX(MinFrei,MATCH(3,ArbeitNr,0))),N(INDEX(MinWerktag,MATCH(3,ArbeitNr,0)))))</f>
      </c>
      <c r="F88" s="1">
        <f>IF($AM40="","",IF(OR(F$51&gt;=6,F$50=1),N(INDEX(MinFrei,MATCH(3,ArbeitNr,0))),N(INDEX(MinWerktag,MATCH(3,ArbeitNr,0)))))</f>
      </c>
      <c r="G88" s="1">
        <f>IF($AM40="","",IF(OR(G$51&gt;=6,G$50=1),N(INDEX(MinFrei,MATCH(3,ArbeitNr,0))),N(INDEX(MinWerktag,MATCH(3,ArbeitNr,0)))))</f>
      </c>
      <c r="H88" s="1">
        <f>IF($AM40="","",IF(OR(H$51&gt;=6,H$50=1),N(INDEX(MinFrei,MATCH(3,ArbeitNr,0))),N(INDEX(MinWerktag,MATCH(3,ArbeitNr,0)))))</f>
      </c>
      <c r="I88" s="1">
        <f>IF($AM40="","",IF(OR(I$51&gt;=6,I$50=1),N(INDEX(MinFrei,MATCH(3,ArbeitNr,0))),N(INDEX(MinWerktag,MATCH(3,ArbeitNr,0)))))</f>
      </c>
      <c r="J88" s="1">
        <f>IF($AM40="","",IF(OR(J$51&gt;=6,J$50=1),N(INDEX(MinFrei,MATCH(3,ArbeitNr,0))),N(INDEX(MinWerktag,MATCH(3,ArbeitNr,0)))))</f>
      </c>
      <c r="K88" s="1">
        <f>IF($AM40="","",IF(OR(K$51&gt;=6,K$50=1),N(INDEX(MinFrei,MATCH(3,ArbeitNr,0))),N(INDEX(MinWerktag,MATCH(3,ArbeitNr,0)))))</f>
      </c>
      <c r="L88" s="1">
        <f>IF($AM40="","",IF(OR(L$51&gt;=6,L$50=1),N(INDEX(MinFrei,MATCH(3,ArbeitNr,0))),N(INDEX(MinWerktag,MATCH(3,ArbeitNr,0)))))</f>
      </c>
      <c r="M88" s="1">
        <f>IF($AM40="","",IF(OR(M$51&gt;=6,M$50=1),N(INDEX(MinFrei,MATCH(3,ArbeitNr,0))),N(INDEX(MinWerktag,MATCH(3,ArbeitNr,0)))))</f>
      </c>
      <c r="N88" s="1">
        <f>IF($AM40="","",IF(OR(N$51&gt;=6,N$50=1),N(INDEX(MinFrei,MATCH(3,ArbeitNr,0))),N(INDEX(MinWerktag,MATCH(3,ArbeitNr,0)))))</f>
      </c>
      <c r="O88" s="1">
        <f>IF($AM40="","",IF(OR(O$51&gt;=6,O$50=1),N(INDEX(MinFrei,MATCH(3,ArbeitNr,0))),N(INDEX(MinWerktag,MATCH(3,ArbeitNr,0)))))</f>
      </c>
      <c r="P88" s="1">
        <f>IF($AM40="","",IF(OR(P$51&gt;=6,P$50=1),N(INDEX(MinFrei,MATCH(3,ArbeitNr,0))),N(INDEX(MinWerktag,MATCH(3,ArbeitNr,0)))))</f>
      </c>
      <c r="Q88" s="1">
        <f>IF($AM40="","",IF(OR(Q$51&gt;=6,Q$50=1),N(INDEX(MinFrei,MATCH(3,ArbeitNr,0))),N(INDEX(MinWerktag,MATCH(3,ArbeitNr,0)))))</f>
      </c>
      <c r="R88" s="1">
        <f>IF($AM40="","",IF(OR(R$51&gt;=6,R$50=1),N(INDEX(MinFrei,MATCH(3,ArbeitNr,0))),N(INDEX(MinWerktag,MATCH(3,ArbeitNr,0)))))</f>
      </c>
      <c r="S88" s="1">
        <f>IF($AM40="","",IF(OR(S$51&gt;=6,S$50=1),N(INDEX(MinFrei,MATCH(3,ArbeitNr,0))),N(INDEX(MinWerktag,MATCH(3,ArbeitNr,0)))))</f>
      </c>
      <c r="T88" s="1">
        <f>IF($AM40="","",IF(OR(T$51&gt;=6,T$50=1),N(INDEX(MinFrei,MATCH(3,ArbeitNr,0))),N(INDEX(MinWerktag,MATCH(3,ArbeitNr,0)))))</f>
      </c>
      <c r="U88" s="1">
        <f>IF($AM40="","",IF(OR(U$51&gt;=6,U$50=1),N(INDEX(MinFrei,MATCH(3,ArbeitNr,0))),N(INDEX(MinWerktag,MATCH(3,ArbeitNr,0)))))</f>
      </c>
      <c r="V88" s="1">
        <f>IF($AM40="","",IF(OR(V$51&gt;=6,V$50=1),N(INDEX(MinFrei,MATCH(3,ArbeitNr,0))),N(INDEX(MinWerktag,MATCH(3,ArbeitNr,0)))))</f>
      </c>
      <c r="W88" s="1">
        <f>IF($AM40="","",IF(OR(W$51&gt;=6,W$50=1),N(INDEX(MinFrei,MATCH(3,ArbeitNr,0))),N(INDEX(MinWerktag,MATCH(3,ArbeitNr,0)))))</f>
      </c>
      <c r="X88" s="1">
        <f>IF($AM40="","",IF(OR(X$51&gt;=6,X$50=1),N(INDEX(MinFrei,MATCH(3,ArbeitNr,0))),N(INDEX(MinWerktag,MATCH(3,ArbeitNr,0)))))</f>
      </c>
      <c r="Y88" s="1">
        <f>IF($AM40="","",IF(OR(Y$51&gt;=6,Y$50=1),N(INDEX(MinFrei,MATCH(3,ArbeitNr,0))),N(INDEX(MinWerktag,MATCH(3,ArbeitNr,0)))))</f>
      </c>
      <c r="Z88" s="1">
        <f>IF($AM40="","",IF(OR(Z$51&gt;=6,Z$50=1),N(INDEX(MinFrei,MATCH(3,ArbeitNr,0))),N(INDEX(MinWerktag,MATCH(3,ArbeitNr,0)))))</f>
      </c>
      <c r="AA88" s="1">
        <f>IF($AM40="","",IF(OR(AA$51&gt;=6,AA$50=1),N(INDEX(MinFrei,MATCH(3,ArbeitNr,0))),N(INDEX(MinWerktag,MATCH(3,ArbeitNr,0)))))</f>
      </c>
      <c r="AB88" s="1">
        <f>IF($AM40="","",IF(OR(AB$51&gt;=6,AB$50=1),N(INDEX(MinFrei,MATCH(3,ArbeitNr,0))),N(INDEX(MinWerktag,MATCH(3,ArbeitNr,0)))))</f>
      </c>
      <c r="AC88" s="1">
        <f>IF($AM40="","",IF(OR(AC$51&gt;=6,AC$50=1),N(INDEX(MinFrei,MATCH(3,ArbeitNr,0))),N(INDEX(MinWerktag,MATCH(3,ArbeitNr,0)))))</f>
      </c>
      <c r="AD88" s="1">
        <f>IF($AM40="","",IF(OR(AD$51&gt;=6,AD$50=1),N(INDEX(MinFrei,MATCH(3,ArbeitNr,0))),N(INDEX(MinWerktag,MATCH(3,ArbeitNr,0)))))</f>
      </c>
      <c r="AE88" s="1">
        <f>IF($AM40="","",IF(OR(AE$51&gt;=6,AE$50=1),N(INDEX(MinFrei,MATCH(3,ArbeitNr,0))),N(INDEX(MinWerktag,MATCH(3,ArbeitNr,0)))))</f>
      </c>
      <c r="AF88" s="1">
        <f>IF($AM40="","",IF(OR(AF$51&gt;=6,AF$50=1),N(INDEX(MinFrei,MATCH(3,ArbeitNr,0))),N(INDEX(MinWerktag,MATCH(3,ArbeitNr,0)))))</f>
      </c>
    </row>
    <row r="89" hidden="1" spans="1:32" x14ac:dyDescent="0.25">
      <c r="A89" s="1"/>
      <c r="B89" s="1">
        <f>IF($AM41="","",IF(OR(B$51&gt;=6,B$50=1),N(INDEX(MinFrei,MATCH(4,ArbeitNr,0))),N(INDEX(MinWerktag,MATCH(4,ArbeitNr,0)))))</f>
      </c>
      <c r="C89" s="1">
        <f>IF($AM41="","",IF(OR(C$51&gt;=6,C$50=1),N(INDEX(MinFrei,MATCH(4,ArbeitNr,0))),N(INDEX(MinWerktag,MATCH(4,ArbeitNr,0)))))</f>
      </c>
      <c r="D89" s="1">
        <f>IF($AM41="","",IF(OR(D$51&gt;=6,D$50=1),N(INDEX(MinFrei,MATCH(4,ArbeitNr,0))),N(INDEX(MinWerktag,MATCH(4,ArbeitNr,0)))))</f>
      </c>
      <c r="E89" s="1">
        <f>IF($AM41="","",IF(OR(E$51&gt;=6,E$50=1),N(INDEX(MinFrei,MATCH(4,ArbeitNr,0))),N(INDEX(MinWerktag,MATCH(4,ArbeitNr,0)))))</f>
      </c>
      <c r="F89" s="1">
        <f>IF($AM41="","",IF(OR(F$51&gt;=6,F$50=1),N(INDEX(MinFrei,MATCH(4,ArbeitNr,0))),N(INDEX(MinWerktag,MATCH(4,ArbeitNr,0)))))</f>
      </c>
      <c r="G89" s="1">
        <f>IF($AM41="","",IF(OR(G$51&gt;=6,G$50=1),N(INDEX(MinFrei,MATCH(4,ArbeitNr,0))),N(INDEX(MinWerktag,MATCH(4,ArbeitNr,0)))))</f>
      </c>
      <c r="H89" s="1">
        <f>IF($AM41="","",IF(OR(H$51&gt;=6,H$50=1),N(INDEX(MinFrei,MATCH(4,ArbeitNr,0))),N(INDEX(MinWerktag,MATCH(4,ArbeitNr,0)))))</f>
      </c>
      <c r="I89" s="1">
        <f>IF($AM41="","",IF(OR(I$51&gt;=6,I$50=1),N(INDEX(MinFrei,MATCH(4,ArbeitNr,0))),N(INDEX(MinWerktag,MATCH(4,ArbeitNr,0)))))</f>
      </c>
      <c r="J89" s="1">
        <f>IF($AM41="","",IF(OR(J$51&gt;=6,J$50=1),N(INDEX(MinFrei,MATCH(4,ArbeitNr,0))),N(INDEX(MinWerktag,MATCH(4,ArbeitNr,0)))))</f>
      </c>
      <c r="K89" s="1">
        <f>IF($AM41="","",IF(OR(K$51&gt;=6,K$50=1),N(INDEX(MinFrei,MATCH(4,ArbeitNr,0))),N(INDEX(MinWerktag,MATCH(4,ArbeitNr,0)))))</f>
      </c>
      <c r="L89" s="1">
        <f>IF($AM41="","",IF(OR(L$51&gt;=6,L$50=1),N(INDEX(MinFrei,MATCH(4,ArbeitNr,0))),N(INDEX(MinWerktag,MATCH(4,ArbeitNr,0)))))</f>
      </c>
      <c r="M89" s="1">
        <f>IF($AM41="","",IF(OR(M$51&gt;=6,M$50=1),N(INDEX(MinFrei,MATCH(4,ArbeitNr,0))),N(INDEX(MinWerktag,MATCH(4,ArbeitNr,0)))))</f>
      </c>
      <c r="N89" s="1">
        <f>IF($AM41="","",IF(OR(N$51&gt;=6,N$50=1),N(INDEX(MinFrei,MATCH(4,ArbeitNr,0))),N(INDEX(MinWerktag,MATCH(4,ArbeitNr,0)))))</f>
      </c>
      <c r="O89" s="1">
        <f>IF($AM41="","",IF(OR(O$51&gt;=6,O$50=1),N(INDEX(MinFrei,MATCH(4,ArbeitNr,0))),N(INDEX(MinWerktag,MATCH(4,ArbeitNr,0)))))</f>
      </c>
      <c r="P89" s="1">
        <f>IF($AM41="","",IF(OR(P$51&gt;=6,P$50=1),N(INDEX(MinFrei,MATCH(4,ArbeitNr,0))),N(INDEX(MinWerktag,MATCH(4,ArbeitNr,0)))))</f>
      </c>
      <c r="Q89" s="1">
        <f>IF($AM41="","",IF(OR(Q$51&gt;=6,Q$50=1),N(INDEX(MinFrei,MATCH(4,ArbeitNr,0))),N(INDEX(MinWerktag,MATCH(4,ArbeitNr,0)))))</f>
      </c>
      <c r="R89" s="1">
        <f>IF($AM41="","",IF(OR(R$51&gt;=6,R$50=1),N(INDEX(MinFrei,MATCH(4,ArbeitNr,0))),N(INDEX(MinWerktag,MATCH(4,ArbeitNr,0)))))</f>
      </c>
      <c r="S89" s="1">
        <f>IF($AM41="","",IF(OR(S$51&gt;=6,S$50=1),N(INDEX(MinFrei,MATCH(4,ArbeitNr,0))),N(INDEX(MinWerktag,MATCH(4,ArbeitNr,0)))))</f>
      </c>
      <c r="T89" s="1">
        <f>IF($AM41="","",IF(OR(T$51&gt;=6,T$50=1),N(INDEX(MinFrei,MATCH(4,ArbeitNr,0))),N(INDEX(MinWerktag,MATCH(4,ArbeitNr,0)))))</f>
      </c>
      <c r="U89" s="1">
        <f>IF($AM41="","",IF(OR(U$51&gt;=6,U$50=1),N(INDEX(MinFrei,MATCH(4,ArbeitNr,0))),N(INDEX(MinWerktag,MATCH(4,ArbeitNr,0)))))</f>
      </c>
      <c r="V89" s="1">
        <f>IF($AM41="","",IF(OR(V$51&gt;=6,V$50=1),N(INDEX(MinFrei,MATCH(4,ArbeitNr,0))),N(INDEX(MinWerktag,MATCH(4,ArbeitNr,0)))))</f>
      </c>
      <c r="W89" s="1">
        <f>IF($AM41="","",IF(OR(W$51&gt;=6,W$50=1),N(INDEX(MinFrei,MATCH(4,ArbeitNr,0))),N(INDEX(MinWerktag,MATCH(4,ArbeitNr,0)))))</f>
      </c>
      <c r="X89" s="1">
        <f>IF($AM41="","",IF(OR(X$51&gt;=6,X$50=1),N(INDEX(MinFrei,MATCH(4,ArbeitNr,0))),N(INDEX(MinWerktag,MATCH(4,ArbeitNr,0)))))</f>
      </c>
      <c r="Y89" s="1">
        <f>IF($AM41="","",IF(OR(Y$51&gt;=6,Y$50=1),N(INDEX(MinFrei,MATCH(4,ArbeitNr,0))),N(INDEX(MinWerktag,MATCH(4,ArbeitNr,0)))))</f>
      </c>
      <c r="Z89" s="1">
        <f>IF($AM41="","",IF(OR(Z$51&gt;=6,Z$50=1),N(INDEX(MinFrei,MATCH(4,ArbeitNr,0))),N(INDEX(MinWerktag,MATCH(4,ArbeitNr,0)))))</f>
      </c>
      <c r="AA89" s="1">
        <f>IF($AM41="","",IF(OR(AA$51&gt;=6,AA$50=1),N(INDEX(MinFrei,MATCH(4,ArbeitNr,0))),N(INDEX(MinWerktag,MATCH(4,ArbeitNr,0)))))</f>
      </c>
      <c r="AB89" s="1">
        <f>IF($AM41="","",IF(OR(AB$51&gt;=6,AB$50=1),N(INDEX(MinFrei,MATCH(4,ArbeitNr,0))),N(INDEX(MinWerktag,MATCH(4,ArbeitNr,0)))))</f>
      </c>
      <c r="AC89" s="1">
        <f>IF($AM41="","",IF(OR(AC$51&gt;=6,AC$50=1),N(INDEX(MinFrei,MATCH(4,ArbeitNr,0))),N(INDEX(MinWerktag,MATCH(4,ArbeitNr,0)))))</f>
      </c>
      <c r="AD89" s="1">
        <f>IF($AM41="","",IF(OR(AD$51&gt;=6,AD$50=1),N(INDEX(MinFrei,MATCH(4,ArbeitNr,0))),N(INDEX(MinWerktag,MATCH(4,ArbeitNr,0)))))</f>
      </c>
      <c r="AE89" s="1">
        <f>IF($AM41="","",IF(OR(AE$51&gt;=6,AE$50=1),N(INDEX(MinFrei,MATCH(4,ArbeitNr,0))),N(INDEX(MinWerktag,MATCH(4,ArbeitNr,0)))))</f>
      </c>
      <c r="AF89" s="1">
        <f>IF($AM41="","",IF(OR(AF$51&gt;=6,AF$50=1),N(INDEX(MinFrei,MATCH(4,ArbeitNr,0))),N(INDEX(MinWerktag,MATCH(4,ArbeitNr,0)))))</f>
      </c>
    </row>
    <row r="90" hidden="1" spans="1:32" x14ac:dyDescent="0.25">
      <c r="A90" s="1"/>
      <c r="B90" s="1">
        <f>IF($AM42="","",IF(OR(B$51&gt;=6,B$50=1),N(INDEX(MinFrei,MATCH(5,ArbeitNr,0))),N(INDEX(MinWerktag,MATCH(5,ArbeitNr,0)))))</f>
      </c>
      <c r="C90" s="1">
        <f>IF($AM42="","",IF(OR(C$51&gt;=6,C$50=1),N(INDEX(MinFrei,MATCH(5,ArbeitNr,0))),N(INDEX(MinWerktag,MATCH(5,ArbeitNr,0)))))</f>
      </c>
      <c r="D90" s="1">
        <f>IF($AM42="","",IF(OR(D$51&gt;=6,D$50=1),N(INDEX(MinFrei,MATCH(5,ArbeitNr,0))),N(INDEX(MinWerktag,MATCH(5,ArbeitNr,0)))))</f>
      </c>
      <c r="E90" s="1">
        <f>IF($AM42="","",IF(OR(E$51&gt;=6,E$50=1),N(INDEX(MinFrei,MATCH(5,ArbeitNr,0))),N(INDEX(MinWerktag,MATCH(5,ArbeitNr,0)))))</f>
      </c>
      <c r="F90" s="1">
        <f>IF($AM42="","",IF(OR(F$51&gt;=6,F$50=1),N(INDEX(MinFrei,MATCH(5,ArbeitNr,0))),N(INDEX(MinWerktag,MATCH(5,ArbeitNr,0)))))</f>
      </c>
      <c r="G90" s="1">
        <f>IF($AM42="","",IF(OR(G$51&gt;=6,G$50=1),N(INDEX(MinFrei,MATCH(5,ArbeitNr,0))),N(INDEX(MinWerktag,MATCH(5,ArbeitNr,0)))))</f>
      </c>
      <c r="H90" s="1">
        <f>IF($AM42="","",IF(OR(H$51&gt;=6,H$50=1),N(INDEX(MinFrei,MATCH(5,ArbeitNr,0))),N(INDEX(MinWerktag,MATCH(5,ArbeitNr,0)))))</f>
      </c>
      <c r="I90" s="1">
        <f>IF($AM42="","",IF(OR(I$51&gt;=6,I$50=1),N(INDEX(MinFrei,MATCH(5,ArbeitNr,0))),N(INDEX(MinWerktag,MATCH(5,ArbeitNr,0)))))</f>
      </c>
      <c r="J90" s="1">
        <f>IF($AM42="","",IF(OR(J$51&gt;=6,J$50=1),N(INDEX(MinFrei,MATCH(5,ArbeitNr,0))),N(INDEX(MinWerktag,MATCH(5,ArbeitNr,0)))))</f>
      </c>
      <c r="K90" s="1">
        <f>IF($AM42="","",IF(OR(K$51&gt;=6,K$50=1),N(INDEX(MinFrei,MATCH(5,ArbeitNr,0))),N(INDEX(MinWerktag,MATCH(5,ArbeitNr,0)))))</f>
      </c>
      <c r="L90" s="1">
        <f>IF($AM42="","",IF(OR(L$51&gt;=6,L$50=1),N(INDEX(MinFrei,MATCH(5,ArbeitNr,0))),N(INDEX(MinWerktag,MATCH(5,ArbeitNr,0)))))</f>
      </c>
      <c r="M90" s="1">
        <f>IF($AM42="","",IF(OR(M$51&gt;=6,M$50=1),N(INDEX(MinFrei,MATCH(5,ArbeitNr,0))),N(INDEX(MinWerktag,MATCH(5,ArbeitNr,0)))))</f>
      </c>
      <c r="N90" s="1">
        <f>IF($AM42="","",IF(OR(N$51&gt;=6,N$50=1),N(INDEX(MinFrei,MATCH(5,ArbeitNr,0))),N(INDEX(MinWerktag,MATCH(5,ArbeitNr,0)))))</f>
      </c>
      <c r="O90" s="1">
        <f>IF($AM42="","",IF(OR(O$51&gt;=6,O$50=1),N(INDEX(MinFrei,MATCH(5,ArbeitNr,0))),N(INDEX(MinWerktag,MATCH(5,ArbeitNr,0)))))</f>
      </c>
      <c r="P90" s="1">
        <f>IF($AM42="","",IF(OR(P$51&gt;=6,P$50=1),N(INDEX(MinFrei,MATCH(5,ArbeitNr,0))),N(INDEX(MinWerktag,MATCH(5,ArbeitNr,0)))))</f>
      </c>
      <c r="Q90" s="1">
        <f>IF($AM42="","",IF(OR(Q$51&gt;=6,Q$50=1),N(INDEX(MinFrei,MATCH(5,ArbeitNr,0))),N(INDEX(MinWerktag,MATCH(5,ArbeitNr,0)))))</f>
      </c>
      <c r="R90" s="1">
        <f>IF($AM42="","",IF(OR(R$51&gt;=6,R$50=1),N(INDEX(MinFrei,MATCH(5,ArbeitNr,0))),N(INDEX(MinWerktag,MATCH(5,ArbeitNr,0)))))</f>
      </c>
      <c r="S90" s="1">
        <f>IF($AM42="","",IF(OR(S$51&gt;=6,S$50=1),N(INDEX(MinFrei,MATCH(5,ArbeitNr,0))),N(INDEX(MinWerktag,MATCH(5,ArbeitNr,0)))))</f>
      </c>
      <c r="T90" s="1">
        <f>IF($AM42="","",IF(OR(T$51&gt;=6,T$50=1),N(INDEX(MinFrei,MATCH(5,ArbeitNr,0))),N(INDEX(MinWerktag,MATCH(5,ArbeitNr,0)))))</f>
      </c>
      <c r="U90" s="1">
        <f>IF($AM42="","",IF(OR(U$51&gt;=6,U$50=1),N(INDEX(MinFrei,MATCH(5,ArbeitNr,0))),N(INDEX(MinWerktag,MATCH(5,ArbeitNr,0)))))</f>
      </c>
      <c r="V90" s="1">
        <f>IF($AM42="","",IF(OR(V$51&gt;=6,V$50=1),N(INDEX(MinFrei,MATCH(5,ArbeitNr,0))),N(INDEX(MinWerktag,MATCH(5,ArbeitNr,0)))))</f>
      </c>
      <c r="W90" s="1">
        <f>IF($AM42="","",IF(OR(W$51&gt;=6,W$50=1),N(INDEX(MinFrei,MATCH(5,ArbeitNr,0))),N(INDEX(MinWerktag,MATCH(5,ArbeitNr,0)))))</f>
      </c>
      <c r="X90" s="1">
        <f>IF($AM42="","",IF(OR(X$51&gt;=6,X$50=1),N(INDEX(MinFrei,MATCH(5,ArbeitNr,0))),N(INDEX(MinWerktag,MATCH(5,ArbeitNr,0)))))</f>
      </c>
      <c r="Y90" s="1">
        <f>IF($AM42="","",IF(OR(Y$51&gt;=6,Y$50=1),N(INDEX(MinFrei,MATCH(5,ArbeitNr,0))),N(INDEX(MinWerktag,MATCH(5,ArbeitNr,0)))))</f>
      </c>
      <c r="Z90" s="1">
        <f>IF($AM42="","",IF(OR(Z$51&gt;=6,Z$50=1),N(INDEX(MinFrei,MATCH(5,ArbeitNr,0))),N(INDEX(MinWerktag,MATCH(5,ArbeitNr,0)))))</f>
      </c>
      <c r="AA90" s="1">
        <f>IF($AM42="","",IF(OR(AA$51&gt;=6,AA$50=1),N(INDEX(MinFrei,MATCH(5,ArbeitNr,0))),N(INDEX(MinWerktag,MATCH(5,ArbeitNr,0)))))</f>
      </c>
      <c r="AB90" s="1">
        <f>IF($AM42="","",IF(OR(AB$51&gt;=6,AB$50=1),N(INDEX(MinFrei,MATCH(5,ArbeitNr,0))),N(INDEX(MinWerktag,MATCH(5,ArbeitNr,0)))))</f>
      </c>
      <c r="AC90" s="1">
        <f>IF($AM42="","",IF(OR(AC$51&gt;=6,AC$50=1),N(INDEX(MinFrei,MATCH(5,ArbeitNr,0))),N(INDEX(MinWerktag,MATCH(5,ArbeitNr,0)))))</f>
      </c>
      <c r="AD90" s="1">
        <f>IF($AM42="","",IF(OR(AD$51&gt;=6,AD$50=1),N(INDEX(MinFrei,MATCH(5,ArbeitNr,0))),N(INDEX(MinWerktag,MATCH(5,ArbeitNr,0)))))</f>
      </c>
      <c r="AE90" s="1">
        <f>IF($AM42="","",IF(OR(AE$51&gt;=6,AE$50=1),N(INDEX(MinFrei,MATCH(5,ArbeitNr,0))),N(INDEX(MinWerktag,MATCH(5,ArbeitNr,0)))))</f>
      </c>
      <c r="AF90" s="1">
        <f>IF($AM42="","",IF(OR(AF$51&gt;=6,AF$50=1),N(INDEX(MinFrei,MATCH(5,ArbeitNr,0))),N(INDEX(MinWerktag,MATCH(5,ArbeitNr,0)))))</f>
      </c>
    </row>
    <row r="91" hidden="1" spans="1:32" x14ac:dyDescent="0.25">
      <c r="A91" s="1"/>
      <c r="B91" s="1">
        <f>IF($AM43="","",IF(OR(B$51&gt;=6,B$50=1),N(INDEX(MinFrei,MATCH(6,ArbeitNr,0))),N(INDEX(MinWerktag,MATCH(6,ArbeitNr,0)))))</f>
      </c>
      <c r="C91" s="1">
        <f>IF($AM43="","",IF(OR(C$51&gt;=6,C$50=1),N(INDEX(MinFrei,MATCH(6,ArbeitNr,0))),N(INDEX(MinWerktag,MATCH(6,ArbeitNr,0)))))</f>
      </c>
      <c r="D91" s="1">
        <f>IF($AM43="","",IF(OR(D$51&gt;=6,D$50=1),N(INDEX(MinFrei,MATCH(6,ArbeitNr,0))),N(INDEX(MinWerktag,MATCH(6,ArbeitNr,0)))))</f>
      </c>
      <c r="E91" s="1">
        <f>IF($AM43="","",IF(OR(E$51&gt;=6,E$50=1),N(INDEX(MinFrei,MATCH(6,ArbeitNr,0))),N(INDEX(MinWerktag,MATCH(6,ArbeitNr,0)))))</f>
      </c>
      <c r="F91" s="1">
        <f>IF($AM43="","",IF(OR(F$51&gt;=6,F$50=1),N(INDEX(MinFrei,MATCH(6,ArbeitNr,0))),N(INDEX(MinWerktag,MATCH(6,ArbeitNr,0)))))</f>
      </c>
      <c r="G91" s="1">
        <f>IF($AM43="","",IF(OR(G$51&gt;=6,G$50=1),N(INDEX(MinFrei,MATCH(6,ArbeitNr,0))),N(INDEX(MinWerktag,MATCH(6,ArbeitNr,0)))))</f>
      </c>
      <c r="H91" s="1">
        <f>IF($AM43="","",IF(OR(H$51&gt;=6,H$50=1),N(INDEX(MinFrei,MATCH(6,ArbeitNr,0))),N(INDEX(MinWerktag,MATCH(6,ArbeitNr,0)))))</f>
      </c>
      <c r="I91" s="1">
        <f>IF($AM43="","",IF(OR(I$51&gt;=6,I$50=1),N(INDEX(MinFrei,MATCH(6,ArbeitNr,0))),N(INDEX(MinWerktag,MATCH(6,ArbeitNr,0)))))</f>
      </c>
      <c r="J91" s="1">
        <f>IF($AM43="","",IF(OR(J$51&gt;=6,J$50=1),N(INDEX(MinFrei,MATCH(6,ArbeitNr,0))),N(INDEX(MinWerktag,MATCH(6,ArbeitNr,0)))))</f>
      </c>
      <c r="K91" s="1">
        <f>IF($AM43="","",IF(OR(K$51&gt;=6,K$50=1),N(INDEX(MinFrei,MATCH(6,ArbeitNr,0))),N(INDEX(MinWerktag,MATCH(6,ArbeitNr,0)))))</f>
      </c>
      <c r="L91" s="1">
        <f>IF($AM43="","",IF(OR(L$51&gt;=6,L$50=1),N(INDEX(MinFrei,MATCH(6,ArbeitNr,0))),N(INDEX(MinWerktag,MATCH(6,ArbeitNr,0)))))</f>
      </c>
      <c r="M91" s="1">
        <f>IF($AM43="","",IF(OR(M$51&gt;=6,M$50=1),N(INDEX(MinFrei,MATCH(6,ArbeitNr,0))),N(INDEX(MinWerktag,MATCH(6,ArbeitNr,0)))))</f>
      </c>
      <c r="N91" s="1">
        <f>IF($AM43="","",IF(OR(N$51&gt;=6,N$50=1),N(INDEX(MinFrei,MATCH(6,ArbeitNr,0))),N(INDEX(MinWerktag,MATCH(6,ArbeitNr,0)))))</f>
      </c>
      <c r="O91" s="1">
        <f>IF($AM43="","",IF(OR(O$51&gt;=6,O$50=1),N(INDEX(MinFrei,MATCH(6,ArbeitNr,0))),N(INDEX(MinWerktag,MATCH(6,ArbeitNr,0)))))</f>
      </c>
      <c r="P91" s="1">
        <f>IF($AM43="","",IF(OR(P$51&gt;=6,P$50=1),N(INDEX(MinFrei,MATCH(6,ArbeitNr,0))),N(INDEX(MinWerktag,MATCH(6,ArbeitNr,0)))))</f>
      </c>
      <c r="Q91" s="1">
        <f>IF($AM43="","",IF(OR(Q$51&gt;=6,Q$50=1),N(INDEX(MinFrei,MATCH(6,ArbeitNr,0))),N(INDEX(MinWerktag,MATCH(6,ArbeitNr,0)))))</f>
      </c>
      <c r="R91" s="1">
        <f>IF($AM43="","",IF(OR(R$51&gt;=6,R$50=1),N(INDEX(MinFrei,MATCH(6,ArbeitNr,0))),N(INDEX(MinWerktag,MATCH(6,ArbeitNr,0)))))</f>
      </c>
      <c r="S91" s="1">
        <f>IF($AM43="","",IF(OR(S$51&gt;=6,S$50=1),N(INDEX(MinFrei,MATCH(6,ArbeitNr,0))),N(INDEX(MinWerktag,MATCH(6,ArbeitNr,0)))))</f>
      </c>
      <c r="T91" s="1">
        <f>IF($AM43="","",IF(OR(T$51&gt;=6,T$50=1),N(INDEX(MinFrei,MATCH(6,ArbeitNr,0))),N(INDEX(MinWerktag,MATCH(6,ArbeitNr,0)))))</f>
      </c>
      <c r="U91" s="1">
        <f>IF($AM43="","",IF(OR(U$51&gt;=6,U$50=1),N(INDEX(MinFrei,MATCH(6,ArbeitNr,0))),N(INDEX(MinWerktag,MATCH(6,ArbeitNr,0)))))</f>
      </c>
      <c r="V91" s="1">
        <f>IF($AM43="","",IF(OR(V$51&gt;=6,V$50=1),N(INDEX(MinFrei,MATCH(6,ArbeitNr,0))),N(INDEX(MinWerktag,MATCH(6,ArbeitNr,0)))))</f>
      </c>
      <c r="W91" s="1">
        <f>IF($AM43="","",IF(OR(W$51&gt;=6,W$50=1),N(INDEX(MinFrei,MATCH(6,ArbeitNr,0))),N(INDEX(MinWerktag,MATCH(6,ArbeitNr,0)))))</f>
      </c>
      <c r="X91" s="1">
        <f>IF($AM43="","",IF(OR(X$51&gt;=6,X$50=1),N(INDEX(MinFrei,MATCH(6,ArbeitNr,0))),N(INDEX(MinWerktag,MATCH(6,ArbeitNr,0)))))</f>
      </c>
      <c r="Y91" s="1">
        <f>IF($AM43="","",IF(OR(Y$51&gt;=6,Y$50=1),N(INDEX(MinFrei,MATCH(6,ArbeitNr,0))),N(INDEX(MinWerktag,MATCH(6,ArbeitNr,0)))))</f>
      </c>
      <c r="Z91" s="1">
        <f>IF($AM43="","",IF(OR(Z$51&gt;=6,Z$50=1),N(INDEX(MinFrei,MATCH(6,ArbeitNr,0))),N(INDEX(MinWerktag,MATCH(6,ArbeitNr,0)))))</f>
      </c>
      <c r="AA91" s="1">
        <f>IF($AM43="","",IF(OR(AA$51&gt;=6,AA$50=1),N(INDEX(MinFrei,MATCH(6,ArbeitNr,0))),N(INDEX(MinWerktag,MATCH(6,ArbeitNr,0)))))</f>
      </c>
      <c r="AB91" s="1">
        <f>IF($AM43="","",IF(OR(AB$51&gt;=6,AB$50=1),N(INDEX(MinFrei,MATCH(6,ArbeitNr,0))),N(INDEX(MinWerktag,MATCH(6,ArbeitNr,0)))))</f>
      </c>
      <c r="AC91" s="1">
        <f>IF($AM43="","",IF(OR(AC$51&gt;=6,AC$50=1),N(INDEX(MinFrei,MATCH(6,ArbeitNr,0))),N(INDEX(MinWerktag,MATCH(6,ArbeitNr,0)))))</f>
      </c>
      <c r="AD91" s="1">
        <f>IF($AM43="","",IF(OR(AD$51&gt;=6,AD$50=1),N(INDEX(MinFrei,MATCH(6,ArbeitNr,0))),N(INDEX(MinWerktag,MATCH(6,ArbeitNr,0)))))</f>
      </c>
      <c r="AE91" s="1">
        <f>IF($AM43="","",IF(OR(AE$51&gt;=6,AE$50=1),N(INDEX(MinFrei,MATCH(6,ArbeitNr,0))),N(INDEX(MinWerktag,MATCH(6,ArbeitNr,0)))))</f>
      </c>
      <c r="AF91" s="1">
        <f>IF($AM43="","",IF(OR(AF$51&gt;=6,AF$50=1),N(INDEX(MinFrei,MATCH(6,ArbeitNr,0))),N(INDEX(MinWerktag,MATCH(6,ArbeitNr,0)))))</f>
      </c>
    </row>
    <row r="92" hidden="1" spans="1:32" x14ac:dyDescent="0.25">
      <c r="A92" s="1"/>
      <c r="B92" s="1">
        <f>IF($AM44="","",IF(OR(B$51&gt;=6,B$50=1),N(INDEX(MinFrei,MATCH(7,ArbeitNr,0))),N(INDEX(MinWerktag,MATCH(7,ArbeitNr,0)))))</f>
      </c>
      <c r="C92" s="1">
        <f>IF($AM44="","",IF(OR(C$51&gt;=6,C$50=1),N(INDEX(MinFrei,MATCH(7,ArbeitNr,0))),N(INDEX(MinWerktag,MATCH(7,ArbeitNr,0)))))</f>
      </c>
      <c r="D92" s="1">
        <f>IF($AM44="","",IF(OR(D$51&gt;=6,D$50=1),N(INDEX(MinFrei,MATCH(7,ArbeitNr,0))),N(INDEX(MinWerktag,MATCH(7,ArbeitNr,0)))))</f>
      </c>
      <c r="E92" s="1">
        <f>IF($AM44="","",IF(OR(E$51&gt;=6,E$50=1),N(INDEX(MinFrei,MATCH(7,ArbeitNr,0))),N(INDEX(MinWerktag,MATCH(7,ArbeitNr,0)))))</f>
      </c>
      <c r="F92" s="1">
        <f>IF($AM44="","",IF(OR(F$51&gt;=6,F$50=1),N(INDEX(MinFrei,MATCH(7,ArbeitNr,0))),N(INDEX(MinWerktag,MATCH(7,ArbeitNr,0)))))</f>
      </c>
      <c r="G92" s="1">
        <f>IF($AM44="","",IF(OR(G$51&gt;=6,G$50=1),N(INDEX(MinFrei,MATCH(7,ArbeitNr,0))),N(INDEX(MinWerktag,MATCH(7,ArbeitNr,0)))))</f>
      </c>
      <c r="H92" s="1">
        <f>IF($AM44="","",IF(OR(H$51&gt;=6,H$50=1),N(INDEX(MinFrei,MATCH(7,ArbeitNr,0))),N(INDEX(MinWerktag,MATCH(7,ArbeitNr,0)))))</f>
      </c>
      <c r="I92" s="1">
        <f>IF($AM44="","",IF(OR(I$51&gt;=6,I$50=1),N(INDEX(MinFrei,MATCH(7,ArbeitNr,0))),N(INDEX(MinWerktag,MATCH(7,ArbeitNr,0)))))</f>
      </c>
      <c r="J92" s="1">
        <f>IF($AM44="","",IF(OR(J$51&gt;=6,J$50=1),N(INDEX(MinFrei,MATCH(7,ArbeitNr,0))),N(INDEX(MinWerktag,MATCH(7,ArbeitNr,0)))))</f>
      </c>
      <c r="K92" s="1">
        <f>IF($AM44="","",IF(OR(K$51&gt;=6,K$50=1),N(INDEX(MinFrei,MATCH(7,ArbeitNr,0))),N(INDEX(MinWerktag,MATCH(7,ArbeitNr,0)))))</f>
      </c>
      <c r="L92" s="1">
        <f>IF($AM44="","",IF(OR(L$51&gt;=6,L$50=1),N(INDEX(MinFrei,MATCH(7,ArbeitNr,0))),N(INDEX(MinWerktag,MATCH(7,ArbeitNr,0)))))</f>
      </c>
      <c r="M92" s="1">
        <f>IF($AM44="","",IF(OR(M$51&gt;=6,M$50=1),N(INDEX(MinFrei,MATCH(7,ArbeitNr,0))),N(INDEX(MinWerktag,MATCH(7,ArbeitNr,0)))))</f>
      </c>
      <c r="N92" s="1">
        <f>IF($AM44="","",IF(OR(N$51&gt;=6,N$50=1),N(INDEX(MinFrei,MATCH(7,ArbeitNr,0))),N(INDEX(MinWerktag,MATCH(7,ArbeitNr,0)))))</f>
      </c>
      <c r="O92" s="1">
        <f>IF($AM44="","",IF(OR(O$51&gt;=6,O$50=1),N(INDEX(MinFrei,MATCH(7,ArbeitNr,0))),N(INDEX(MinWerktag,MATCH(7,ArbeitNr,0)))))</f>
      </c>
      <c r="P92" s="1">
        <f>IF($AM44="","",IF(OR(P$51&gt;=6,P$50=1),N(INDEX(MinFrei,MATCH(7,ArbeitNr,0))),N(INDEX(MinWerktag,MATCH(7,ArbeitNr,0)))))</f>
      </c>
      <c r="Q92" s="1">
        <f>IF($AM44="","",IF(OR(Q$51&gt;=6,Q$50=1),N(INDEX(MinFrei,MATCH(7,ArbeitNr,0))),N(INDEX(MinWerktag,MATCH(7,ArbeitNr,0)))))</f>
      </c>
      <c r="R92" s="1">
        <f>IF($AM44="","",IF(OR(R$51&gt;=6,R$50=1),N(INDEX(MinFrei,MATCH(7,ArbeitNr,0))),N(INDEX(MinWerktag,MATCH(7,ArbeitNr,0)))))</f>
      </c>
      <c r="S92" s="1">
        <f>IF($AM44="","",IF(OR(S$51&gt;=6,S$50=1),N(INDEX(MinFrei,MATCH(7,ArbeitNr,0))),N(INDEX(MinWerktag,MATCH(7,ArbeitNr,0)))))</f>
      </c>
      <c r="T92" s="1">
        <f>IF($AM44="","",IF(OR(T$51&gt;=6,T$50=1),N(INDEX(MinFrei,MATCH(7,ArbeitNr,0))),N(INDEX(MinWerktag,MATCH(7,ArbeitNr,0)))))</f>
      </c>
      <c r="U92" s="1">
        <f>IF($AM44="","",IF(OR(U$51&gt;=6,U$50=1),N(INDEX(MinFrei,MATCH(7,ArbeitNr,0))),N(INDEX(MinWerktag,MATCH(7,ArbeitNr,0)))))</f>
      </c>
      <c r="V92" s="1">
        <f>IF($AM44="","",IF(OR(V$51&gt;=6,V$50=1),N(INDEX(MinFrei,MATCH(7,ArbeitNr,0))),N(INDEX(MinWerktag,MATCH(7,ArbeitNr,0)))))</f>
      </c>
      <c r="W92" s="1">
        <f>IF($AM44="","",IF(OR(W$51&gt;=6,W$50=1),N(INDEX(MinFrei,MATCH(7,ArbeitNr,0))),N(INDEX(MinWerktag,MATCH(7,ArbeitNr,0)))))</f>
      </c>
      <c r="X92" s="1">
        <f>IF($AM44="","",IF(OR(X$51&gt;=6,X$50=1),N(INDEX(MinFrei,MATCH(7,ArbeitNr,0))),N(INDEX(MinWerktag,MATCH(7,ArbeitNr,0)))))</f>
      </c>
      <c r="Y92" s="1">
        <f>IF($AM44="","",IF(OR(Y$51&gt;=6,Y$50=1),N(INDEX(MinFrei,MATCH(7,ArbeitNr,0))),N(INDEX(MinWerktag,MATCH(7,ArbeitNr,0)))))</f>
      </c>
      <c r="Z92" s="1">
        <f>IF($AM44="","",IF(OR(Z$51&gt;=6,Z$50=1),N(INDEX(MinFrei,MATCH(7,ArbeitNr,0))),N(INDEX(MinWerktag,MATCH(7,ArbeitNr,0)))))</f>
      </c>
      <c r="AA92" s="1">
        <f>IF($AM44="","",IF(OR(AA$51&gt;=6,AA$50=1),N(INDEX(MinFrei,MATCH(7,ArbeitNr,0))),N(INDEX(MinWerktag,MATCH(7,ArbeitNr,0)))))</f>
      </c>
      <c r="AB92" s="1">
        <f>IF($AM44="","",IF(OR(AB$51&gt;=6,AB$50=1),N(INDEX(MinFrei,MATCH(7,ArbeitNr,0))),N(INDEX(MinWerktag,MATCH(7,ArbeitNr,0)))))</f>
      </c>
      <c r="AC92" s="1">
        <f>IF($AM44="","",IF(OR(AC$51&gt;=6,AC$50=1),N(INDEX(MinFrei,MATCH(7,ArbeitNr,0))),N(INDEX(MinWerktag,MATCH(7,ArbeitNr,0)))))</f>
      </c>
      <c r="AD92" s="1">
        <f>IF($AM44="","",IF(OR(AD$51&gt;=6,AD$50=1),N(INDEX(MinFrei,MATCH(7,ArbeitNr,0))),N(INDEX(MinWerktag,MATCH(7,ArbeitNr,0)))))</f>
      </c>
      <c r="AE92" s="1">
        <f>IF($AM44="","",IF(OR(AE$51&gt;=6,AE$50=1),N(INDEX(MinFrei,MATCH(7,ArbeitNr,0))),N(INDEX(MinWerktag,MATCH(7,ArbeitNr,0)))))</f>
      </c>
      <c r="AF92" s="1">
        <f>IF($AM44="","",IF(OR(AF$51&gt;=6,AF$50=1),N(INDEX(MinFrei,MATCH(7,ArbeitNr,0))),N(INDEX(MinWerktag,MATCH(7,ArbeitNr,0)))))</f>
      </c>
    </row>
    <row r="93" hidden="1" spans="1:32" x14ac:dyDescent="0.25">
      <c r="A93" s="1"/>
      <c r="B93" s="1">
        <f>IF($AM45="","",IF(OR(B$51&gt;=6,B$50=1),N(INDEX(MinFrei,MATCH(8,ArbeitNr,0))),N(INDEX(MinWerktag,MATCH(8,ArbeitNr,0)))))</f>
      </c>
      <c r="C93" s="1">
        <f>IF($AM45="","",IF(OR(C$51&gt;=6,C$50=1),N(INDEX(MinFrei,MATCH(8,ArbeitNr,0))),N(INDEX(MinWerktag,MATCH(8,ArbeitNr,0)))))</f>
      </c>
      <c r="D93" s="1">
        <f>IF($AM45="","",IF(OR(D$51&gt;=6,D$50=1),N(INDEX(MinFrei,MATCH(8,ArbeitNr,0))),N(INDEX(MinWerktag,MATCH(8,ArbeitNr,0)))))</f>
      </c>
      <c r="E93" s="1">
        <f>IF($AM45="","",IF(OR(E$51&gt;=6,E$50=1),N(INDEX(MinFrei,MATCH(8,ArbeitNr,0))),N(INDEX(MinWerktag,MATCH(8,ArbeitNr,0)))))</f>
      </c>
      <c r="F93" s="1">
        <f>IF($AM45="","",IF(OR(F$51&gt;=6,F$50=1),N(INDEX(MinFrei,MATCH(8,ArbeitNr,0))),N(INDEX(MinWerktag,MATCH(8,ArbeitNr,0)))))</f>
      </c>
      <c r="G93" s="1">
        <f>IF($AM45="","",IF(OR(G$51&gt;=6,G$50=1),N(INDEX(MinFrei,MATCH(8,ArbeitNr,0))),N(INDEX(MinWerktag,MATCH(8,ArbeitNr,0)))))</f>
      </c>
      <c r="H93" s="1">
        <f>IF($AM45="","",IF(OR(H$51&gt;=6,H$50=1),N(INDEX(MinFrei,MATCH(8,ArbeitNr,0))),N(INDEX(MinWerktag,MATCH(8,ArbeitNr,0)))))</f>
      </c>
      <c r="I93" s="1">
        <f>IF($AM45="","",IF(OR(I$51&gt;=6,I$50=1),N(INDEX(MinFrei,MATCH(8,ArbeitNr,0))),N(INDEX(MinWerktag,MATCH(8,ArbeitNr,0)))))</f>
      </c>
      <c r="J93" s="1">
        <f>IF($AM45="","",IF(OR(J$51&gt;=6,J$50=1),N(INDEX(MinFrei,MATCH(8,ArbeitNr,0))),N(INDEX(MinWerktag,MATCH(8,ArbeitNr,0)))))</f>
      </c>
      <c r="K93" s="1">
        <f>IF($AM45="","",IF(OR(K$51&gt;=6,K$50=1),N(INDEX(MinFrei,MATCH(8,ArbeitNr,0))),N(INDEX(MinWerktag,MATCH(8,ArbeitNr,0)))))</f>
      </c>
      <c r="L93" s="1">
        <f>IF($AM45="","",IF(OR(L$51&gt;=6,L$50=1),N(INDEX(MinFrei,MATCH(8,ArbeitNr,0))),N(INDEX(MinWerktag,MATCH(8,ArbeitNr,0)))))</f>
      </c>
      <c r="M93" s="1">
        <f>IF($AM45="","",IF(OR(M$51&gt;=6,M$50=1),N(INDEX(MinFrei,MATCH(8,ArbeitNr,0))),N(INDEX(MinWerktag,MATCH(8,ArbeitNr,0)))))</f>
      </c>
      <c r="N93" s="1">
        <f>IF($AM45="","",IF(OR(N$51&gt;=6,N$50=1),N(INDEX(MinFrei,MATCH(8,ArbeitNr,0))),N(INDEX(MinWerktag,MATCH(8,ArbeitNr,0)))))</f>
      </c>
      <c r="O93" s="1">
        <f>IF($AM45="","",IF(OR(O$51&gt;=6,O$50=1),N(INDEX(MinFrei,MATCH(8,ArbeitNr,0))),N(INDEX(MinWerktag,MATCH(8,ArbeitNr,0)))))</f>
      </c>
      <c r="P93" s="1">
        <f>IF($AM45="","",IF(OR(P$51&gt;=6,P$50=1),N(INDEX(MinFrei,MATCH(8,ArbeitNr,0))),N(INDEX(MinWerktag,MATCH(8,ArbeitNr,0)))))</f>
      </c>
      <c r="Q93" s="1">
        <f>IF($AM45="","",IF(OR(Q$51&gt;=6,Q$50=1),N(INDEX(MinFrei,MATCH(8,ArbeitNr,0))),N(INDEX(MinWerktag,MATCH(8,ArbeitNr,0)))))</f>
      </c>
      <c r="R93" s="1">
        <f>IF($AM45="","",IF(OR(R$51&gt;=6,R$50=1),N(INDEX(MinFrei,MATCH(8,ArbeitNr,0))),N(INDEX(MinWerktag,MATCH(8,ArbeitNr,0)))))</f>
      </c>
      <c r="S93" s="1">
        <f>IF($AM45="","",IF(OR(S$51&gt;=6,S$50=1),N(INDEX(MinFrei,MATCH(8,ArbeitNr,0))),N(INDEX(MinWerktag,MATCH(8,ArbeitNr,0)))))</f>
      </c>
      <c r="T93" s="1">
        <f>IF($AM45="","",IF(OR(T$51&gt;=6,T$50=1),N(INDEX(MinFrei,MATCH(8,ArbeitNr,0))),N(INDEX(MinWerktag,MATCH(8,ArbeitNr,0)))))</f>
      </c>
      <c r="U93" s="1">
        <f>IF($AM45="","",IF(OR(U$51&gt;=6,U$50=1),N(INDEX(MinFrei,MATCH(8,ArbeitNr,0))),N(INDEX(MinWerktag,MATCH(8,ArbeitNr,0)))))</f>
      </c>
      <c r="V93" s="1">
        <f>IF($AM45="","",IF(OR(V$51&gt;=6,V$50=1),N(INDEX(MinFrei,MATCH(8,ArbeitNr,0))),N(INDEX(MinWerktag,MATCH(8,ArbeitNr,0)))))</f>
      </c>
      <c r="W93" s="1">
        <f>IF($AM45="","",IF(OR(W$51&gt;=6,W$50=1),N(INDEX(MinFrei,MATCH(8,ArbeitNr,0))),N(INDEX(MinWerktag,MATCH(8,ArbeitNr,0)))))</f>
      </c>
      <c r="X93" s="1">
        <f>IF($AM45="","",IF(OR(X$51&gt;=6,X$50=1),N(INDEX(MinFrei,MATCH(8,ArbeitNr,0))),N(INDEX(MinWerktag,MATCH(8,ArbeitNr,0)))))</f>
      </c>
      <c r="Y93" s="1">
        <f>IF($AM45="","",IF(OR(Y$51&gt;=6,Y$50=1),N(INDEX(MinFrei,MATCH(8,ArbeitNr,0))),N(INDEX(MinWerktag,MATCH(8,ArbeitNr,0)))))</f>
      </c>
      <c r="Z93" s="1">
        <f>IF($AM45="","",IF(OR(Z$51&gt;=6,Z$50=1),N(INDEX(MinFrei,MATCH(8,ArbeitNr,0))),N(INDEX(MinWerktag,MATCH(8,ArbeitNr,0)))))</f>
      </c>
      <c r="AA93" s="1">
        <f>IF($AM45="","",IF(OR(AA$51&gt;=6,AA$50=1),N(INDEX(MinFrei,MATCH(8,ArbeitNr,0))),N(INDEX(MinWerktag,MATCH(8,ArbeitNr,0)))))</f>
      </c>
      <c r="AB93" s="1">
        <f>IF($AM45="","",IF(OR(AB$51&gt;=6,AB$50=1),N(INDEX(MinFrei,MATCH(8,ArbeitNr,0))),N(INDEX(MinWerktag,MATCH(8,ArbeitNr,0)))))</f>
      </c>
      <c r="AC93" s="1">
        <f>IF($AM45="","",IF(OR(AC$51&gt;=6,AC$50=1),N(INDEX(MinFrei,MATCH(8,ArbeitNr,0))),N(INDEX(MinWerktag,MATCH(8,ArbeitNr,0)))))</f>
      </c>
      <c r="AD93" s="1">
        <f>IF($AM45="","",IF(OR(AD$51&gt;=6,AD$50=1),N(INDEX(MinFrei,MATCH(8,ArbeitNr,0))),N(INDEX(MinWerktag,MATCH(8,ArbeitNr,0)))))</f>
      </c>
      <c r="AE93" s="1">
        <f>IF($AM45="","",IF(OR(AE$51&gt;=6,AE$50=1),N(INDEX(MinFrei,MATCH(8,ArbeitNr,0))),N(INDEX(MinWerktag,MATCH(8,ArbeitNr,0)))))</f>
      </c>
      <c r="AF93" s="1">
        <f>IF($AM45="","",IF(OR(AF$51&gt;=6,AF$50=1),N(INDEX(MinFrei,MATCH(8,ArbeitNr,0))),N(INDEX(MinWerktag,MATCH(8,ArbeitNr,0)))))</f>
      </c>
    </row>
  </sheetData>
  <sheetProtection sheet="1" formatCells="0" formatColumns="0" formatRows="0"/>
  <mergeCells count="1">
    <mergeCell ref="B48:U48"/>
  </mergeCells>
  <conditionalFormatting sqref="B6:AF35">
    <cfRule type="expression" dxfId="40" priority="1">
      <formula>B$52=0</formula>
    </cfRule>
    <cfRule type="expression" dxfId="41" priority="2">
      <formula>B55=1</formula>
    </cfRule>
    <cfRule type="expression" dxfId="42" priority="3">
      <formula>AND(B6&lt;&gt;"",UPPER(B6)=UPPER(Einstellungen!$A$9))</formula>
    </cfRule>
    <cfRule type="expression" dxfId="43" priority="4">
      <formula>AND(B6&lt;&gt;"",UPPER(B6)=UPPER(Einstellungen!$A$10))</formula>
    </cfRule>
    <cfRule type="expression" dxfId="44" priority="5">
      <formula>AND(B6&lt;&gt;"",UPPER(B6)=UPPER(Einstellungen!$A$11))</formula>
    </cfRule>
    <cfRule type="expression" dxfId="45" priority="6">
      <formula>AND(B6&lt;&gt;"",UPPER(B6)=UPPER(Einstellungen!$A$12))</formula>
    </cfRule>
    <cfRule type="expression" dxfId="46" priority="7">
      <formula>AND(B6&lt;&gt;"",UPPER(B6)=UPPER(Einstellungen!$A$13))</formula>
    </cfRule>
    <cfRule type="expression" dxfId="47" priority="8">
      <formula>AND(B6&lt;&gt;"",UPPER(B6)=UPPER(Einstellungen!$A$14))</formula>
    </cfRule>
    <cfRule type="expression" dxfId="48" priority="9">
      <formula>AND(B6&lt;&gt;"",UPPER(B6)=UPPER(Einstellungen!$A$15))</formula>
    </cfRule>
    <cfRule type="expression" dxfId="49" priority="10">
      <formula>AND(B6&lt;&gt;"",UPPER(B6)=UPPER(Einstellungen!$A$16))</formula>
    </cfRule>
    <cfRule type="expression" dxfId="50" priority="11">
      <formula>AND(B6&lt;&gt;"",UPPER(B6)=UPPER(Einstellungen!$A$17))</formula>
    </cfRule>
    <cfRule type="expression" dxfId="51" priority="12">
      <formula>AND(B6&lt;&gt;"",UPPER(B6)=UPPER(Einstellungen!$A$18))</formula>
    </cfRule>
    <cfRule type="expression" dxfId="52" priority="13">
      <formula>AND(B6&lt;&gt;"",UPPER(B6)=UPPER(Einstellungen!$A$19))</formula>
    </cfRule>
    <cfRule type="expression" dxfId="53" priority="14">
      <formula>AND(B6&lt;&gt;"",UPPER(B6)=UPPER(Einstellungen!$A$20))</formula>
    </cfRule>
    <cfRule type="expression" dxfId="54" priority="20">
      <formula>B$50=1</formula>
    </cfRule>
    <cfRule type="expression" dxfId="55" priority="21">
      <formula>B$51&gt;=6</formula>
    </cfRule>
  </conditionalFormatting>
  <conditionalFormatting sqref="B4:AF5">
    <cfRule type="expression" dxfId="56" priority="22">
      <formula>B$52=0</formula>
    </cfRule>
    <cfRule type="expression" dxfId="57" priority="23">
      <formula>B$50=1</formula>
    </cfRule>
    <cfRule type="expression" dxfId="58" priority="24">
      <formula>B$51&gt;=6</formula>
    </cfRule>
  </conditionalFormatting>
  <conditionalFormatting sqref="B38:AF45">
    <cfRule type="expression" dxfId="59" priority="25">
      <formula>AND(B38&lt;&gt;"",N(B38)&lt;N(B86))</formula>
    </cfRule>
  </conditionalFormatting>
  <dataValidations count="4">
    <dataValidation type="list" allowBlank="1" showErrorMessage="1" errorTitle="Schicht" error="Bitte ein Kürzel aus den Einstellungen wählen (z. B. F, S, N, U, K)." sqref="AA10:AF35">
      <formula1>Codes</formula1>
    </dataValidation>
    <dataValidation type="list" allowBlank="1" showErrorMessage="1" errorTitle="Schicht" error="Bitte ein Kürzel aus den Einstellungen wählen (z. B. F, S, N, U, K)." sqref="AA6:AF35">
      <formula1>Codes</formula1>
    </dataValidation>
    <dataValidation type="list" allowBlank="1" showErrorMessage="1" errorTitle="Schicht" error="Bitte ein Kürzel aus den Einstellungen wählen (z. B. F, S, N, U, K)." sqref="B10:AF35">
      <formula1>Codes</formula1>
    </dataValidation>
    <dataValidation type="list" allowBlank="1" showErrorMessage="1" errorTitle="Schicht" error="Bitte ein Kürzel aus den Einstellungen wählen (z. B. F, S, N, U, K)." sqref="B6:AF35">
      <formula1>Codes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93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32" width="4.2" customWidth="1"/>
    <col min="36" max="37" width="7" customWidth="1"/>
    <col min="38" max="38" width="30" customWidth="1"/>
    <col min="39" max="39" width="9" hidden="1" customWidth="1"/>
  </cols>
  <sheetData>
    <row r="1" spans="1:1" x14ac:dyDescent="0.25">
      <c r="A1" s="5">
        <f>"Dienstplan April "&amp;Jahr&amp;IF(Team="",""," · "&amp;Team)</f>
      </c>
    </row>
    <row r="2" spans="1:1" x14ac:dyDescent="0.25">
      <c r="A2" s="7">
        <f>IF(Bundesland="","Bitte in den Einstellungen das Bundesland wählen, damit die Feiertage stimmen.","Feiertage: "&amp;Bundesland)</f>
      </c>
    </row>
    <row r="3" spans="1:1" x14ac:dyDescent="0.25">
      <c r="A3" s="30">
        <f>Legende</f>
      </c>
    </row>
    <row r="4" spans="1:32" x14ac:dyDescent="0.25">
      <c r="A4" s="1"/>
      <c r="B4" s="31">
        <f>IF(B$5="","",CHOOSE(WEEKDAY(B$5,2),"Mo","Di","Mi","Do","Fr","Sa","So"))</f>
      </c>
      <c r="C4" s="31">
        <f>IF(C$5="","",CHOOSE(WEEKDAY(C$5,2),"Mo","Di","Mi","Do","Fr","Sa","So"))</f>
      </c>
      <c r="D4" s="31">
        <f>IF(D$5="","",CHOOSE(WEEKDAY(D$5,2),"Mo","Di","Mi","Do","Fr","Sa","So"))</f>
      </c>
      <c r="E4" s="31">
        <f>IF(E$5="","",CHOOSE(WEEKDAY(E$5,2),"Mo","Di","Mi","Do","Fr","Sa","So"))</f>
      </c>
      <c r="F4" s="31">
        <f>IF(F$5="","",CHOOSE(WEEKDAY(F$5,2),"Mo","Di","Mi","Do","Fr","Sa","So"))</f>
      </c>
      <c r="G4" s="31">
        <f>IF(G$5="","",CHOOSE(WEEKDAY(G$5,2),"Mo","Di","Mi","Do","Fr","Sa","So"))</f>
      </c>
      <c r="H4" s="31">
        <f>IF(H$5="","",CHOOSE(WEEKDAY(H$5,2),"Mo","Di","Mi","Do","Fr","Sa","So"))</f>
      </c>
      <c r="I4" s="31">
        <f>IF(I$5="","",CHOOSE(WEEKDAY(I$5,2),"Mo","Di","Mi","Do","Fr","Sa","So"))</f>
      </c>
      <c r="J4" s="31">
        <f>IF(J$5="","",CHOOSE(WEEKDAY(J$5,2),"Mo","Di","Mi","Do","Fr","Sa","So"))</f>
      </c>
      <c r="K4" s="31">
        <f>IF(K$5="","",CHOOSE(WEEKDAY(K$5,2),"Mo","Di","Mi","Do","Fr","Sa","So"))</f>
      </c>
      <c r="L4" s="31">
        <f>IF(L$5="","",CHOOSE(WEEKDAY(L$5,2),"Mo","Di","Mi","Do","Fr","Sa","So"))</f>
      </c>
      <c r="M4" s="31">
        <f>IF(M$5="","",CHOOSE(WEEKDAY(M$5,2),"Mo","Di","Mi","Do","Fr","Sa","So"))</f>
      </c>
      <c r="N4" s="31">
        <f>IF(N$5="","",CHOOSE(WEEKDAY(N$5,2),"Mo","Di","Mi","Do","Fr","Sa","So"))</f>
      </c>
      <c r="O4" s="31">
        <f>IF(O$5="","",CHOOSE(WEEKDAY(O$5,2),"Mo","Di","Mi","Do","Fr","Sa","So"))</f>
      </c>
      <c r="P4" s="31">
        <f>IF(P$5="","",CHOOSE(WEEKDAY(P$5,2),"Mo","Di","Mi","Do","Fr","Sa","So"))</f>
      </c>
      <c r="Q4" s="31">
        <f>IF(Q$5="","",CHOOSE(WEEKDAY(Q$5,2),"Mo","Di","Mi","Do","Fr","Sa","So"))</f>
      </c>
      <c r="R4" s="31">
        <f>IF(R$5="","",CHOOSE(WEEKDAY(R$5,2),"Mo","Di","Mi","Do","Fr","Sa","So"))</f>
      </c>
      <c r="S4" s="31">
        <f>IF(S$5="","",CHOOSE(WEEKDAY(S$5,2),"Mo","Di","Mi","Do","Fr","Sa","So"))</f>
      </c>
      <c r="T4" s="31">
        <f>IF(T$5="","",CHOOSE(WEEKDAY(T$5,2),"Mo","Di","Mi","Do","Fr","Sa","So"))</f>
      </c>
      <c r="U4" s="31">
        <f>IF(U$5="","",CHOOSE(WEEKDAY(U$5,2),"Mo","Di","Mi","Do","Fr","Sa","So"))</f>
      </c>
      <c r="V4" s="31">
        <f>IF(V$5="","",CHOOSE(WEEKDAY(V$5,2),"Mo","Di","Mi","Do","Fr","Sa","So"))</f>
      </c>
      <c r="W4" s="31">
        <f>IF(W$5="","",CHOOSE(WEEKDAY(W$5,2),"Mo","Di","Mi","Do","Fr","Sa","So"))</f>
      </c>
      <c r="X4" s="31">
        <f>IF(X$5="","",CHOOSE(WEEKDAY(X$5,2),"Mo","Di","Mi","Do","Fr","Sa","So"))</f>
      </c>
      <c r="Y4" s="31">
        <f>IF(Y$5="","",CHOOSE(WEEKDAY(Y$5,2),"Mo","Di","Mi","Do","Fr","Sa","So"))</f>
      </c>
      <c r="Z4" s="31">
        <f>IF(Z$5="","",CHOOSE(WEEKDAY(Z$5,2),"Mo","Di","Mi","Do","Fr","Sa","So"))</f>
      </c>
      <c r="AA4" s="31">
        <f>IF(AA$5="","",CHOOSE(WEEKDAY(AA$5,2),"Mo","Di","Mi","Do","Fr","Sa","So"))</f>
      </c>
      <c r="AB4" s="31">
        <f>IF(AB$5="","",CHOOSE(WEEKDAY(AB$5,2),"Mo","Di","Mi","Do","Fr","Sa","So"))</f>
      </c>
      <c r="AC4" s="31">
        <f>IF(AC$5="","",CHOOSE(WEEKDAY(AC$5,2),"Mo","Di","Mi","Do","Fr","Sa","So"))</f>
      </c>
      <c r="AD4" s="31">
        <f>IF(AD$5="","",CHOOSE(WEEKDAY(AD$5,2),"Mo","Di","Mi","Do","Fr","Sa","So"))</f>
      </c>
      <c r="AE4" s="31">
        <f>IF(AE$5="","",CHOOSE(WEEKDAY(AE$5,2),"Mo","Di","Mi","Do","Fr","Sa","So"))</f>
      </c>
      <c r="AF4" s="31">
        <f>IF(AF$5="","",CHOOSE(WEEKDAY(AF$5,2),"Mo","Di","Mi","Do","Fr","Sa","So"))</f>
      </c>
    </row>
    <row r="5" ht="18" customHeight="1" spans="1:38" x14ac:dyDescent="0.25">
      <c r="A5" s="10" t="s">
        <v>52</v>
      </c>
      <c r="B5" s="32">
        <f>IF(MONTH(DATE(Jahr,4,1))=4,DATE(Jahr,4,1),"")</f>
      </c>
      <c r="C5" s="32">
        <f>IF(MONTH(DATE(Jahr,4,2))=4,DATE(Jahr,4,2),"")</f>
      </c>
      <c r="D5" s="32">
        <f>IF(MONTH(DATE(Jahr,4,3))=4,DATE(Jahr,4,3),"")</f>
      </c>
      <c r="E5" s="32">
        <f>IF(MONTH(DATE(Jahr,4,4))=4,DATE(Jahr,4,4),"")</f>
      </c>
      <c r="F5" s="32">
        <f>IF(MONTH(DATE(Jahr,4,5))=4,DATE(Jahr,4,5),"")</f>
      </c>
      <c r="G5" s="32">
        <f>IF(MONTH(DATE(Jahr,4,6))=4,DATE(Jahr,4,6),"")</f>
      </c>
      <c r="H5" s="32">
        <f>IF(MONTH(DATE(Jahr,4,7))=4,DATE(Jahr,4,7),"")</f>
      </c>
      <c r="I5" s="32">
        <f>IF(MONTH(DATE(Jahr,4,8))=4,DATE(Jahr,4,8),"")</f>
      </c>
      <c r="J5" s="32">
        <f>IF(MONTH(DATE(Jahr,4,9))=4,DATE(Jahr,4,9),"")</f>
      </c>
      <c r="K5" s="32">
        <f>IF(MONTH(DATE(Jahr,4,10))=4,DATE(Jahr,4,10),"")</f>
      </c>
      <c r="L5" s="32">
        <f>IF(MONTH(DATE(Jahr,4,11))=4,DATE(Jahr,4,11),"")</f>
      </c>
      <c r="M5" s="32">
        <f>IF(MONTH(DATE(Jahr,4,12))=4,DATE(Jahr,4,12),"")</f>
      </c>
      <c r="N5" s="32">
        <f>IF(MONTH(DATE(Jahr,4,13))=4,DATE(Jahr,4,13),"")</f>
      </c>
      <c r="O5" s="32">
        <f>IF(MONTH(DATE(Jahr,4,14))=4,DATE(Jahr,4,14),"")</f>
      </c>
      <c r="P5" s="32">
        <f>IF(MONTH(DATE(Jahr,4,15))=4,DATE(Jahr,4,15),"")</f>
      </c>
      <c r="Q5" s="32">
        <f>IF(MONTH(DATE(Jahr,4,16))=4,DATE(Jahr,4,16),"")</f>
      </c>
      <c r="R5" s="32">
        <f>IF(MONTH(DATE(Jahr,4,17))=4,DATE(Jahr,4,17),"")</f>
      </c>
      <c r="S5" s="32">
        <f>IF(MONTH(DATE(Jahr,4,18))=4,DATE(Jahr,4,18),"")</f>
      </c>
      <c r="T5" s="32">
        <f>IF(MONTH(DATE(Jahr,4,19))=4,DATE(Jahr,4,19),"")</f>
      </c>
      <c r="U5" s="32">
        <f>IF(MONTH(DATE(Jahr,4,20))=4,DATE(Jahr,4,20),"")</f>
      </c>
      <c r="V5" s="32">
        <f>IF(MONTH(DATE(Jahr,4,21))=4,DATE(Jahr,4,21),"")</f>
      </c>
      <c r="W5" s="32">
        <f>IF(MONTH(DATE(Jahr,4,22))=4,DATE(Jahr,4,22),"")</f>
      </c>
      <c r="X5" s="32">
        <f>IF(MONTH(DATE(Jahr,4,23))=4,DATE(Jahr,4,23),"")</f>
      </c>
      <c r="Y5" s="32">
        <f>IF(MONTH(DATE(Jahr,4,24))=4,DATE(Jahr,4,24),"")</f>
      </c>
      <c r="Z5" s="32">
        <f>IF(MONTH(DATE(Jahr,4,25))=4,DATE(Jahr,4,25),"")</f>
      </c>
      <c r="AA5" s="32">
        <f>IF(MONTH(DATE(Jahr,4,26))=4,DATE(Jahr,4,26),"")</f>
      </c>
      <c r="AB5" s="32">
        <f>IF(MONTH(DATE(Jahr,4,27))=4,DATE(Jahr,4,27),"")</f>
      </c>
      <c r="AC5" s="32">
        <f>IF(MONTH(DATE(Jahr,4,28))=4,DATE(Jahr,4,28),"")</f>
      </c>
      <c r="AD5" s="32">
        <f>IF(MONTH(DATE(Jahr,4,29))=4,DATE(Jahr,4,29),"")</f>
      </c>
      <c r="AE5" s="32">
        <f>IF(MONTH(DATE(Jahr,4,30))=4,DATE(Jahr,4,30),"")</f>
      </c>
      <c r="AF5" s="32">
        <f>IF(MONTH(DATE(Jahr,4,31))=4,DATE(Jahr,4,31),"")</f>
      </c>
      <c r="AG5" s="10" t="s">
        <v>60</v>
      </c>
      <c r="AH5" s="10" t="s">
        <v>61</v>
      </c>
      <c r="AI5" s="10" t="s">
        <v>62</v>
      </c>
      <c r="AJ5" s="10" t="s">
        <v>44</v>
      </c>
      <c r="AK5" s="10" t="s">
        <v>46</v>
      </c>
      <c r="AL5" s="10" t="s">
        <v>33</v>
      </c>
    </row>
    <row r="6" spans="1:38" x14ac:dyDescent="0.25">
      <c r="A6" s="33">
        <f>Mitarbeiter!$A$5&amp;""</f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5">
        <f>IF($A6="","",SUMPRODUCT(COUNTIFS(B6:AF6,Codes,$B$52:$AF$52,1)*(Arten="Arbeit")*Erste*NettoTage)+SUMPRODUCT(COUNTIFS(B6:AF6,Codes,$B$53:$AF$53,1)*((Arten="Urlaub")+(Arten="Krank")+(Arten="Bezahlt abwesend"))*Erste)*N(Mitarbeiter!$B$5)/5/24)</f>
      </c>
      <c r="AH6" s="35">
        <f>IF($A6="","",N(Mitarbeiter!$B$5)/5/24*SUM($B$53:$AF$53))</f>
      </c>
      <c r="AI6" s="36">
        <f>IF($A6="","",IF((AG6-AH6)&lt;0,"-","+")&amp;TEXT(ABS((AG6-AH6)),"[h]:mm"))</f>
      </c>
      <c r="AJ6" s="37">
        <f>IF($A6="","",SUMPRODUCT(COUNTIFS(B6:AF6,Codes,$B$53:$AF$53,1)*(Arten="Urlaub")*Erste))</f>
      </c>
      <c r="AK6" s="37">
        <f>IF($A6="","",SUMPRODUCT(COUNTIFS(B6:AF6,Codes,$B$53:$AF$53,1)*(Arten="Krank")*Erste))</f>
      </c>
      <c r="AL6" s="38">
        <f>IF($A6="","",IF(COUNTIF(B55:AF55,1)&gt;0,COUNTIF(B55:AF55,1)&amp;"× Ruhezeit unter 11 Std. (§ 5)","")&amp;IF((COUNTIFS(B6:AF6,"?*",$B$52:$AF$52,1)-SUMPRODUCT(COUNTIFS(B6:AF6,Codes,$B$52:$AF$52,1)*(Codes&lt;&gt;"")*Erste))&gt;0,IF(COUNTIF(B55:AF55,1)&gt;0,"; ","")&amp;(COUNTIFS(B6:AF6,"?*",$B$52:$AF$52,1)-SUMPRODUCT(COUNTIFS(B6:AF6,Codes,$B$52:$AF$52,1)*(Codes&lt;&gt;"")*Erste))&amp;"× unbekanntes Kürzel",""))</f>
      </c>
    </row>
    <row r="7" spans="1:38" x14ac:dyDescent="0.25">
      <c r="A7" s="33">
        <f>Mitarbeiter!$A$6&amp;""</f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5">
        <f>IF($A7="","",SUMPRODUCT(COUNTIFS(B7:AF7,Codes,$B$52:$AF$52,1)*(Arten="Arbeit")*Erste*NettoTage)+SUMPRODUCT(COUNTIFS(B7:AF7,Codes,$B$53:$AF$53,1)*((Arten="Urlaub")+(Arten="Krank")+(Arten="Bezahlt abwesend"))*Erste)*N(Mitarbeiter!$B$6)/5/24)</f>
      </c>
      <c r="AH7" s="35">
        <f>IF($A7="","",N(Mitarbeiter!$B$6)/5/24*SUM($B$53:$AF$53))</f>
      </c>
      <c r="AI7" s="36">
        <f>IF($A7="","",IF((AG7-AH7)&lt;0,"-","+")&amp;TEXT(ABS((AG7-AH7)),"[h]:mm"))</f>
      </c>
      <c r="AJ7" s="37">
        <f>IF($A7="","",SUMPRODUCT(COUNTIFS(B7:AF7,Codes,$B$53:$AF$53,1)*(Arten="Urlaub")*Erste))</f>
      </c>
      <c r="AK7" s="37">
        <f>IF($A7="","",SUMPRODUCT(COUNTIFS(B7:AF7,Codes,$B$53:$AF$53,1)*(Arten="Krank")*Erste))</f>
      </c>
      <c r="AL7" s="38">
        <f>IF($A7="","",IF(COUNTIF(B56:AF56,1)&gt;0,COUNTIF(B56:AF56,1)&amp;"× Ruhezeit unter 11 Std. (§ 5)","")&amp;IF((COUNTIFS(B7:AF7,"?*",$B$52:$AF$52,1)-SUMPRODUCT(COUNTIFS(B7:AF7,Codes,$B$52:$AF$52,1)*(Codes&lt;&gt;"")*Erste))&gt;0,IF(COUNTIF(B56:AF56,1)&gt;0,"; ","")&amp;(COUNTIFS(B7:AF7,"?*",$B$52:$AF$52,1)-SUMPRODUCT(COUNTIFS(B7:AF7,Codes,$B$52:$AF$52,1)*(Codes&lt;&gt;"")*Erste))&amp;"× unbekanntes Kürzel",""))</f>
      </c>
    </row>
    <row r="8" spans="1:38" x14ac:dyDescent="0.25">
      <c r="A8" s="33">
        <f>Mitarbeiter!$A$7&amp;""</f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5">
        <f>IF($A8="","",SUMPRODUCT(COUNTIFS(B8:AF8,Codes,$B$52:$AF$52,1)*(Arten="Arbeit")*Erste*NettoTage)+SUMPRODUCT(COUNTIFS(B8:AF8,Codes,$B$53:$AF$53,1)*((Arten="Urlaub")+(Arten="Krank")+(Arten="Bezahlt abwesend"))*Erste)*N(Mitarbeiter!$B$7)/5/24)</f>
      </c>
      <c r="AH8" s="35">
        <f>IF($A8="","",N(Mitarbeiter!$B$7)/5/24*SUM($B$53:$AF$53))</f>
      </c>
      <c r="AI8" s="36">
        <f>IF($A8="","",IF((AG8-AH8)&lt;0,"-","+")&amp;TEXT(ABS((AG8-AH8)),"[h]:mm"))</f>
      </c>
      <c r="AJ8" s="37">
        <f>IF($A8="","",SUMPRODUCT(COUNTIFS(B8:AF8,Codes,$B$53:$AF$53,1)*(Arten="Urlaub")*Erste))</f>
      </c>
      <c r="AK8" s="37">
        <f>IF($A8="","",SUMPRODUCT(COUNTIFS(B8:AF8,Codes,$B$53:$AF$53,1)*(Arten="Krank")*Erste))</f>
      </c>
      <c r="AL8" s="38">
        <f>IF($A8="","",IF(COUNTIF(B57:AF57,1)&gt;0,COUNTIF(B57:AF57,1)&amp;"× Ruhezeit unter 11 Std. (§ 5)","")&amp;IF((COUNTIFS(B8:AF8,"?*",$B$52:$AF$52,1)-SUMPRODUCT(COUNTIFS(B8:AF8,Codes,$B$52:$AF$52,1)*(Codes&lt;&gt;"")*Erste))&gt;0,IF(COUNTIF(B57:AF57,1)&gt;0,"; ","")&amp;(COUNTIFS(B8:AF8,"?*",$B$52:$AF$52,1)-SUMPRODUCT(COUNTIFS(B8:AF8,Codes,$B$52:$AF$52,1)*(Codes&lt;&gt;"")*Erste))&amp;"× unbekanntes Kürzel",""))</f>
      </c>
    </row>
    <row r="9" spans="1:38" x14ac:dyDescent="0.25">
      <c r="A9" s="33">
        <f>Mitarbeiter!$A$8&amp;""</f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5">
        <f>IF($A9="","",SUMPRODUCT(COUNTIFS(B9:AF9,Codes,$B$52:$AF$52,1)*(Arten="Arbeit")*Erste*NettoTage)+SUMPRODUCT(COUNTIFS(B9:AF9,Codes,$B$53:$AF$53,1)*((Arten="Urlaub")+(Arten="Krank")+(Arten="Bezahlt abwesend"))*Erste)*N(Mitarbeiter!$B$8)/5/24)</f>
      </c>
      <c r="AH9" s="35">
        <f>IF($A9="","",N(Mitarbeiter!$B$8)/5/24*SUM($B$53:$AF$53))</f>
      </c>
      <c r="AI9" s="36">
        <f>IF($A9="","",IF((AG9-AH9)&lt;0,"-","+")&amp;TEXT(ABS((AG9-AH9)),"[h]:mm"))</f>
      </c>
      <c r="AJ9" s="37">
        <f>IF($A9="","",SUMPRODUCT(COUNTIFS(B9:AF9,Codes,$B$53:$AF$53,1)*(Arten="Urlaub")*Erste))</f>
      </c>
      <c r="AK9" s="37">
        <f>IF($A9="","",SUMPRODUCT(COUNTIFS(B9:AF9,Codes,$B$53:$AF$53,1)*(Arten="Krank")*Erste))</f>
      </c>
      <c r="AL9" s="38">
        <f>IF($A9="","",IF(COUNTIF(B58:AF58,1)&gt;0,COUNTIF(B58:AF58,1)&amp;"× Ruhezeit unter 11 Std. (§ 5)","")&amp;IF((COUNTIFS(B9:AF9,"?*",$B$52:$AF$52,1)-SUMPRODUCT(COUNTIFS(B9:AF9,Codes,$B$52:$AF$52,1)*(Codes&lt;&gt;"")*Erste))&gt;0,IF(COUNTIF(B58:AF58,1)&gt;0,"; ","")&amp;(COUNTIFS(B9:AF9,"?*",$B$52:$AF$52,1)-SUMPRODUCT(COUNTIFS(B9:AF9,Codes,$B$52:$AF$52,1)*(Codes&lt;&gt;"")*Erste))&amp;"× unbekanntes Kürzel",""))</f>
      </c>
    </row>
    <row r="10" spans="1:38" x14ac:dyDescent="0.25">
      <c r="A10" s="33">
        <f>Mitarbeiter!$A$9&amp;""</f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5">
        <f>IF($A10="","",SUMPRODUCT(COUNTIFS(B10:AF10,Codes,$B$52:$AF$52,1)*(Arten="Arbeit")*Erste*NettoTage)+SUMPRODUCT(COUNTIFS(B10:AF10,Codes,$B$53:$AF$53,1)*((Arten="Urlaub")+(Arten="Krank")+(Arten="Bezahlt abwesend"))*Erste)*N(Mitarbeiter!$B$9)/5/24)</f>
      </c>
      <c r="AH10" s="35">
        <f>IF($A10="","",N(Mitarbeiter!$B$9)/5/24*SUM($B$53:$AF$53))</f>
      </c>
      <c r="AI10" s="36">
        <f>IF($A10="","",IF((AG10-AH10)&lt;0,"-","+")&amp;TEXT(ABS((AG10-AH10)),"[h]:mm"))</f>
      </c>
      <c r="AJ10" s="37">
        <f>IF($A10="","",SUMPRODUCT(COUNTIFS(B10:AF10,Codes,$B$53:$AF$53,1)*(Arten="Urlaub")*Erste))</f>
      </c>
      <c r="AK10" s="37">
        <f>IF($A10="","",SUMPRODUCT(COUNTIFS(B10:AF10,Codes,$B$53:$AF$53,1)*(Arten="Krank")*Erste))</f>
      </c>
      <c r="AL10" s="38">
        <f>IF($A10="","",IF(COUNTIF(B59:AF59,1)&gt;0,COUNTIF(B59:AF59,1)&amp;"× Ruhezeit unter 11 Std. (§ 5)","")&amp;IF((COUNTIFS(B10:AF10,"?*",$B$52:$AF$52,1)-SUMPRODUCT(COUNTIFS(B10:AF10,Codes,$B$52:$AF$52,1)*(Codes&lt;&gt;"")*Erste))&gt;0,IF(COUNTIF(B59:AF59,1)&gt;0,"; ","")&amp;(COUNTIFS(B10:AF10,"?*",$B$52:$AF$52,1)-SUMPRODUCT(COUNTIFS(B10:AF10,Codes,$B$52:$AF$52,1)*(Codes&lt;&gt;"")*Erste))&amp;"× unbekanntes Kürzel",""))</f>
      </c>
    </row>
    <row r="11" spans="1:38" x14ac:dyDescent="0.25">
      <c r="A11" s="33">
        <f>Mitarbeiter!$A$10&amp;""</f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5">
        <f>IF($A11="","",SUMPRODUCT(COUNTIFS(B11:AF11,Codes,$B$52:$AF$52,1)*(Arten="Arbeit")*Erste*NettoTage)+SUMPRODUCT(COUNTIFS(B11:AF11,Codes,$B$53:$AF$53,1)*((Arten="Urlaub")+(Arten="Krank")+(Arten="Bezahlt abwesend"))*Erste)*N(Mitarbeiter!$B$10)/5/24)</f>
      </c>
      <c r="AH11" s="35">
        <f>IF($A11="","",N(Mitarbeiter!$B$10)/5/24*SUM($B$53:$AF$53))</f>
      </c>
      <c r="AI11" s="36">
        <f>IF($A11="","",IF((AG11-AH11)&lt;0,"-","+")&amp;TEXT(ABS((AG11-AH11)),"[h]:mm"))</f>
      </c>
      <c r="AJ11" s="37">
        <f>IF($A11="","",SUMPRODUCT(COUNTIFS(B11:AF11,Codes,$B$53:$AF$53,1)*(Arten="Urlaub")*Erste))</f>
      </c>
      <c r="AK11" s="37">
        <f>IF($A11="","",SUMPRODUCT(COUNTIFS(B11:AF11,Codes,$B$53:$AF$53,1)*(Arten="Krank")*Erste))</f>
      </c>
      <c r="AL11" s="38">
        <f>IF($A11="","",IF(COUNTIF(B60:AF60,1)&gt;0,COUNTIF(B60:AF60,1)&amp;"× Ruhezeit unter 11 Std. (§ 5)","")&amp;IF((COUNTIFS(B11:AF11,"?*",$B$52:$AF$52,1)-SUMPRODUCT(COUNTIFS(B11:AF11,Codes,$B$52:$AF$52,1)*(Codes&lt;&gt;"")*Erste))&gt;0,IF(COUNTIF(B60:AF60,1)&gt;0,"; ","")&amp;(COUNTIFS(B11:AF11,"?*",$B$52:$AF$52,1)-SUMPRODUCT(COUNTIFS(B11:AF11,Codes,$B$52:$AF$52,1)*(Codes&lt;&gt;"")*Erste))&amp;"× unbekanntes Kürzel",""))</f>
      </c>
    </row>
    <row r="12" spans="1:38" x14ac:dyDescent="0.25">
      <c r="A12" s="33">
        <f>Mitarbeiter!$A$11&amp;""</f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5">
        <f>IF($A12="","",SUMPRODUCT(COUNTIFS(B12:AF12,Codes,$B$52:$AF$52,1)*(Arten="Arbeit")*Erste*NettoTage)+SUMPRODUCT(COUNTIFS(B12:AF12,Codes,$B$53:$AF$53,1)*((Arten="Urlaub")+(Arten="Krank")+(Arten="Bezahlt abwesend"))*Erste)*N(Mitarbeiter!$B$11)/5/24)</f>
      </c>
      <c r="AH12" s="35">
        <f>IF($A12="","",N(Mitarbeiter!$B$11)/5/24*SUM($B$53:$AF$53))</f>
      </c>
      <c r="AI12" s="36">
        <f>IF($A12="","",IF((AG12-AH12)&lt;0,"-","+")&amp;TEXT(ABS((AG12-AH12)),"[h]:mm"))</f>
      </c>
      <c r="AJ12" s="37">
        <f>IF($A12="","",SUMPRODUCT(COUNTIFS(B12:AF12,Codes,$B$53:$AF$53,1)*(Arten="Urlaub")*Erste))</f>
      </c>
      <c r="AK12" s="37">
        <f>IF($A12="","",SUMPRODUCT(COUNTIFS(B12:AF12,Codes,$B$53:$AF$53,1)*(Arten="Krank")*Erste))</f>
      </c>
      <c r="AL12" s="38">
        <f>IF($A12="","",IF(COUNTIF(B61:AF61,1)&gt;0,COUNTIF(B61:AF61,1)&amp;"× Ruhezeit unter 11 Std. (§ 5)","")&amp;IF((COUNTIFS(B12:AF12,"?*",$B$52:$AF$52,1)-SUMPRODUCT(COUNTIFS(B12:AF12,Codes,$B$52:$AF$52,1)*(Codes&lt;&gt;"")*Erste))&gt;0,IF(COUNTIF(B61:AF61,1)&gt;0,"; ","")&amp;(COUNTIFS(B12:AF12,"?*",$B$52:$AF$52,1)-SUMPRODUCT(COUNTIFS(B12:AF12,Codes,$B$52:$AF$52,1)*(Codes&lt;&gt;"")*Erste))&amp;"× unbekanntes Kürzel",""))</f>
      </c>
    </row>
    <row r="13" spans="1:38" x14ac:dyDescent="0.25">
      <c r="A13" s="33">
        <f>Mitarbeiter!$A$12&amp;""</f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5">
        <f>IF($A13="","",SUMPRODUCT(COUNTIFS(B13:AF13,Codes,$B$52:$AF$52,1)*(Arten="Arbeit")*Erste*NettoTage)+SUMPRODUCT(COUNTIFS(B13:AF13,Codes,$B$53:$AF$53,1)*((Arten="Urlaub")+(Arten="Krank")+(Arten="Bezahlt abwesend"))*Erste)*N(Mitarbeiter!$B$12)/5/24)</f>
      </c>
      <c r="AH13" s="35">
        <f>IF($A13="","",N(Mitarbeiter!$B$12)/5/24*SUM($B$53:$AF$53))</f>
      </c>
      <c r="AI13" s="36">
        <f>IF($A13="","",IF((AG13-AH13)&lt;0,"-","+")&amp;TEXT(ABS((AG13-AH13)),"[h]:mm"))</f>
      </c>
      <c r="AJ13" s="37">
        <f>IF($A13="","",SUMPRODUCT(COUNTIFS(B13:AF13,Codes,$B$53:$AF$53,1)*(Arten="Urlaub")*Erste))</f>
      </c>
      <c r="AK13" s="37">
        <f>IF($A13="","",SUMPRODUCT(COUNTIFS(B13:AF13,Codes,$B$53:$AF$53,1)*(Arten="Krank")*Erste))</f>
      </c>
      <c r="AL13" s="38">
        <f>IF($A13="","",IF(COUNTIF(B62:AF62,1)&gt;0,COUNTIF(B62:AF62,1)&amp;"× Ruhezeit unter 11 Std. (§ 5)","")&amp;IF((COUNTIFS(B13:AF13,"?*",$B$52:$AF$52,1)-SUMPRODUCT(COUNTIFS(B13:AF13,Codes,$B$52:$AF$52,1)*(Codes&lt;&gt;"")*Erste))&gt;0,IF(COUNTIF(B62:AF62,1)&gt;0,"; ","")&amp;(COUNTIFS(B13:AF13,"?*",$B$52:$AF$52,1)-SUMPRODUCT(COUNTIFS(B13:AF13,Codes,$B$52:$AF$52,1)*(Codes&lt;&gt;"")*Erste))&amp;"× unbekanntes Kürzel",""))</f>
      </c>
    </row>
    <row r="14" spans="1:38" x14ac:dyDescent="0.25">
      <c r="A14" s="33">
        <f>Mitarbeiter!$A$13&amp;""</f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5">
        <f>IF($A14="","",SUMPRODUCT(COUNTIFS(B14:AF14,Codes,$B$52:$AF$52,1)*(Arten="Arbeit")*Erste*NettoTage)+SUMPRODUCT(COUNTIFS(B14:AF14,Codes,$B$53:$AF$53,1)*((Arten="Urlaub")+(Arten="Krank")+(Arten="Bezahlt abwesend"))*Erste)*N(Mitarbeiter!$B$13)/5/24)</f>
      </c>
      <c r="AH14" s="35">
        <f>IF($A14="","",N(Mitarbeiter!$B$13)/5/24*SUM($B$53:$AF$53))</f>
      </c>
      <c r="AI14" s="36">
        <f>IF($A14="","",IF((AG14-AH14)&lt;0,"-","+")&amp;TEXT(ABS((AG14-AH14)),"[h]:mm"))</f>
      </c>
      <c r="AJ14" s="37">
        <f>IF($A14="","",SUMPRODUCT(COUNTIFS(B14:AF14,Codes,$B$53:$AF$53,1)*(Arten="Urlaub")*Erste))</f>
      </c>
      <c r="AK14" s="37">
        <f>IF($A14="","",SUMPRODUCT(COUNTIFS(B14:AF14,Codes,$B$53:$AF$53,1)*(Arten="Krank")*Erste))</f>
      </c>
      <c r="AL14" s="38">
        <f>IF($A14="","",IF(COUNTIF(B63:AF63,1)&gt;0,COUNTIF(B63:AF63,1)&amp;"× Ruhezeit unter 11 Std. (§ 5)","")&amp;IF((COUNTIFS(B14:AF14,"?*",$B$52:$AF$52,1)-SUMPRODUCT(COUNTIFS(B14:AF14,Codes,$B$52:$AF$52,1)*(Codes&lt;&gt;"")*Erste))&gt;0,IF(COUNTIF(B63:AF63,1)&gt;0,"; ","")&amp;(COUNTIFS(B14:AF14,"?*",$B$52:$AF$52,1)-SUMPRODUCT(COUNTIFS(B14:AF14,Codes,$B$52:$AF$52,1)*(Codes&lt;&gt;"")*Erste))&amp;"× unbekanntes Kürzel",""))</f>
      </c>
    </row>
    <row r="15" spans="1:38" x14ac:dyDescent="0.25">
      <c r="A15" s="33">
        <f>Mitarbeiter!$A$14&amp;""</f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5">
        <f>IF($A15="","",SUMPRODUCT(COUNTIFS(B15:AF15,Codes,$B$52:$AF$52,1)*(Arten="Arbeit")*Erste*NettoTage)+SUMPRODUCT(COUNTIFS(B15:AF15,Codes,$B$53:$AF$53,1)*((Arten="Urlaub")+(Arten="Krank")+(Arten="Bezahlt abwesend"))*Erste)*N(Mitarbeiter!$B$14)/5/24)</f>
      </c>
      <c r="AH15" s="35">
        <f>IF($A15="","",N(Mitarbeiter!$B$14)/5/24*SUM($B$53:$AF$53))</f>
      </c>
      <c r="AI15" s="36">
        <f>IF($A15="","",IF((AG15-AH15)&lt;0,"-","+")&amp;TEXT(ABS((AG15-AH15)),"[h]:mm"))</f>
      </c>
      <c r="AJ15" s="37">
        <f>IF($A15="","",SUMPRODUCT(COUNTIFS(B15:AF15,Codes,$B$53:$AF$53,1)*(Arten="Urlaub")*Erste))</f>
      </c>
      <c r="AK15" s="37">
        <f>IF($A15="","",SUMPRODUCT(COUNTIFS(B15:AF15,Codes,$B$53:$AF$53,1)*(Arten="Krank")*Erste))</f>
      </c>
      <c r="AL15" s="38">
        <f>IF($A15="","",IF(COUNTIF(B64:AF64,1)&gt;0,COUNTIF(B64:AF64,1)&amp;"× Ruhezeit unter 11 Std. (§ 5)","")&amp;IF((COUNTIFS(B15:AF15,"?*",$B$52:$AF$52,1)-SUMPRODUCT(COUNTIFS(B15:AF15,Codes,$B$52:$AF$52,1)*(Codes&lt;&gt;"")*Erste))&gt;0,IF(COUNTIF(B64:AF64,1)&gt;0,"; ","")&amp;(COUNTIFS(B15:AF15,"?*",$B$52:$AF$52,1)-SUMPRODUCT(COUNTIFS(B15:AF15,Codes,$B$52:$AF$52,1)*(Codes&lt;&gt;"")*Erste))&amp;"× unbekanntes Kürzel",""))</f>
      </c>
    </row>
    <row r="16" spans="1:38" x14ac:dyDescent="0.25">
      <c r="A16" s="33">
        <f>Mitarbeiter!$A$15&amp;""</f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5">
        <f>IF($A16="","",SUMPRODUCT(COUNTIFS(B16:AF16,Codes,$B$52:$AF$52,1)*(Arten="Arbeit")*Erste*NettoTage)+SUMPRODUCT(COUNTIFS(B16:AF16,Codes,$B$53:$AF$53,1)*((Arten="Urlaub")+(Arten="Krank")+(Arten="Bezahlt abwesend"))*Erste)*N(Mitarbeiter!$B$15)/5/24)</f>
      </c>
      <c r="AH16" s="35">
        <f>IF($A16="","",N(Mitarbeiter!$B$15)/5/24*SUM($B$53:$AF$53))</f>
      </c>
      <c r="AI16" s="36">
        <f>IF($A16="","",IF((AG16-AH16)&lt;0,"-","+")&amp;TEXT(ABS((AG16-AH16)),"[h]:mm"))</f>
      </c>
      <c r="AJ16" s="37">
        <f>IF($A16="","",SUMPRODUCT(COUNTIFS(B16:AF16,Codes,$B$53:$AF$53,1)*(Arten="Urlaub")*Erste))</f>
      </c>
      <c r="AK16" s="37">
        <f>IF($A16="","",SUMPRODUCT(COUNTIFS(B16:AF16,Codes,$B$53:$AF$53,1)*(Arten="Krank")*Erste))</f>
      </c>
      <c r="AL16" s="38">
        <f>IF($A16="","",IF(COUNTIF(B65:AF65,1)&gt;0,COUNTIF(B65:AF65,1)&amp;"× Ruhezeit unter 11 Std. (§ 5)","")&amp;IF((COUNTIFS(B16:AF16,"?*",$B$52:$AF$52,1)-SUMPRODUCT(COUNTIFS(B16:AF16,Codes,$B$52:$AF$52,1)*(Codes&lt;&gt;"")*Erste))&gt;0,IF(COUNTIF(B65:AF65,1)&gt;0,"; ","")&amp;(COUNTIFS(B16:AF16,"?*",$B$52:$AF$52,1)-SUMPRODUCT(COUNTIFS(B16:AF16,Codes,$B$52:$AF$52,1)*(Codes&lt;&gt;"")*Erste))&amp;"× unbekanntes Kürzel",""))</f>
      </c>
    </row>
    <row r="17" spans="1:38" x14ac:dyDescent="0.25">
      <c r="A17" s="33">
        <f>Mitarbeiter!$A$16&amp;""</f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5">
        <f>IF($A17="","",SUMPRODUCT(COUNTIFS(B17:AF17,Codes,$B$52:$AF$52,1)*(Arten="Arbeit")*Erste*NettoTage)+SUMPRODUCT(COUNTIFS(B17:AF17,Codes,$B$53:$AF$53,1)*((Arten="Urlaub")+(Arten="Krank")+(Arten="Bezahlt abwesend"))*Erste)*N(Mitarbeiter!$B$16)/5/24)</f>
      </c>
      <c r="AH17" s="35">
        <f>IF($A17="","",N(Mitarbeiter!$B$16)/5/24*SUM($B$53:$AF$53))</f>
      </c>
      <c r="AI17" s="36">
        <f>IF($A17="","",IF((AG17-AH17)&lt;0,"-","+")&amp;TEXT(ABS((AG17-AH17)),"[h]:mm"))</f>
      </c>
      <c r="AJ17" s="37">
        <f>IF($A17="","",SUMPRODUCT(COUNTIFS(B17:AF17,Codes,$B$53:$AF$53,1)*(Arten="Urlaub")*Erste))</f>
      </c>
      <c r="AK17" s="37">
        <f>IF($A17="","",SUMPRODUCT(COUNTIFS(B17:AF17,Codes,$B$53:$AF$53,1)*(Arten="Krank")*Erste))</f>
      </c>
      <c r="AL17" s="38">
        <f>IF($A17="","",IF(COUNTIF(B66:AF66,1)&gt;0,COUNTIF(B66:AF66,1)&amp;"× Ruhezeit unter 11 Std. (§ 5)","")&amp;IF((COUNTIFS(B17:AF17,"?*",$B$52:$AF$52,1)-SUMPRODUCT(COUNTIFS(B17:AF17,Codes,$B$52:$AF$52,1)*(Codes&lt;&gt;"")*Erste))&gt;0,IF(COUNTIF(B66:AF66,1)&gt;0,"; ","")&amp;(COUNTIFS(B17:AF17,"?*",$B$52:$AF$52,1)-SUMPRODUCT(COUNTIFS(B17:AF17,Codes,$B$52:$AF$52,1)*(Codes&lt;&gt;"")*Erste))&amp;"× unbekanntes Kürzel",""))</f>
      </c>
    </row>
    <row r="18" spans="1:38" x14ac:dyDescent="0.25">
      <c r="A18" s="33">
        <f>Mitarbeiter!$A$17&amp;""</f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5">
        <f>IF($A18="","",SUMPRODUCT(COUNTIFS(B18:AF18,Codes,$B$52:$AF$52,1)*(Arten="Arbeit")*Erste*NettoTage)+SUMPRODUCT(COUNTIFS(B18:AF18,Codes,$B$53:$AF$53,1)*((Arten="Urlaub")+(Arten="Krank")+(Arten="Bezahlt abwesend"))*Erste)*N(Mitarbeiter!$B$17)/5/24)</f>
      </c>
      <c r="AH18" s="35">
        <f>IF($A18="","",N(Mitarbeiter!$B$17)/5/24*SUM($B$53:$AF$53))</f>
      </c>
      <c r="AI18" s="36">
        <f>IF($A18="","",IF((AG18-AH18)&lt;0,"-","+")&amp;TEXT(ABS((AG18-AH18)),"[h]:mm"))</f>
      </c>
      <c r="AJ18" s="37">
        <f>IF($A18="","",SUMPRODUCT(COUNTIFS(B18:AF18,Codes,$B$53:$AF$53,1)*(Arten="Urlaub")*Erste))</f>
      </c>
      <c r="AK18" s="37">
        <f>IF($A18="","",SUMPRODUCT(COUNTIFS(B18:AF18,Codes,$B$53:$AF$53,1)*(Arten="Krank")*Erste))</f>
      </c>
      <c r="AL18" s="38">
        <f>IF($A18="","",IF(COUNTIF(B67:AF67,1)&gt;0,COUNTIF(B67:AF67,1)&amp;"× Ruhezeit unter 11 Std. (§ 5)","")&amp;IF((COUNTIFS(B18:AF18,"?*",$B$52:$AF$52,1)-SUMPRODUCT(COUNTIFS(B18:AF18,Codes,$B$52:$AF$52,1)*(Codes&lt;&gt;"")*Erste))&gt;0,IF(COUNTIF(B67:AF67,1)&gt;0,"; ","")&amp;(COUNTIFS(B18:AF18,"?*",$B$52:$AF$52,1)-SUMPRODUCT(COUNTIFS(B18:AF18,Codes,$B$52:$AF$52,1)*(Codes&lt;&gt;"")*Erste))&amp;"× unbekanntes Kürzel",""))</f>
      </c>
    </row>
    <row r="19" spans="1:38" x14ac:dyDescent="0.25">
      <c r="A19" s="33">
        <f>Mitarbeiter!$A$18&amp;""</f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5">
        <f>IF($A19="","",SUMPRODUCT(COUNTIFS(B19:AF19,Codes,$B$52:$AF$52,1)*(Arten="Arbeit")*Erste*NettoTage)+SUMPRODUCT(COUNTIFS(B19:AF19,Codes,$B$53:$AF$53,1)*((Arten="Urlaub")+(Arten="Krank")+(Arten="Bezahlt abwesend"))*Erste)*N(Mitarbeiter!$B$18)/5/24)</f>
      </c>
      <c r="AH19" s="35">
        <f>IF($A19="","",N(Mitarbeiter!$B$18)/5/24*SUM($B$53:$AF$53))</f>
      </c>
      <c r="AI19" s="36">
        <f>IF($A19="","",IF((AG19-AH19)&lt;0,"-","+")&amp;TEXT(ABS((AG19-AH19)),"[h]:mm"))</f>
      </c>
      <c r="AJ19" s="37">
        <f>IF($A19="","",SUMPRODUCT(COUNTIFS(B19:AF19,Codes,$B$53:$AF$53,1)*(Arten="Urlaub")*Erste))</f>
      </c>
      <c r="AK19" s="37">
        <f>IF($A19="","",SUMPRODUCT(COUNTIFS(B19:AF19,Codes,$B$53:$AF$53,1)*(Arten="Krank")*Erste))</f>
      </c>
      <c r="AL19" s="38">
        <f>IF($A19="","",IF(COUNTIF(B68:AF68,1)&gt;0,COUNTIF(B68:AF68,1)&amp;"× Ruhezeit unter 11 Std. (§ 5)","")&amp;IF((COUNTIFS(B19:AF19,"?*",$B$52:$AF$52,1)-SUMPRODUCT(COUNTIFS(B19:AF19,Codes,$B$52:$AF$52,1)*(Codes&lt;&gt;"")*Erste))&gt;0,IF(COUNTIF(B68:AF68,1)&gt;0,"; ","")&amp;(COUNTIFS(B19:AF19,"?*",$B$52:$AF$52,1)-SUMPRODUCT(COUNTIFS(B19:AF19,Codes,$B$52:$AF$52,1)*(Codes&lt;&gt;"")*Erste))&amp;"× unbekanntes Kürzel",""))</f>
      </c>
    </row>
    <row r="20" spans="1:38" x14ac:dyDescent="0.25">
      <c r="A20" s="33">
        <f>Mitarbeiter!$A$19&amp;""</f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5">
        <f>IF($A20="","",SUMPRODUCT(COUNTIFS(B20:AF20,Codes,$B$52:$AF$52,1)*(Arten="Arbeit")*Erste*NettoTage)+SUMPRODUCT(COUNTIFS(B20:AF20,Codes,$B$53:$AF$53,1)*((Arten="Urlaub")+(Arten="Krank")+(Arten="Bezahlt abwesend"))*Erste)*N(Mitarbeiter!$B$19)/5/24)</f>
      </c>
      <c r="AH20" s="35">
        <f>IF($A20="","",N(Mitarbeiter!$B$19)/5/24*SUM($B$53:$AF$53))</f>
      </c>
      <c r="AI20" s="36">
        <f>IF($A20="","",IF((AG20-AH20)&lt;0,"-","+")&amp;TEXT(ABS((AG20-AH20)),"[h]:mm"))</f>
      </c>
      <c r="AJ20" s="37">
        <f>IF($A20="","",SUMPRODUCT(COUNTIFS(B20:AF20,Codes,$B$53:$AF$53,1)*(Arten="Urlaub")*Erste))</f>
      </c>
      <c r="AK20" s="37">
        <f>IF($A20="","",SUMPRODUCT(COUNTIFS(B20:AF20,Codes,$B$53:$AF$53,1)*(Arten="Krank")*Erste))</f>
      </c>
      <c r="AL20" s="38">
        <f>IF($A20="","",IF(COUNTIF(B69:AF69,1)&gt;0,COUNTIF(B69:AF69,1)&amp;"× Ruhezeit unter 11 Std. (§ 5)","")&amp;IF((COUNTIFS(B20:AF20,"?*",$B$52:$AF$52,1)-SUMPRODUCT(COUNTIFS(B20:AF20,Codes,$B$52:$AF$52,1)*(Codes&lt;&gt;"")*Erste))&gt;0,IF(COUNTIF(B69:AF69,1)&gt;0,"; ","")&amp;(COUNTIFS(B20:AF20,"?*",$B$52:$AF$52,1)-SUMPRODUCT(COUNTIFS(B20:AF20,Codes,$B$52:$AF$52,1)*(Codes&lt;&gt;"")*Erste))&amp;"× unbekanntes Kürzel",""))</f>
      </c>
    </row>
    <row r="21" spans="1:38" x14ac:dyDescent="0.25">
      <c r="A21" s="33">
        <f>Mitarbeiter!$A$20&amp;""</f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5">
        <f>IF($A21="","",SUMPRODUCT(COUNTIFS(B21:AF21,Codes,$B$52:$AF$52,1)*(Arten="Arbeit")*Erste*NettoTage)+SUMPRODUCT(COUNTIFS(B21:AF21,Codes,$B$53:$AF$53,1)*((Arten="Urlaub")+(Arten="Krank")+(Arten="Bezahlt abwesend"))*Erste)*N(Mitarbeiter!$B$20)/5/24)</f>
      </c>
      <c r="AH21" s="35">
        <f>IF($A21="","",N(Mitarbeiter!$B$20)/5/24*SUM($B$53:$AF$53))</f>
      </c>
      <c r="AI21" s="36">
        <f>IF($A21="","",IF((AG21-AH21)&lt;0,"-","+")&amp;TEXT(ABS((AG21-AH21)),"[h]:mm"))</f>
      </c>
      <c r="AJ21" s="37">
        <f>IF($A21="","",SUMPRODUCT(COUNTIFS(B21:AF21,Codes,$B$53:$AF$53,1)*(Arten="Urlaub")*Erste))</f>
      </c>
      <c r="AK21" s="37">
        <f>IF($A21="","",SUMPRODUCT(COUNTIFS(B21:AF21,Codes,$B$53:$AF$53,1)*(Arten="Krank")*Erste))</f>
      </c>
      <c r="AL21" s="38">
        <f>IF($A21="","",IF(COUNTIF(B70:AF70,1)&gt;0,COUNTIF(B70:AF70,1)&amp;"× Ruhezeit unter 11 Std. (§ 5)","")&amp;IF((COUNTIFS(B21:AF21,"?*",$B$52:$AF$52,1)-SUMPRODUCT(COUNTIFS(B21:AF21,Codes,$B$52:$AF$52,1)*(Codes&lt;&gt;"")*Erste))&gt;0,IF(COUNTIF(B70:AF70,1)&gt;0,"; ","")&amp;(COUNTIFS(B21:AF21,"?*",$B$52:$AF$52,1)-SUMPRODUCT(COUNTIFS(B21:AF21,Codes,$B$52:$AF$52,1)*(Codes&lt;&gt;"")*Erste))&amp;"× unbekanntes Kürzel",""))</f>
      </c>
    </row>
    <row r="22" spans="1:38" x14ac:dyDescent="0.25">
      <c r="A22" s="33">
        <f>Mitarbeiter!$A$21&amp;""</f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5">
        <f>IF($A22="","",SUMPRODUCT(COUNTIFS(B22:AF22,Codes,$B$52:$AF$52,1)*(Arten="Arbeit")*Erste*NettoTage)+SUMPRODUCT(COUNTIFS(B22:AF22,Codes,$B$53:$AF$53,1)*((Arten="Urlaub")+(Arten="Krank")+(Arten="Bezahlt abwesend"))*Erste)*N(Mitarbeiter!$B$21)/5/24)</f>
      </c>
      <c r="AH22" s="35">
        <f>IF($A22="","",N(Mitarbeiter!$B$21)/5/24*SUM($B$53:$AF$53))</f>
      </c>
      <c r="AI22" s="36">
        <f>IF($A22="","",IF((AG22-AH22)&lt;0,"-","+")&amp;TEXT(ABS((AG22-AH22)),"[h]:mm"))</f>
      </c>
      <c r="AJ22" s="37">
        <f>IF($A22="","",SUMPRODUCT(COUNTIFS(B22:AF22,Codes,$B$53:$AF$53,1)*(Arten="Urlaub")*Erste))</f>
      </c>
      <c r="AK22" s="37">
        <f>IF($A22="","",SUMPRODUCT(COUNTIFS(B22:AF22,Codes,$B$53:$AF$53,1)*(Arten="Krank")*Erste))</f>
      </c>
      <c r="AL22" s="38">
        <f>IF($A22="","",IF(COUNTIF(B71:AF71,1)&gt;0,COUNTIF(B71:AF71,1)&amp;"× Ruhezeit unter 11 Std. (§ 5)","")&amp;IF((COUNTIFS(B22:AF22,"?*",$B$52:$AF$52,1)-SUMPRODUCT(COUNTIFS(B22:AF22,Codes,$B$52:$AF$52,1)*(Codes&lt;&gt;"")*Erste))&gt;0,IF(COUNTIF(B71:AF71,1)&gt;0,"; ","")&amp;(COUNTIFS(B22:AF22,"?*",$B$52:$AF$52,1)-SUMPRODUCT(COUNTIFS(B22:AF22,Codes,$B$52:$AF$52,1)*(Codes&lt;&gt;"")*Erste))&amp;"× unbekanntes Kürzel",""))</f>
      </c>
    </row>
    <row r="23" spans="1:38" x14ac:dyDescent="0.25">
      <c r="A23" s="33">
        <f>Mitarbeiter!$A$22&amp;""</f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5">
        <f>IF($A23="","",SUMPRODUCT(COUNTIFS(B23:AF23,Codes,$B$52:$AF$52,1)*(Arten="Arbeit")*Erste*NettoTage)+SUMPRODUCT(COUNTIFS(B23:AF23,Codes,$B$53:$AF$53,1)*((Arten="Urlaub")+(Arten="Krank")+(Arten="Bezahlt abwesend"))*Erste)*N(Mitarbeiter!$B$22)/5/24)</f>
      </c>
      <c r="AH23" s="35">
        <f>IF($A23="","",N(Mitarbeiter!$B$22)/5/24*SUM($B$53:$AF$53))</f>
      </c>
      <c r="AI23" s="36">
        <f>IF($A23="","",IF((AG23-AH23)&lt;0,"-","+")&amp;TEXT(ABS((AG23-AH23)),"[h]:mm"))</f>
      </c>
      <c r="AJ23" s="37">
        <f>IF($A23="","",SUMPRODUCT(COUNTIFS(B23:AF23,Codes,$B$53:$AF$53,1)*(Arten="Urlaub")*Erste))</f>
      </c>
      <c r="AK23" s="37">
        <f>IF($A23="","",SUMPRODUCT(COUNTIFS(B23:AF23,Codes,$B$53:$AF$53,1)*(Arten="Krank")*Erste))</f>
      </c>
      <c r="AL23" s="38">
        <f>IF($A23="","",IF(COUNTIF(B72:AF72,1)&gt;0,COUNTIF(B72:AF72,1)&amp;"× Ruhezeit unter 11 Std. (§ 5)","")&amp;IF((COUNTIFS(B23:AF23,"?*",$B$52:$AF$52,1)-SUMPRODUCT(COUNTIFS(B23:AF23,Codes,$B$52:$AF$52,1)*(Codes&lt;&gt;"")*Erste))&gt;0,IF(COUNTIF(B72:AF72,1)&gt;0,"; ","")&amp;(COUNTIFS(B23:AF23,"?*",$B$52:$AF$52,1)-SUMPRODUCT(COUNTIFS(B23:AF23,Codes,$B$52:$AF$52,1)*(Codes&lt;&gt;"")*Erste))&amp;"× unbekanntes Kürzel",""))</f>
      </c>
    </row>
    <row r="24" spans="1:38" x14ac:dyDescent="0.25">
      <c r="A24" s="33">
        <f>Mitarbeiter!$A$23&amp;""</f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5">
        <f>IF($A24="","",SUMPRODUCT(COUNTIFS(B24:AF24,Codes,$B$52:$AF$52,1)*(Arten="Arbeit")*Erste*NettoTage)+SUMPRODUCT(COUNTIFS(B24:AF24,Codes,$B$53:$AF$53,1)*((Arten="Urlaub")+(Arten="Krank")+(Arten="Bezahlt abwesend"))*Erste)*N(Mitarbeiter!$B$23)/5/24)</f>
      </c>
      <c r="AH24" s="35">
        <f>IF($A24="","",N(Mitarbeiter!$B$23)/5/24*SUM($B$53:$AF$53))</f>
      </c>
      <c r="AI24" s="36">
        <f>IF($A24="","",IF((AG24-AH24)&lt;0,"-","+")&amp;TEXT(ABS((AG24-AH24)),"[h]:mm"))</f>
      </c>
      <c r="AJ24" s="37">
        <f>IF($A24="","",SUMPRODUCT(COUNTIFS(B24:AF24,Codes,$B$53:$AF$53,1)*(Arten="Urlaub")*Erste))</f>
      </c>
      <c r="AK24" s="37">
        <f>IF($A24="","",SUMPRODUCT(COUNTIFS(B24:AF24,Codes,$B$53:$AF$53,1)*(Arten="Krank")*Erste))</f>
      </c>
      <c r="AL24" s="38">
        <f>IF($A24="","",IF(COUNTIF(B73:AF73,1)&gt;0,COUNTIF(B73:AF73,1)&amp;"× Ruhezeit unter 11 Std. (§ 5)","")&amp;IF((COUNTIFS(B24:AF24,"?*",$B$52:$AF$52,1)-SUMPRODUCT(COUNTIFS(B24:AF24,Codes,$B$52:$AF$52,1)*(Codes&lt;&gt;"")*Erste))&gt;0,IF(COUNTIF(B73:AF73,1)&gt;0,"; ","")&amp;(COUNTIFS(B24:AF24,"?*",$B$52:$AF$52,1)-SUMPRODUCT(COUNTIFS(B24:AF24,Codes,$B$52:$AF$52,1)*(Codes&lt;&gt;"")*Erste))&amp;"× unbekanntes Kürzel",""))</f>
      </c>
    </row>
    <row r="25" spans="1:38" x14ac:dyDescent="0.25">
      <c r="A25" s="33">
        <f>Mitarbeiter!$A$24&amp;""</f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5">
        <f>IF($A25="","",SUMPRODUCT(COUNTIFS(B25:AF25,Codes,$B$52:$AF$52,1)*(Arten="Arbeit")*Erste*NettoTage)+SUMPRODUCT(COUNTIFS(B25:AF25,Codes,$B$53:$AF$53,1)*((Arten="Urlaub")+(Arten="Krank")+(Arten="Bezahlt abwesend"))*Erste)*N(Mitarbeiter!$B$24)/5/24)</f>
      </c>
      <c r="AH25" s="35">
        <f>IF($A25="","",N(Mitarbeiter!$B$24)/5/24*SUM($B$53:$AF$53))</f>
      </c>
      <c r="AI25" s="36">
        <f>IF($A25="","",IF((AG25-AH25)&lt;0,"-","+")&amp;TEXT(ABS((AG25-AH25)),"[h]:mm"))</f>
      </c>
      <c r="AJ25" s="37">
        <f>IF($A25="","",SUMPRODUCT(COUNTIFS(B25:AF25,Codes,$B$53:$AF$53,1)*(Arten="Urlaub")*Erste))</f>
      </c>
      <c r="AK25" s="37">
        <f>IF($A25="","",SUMPRODUCT(COUNTIFS(B25:AF25,Codes,$B$53:$AF$53,1)*(Arten="Krank")*Erste))</f>
      </c>
      <c r="AL25" s="38">
        <f>IF($A25="","",IF(COUNTIF(B74:AF74,1)&gt;0,COUNTIF(B74:AF74,1)&amp;"× Ruhezeit unter 11 Std. (§ 5)","")&amp;IF((COUNTIFS(B25:AF25,"?*",$B$52:$AF$52,1)-SUMPRODUCT(COUNTIFS(B25:AF25,Codes,$B$52:$AF$52,1)*(Codes&lt;&gt;"")*Erste))&gt;0,IF(COUNTIF(B74:AF74,1)&gt;0,"; ","")&amp;(COUNTIFS(B25:AF25,"?*",$B$52:$AF$52,1)-SUMPRODUCT(COUNTIFS(B25:AF25,Codes,$B$52:$AF$52,1)*(Codes&lt;&gt;"")*Erste))&amp;"× unbekanntes Kürzel",""))</f>
      </c>
    </row>
    <row r="26" spans="1:38" x14ac:dyDescent="0.25">
      <c r="A26" s="33">
        <f>Mitarbeiter!$A$25&amp;""</f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5">
        <f>IF($A26="","",SUMPRODUCT(COUNTIFS(B26:AF26,Codes,$B$52:$AF$52,1)*(Arten="Arbeit")*Erste*NettoTage)+SUMPRODUCT(COUNTIFS(B26:AF26,Codes,$B$53:$AF$53,1)*((Arten="Urlaub")+(Arten="Krank")+(Arten="Bezahlt abwesend"))*Erste)*N(Mitarbeiter!$B$25)/5/24)</f>
      </c>
      <c r="AH26" s="35">
        <f>IF($A26="","",N(Mitarbeiter!$B$25)/5/24*SUM($B$53:$AF$53))</f>
      </c>
      <c r="AI26" s="36">
        <f>IF($A26="","",IF((AG26-AH26)&lt;0,"-","+")&amp;TEXT(ABS((AG26-AH26)),"[h]:mm"))</f>
      </c>
      <c r="AJ26" s="37">
        <f>IF($A26="","",SUMPRODUCT(COUNTIFS(B26:AF26,Codes,$B$53:$AF$53,1)*(Arten="Urlaub")*Erste))</f>
      </c>
      <c r="AK26" s="37">
        <f>IF($A26="","",SUMPRODUCT(COUNTIFS(B26:AF26,Codes,$B$53:$AF$53,1)*(Arten="Krank")*Erste))</f>
      </c>
      <c r="AL26" s="38">
        <f>IF($A26="","",IF(COUNTIF(B75:AF75,1)&gt;0,COUNTIF(B75:AF75,1)&amp;"× Ruhezeit unter 11 Std. (§ 5)","")&amp;IF((COUNTIFS(B26:AF26,"?*",$B$52:$AF$52,1)-SUMPRODUCT(COUNTIFS(B26:AF26,Codes,$B$52:$AF$52,1)*(Codes&lt;&gt;"")*Erste))&gt;0,IF(COUNTIF(B75:AF75,1)&gt;0,"; ","")&amp;(COUNTIFS(B26:AF26,"?*",$B$52:$AF$52,1)-SUMPRODUCT(COUNTIFS(B26:AF26,Codes,$B$52:$AF$52,1)*(Codes&lt;&gt;"")*Erste))&amp;"× unbekanntes Kürzel",""))</f>
      </c>
    </row>
    <row r="27" spans="1:38" x14ac:dyDescent="0.25">
      <c r="A27" s="33">
        <f>Mitarbeiter!$A$26&amp;""</f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5">
        <f>IF($A27="","",SUMPRODUCT(COUNTIFS(B27:AF27,Codes,$B$52:$AF$52,1)*(Arten="Arbeit")*Erste*NettoTage)+SUMPRODUCT(COUNTIFS(B27:AF27,Codes,$B$53:$AF$53,1)*((Arten="Urlaub")+(Arten="Krank")+(Arten="Bezahlt abwesend"))*Erste)*N(Mitarbeiter!$B$26)/5/24)</f>
      </c>
      <c r="AH27" s="35">
        <f>IF($A27="","",N(Mitarbeiter!$B$26)/5/24*SUM($B$53:$AF$53))</f>
      </c>
      <c r="AI27" s="36">
        <f>IF($A27="","",IF((AG27-AH27)&lt;0,"-","+")&amp;TEXT(ABS((AG27-AH27)),"[h]:mm"))</f>
      </c>
      <c r="AJ27" s="37">
        <f>IF($A27="","",SUMPRODUCT(COUNTIFS(B27:AF27,Codes,$B$53:$AF$53,1)*(Arten="Urlaub")*Erste))</f>
      </c>
      <c r="AK27" s="37">
        <f>IF($A27="","",SUMPRODUCT(COUNTIFS(B27:AF27,Codes,$B$53:$AF$53,1)*(Arten="Krank")*Erste))</f>
      </c>
      <c r="AL27" s="38">
        <f>IF($A27="","",IF(COUNTIF(B76:AF76,1)&gt;0,COUNTIF(B76:AF76,1)&amp;"× Ruhezeit unter 11 Std. (§ 5)","")&amp;IF((COUNTIFS(B27:AF27,"?*",$B$52:$AF$52,1)-SUMPRODUCT(COUNTIFS(B27:AF27,Codes,$B$52:$AF$52,1)*(Codes&lt;&gt;"")*Erste))&gt;0,IF(COUNTIF(B76:AF76,1)&gt;0,"; ","")&amp;(COUNTIFS(B27:AF27,"?*",$B$52:$AF$52,1)-SUMPRODUCT(COUNTIFS(B27:AF27,Codes,$B$52:$AF$52,1)*(Codes&lt;&gt;"")*Erste))&amp;"× unbekanntes Kürzel",""))</f>
      </c>
    </row>
    <row r="28" spans="1:38" x14ac:dyDescent="0.25">
      <c r="A28" s="33">
        <f>Mitarbeiter!$A$27&amp;""</f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5">
        <f>IF($A28="","",SUMPRODUCT(COUNTIFS(B28:AF28,Codes,$B$52:$AF$52,1)*(Arten="Arbeit")*Erste*NettoTage)+SUMPRODUCT(COUNTIFS(B28:AF28,Codes,$B$53:$AF$53,1)*((Arten="Urlaub")+(Arten="Krank")+(Arten="Bezahlt abwesend"))*Erste)*N(Mitarbeiter!$B$27)/5/24)</f>
      </c>
      <c r="AH28" s="35">
        <f>IF($A28="","",N(Mitarbeiter!$B$27)/5/24*SUM($B$53:$AF$53))</f>
      </c>
      <c r="AI28" s="36">
        <f>IF($A28="","",IF((AG28-AH28)&lt;0,"-","+")&amp;TEXT(ABS((AG28-AH28)),"[h]:mm"))</f>
      </c>
      <c r="AJ28" s="37">
        <f>IF($A28="","",SUMPRODUCT(COUNTIFS(B28:AF28,Codes,$B$53:$AF$53,1)*(Arten="Urlaub")*Erste))</f>
      </c>
      <c r="AK28" s="37">
        <f>IF($A28="","",SUMPRODUCT(COUNTIFS(B28:AF28,Codes,$B$53:$AF$53,1)*(Arten="Krank")*Erste))</f>
      </c>
      <c r="AL28" s="38">
        <f>IF($A28="","",IF(COUNTIF(B77:AF77,1)&gt;0,COUNTIF(B77:AF77,1)&amp;"× Ruhezeit unter 11 Std. (§ 5)","")&amp;IF((COUNTIFS(B28:AF28,"?*",$B$52:$AF$52,1)-SUMPRODUCT(COUNTIFS(B28:AF28,Codes,$B$52:$AF$52,1)*(Codes&lt;&gt;"")*Erste))&gt;0,IF(COUNTIF(B77:AF77,1)&gt;0,"; ","")&amp;(COUNTIFS(B28:AF28,"?*",$B$52:$AF$52,1)-SUMPRODUCT(COUNTIFS(B28:AF28,Codes,$B$52:$AF$52,1)*(Codes&lt;&gt;"")*Erste))&amp;"× unbekanntes Kürzel",""))</f>
      </c>
    </row>
    <row r="29" spans="1:38" x14ac:dyDescent="0.25">
      <c r="A29" s="33">
        <f>Mitarbeiter!$A$28&amp;""</f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5">
        <f>IF($A29="","",SUMPRODUCT(COUNTIFS(B29:AF29,Codes,$B$52:$AF$52,1)*(Arten="Arbeit")*Erste*NettoTage)+SUMPRODUCT(COUNTIFS(B29:AF29,Codes,$B$53:$AF$53,1)*((Arten="Urlaub")+(Arten="Krank")+(Arten="Bezahlt abwesend"))*Erste)*N(Mitarbeiter!$B$28)/5/24)</f>
      </c>
      <c r="AH29" s="35">
        <f>IF($A29="","",N(Mitarbeiter!$B$28)/5/24*SUM($B$53:$AF$53))</f>
      </c>
      <c r="AI29" s="36">
        <f>IF($A29="","",IF((AG29-AH29)&lt;0,"-","+")&amp;TEXT(ABS((AG29-AH29)),"[h]:mm"))</f>
      </c>
      <c r="AJ29" s="37">
        <f>IF($A29="","",SUMPRODUCT(COUNTIFS(B29:AF29,Codes,$B$53:$AF$53,1)*(Arten="Urlaub")*Erste))</f>
      </c>
      <c r="AK29" s="37">
        <f>IF($A29="","",SUMPRODUCT(COUNTIFS(B29:AF29,Codes,$B$53:$AF$53,1)*(Arten="Krank")*Erste))</f>
      </c>
      <c r="AL29" s="38">
        <f>IF($A29="","",IF(COUNTIF(B78:AF78,1)&gt;0,COUNTIF(B78:AF78,1)&amp;"× Ruhezeit unter 11 Std. (§ 5)","")&amp;IF((COUNTIFS(B29:AF29,"?*",$B$52:$AF$52,1)-SUMPRODUCT(COUNTIFS(B29:AF29,Codes,$B$52:$AF$52,1)*(Codes&lt;&gt;"")*Erste))&gt;0,IF(COUNTIF(B78:AF78,1)&gt;0,"; ","")&amp;(COUNTIFS(B29:AF29,"?*",$B$52:$AF$52,1)-SUMPRODUCT(COUNTIFS(B29:AF29,Codes,$B$52:$AF$52,1)*(Codes&lt;&gt;"")*Erste))&amp;"× unbekanntes Kürzel",""))</f>
      </c>
    </row>
    <row r="30" spans="1:38" x14ac:dyDescent="0.25">
      <c r="A30" s="33">
        <f>Mitarbeiter!$A$29&amp;""</f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5">
        <f>IF($A30="","",SUMPRODUCT(COUNTIFS(B30:AF30,Codes,$B$52:$AF$52,1)*(Arten="Arbeit")*Erste*NettoTage)+SUMPRODUCT(COUNTIFS(B30:AF30,Codes,$B$53:$AF$53,1)*((Arten="Urlaub")+(Arten="Krank")+(Arten="Bezahlt abwesend"))*Erste)*N(Mitarbeiter!$B$29)/5/24)</f>
      </c>
      <c r="AH30" s="35">
        <f>IF($A30="","",N(Mitarbeiter!$B$29)/5/24*SUM($B$53:$AF$53))</f>
      </c>
      <c r="AI30" s="36">
        <f>IF($A30="","",IF((AG30-AH30)&lt;0,"-","+")&amp;TEXT(ABS((AG30-AH30)),"[h]:mm"))</f>
      </c>
      <c r="AJ30" s="37">
        <f>IF($A30="","",SUMPRODUCT(COUNTIFS(B30:AF30,Codes,$B$53:$AF$53,1)*(Arten="Urlaub")*Erste))</f>
      </c>
      <c r="AK30" s="37">
        <f>IF($A30="","",SUMPRODUCT(COUNTIFS(B30:AF30,Codes,$B$53:$AF$53,1)*(Arten="Krank")*Erste))</f>
      </c>
      <c r="AL30" s="38">
        <f>IF($A30="","",IF(COUNTIF(B79:AF79,1)&gt;0,COUNTIF(B79:AF79,1)&amp;"× Ruhezeit unter 11 Std. (§ 5)","")&amp;IF((COUNTIFS(B30:AF30,"?*",$B$52:$AF$52,1)-SUMPRODUCT(COUNTIFS(B30:AF30,Codes,$B$52:$AF$52,1)*(Codes&lt;&gt;"")*Erste))&gt;0,IF(COUNTIF(B79:AF79,1)&gt;0,"; ","")&amp;(COUNTIFS(B30:AF30,"?*",$B$52:$AF$52,1)-SUMPRODUCT(COUNTIFS(B30:AF30,Codes,$B$52:$AF$52,1)*(Codes&lt;&gt;"")*Erste))&amp;"× unbekanntes Kürzel",""))</f>
      </c>
    </row>
    <row r="31" spans="1:38" x14ac:dyDescent="0.25">
      <c r="A31" s="33">
        <f>Mitarbeiter!$A$30&amp;""</f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5">
        <f>IF($A31="","",SUMPRODUCT(COUNTIFS(B31:AF31,Codes,$B$52:$AF$52,1)*(Arten="Arbeit")*Erste*NettoTage)+SUMPRODUCT(COUNTIFS(B31:AF31,Codes,$B$53:$AF$53,1)*((Arten="Urlaub")+(Arten="Krank")+(Arten="Bezahlt abwesend"))*Erste)*N(Mitarbeiter!$B$30)/5/24)</f>
      </c>
      <c r="AH31" s="35">
        <f>IF($A31="","",N(Mitarbeiter!$B$30)/5/24*SUM($B$53:$AF$53))</f>
      </c>
      <c r="AI31" s="36">
        <f>IF($A31="","",IF((AG31-AH31)&lt;0,"-","+")&amp;TEXT(ABS((AG31-AH31)),"[h]:mm"))</f>
      </c>
      <c r="AJ31" s="37">
        <f>IF($A31="","",SUMPRODUCT(COUNTIFS(B31:AF31,Codes,$B$53:$AF$53,1)*(Arten="Urlaub")*Erste))</f>
      </c>
      <c r="AK31" s="37">
        <f>IF($A31="","",SUMPRODUCT(COUNTIFS(B31:AF31,Codes,$B$53:$AF$53,1)*(Arten="Krank")*Erste))</f>
      </c>
      <c r="AL31" s="38">
        <f>IF($A31="","",IF(COUNTIF(B80:AF80,1)&gt;0,COUNTIF(B80:AF80,1)&amp;"× Ruhezeit unter 11 Std. (§ 5)","")&amp;IF((COUNTIFS(B31:AF31,"?*",$B$52:$AF$52,1)-SUMPRODUCT(COUNTIFS(B31:AF31,Codes,$B$52:$AF$52,1)*(Codes&lt;&gt;"")*Erste))&gt;0,IF(COUNTIF(B80:AF80,1)&gt;0,"; ","")&amp;(COUNTIFS(B31:AF31,"?*",$B$52:$AF$52,1)-SUMPRODUCT(COUNTIFS(B31:AF31,Codes,$B$52:$AF$52,1)*(Codes&lt;&gt;"")*Erste))&amp;"× unbekanntes Kürzel",""))</f>
      </c>
    </row>
    <row r="32" spans="1:38" x14ac:dyDescent="0.25">
      <c r="A32" s="33">
        <f>Mitarbeiter!$A$31&amp;""</f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5">
        <f>IF($A32="","",SUMPRODUCT(COUNTIFS(B32:AF32,Codes,$B$52:$AF$52,1)*(Arten="Arbeit")*Erste*NettoTage)+SUMPRODUCT(COUNTIFS(B32:AF32,Codes,$B$53:$AF$53,1)*((Arten="Urlaub")+(Arten="Krank")+(Arten="Bezahlt abwesend"))*Erste)*N(Mitarbeiter!$B$31)/5/24)</f>
      </c>
      <c r="AH32" s="35">
        <f>IF($A32="","",N(Mitarbeiter!$B$31)/5/24*SUM($B$53:$AF$53))</f>
      </c>
      <c r="AI32" s="36">
        <f>IF($A32="","",IF((AG32-AH32)&lt;0,"-","+")&amp;TEXT(ABS((AG32-AH32)),"[h]:mm"))</f>
      </c>
      <c r="AJ32" s="37">
        <f>IF($A32="","",SUMPRODUCT(COUNTIFS(B32:AF32,Codes,$B$53:$AF$53,1)*(Arten="Urlaub")*Erste))</f>
      </c>
      <c r="AK32" s="37">
        <f>IF($A32="","",SUMPRODUCT(COUNTIFS(B32:AF32,Codes,$B$53:$AF$53,1)*(Arten="Krank")*Erste))</f>
      </c>
      <c r="AL32" s="38">
        <f>IF($A32="","",IF(COUNTIF(B81:AF81,1)&gt;0,COUNTIF(B81:AF81,1)&amp;"× Ruhezeit unter 11 Std. (§ 5)","")&amp;IF((COUNTIFS(B32:AF32,"?*",$B$52:$AF$52,1)-SUMPRODUCT(COUNTIFS(B32:AF32,Codes,$B$52:$AF$52,1)*(Codes&lt;&gt;"")*Erste))&gt;0,IF(COUNTIF(B81:AF81,1)&gt;0,"; ","")&amp;(COUNTIFS(B32:AF32,"?*",$B$52:$AF$52,1)-SUMPRODUCT(COUNTIFS(B32:AF32,Codes,$B$52:$AF$52,1)*(Codes&lt;&gt;"")*Erste))&amp;"× unbekanntes Kürzel",""))</f>
      </c>
    </row>
    <row r="33" spans="1:38" x14ac:dyDescent="0.25">
      <c r="A33" s="33">
        <f>Mitarbeiter!$A$32&amp;""</f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5">
        <f>IF($A33="","",SUMPRODUCT(COUNTIFS(B33:AF33,Codes,$B$52:$AF$52,1)*(Arten="Arbeit")*Erste*NettoTage)+SUMPRODUCT(COUNTIFS(B33:AF33,Codes,$B$53:$AF$53,1)*((Arten="Urlaub")+(Arten="Krank")+(Arten="Bezahlt abwesend"))*Erste)*N(Mitarbeiter!$B$32)/5/24)</f>
      </c>
      <c r="AH33" s="35">
        <f>IF($A33="","",N(Mitarbeiter!$B$32)/5/24*SUM($B$53:$AF$53))</f>
      </c>
      <c r="AI33" s="36">
        <f>IF($A33="","",IF((AG33-AH33)&lt;0,"-","+")&amp;TEXT(ABS((AG33-AH33)),"[h]:mm"))</f>
      </c>
      <c r="AJ33" s="37">
        <f>IF($A33="","",SUMPRODUCT(COUNTIFS(B33:AF33,Codes,$B$53:$AF$53,1)*(Arten="Urlaub")*Erste))</f>
      </c>
      <c r="AK33" s="37">
        <f>IF($A33="","",SUMPRODUCT(COUNTIFS(B33:AF33,Codes,$B$53:$AF$53,1)*(Arten="Krank")*Erste))</f>
      </c>
      <c r="AL33" s="38">
        <f>IF($A33="","",IF(COUNTIF(B82:AF82,1)&gt;0,COUNTIF(B82:AF82,1)&amp;"× Ruhezeit unter 11 Std. (§ 5)","")&amp;IF((COUNTIFS(B33:AF33,"?*",$B$52:$AF$52,1)-SUMPRODUCT(COUNTIFS(B33:AF33,Codes,$B$52:$AF$52,1)*(Codes&lt;&gt;"")*Erste))&gt;0,IF(COUNTIF(B82:AF82,1)&gt;0,"; ","")&amp;(COUNTIFS(B33:AF33,"?*",$B$52:$AF$52,1)-SUMPRODUCT(COUNTIFS(B33:AF33,Codes,$B$52:$AF$52,1)*(Codes&lt;&gt;"")*Erste))&amp;"× unbekanntes Kürzel",""))</f>
      </c>
    </row>
    <row r="34" spans="1:38" x14ac:dyDescent="0.25">
      <c r="A34" s="33">
        <f>Mitarbeiter!$A$33&amp;""</f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5">
        <f>IF($A34="","",SUMPRODUCT(COUNTIFS(B34:AF34,Codes,$B$52:$AF$52,1)*(Arten="Arbeit")*Erste*NettoTage)+SUMPRODUCT(COUNTIFS(B34:AF34,Codes,$B$53:$AF$53,1)*((Arten="Urlaub")+(Arten="Krank")+(Arten="Bezahlt abwesend"))*Erste)*N(Mitarbeiter!$B$33)/5/24)</f>
      </c>
      <c r="AH34" s="35">
        <f>IF($A34="","",N(Mitarbeiter!$B$33)/5/24*SUM($B$53:$AF$53))</f>
      </c>
      <c r="AI34" s="36">
        <f>IF($A34="","",IF((AG34-AH34)&lt;0,"-","+")&amp;TEXT(ABS((AG34-AH34)),"[h]:mm"))</f>
      </c>
      <c r="AJ34" s="37">
        <f>IF($A34="","",SUMPRODUCT(COUNTIFS(B34:AF34,Codes,$B$53:$AF$53,1)*(Arten="Urlaub")*Erste))</f>
      </c>
      <c r="AK34" s="37">
        <f>IF($A34="","",SUMPRODUCT(COUNTIFS(B34:AF34,Codes,$B$53:$AF$53,1)*(Arten="Krank")*Erste))</f>
      </c>
      <c r="AL34" s="38">
        <f>IF($A34="","",IF(COUNTIF(B83:AF83,1)&gt;0,COUNTIF(B83:AF83,1)&amp;"× Ruhezeit unter 11 Std. (§ 5)","")&amp;IF((COUNTIFS(B34:AF34,"?*",$B$52:$AF$52,1)-SUMPRODUCT(COUNTIFS(B34:AF34,Codes,$B$52:$AF$52,1)*(Codes&lt;&gt;"")*Erste))&gt;0,IF(COUNTIF(B83:AF83,1)&gt;0,"; ","")&amp;(COUNTIFS(B34:AF34,"?*",$B$52:$AF$52,1)-SUMPRODUCT(COUNTIFS(B34:AF34,Codes,$B$52:$AF$52,1)*(Codes&lt;&gt;"")*Erste))&amp;"× unbekanntes Kürzel",""))</f>
      </c>
    </row>
    <row r="35" spans="1:38" x14ac:dyDescent="0.25">
      <c r="A35" s="33">
        <f>Mitarbeiter!$A$34&amp;""</f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5">
        <f>IF($A35="","",SUMPRODUCT(COUNTIFS(B35:AF35,Codes,$B$52:$AF$52,1)*(Arten="Arbeit")*Erste*NettoTage)+SUMPRODUCT(COUNTIFS(B35:AF35,Codes,$B$53:$AF$53,1)*((Arten="Urlaub")+(Arten="Krank")+(Arten="Bezahlt abwesend"))*Erste)*N(Mitarbeiter!$B$34)/5/24)</f>
      </c>
      <c r="AH35" s="35">
        <f>IF($A35="","",N(Mitarbeiter!$B$34)/5/24*SUM($B$53:$AF$53))</f>
      </c>
      <c r="AI35" s="36">
        <f>IF($A35="","",IF((AG35-AH35)&lt;0,"-","+")&amp;TEXT(ABS((AG35-AH35)),"[h]:mm"))</f>
      </c>
      <c r="AJ35" s="37">
        <f>IF($A35="","",SUMPRODUCT(COUNTIFS(B35:AF35,Codes,$B$53:$AF$53,1)*(Arten="Urlaub")*Erste))</f>
      </c>
      <c r="AK35" s="37">
        <f>IF($A35="","",SUMPRODUCT(COUNTIFS(B35:AF35,Codes,$B$53:$AF$53,1)*(Arten="Krank")*Erste))</f>
      </c>
      <c r="AL35" s="38">
        <f>IF($A35="","",IF(COUNTIF(B84:AF84,1)&gt;0,COUNTIF(B84:AF84,1)&amp;"× Ruhezeit unter 11 Std. (§ 5)","")&amp;IF((COUNTIFS(B35:AF35,"?*",$B$52:$AF$52,1)-SUMPRODUCT(COUNTIFS(B35:AF35,Codes,$B$52:$AF$52,1)*(Codes&lt;&gt;"")*Erste))&gt;0,IF(COUNTIF(B84:AF84,1)&gt;0,"; ","")&amp;(COUNTIFS(B35:AF35,"?*",$B$52:$AF$52,1)-SUMPRODUCT(COUNTIFS(B35:AF35,Codes,$B$52:$AF$52,1)*(Codes&lt;&gt;"")*Erste))&amp;"× unbekanntes Kürzel",""))</f>
      </c>
    </row>
    <row r="37" spans="1:1" x14ac:dyDescent="0.25">
      <c r="A37" s="39" t="s">
        <v>63</v>
      </c>
    </row>
    <row r="38" spans="1:39" x14ac:dyDescent="0.25">
      <c r="A38" s="40">
        <f>IFERROR(INDEX(Codes,MATCH(1,ArbeitNr,0))&amp;" "&amp;INDEX(Bezeichnungen,MATCH(1,ArbeitNr,0)),"")</f>
      </c>
      <c r="B38" s="41">
        <f>IF(OR($AM38="",B$52=0),"",COUNTIF(B$6:B$35,$AM38))</f>
      </c>
      <c r="C38" s="41">
        <f>IF(OR($AM38="",C$52=0),"",COUNTIF(C$6:C$35,$AM38))</f>
      </c>
      <c r="D38" s="41">
        <f>IF(OR($AM38="",D$52=0),"",COUNTIF(D$6:D$35,$AM38))</f>
      </c>
      <c r="E38" s="41">
        <f>IF(OR($AM38="",E$52=0),"",COUNTIF(E$6:E$35,$AM38))</f>
      </c>
      <c r="F38" s="41">
        <f>IF(OR($AM38="",F$52=0),"",COUNTIF(F$6:F$35,$AM38))</f>
      </c>
      <c r="G38" s="41">
        <f>IF(OR($AM38="",G$52=0),"",COUNTIF(G$6:G$35,$AM38))</f>
      </c>
      <c r="H38" s="41">
        <f>IF(OR($AM38="",H$52=0),"",COUNTIF(H$6:H$35,$AM38))</f>
      </c>
      <c r="I38" s="41">
        <f>IF(OR($AM38="",I$52=0),"",COUNTIF(I$6:I$35,$AM38))</f>
      </c>
      <c r="J38" s="41">
        <f>IF(OR($AM38="",J$52=0),"",COUNTIF(J$6:J$35,$AM38))</f>
      </c>
      <c r="K38" s="41">
        <f>IF(OR($AM38="",K$52=0),"",COUNTIF(K$6:K$35,$AM38))</f>
      </c>
      <c r="L38" s="41">
        <f>IF(OR($AM38="",L$52=0),"",COUNTIF(L$6:L$35,$AM38))</f>
      </c>
      <c r="M38" s="41">
        <f>IF(OR($AM38="",M$52=0),"",COUNTIF(M$6:M$35,$AM38))</f>
      </c>
      <c r="N38" s="41">
        <f>IF(OR($AM38="",N$52=0),"",COUNTIF(N$6:N$35,$AM38))</f>
      </c>
      <c r="O38" s="41">
        <f>IF(OR($AM38="",O$52=0),"",COUNTIF(O$6:O$35,$AM38))</f>
      </c>
      <c r="P38" s="41">
        <f>IF(OR($AM38="",P$52=0),"",COUNTIF(P$6:P$35,$AM38))</f>
      </c>
      <c r="Q38" s="41">
        <f>IF(OR($AM38="",Q$52=0),"",COUNTIF(Q$6:Q$35,$AM38))</f>
      </c>
      <c r="R38" s="41">
        <f>IF(OR($AM38="",R$52=0),"",COUNTIF(R$6:R$35,$AM38))</f>
      </c>
      <c r="S38" s="41">
        <f>IF(OR($AM38="",S$52=0),"",COUNTIF(S$6:S$35,$AM38))</f>
      </c>
      <c r="T38" s="41">
        <f>IF(OR($AM38="",T$52=0),"",COUNTIF(T$6:T$35,$AM38))</f>
      </c>
      <c r="U38" s="41">
        <f>IF(OR($AM38="",U$52=0),"",COUNTIF(U$6:U$35,$AM38))</f>
      </c>
      <c r="V38" s="41">
        <f>IF(OR($AM38="",V$52=0),"",COUNTIF(V$6:V$35,$AM38))</f>
      </c>
      <c r="W38" s="41">
        <f>IF(OR($AM38="",W$52=0),"",COUNTIF(W$6:W$35,$AM38))</f>
      </c>
      <c r="X38" s="41">
        <f>IF(OR($AM38="",X$52=0),"",COUNTIF(X$6:X$35,$AM38))</f>
      </c>
      <c r="Y38" s="41">
        <f>IF(OR($AM38="",Y$52=0),"",COUNTIF(Y$6:Y$35,$AM38))</f>
      </c>
      <c r="Z38" s="41">
        <f>IF(OR($AM38="",Z$52=0),"",COUNTIF(Z$6:Z$35,$AM38))</f>
      </c>
      <c r="AA38" s="41">
        <f>IF(OR($AM38="",AA$52=0),"",COUNTIF(AA$6:AA$35,$AM38))</f>
      </c>
      <c r="AB38" s="41">
        <f>IF(OR($AM38="",AB$52=0),"",COUNTIF(AB$6:AB$35,$AM38))</f>
      </c>
      <c r="AC38" s="41">
        <f>IF(OR($AM38="",AC$52=0),"",COUNTIF(AC$6:AC$35,$AM38))</f>
      </c>
      <c r="AD38" s="41">
        <f>IF(OR($AM38="",AD$52=0),"",COUNTIF(AD$6:AD$35,$AM38))</f>
      </c>
      <c r="AE38" s="41">
        <f>IF(OR($AM38="",AE$52=0),"",COUNTIF(AE$6:AE$35,$AM38))</f>
      </c>
      <c r="AF38" s="41">
        <f>IF(OR($AM38="",AF$52=0),"",COUNTIF(AF$6:AF$35,$AM38))</f>
      </c>
      <c r="AG38" s="1"/>
      <c r="AH38" s="1"/>
      <c r="AI38" s="1"/>
      <c r="AJ38" s="1"/>
      <c r="AK38" s="1"/>
      <c r="AL38" s="1"/>
      <c r="AM38" s="1">
        <f>IFERROR(INDEX(Codes,MATCH(1,ArbeitNr,0)),"")</f>
      </c>
    </row>
    <row r="39" spans="1:39" x14ac:dyDescent="0.25">
      <c r="A39" s="40">
        <f>IFERROR(INDEX(Codes,MATCH(2,ArbeitNr,0))&amp;" "&amp;INDEX(Bezeichnungen,MATCH(2,ArbeitNr,0)),"")</f>
      </c>
      <c r="B39" s="41">
        <f>IF(OR($AM39="",B$52=0),"",COUNTIF(B$6:B$35,$AM39))</f>
      </c>
      <c r="C39" s="41">
        <f>IF(OR($AM39="",C$52=0),"",COUNTIF(C$6:C$35,$AM39))</f>
      </c>
      <c r="D39" s="41">
        <f>IF(OR($AM39="",D$52=0),"",COUNTIF(D$6:D$35,$AM39))</f>
      </c>
      <c r="E39" s="41">
        <f>IF(OR($AM39="",E$52=0),"",COUNTIF(E$6:E$35,$AM39))</f>
      </c>
      <c r="F39" s="41">
        <f>IF(OR($AM39="",F$52=0),"",COUNTIF(F$6:F$35,$AM39))</f>
      </c>
      <c r="G39" s="41">
        <f>IF(OR($AM39="",G$52=0),"",COUNTIF(G$6:G$35,$AM39))</f>
      </c>
      <c r="H39" s="41">
        <f>IF(OR($AM39="",H$52=0),"",COUNTIF(H$6:H$35,$AM39))</f>
      </c>
      <c r="I39" s="41">
        <f>IF(OR($AM39="",I$52=0),"",COUNTIF(I$6:I$35,$AM39))</f>
      </c>
      <c r="J39" s="41">
        <f>IF(OR($AM39="",J$52=0),"",COUNTIF(J$6:J$35,$AM39))</f>
      </c>
      <c r="K39" s="41">
        <f>IF(OR($AM39="",K$52=0),"",COUNTIF(K$6:K$35,$AM39))</f>
      </c>
      <c r="L39" s="41">
        <f>IF(OR($AM39="",L$52=0),"",COUNTIF(L$6:L$35,$AM39))</f>
      </c>
      <c r="M39" s="41">
        <f>IF(OR($AM39="",M$52=0),"",COUNTIF(M$6:M$35,$AM39))</f>
      </c>
      <c r="N39" s="41">
        <f>IF(OR($AM39="",N$52=0),"",COUNTIF(N$6:N$35,$AM39))</f>
      </c>
      <c r="O39" s="41">
        <f>IF(OR($AM39="",O$52=0),"",COUNTIF(O$6:O$35,$AM39))</f>
      </c>
      <c r="P39" s="41">
        <f>IF(OR($AM39="",P$52=0),"",COUNTIF(P$6:P$35,$AM39))</f>
      </c>
      <c r="Q39" s="41">
        <f>IF(OR($AM39="",Q$52=0),"",COUNTIF(Q$6:Q$35,$AM39))</f>
      </c>
      <c r="R39" s="41">
        <f>IF(OR($AM39="",R$52=0),"",COUNTIF(R$6:R$35,$AM39))</f>
      </c>
      <c r="S39" s="41">
        <f>IF(OR($AM39="",S$52=0),"",COUNTIF(S$6:S$35,$AM39))</f>
      </c>
      <c r="T39" s="41">
        <f>IF(OR($AM39="",T$52=0),"",COUNTIF(T$6:T$35,$AM39))</f>
      </c>
      <c r="U39" s="41">
        <f>IF(OR($AM39="",U$52=0),"",COUNTIF(U$6:U$35,$AM39))</f>
      </c>
      <c r="V39" s="41">
        <f>IF(OR($AM39="",V$52=0),"",COUNTIF(V$6:V$35,$AM39))</f>
      </c>
      <c r="W39" s="41">
        <f>IF(OR($AM39="",W$52=0),"",COUNTIF(W$6:W$35,$AM39))</f>
      </c>
      <c r="X39" s="41">
        <f>IF(OR($AM39="",X$52=0),"",COUNTIF(X$6:X$35,$AM39))</f>
      </c>
      <c r="Y39" s="41">
        <f>IF(OR($AM39="",Y$52=0),"",COUNTIF(Y$6:Y$35,$AM39))</f>
      </c>
      <c r="Z39" s="41">
        <f>IF(OR($AM39="",Z$52=0),"",COUNTIF(Z$6:Z$35,$AM39))</f>
      </c>
      <c r="AA39" s="41">
        <f>IF(OR($AM39="",AA$52=0),"",COUNTIF(AA$6:AA$35,$AM39))</f>
      </c>
      <c r="AB39" s="41">
        <f>IF(OR($AM39="",AB$52=0),"",COUNTIF(AB$6:AB$35,$AM39))</f>
      </c>
      <c r="AC39" s="41">
        <f>IF(OR($AM39="",AC$52=0),"",COUNTIF(AC$6:AC$35,$AM39))</f>
      </c>
      <c r="AD39" s="41">
        <f>IF(OR($AM39="",AD$52=0),"",COUNTIF(AD$6:AD$35,$AM39))</f>
      </c>
      <c r="AE39" s="41">
        <f>IF(OR($AM39="",AE$52=0),"",COUNTIF(AE$6:AE$35,$AM39))</f>
      </c>
      <c r="AF39" s="41">
        <f>IF(OR($AM39="",AF$52=0),"",COUNTIF(AF$6:AF$35,$AM39))</f>
      </c>
      <c r="AG39" s="1"/>
      <c r="AH39" s="1"/>
      <c r="AI39" s="1"/>
      <c r="AJ39" s="1"/>
      <c r="AK39" s="1"/>
      <c r="AL39" s="1"/>
      <c r="AM39" s="1">
        <f>IFERROR(INDEX(Codes,MATCH(2,ArbeitNr,0)),"")</f>
      </c>
    </row>
    <row r="40" spans="1:39" x14ac:dyDescent="0.25">
      <c r="A40" s="40">
        <f>IFERROR(INDEX(Codes,MATCH(3,ArbeitNr,0))&amp;" "&amp;INDEX(Bezeichnungen,MATCH(3,ArbeitNr,0)),"")</f>
      </c>
      <c r="B40" s="41">
        <f>IF(OR($AM40="",B$52=0),"",COUNTIF(B$6:B$35,$AM40))</f>
      </c>
      <c r="C40" s="41">
        <f>IF(OR($AM40="",C$52=0),"",COUNTIF(C$6:C$35,$AM40))</f>
      </c>
      <c r="D40" s="41">
        <f>IF(OR($AM40="",D$52=0),"",COUNTIF(D$6:D$35,$AM40))</f>
      </c>
      <c r="E40" s="41">
        <f>IF(OR($AM40="",E$52=0),"",COUNTIF(E$6:E$35,$AM40))</f>
      </c>
      <c r="F40" s="41">
        <f>IF(OR($AM40="",F$52=0),"",COUNTIF(F$6:F$35,$AM40))</f>
      </c>
      <c r="G40" s="41">
        <f>IF(OR($AM40="",G$52=0),"",COUNTIF(G$6:G$35,$AM40))</f>
      </c>
      <c r="H40" s="41">
        <f>IF(OR($AM40="",H$52=0),"",COUNTIF(H$6:H$35,$AM40))</f>
      </c>
      <c r="I40" s="41">
        <f>IF(OR($AM40="",I$52=0),"",COUNTIF(I$6:I$35,$AM40))</f>
      </c>
      <c r="J40" s="41">
        <f>IF(OR($AM40="",J$52=0),"",COUNTIF(J$6:J$35,$AM40))</f>
      </c>
      <c r="K40" s="41">
        <f>IF(OR($AM40="",K$52=0),"",COUNTIF(K$6:K$35,$AM40))</f>
      </c>
      <c r="L40" s="41">
        <f>IF(OR($AM40="",L$52=0),"",COUNTIF(L$6:L$35,$AM40))</f>
      </c>
      <c r="M40" s="41">
        <f>IF(OR($AM40="",M$52=0),"",COUNTIF(M$6:M$35,$AM40))</f>
      </c>
      <c r="N40" s="41">
        <f>IF(OR($AM40="",N$52=0),"",COUNTIF(N$6:N$35,$AM40))</f>
      </c>
      <c r="O40" s="41">
        <f>IF(OR($AM40="",O$52=0),"",COUNTIF(O$6:O$35,$AM40))</f>
      </c>
      <c r="P40" s="41">
        <f>IF(OR($AM40="",P$52=0),"",COUNTIF(P$6:P$35,$AM40))</f>
      </c>
      <c r="Q40" s="41">
        <f>IF(OR($AM40="",Q$52=0),"",COUNTIF(Q$6:Q$35,$AM40))</f>
      </c>
      <c r="R40" s="41">
        <f>IF(OR($AM40="",R$52=0),"",COUNTIF(R$6:R$35,$AM40))</f>
      </c>
      <c r="S40" s="41">
        <f>IF(OR($AM40="",S$52=0),"",COUNTIF(S$6:S$35,$AM40))</f>
      </c>
      <c r="T40" s="41">
        <f>IF(OR($AM40="",T$52=0),"",COUNTIF(T$6:T$35,$AM40))</f>
      </c>
      <c r="U40" s="41">
        <f>IF(OR($AM40="",U$52=0),"",COUNTIF(U$6:U$35,$AM40))</f>
      </c>
      <c r="V40" s="41">
        <f>IF(OR($AM40="",V$52=0),"",COUNTIF(V$6:V$35,$AM40))</f>
      </c>
      <c r="W40" s="41">
        <f>IF(OR($AM40="",W$52=0),"",COUNTIF(W$6:W$35,$AM40))</f>
      </c>
      <c r="X40" s="41">
        <f>IF(OR($AM40="",X$52=0),"",COUNTIF(X$6:X$35,$AM40))</f>
      </c>
      <c r="Y40" s="41">
        <f>IF(OR($AM40="",Y$52=0),"",COUNTIF(Y$6:Y$35,$AM40))</f>
      </c>
      <c r="Z40" s="41">
        <f>IF(OR($AM40="",Z$52=0),"",COUNTIF(Z$6:Z$35,$AM40))</f>
      </c>
      <c r="AA40" s="41">
        <f>IF(OR($AM40="",AA$52=0),"",COUNTIF(AA$6:AA$35,$AM40))</f>
      </c>
      <c r="AB40" s="41">
        <f>IF(OR($AM40="",AB$52=0),"",COUNTIF(AB$6:AB$35,$AM40))</f>
      </c>
      <c r="AC40" s="41">
        <f>IF(OR($AM40="",AC$52=0),"",COUNTIF(AC$6:AC$35,$AM40))</f>
      </c>
      <c r="AD40" s="41">
        <f>IF(OR($AM40="",AD$52=0),"",COUNTIF(AD$6:AD$35,$AM40))</f>
      </c>
      <c r="AE40" s="41">
        <f>IF(OR($AM40="",AE$52=0),"",COUNTIF(AE$6:AE$35,$AM40))</f>
      </c>
      <c r="AF40" s="41">
        <f>IF(OR($AM40="",AF$52=0),"",COUNTIF(AF$6:AF$35,$AM40))</f>
      </c>
      <c r="AG40" s="1"/>
      <c r="AH40" s="1"/>
      <c r="AI40" s="1"/>
      <c r="AJ40" s="1"/>
      <c r="AK40" s="1"/>
      <c r="AL40" s="1"/>
      <c r="AM40" s="1">
        <f>IFERROR(INDEX(Codes,MATCH(3,ArbeitNr,0)),"")</f>
      </c>
    </row>
    <row r="41" spans="1:39" x14ac:dyDescent="0.25">
      <c r="A41" s="40">
        <f>IFERROR(INDEX(Codes,MATCH(4,ArbeitNr,0))&amp;" "&amp;INDEX(Bezeichnungen,MATCH(4,ArbeitNr,0)),"")</f>
      </c>
      <c r="B41" s="41">
        <f>IF(OR($AM41="",B$52=0),"",COUNTIF(B$6:B$35,$AM41))</f>
      </c>
      <c r="C41" s="41">
        <f>IF(OR($AM41="",C$52=0),"",COUNTIF(C$6:C$35,$AM41))</f>
      </c>
      <c r="D41" s="41">
        <f>IF(OR($AM41="",D$52=0),"",COUNTIF(D$6:D$35,$AM41))</f>
      </c>
      <c r="E41" s="41">
        <f>IF(OR($AM41="",E$52=0),"",COUNTIF(E$6:E$35,$AM41))</f>
      </c>
      <c r="F41" s="41">
        <f>IF(OR($AM41="",F$52=0),"",COUNTIF(F$6:F$35,$AM41))</f>
      </c>
      <c r="G41" s="41">
        <f>IF(OR($AM41="",G$52=0),"",COUNTIF(G$6:G$35,$AM41))</f>
      </c>
      <c r="H41" s="41">
        <f>IF(OR($AM41="",H$52=0),"",COUNTIF(H$6:H$35,$AM41))</f>
      </c>
      <c r="I41" s="41">
        <f>IF(OR($AM41="",I$52=0),"",COUNTIF(I$6:I$35,$AM41))</f>
      </c>
      <c r="J41" s="41">
        <f>IF(OR($AM41="",J$52=0),"",COUNTIF(J$6:J$35,$AM41))</f>
      </c>
      <c r="K41" s="41">
        <f>IF(OR($AM41="",K$52=0),"",COUNTIF(K$6:K$35,$AM41))</f>
      </c>
      <c r="L41" s="41">
        <f>IF(OR($AM41="",L$52=0),"",COUNTIF(L$6:L$35,$AM41))</f>
      </c>
      <c r="M41" s="41">
        <f>IF(OR($AM41="",M$52=0),"",COUNTIF(M$6:M$35,$AM41))</f>
      </c>
      <c r="N41" s="41">
        <f>IF(OR($AM41="",N$52=0),"",COUNTIF(N$6:N$35,$AM41))</f>
      </c>
      <c r="O41" s="41">
        <f>IF(OR($AM41="",O$52=0),"",COUNTIF(O$6:O$35,$AM41))</f>
      </c>
      <c r="P41" s="41">
        <f>IF(OR($AM41="",P$52=0),"",COUNTIF(P$6:P$35,$AM41))</f>
      </c>
      <c r="Q41" s="41">
        <f>IF(OR($AM41="",Q$52=0),"",COUNTIF(Q$6:Q$35,$AM41))</f>
      </c>
      <c r="R41" s="41">
        <f>IF(OR($AM41="",R$52=0),"",COUNTIF(R$6:R$35,$AM41))</f>
      </c>
      <c r="S41" s="41">
        <f>IF(OR($AM41="",S$52=0),"",COUNTIF(S$6:S$35,$AM41))</f>
      </c>
      <c r="T41" s="41">
        <f>IF(OR($AM41="",T$52=0),"",COUNTIF(T$6:T$35,$AM41))</f>
      </c>
      <c r="U41" s="41">
        <f>IF(OR($AM41="",U$52=0),"",COUNTIF(U$6:U$35,$AM41))</f>
      </c>
      <c r="V41" s="41">
        <f>IF(OR($AM41="",V$52=0),"",COUNTIF(V$6:V$35,$AM41))</f>
      </c>
      <c r="W41" s="41">
        <f>IF(OR($AM41="",W$52=0),"",COUNTIF(W$6:W$35,$AM41))</f>
      </c>
      <c r="X41" s="41">
        <f>IF(OR($AM41="",X$52=0),"",COUNTIF(X$6:X$35,$AM41))</f>
      </c>
      <c r="Y41" s="41">
        <f>IF(OR($AM41="",Y$52=0),"",COUNTIF(Y$6:Y$35,$AM41))</f>
      </c>
      <c r="Z41" s="41">
        <f>IF(OR($AM41="",Z$52=0),"",COUNTIF(Z$6:Z$35,$AM41))</f>
      </c>
      <c r="AA41" s="41">
        <f>IF(OR($AM41="",AA$52=0),"",COUNTIF(AA$6:AA$35,$AM41))</f>
      </c>
      <c r="AB41" s="41">
        <f>IF(OR($AM41="",AB$52=0),"",COUNTIF(AB$6:AB$35,$AM41))</f>
      </c>
      <c r="AC41" s="41">
        <f>IF(OR($AM41="",AC$52=0),"",COUNTIF(AC$6:AC$35,$AM41))</f>
      </c>
      <c r="AD41" s="41">
        <f>IF(OR($AM41="",AD$52=0),"",COUNTIF(AD$6:AD$35,$AM41))</f>
      </c>
      <c r="AE41" s="41">
        <f>IF(OR($AM41="",AE$52=0),"",COUNTIF(AE$6:AE$35,$AM41))</f>
      </c>
      <c r="AF41" s="41">
        <f>IF(OR($AM41="",AF$52=0),"",COUNTIF(AF$6:AF$35,$AM41))</f>
      </c>
      <c r="AG41" s="1"/>
      <c r="AH41" s="1"/>
      <c r="AI41" s="1"/>
      <c r="AJ41" s="1"/>
      <c r="AK41" s="1"/>
      <c r="AL41" s="1"/>
      <c r="AM41" s="1">
        <f>IFERROR(INDEX(Codes,MATCH(4,ArbeitNr,0)),"")</f>
      </c>
    </row>
    <row r="42" spans="1:39" x14ac:dyDescent="0.25">
      <c r="A42" s="40">
        <f>IFERROR(INDEX(Codes,MATCH(5,ArbeitNr,0))&amp;" "&amp;INDEX(Bezeichnungen,MATCH(5,ArbeitNr,0)),"")</f>
      </c>
      <c r="B42" s="41">
        <f>IF(OR($AM42="",B$52=0),"",COUNTIF(B$6:B$35,$AM42))</f>
      </c>
      <c r="C42" s="41">
        <f>IF(OR($AM42="",C$52=0),"",COUNTIF(C$6:C$35,$AM42))</f>
      </c>
      <c r="D42" s="41">
        <f>IF(OR($AM42="",D$52=0),"",COUNTIF(D$6:D$35,$AM42))</f>
      </c>
      <c r="E42" s="41">
        <f>IF(OR($AM42="",E$52=0),"",COUNTIF(E$6:E$35,$AM42))</f>
      </c>
      <c r="F42" s="41">
        <f>IF(OR($AM42="",F$52=0),"",COUNTIF(F$6:F$35,$AM42))</f>
      </c>
      <c r="G42" s="41">
        <f>IF(OR($AM42="",G$52=0),"",COUNTIF(G$6:G$35,$AM42))</f>
      </c>
      <c r="H42" s="41">
        <f>IF(OR($AM42="",H$52=0),"",COUNTIF(H$6:H$35,$AM42))</f>
      </c>
      <c r="I42" s="41">
        <f>IF(OR($AM42="",I$52=0),"",COUNTIF(I$6:I$35,$AM42))</f>
      </c>
      <c r="J42" s="41">
        <f>IF(OR($AM42="",J$52=0),"",COUNTIF(J$6:J$35,$AM42))</f>
      </c>
      <c r="K42" s="41">
        <f>IF(OR($AM42="",K$52=0),"",COUNTIF(K$6:K$35,$AM42))</f>
      </c>
      <c r="L42" s="41">
        <f>IF(OR($AM42="",L$52=0),"",COUNTIF(L$6:L$35,$AM42))</f>
      </c>
      <c r="M42" s="41">
        <f>IF(OR($AM42="",M$52=0),"",COUNTIF(M$6:M$35,$AM42))</f>
      </c>
      <c r="N42" s="41">
        <f>IF(OR($AM42="",N$52=0),"",COUNTIF(N$6:N$35,$AM42))</f>
      </c>
      <c r="O42" s="41">
        <f>IF(OR($AM42="",O$52=0),"",COUNTIF(O$6:O$35,$AM42))</f>
      </c>
      <c r="P42" s="41">
        <f>IF(OR($AM42="",P$52=0),"",COUNTIF(P$6:P$35,$AM42))</f>
      </c>
      <c r="Q42" s="41">
        <f>IF(OR($AM42="",Q$52=0),"",COUNTIF(Q$6:Q$35,$AM42))</f>
      </c>
      <c r="R42" s="41">
        <f>IF(OR($AM42="",R$52=0),"",COUNTIF(R$6:R$35,$AM42))</f>
      </c>
      <c r="S42" s="41">
        <f>IF(OR($AM42="",S$52=0),"",COUNTIF(S$6:S$35,$AM42))</f>
      </c>
      <c r="T42" s="41">
        <f>IF(OR($AM42="",T$52=0),"",COUNTIF(T$6:T$35,$AM42))</f>
      </c>
      <c r="U42" s="41">
        <f>IF(OR($AM42="",U$52=0),"",COUNTIF(U$6:U$35,$AM42))</f>
      </c>
      <c r="V42" s="41">
        <f>IF(OR($AM42="",V$52=0),"",COUNTIF(V$6:V$35,$AM42))</f>
      </c>
      <c r="W42" s="41">
        <f>IF(OR($AM42="",W$52=0),"",COUNTIF(W$6:W$35,$AM42))</f>
      </c>
      <c r="X42" s="41">
        <f>IF(OR($AM42="",X$52=0),"",COUNTIF(X$6:X$35,$AM42))</f>
      </c>
      <c r="Y42" s="41">
        <f>IF(OR($AM42="",Y$52=0),"",COUNTIF(Y$6:Y$35,$AM42))</f>
      </c>
      <c r="Z42" s="41">
        <f>IF(OR($AM42="",Z$52=0),"",COUNTIF(Z$6:Z$35,$AM42))</f>
      </c>
      <c r="AA42" s="41">
        <f>IF(OR($AM42="",AA$52=0),"",COUNTIF(AA$6:AA$35,$AM42))</f>
      </c>
      <c r="AB42" s="41">
        <f>IF(OR($AM42="",AB$52=0),"",COUNTIF(AB$6:AB$35,$AM42))</f>
      </c>
      <c r="AC42" s="41">
        <f>IF(OR($AM42="",AC$52=0),"",COUNTIF(AC$6:AC$35,$AM42))</f>
      </c>
      <c r="AD42" s="41">
        <f>IF(OR($AM42="",AD$52=0),"",COUNTIF(AD$6:AD$35,$AM42))</f>
      </c>
      <c r="AE42" s="41">
        <f>IF(OR($AM42="",AE$52=0),"",COUNTIF(AE$6:AE$35,$AM42))</f>
      </c>
      <c r="AF42" s="41">
        <f>IF(OR($AM42="",AF$52=0),"",COUNTIF(AF$6:AF$35,$AM42))</f>
      </c>
      <c r="AG42" s="1"/>
      <c r="AH42" s="1"/>
      <c r="AI42" s="1"/>
      <c r="AJ42" s="1"/>
      <c r="AK42" s="1"/>
      <c r="AL42" s="1"/>
      <c r="AM42" s="1">
        <f>IFERROR(INDEX(Codes,MATCH(5,ArbeitNr,0)),"")</f>
      </c>
    </row>
    <row r="43" spans="1:39" x14ac:dyDescent="0.25">
      <c r="A43" s="40">
        <f>IFERROR(INDEX(Codes,MATCH(6,ArbeitNr,0))&amp;" "&amp;INDEX(Bezeichnungen,MATCH(6,ArbeitNr,0)),"")</f>
      </c>
      <c r="B43" s="41">
        <f>IF(OR($AM43="",B$52=0),"",COUNTIF(B$6:B$35,$AM43))</f>
      </c>
      <c r="C43" s="41">
        <f>IF(OR($AM43="",C$52=0),"",COUNTIF(C$6:C$35,$AM43))</f>
      </c>
      <c r="D43" s="41">
        <f>IF(OR($AM43="",D$52=0),"",COUNTIF(D$6:D$35,$AM43))</f>
      </c>
      <c r="E43" s="41">
        <f>IF(OR($AM43="",E$52=0),"",COUNTIF(E$6:E$35,$AM43))</f>
      </c>
      <c r="F43" s="41">
        <f>IF(OR($AM43="",F$52=0),"",COUNTIF(F$6:F$35,$AM43))</f>
      </c>
      <c r="G43" s="41">
        <f>IF(OR($AM43="",G$52=0),"",COUNTIF(G$6:G$35,$AM43))</f>
      </c>
      <c r="H43" s="41">
        <f>IF(OR($AM43="",H$52=0),"",COUNTIF(H$6:H$35,$AM43))</f>
      </c>
      <c r="I43" s="41">
        <f>IF(OR($AM43="",I$52=0),"",COUNTIF(I$6:I$35,$AM43))</f>
      </c>
      <c r="J43" s="41">
        <f>IF(OR($AM43="",J$52=0),"",COUNTIF(J$6:J$35,$AM43))</f>
      </c>
      <c r="K43" s="41">
        <f>IF(OR($AM43="",K$52=0),"",COUNTIF(K$6:K$35,$AM43))</f>
      </c>
      <c r="L43" s="41">
        <f>IF(OR($AM43="",L$52=0),"",COUNTIF(L$6:L$35,$AM43))</f>
      </c>
      <c r="M43" s="41">
        <f>IF(OR($AM43="",M$52=0),"",COUNTIF(M$6:M$35,$AM43))</f>
      </c>
      <c r="N43" s="41">
        <f>IF(OR($AM43="",N$52=0),"",COUNTIF(N$6:N$35,$AM43))</f>
      </c>
      <c r="O43" s="41">
        <f>IF(OR($AM43="",O$52=0),"",COUNTIF(O$6:O$35,$AM43))</f>
      </c>
      <c r="P43" s="41">
        <f>IF(OR($AM43="",P$52=0),"",COUNTIF(P$6:P$35,$AM43))</f>
      </c>
      <c r="Q43" s="41">
        <f>IF(OR($AM43="",Q$52=0),"",COUNTIF(Q$6:Q$35,$AM43))</f>
      </c>
      <c r="R43" s="41">
        <f>IF(OR($AM43="",R$52=0),"",COUNTIF(R$6:R$35,$AM43))</f>
      </c>
      <c r="S43" s="41">
        <f>IF(OR($AM43="",S$52=0),"",COUNTIF(S$6:S$35,$AM43))</f>
      </c>
      <c r="T43" s="41">
        <f>IF(OR($AM43="",T$52=0),"",COUNTIF(T$6:T$35,$AM43))</f>
      </c>
      <c r="U43" s="41">
        <f>IF(OR($AM43="",U$52=0),"",COUNTIF(U$6:U$35,$AM43))</f>
      </c>
      <c r="V43" s="41">
        <f>IF(OR($AM43="",V$52=0),"",COUNTIF(V$6:V$35,$AM43))</f>
      </c>
      <c r="W43" s="41">
        <f>IF(OR($AM43="",W$52=0),"",COUNTIF(W$6:W$35,$AM43))</f>
      </c>
      <c r="X43" s="41">
        <f>IF(OR($AM43="",X$52=0),"",COUNTIF(X$6:X$35,$AM43))</f>
      </c>
      <c r="Y43" s="41">
        <f>IF(OR($AM43="",Y$52=0),"",COUNTIF(Y$6:Y$35,$AM43))</f>
      </c>
      <c r="Z43" s="41">
        <f>IF(OR($AM43="",Z$52=0),"",COUNTIF(Z$6:Z$35,$AM43))</f>
      </c>
      <c r="AA43" s="41">
        <f>IF(OR($AM43="",AA$52=0),"",COUNTIF(AA$6:AA$35,$AM43))</f>
      </c>
      <c r="AB43" s="41">
        <f>IF(OR($AM43="",AB$52=0),"",COUNTIF(AB$6:AB$35,$AM43))</f>
      </c>
      <c r="AC43" s="41">
        <f>IF(OR($AM43="",AC$52=0),"",COUNTIF(AC$6:AC$35,$AM43))</f>
      </c>
      <c r="AD43" s="41">
        <f>IF(OR($AM43="",AD$52=0),"",COUNTIF(AD$6:AD$35,$AM43))</f>
      </c>
      <c r="AE43" s="41">
        <f>IF(OR($AM43="",AE$52=0),"",COUNTIF(AE$6:AE$35,$AM43))</f>
      </c>
      <c r="AF43" s="41">
        <f>IF(OR($AM43="",AF$52=0),"",COUNTIF(AF$6:AF$35,$AM43))</f>
      </c>
      <c r="AG43" s="1"/>
      <c r="AH43" s="1"/>
      <c r="AI43" s="1"/>
      <c r="AJ43" s="1"/>
      <c r="AK43" s="1"/>
      <c r="AL43" s="1"/>
      <c r="AM43" s="1">
        <f>IFERROR(INDEX(Codes,MATCH(6,ArbeitNr,0)),"")</f>
      </c>
    </row>
    <row r="44" spans="1:39" x14ac:dyDescent="0.25">
      <c r="A44" s="40">
        <f>IFERROR(INDEX(Codes,MATCH(7,ArbeitNr,0))&amp;" "&amp;INDEX(Bezeichnungen,MATCH(7,ArbeitNr,0)),"")</f>
      </c>
      <c r="B44" s="41">
        <f>IF(OR($AM44="",B$52=0),"",COUNTIF(B$6:B$35,$AM44))</f>
      </c>
      <c r="C44" s="41">
        <f>IF(OR($AM44="",C$52=0),"",COUNTIF(C$6:C$35,$AM44))</f>
      </c>
      <c r="D44" s="41">
        <f>IF(OR($AM44="",D$52=0),"",COUNTIF(D$6:D$35,$AM44))</f>
      </c>
      <c r="E44" s="41">
        <f>IF(OR($AM44="",E$52=0),"",COUNTIF(E$6:E$35,$AM44))</f>
      </c>
      <c r="F44" s="41">
        <f>IF(OR($AM44="",F$52=0),"",COUNTIF(F$6:F$35,$AM44))</f>
      </c>
      <c r="G44" s="41">
        <f>IF(OR($AM44="",G$52=0),"",COUNTIF(G$6:G$35,$AM44))</f>
      </c>
      <c r="H44" s="41">
        <f>IF(OR($AM44="",H$52=0),"",COUNTIF(H$6:H$35,$AM44))</f>
      </c>
      <c r="I44" s="41">
        <f>IF(OR($AM44="",I$52=0),"",COUNTIF(I$6:I$35,$AM44))</f>
      </c>
      <c r="J44" s="41">
        <f>IF(OR($AM44="",J$52=0),"",COUNTIF(J$6:J$35,$AM44))</f>
      </c>
      <c r="K44" s="41">
        <f>IF(OR($AM44="",K$52=0),"",COUNTIF(K$6:K$35,$AM44))</f>
      </c>
      <c r="L44" s="41">
        <f>IF(OR($AM44="",L$52=0),"",COUNTIF(L$6:L$35,$AM44))</f>
      </c>
      <c r="M44" s="41">
        <f>IF(OR($AM44="",M$52=0),"",COUNTIF(M$6:M$35,$AM44))</f>
      </c>
      <c r="N44" s="41">
        <f>IF(OR($AM44="",N$52=0),"",COUNTIF(N$6:N$35,$AM44))</f>
      </c>
      <c r="O44" s="41">
        <f>IF(OR($AM44="",O$52=0),"",COUNTIF(O$6:O$35,$AM44))</f>
      </c>
      <c r="P44" s="41">
        <f>IF(OR($AM44="",P$52=0),"",COUNTIF(P$6:P$35,$AM44))</f>
      </c>
      <c r="Q44" s="41">
        <f>IF(OR($AM44="",Q$52=0),"",COUNTIF(Q$6:Q$35,$AM44))</f>
      </c>
      <c r="R44" s="41">
        <f>IF(OR($AM44="",R$52=0),"",COUNTIF(R$6:R$35,$AM44))</f>
      </c>
      <c r="S44" s="41">
        <f>IF(OR($AM44="",S$52=0),"",COUNTIF(S$6:S$35,$AM44))</f>
      </c>
      <c r="T44" s="41">
        <f>IF(OR($AM44="",T$52=0),"",COUNTIF(T$6:T$35,$AM44))</f>
      </c>
      <c r="U44" s="41">
        <f>IF(OR($AM44="",U$52=0),"",COUNTIF(U$6:U$35,$AM44))</f>
      </c>
      <c r="V44" s="41">
        <f>IF(OR($AM44="",V$52=0),"",COUNTIF(V$6:V$35,$AM44))</f>
      </c>
      <c r="W44" s="41">
        <f>IF(OR($AM44="",W$52=0),"",COUNTIF(W$6:W$35,$AM44))</f>
      </c>
      <c r="X44" s="41">
        <f>IF(OR($AM44="",X$52=0),"",COUNTIF(X$6:X$35,$AM44))</f>
      </c>
      <c r="Y44" s="41">
        <f>IF(OR($AM44="",Y$52=0),"",COUNTIF(Y$6:Y$35,$AM44))</f>
      </c>
      <c r="Z44" s="41">
        <f>IF(OR($AM44="",Z$52=0),"",COUNTIF(Z$6:Z$35,$AM44))</f>
      </c>
      <c r="AA44" s="41">
        <f>IF(OR($AM44="",AA$52=0),"",COUNTIF(AA$6:AA$35,$AM44))</f>
      </c>
      <c r="AB44" s="41">
        <f>IF(OR($AM44="",AB$52=0),"",COUNTIF(AB$6:AB$35,$AM44))</f>
      </c>
      <c r="AC44" s="41">
        <f>IF(OR($AM44="",AC$52=0),"",COUNTIF(AC$6:AC$35,$AM44))</f>
      </c>
      <c r="AD44" s="41">
        <f>IF(OR($AM44="",AD$52=0),"",COUNTIF(AD$6:AD$35,$AM44))</f>
      </c>
      <c r="AE44" s="41">
        <f>IF(OR($AM44="",AE$52=0),"",COUNTIF(AE$6:AE$35,$AM44))</f>
      </c>
      <c r="AF44" s="41">
        <f>IF(OR($AM44="",AF$52=0),"",COUNTIF(AF$6:AF$35,$AM44))</f>
      </c>
      <c r="AG44" s="1"/>
      <c r="AH44" s="1"/>
      <c r="AI44" s="1"/>
      <c r="AJ44" s="1"/>
      <c r="AK44" s="1"/>
      <c r="AL44" s="1"/>
      <c r="AM44" s="1">
        <f>IFERROR(INDEX(Codes,MATCH(7,ArbeitNr,0)),"")</f>
      </c>
    </row>
    <row r="45" spans="1:39" x14ac:dyDescent="0.25">
      <c r="A45" s="40">
        <f>IFERROR(INDEX(Codes,MATCH(8,ArbeitNr,0))&amp;" "&amp;INDEX(Bezeichnungen,MATCH(8,ArbeitNr,0)),"")</f>
      </c>
      <c r="B45" s="41">
        <f>IF(OR($AM45="",B$52=0),"",COUNTIF(B$6:B$35,$AM45))</f>
      </c>
      <c r="C45" s="41">
        <f>IF(OR($AM45="",C$52=0),"",COUNTIF(C$6:C$35,$AM45))</f>
      </c>
      <c r="D45" s="41">
        <f>IF(OR($AM45="",D$52=0),"",COUNTIF(D$6:D$35,$AM45))</f>
      </c>
      <c r="E45" s="41">
        <f>IF(OR($AM45="",E$52=0),"",COUNTIF(E$6:E$35,$AM45))</f>
      </c>
      <c r="F45" s="41">
        <f>IF(OR($AM45="",F$52=0),"",COUNTIF(F$6:F$35,$AM45))</f>
      </c>
      <c r="G45" s="41">
        <f>IF(OR($AM45="",G$52=0),"",COUNTIF(G$6:G$35,$AM45))</f>
      </c>
      <c r="H45" s="41">
        <f>IF(OR($AM45="",H$52=0),"",COUNTIF(H$6:H$35,$AM45))</f>
      </c>
      <c r="I45" s="41">
        <f>IF(OR($AM45="",I$52=0),"",COUNTIF(I$6:I$35,$AM45))</f>
      </c>
      <c r="J45" s="41">
        <f>IF(OR($AM45="",J$52=0),"",COUNTIF(J$6:J$35,$AM45))</f>
      </c>
      <c r="K45" s="41">
        <f>IF(OR($AM45="",K$52=0),"",COUNTIF(K$6:K$35,$AM45))</f>
      </c>
      <c r="L45" s="41">
        <f>IF(OR($AM45="",L$52=0),"",COUNTIF(L$6:L$35,$AM45))</f>
      </c>
      <c r="M45" s="41">
        <f>IF(OR($AM45="",M$52=0),"",COUNTIF(M$6:M$35,$AM45))</f>
      </c>
      <c r="N45" s="41">
        <f>IF(OR($AM45="",N$52=0),"",COUNTIF(N$6:N$35,$AM45))</f>
      </c>
      <c r="O45" s="41">
        <f>IF(OR($AM45="",O$52=0),"",COUNTIF(O$6:O$35,$AM45))</f>
      </c>
      <c r="P45" s="41">
        <f>IF(OR($AM45="",P$52=0),"",COUNTIF(P$6:P$35,$AM45))</f>
      </c>
      <c r="Q45" s="41">
        <f>IF(OR($AM45="",Q$52=0),"",COUNTIF(Q$6:Q$35,$AM45))</f>
      </c>
      <c r="R45" s="41">
        <f>IF(OR($AM45="",R$52=0),"",COUNTIF(R$6:R$35,$AM45))</f>
      </c>
      <c r="S45" s="41">
        <f>IF(OR($AM45="",S$52=0),"",COUNTIF(S$6:S$35,$AM45))</f>
      </c>
      <c r="T45" s="41">
        <f>IF(OR($AM45="",T$52=0),"",COUNTIF(T$6:T$35,$AM45))</f>
      </c>
      <c r="U45" s="41">
        <f>IF(OR($AM45="",U$52=0),"",COUNTIF(U$6:U$35,$AM45))</f>
      </c>
      <c r="V45" s="41">
        <f>IF(OR($AM45="",V$52=0),"",COUNTIF(V$6:V$35,$AM45))</f>
      </c>
      <c r="W45" s="41">
        <f>IF(OR($AM45="",W$52=0),"",COUNTIF(W$6:W$35,$AM45))</f>
      </c>
      <c r="X45" s="41">
        <f>IF(OR($AM45="",X$52=0),"",COUNTIF(X$6:X$35,$AM45))</f>
      </c>
      <c r="Y45" s="41">
        <f>IF(OR($AM45="",Y$52=0),"",COUNTIF(Y$6:Y$35,$AM45))</f>
      </c>
      <c r="Z45" s="41">
        <f>IF(OR($AM45="",Z$52=0),"",COUNTIF(Z$6:Z$35,$AM45))</f>
      </c>
      <c r="AA45" s="41">
        <f>IF(OR($AM45="",AA$52=0),"",COUNTIF(AA$6:AA$35,$AM45))</f>
      </c>
      <c r="AB45" s="41">
        <f>IF(OR($AM45="",AB$52=0),"",COUNTIF(AB$6:AB$35,$AM45))</f>
      </c>
      <c r="AC45" s="41">
        <f>IF(OR($AM45="",AC$52=0),"",COUNTIF(AC$6:AC$35,$AM45))</f>
      </c>
      <c r="AD45" s="41">
        <f>IF(OR($AM45="",AD$52=0),"",COUNTIF(AD$6:AD$35,$AM45))</f>
      </c>
      <c r="AE45" s="41">
        <f>IF(OR($AM45="",AE$52=0),"",COUNTIF(AE$6:AE$35,$AM45))</f>
      </c>
      <c r="AF45" s="41">
        <f>IF(OR($AM45="",AF$52=0),"",COUNTIF(AF$6:AF$35,$AM45))</f>
      </c>
      <c r="AG45" s="1"/>
      <c r="AH45" s="1"/>
      <c r="AI45" s="1"/>
      <c r="AJ45" s="1"/>
      <c r="AK45" s="1"/>
      <c r="AL45" s="1"/>
      <c r="AM45" s="1">
        <f>IFERROR(INDEX(Codes,MATCH(8,ArbeitNr,0)),"")</f>
      </c>
    </row>
    <row r="46" ht="22" customHeight="1" spans="1:32" x14ac:dyDescent="0.25">
      <c r="A46" s="42" t="s">
        <v>64</v>
      </c>
      <c r="B46" s="43">
        <f>TRIM(IF(AND(B38&lt;&gt;"",N(B38)&lt;N(B86)),$AM38&amp;" ","")&amp;IF(AND(B39&lt;&gt;"",N(B39)&lt;N(B87)),$AM39&amp;" ","")&amp;IF(AND(B40&lt;&gt;"",N(B40)&lt;N(B88)),$AM40&amp;" ","")&amp;IF(AND(B41&lt;&gt;"",N(B41)&lt;N(B89)),$AM41&amp;" ","")&amp;IF(AND(B42&lt;&gt;"",N(B42)&lt;N(B90)),$AM42&amp;" ","")&amp;IF(AND(B43&lt;&gt;"",N(B43)&lt;N(B91)),$AM43&amp;" ","")&amp;IF(AND(B44&lt;&gt;"",N(B44)&lt;N(B92)),$AM44&amp;" ","")&amp;IF(AND(B45&lt;&gt;"",N(B45)&lt;N(B93)),$AM45&amp;" ",""))</f>
      </c>
      <c r="C46" s="43">
        <f>TRIM(IF(AND(C38&lt;&gt;"",N(C38)&lt;N(C86)),$AM38&amp;" ","")&amp;IF(AND(C39&lt;&gt;"",N(C39)&lt;N(C87)),$AM39&amp;" ","")&amp;IF(AND(C40&lt;&gt;"",N(C40)&lt;N(C88)),$AM40&amp;" ","")&amp;IF(AND(C41&lt;&gt;"",N(C41)&lt;N(C89)),$AM41&amp;" ","")&amp;IF(AND(C42&lt;&gt;"",N(C42)&lt;N(C90)),$AM42&amp;" ","")&amp;IF(AND(C43&lt;&gt;"",N(C43)&lt;N(C91)),$AM43&amp;" ","")&amp;IF(AND(C44&lt;&gt;"",N(C44)&lt;N(C92)),$AM44&amp;" ","")&amp;IF(AND(C45&lt;&gt;"",N(C45)&lt;N(C93)),$AM45&amp;" ",""))</f>
      </c>
      <c r="D46" s="43">
        <f>TRIM(IF(AND(D38&lt;&gt;"",N(D38)&lt;N(D86)),$AM38&amp;" ","")&amp;IF(AND(D39&lt;&gt;"",N(D39)&lt;N(D87)),$AM39&amp;" ","")&amp;IF(AND(D40&lt;&gt;"",N(D40)&lt;N(D88)),$AM40&amp;" ","")&amp;IF(AND(D41&lt;&gt;"",N(D41)&lt;N(D89)),$AM41&amp;" ","")&amp;IF(AND(D42&lt;&gt;"",N(D42)&lt;N(D90)),$AM42&amp;" ","")&amp;IF(AND(D43&lt;&gt;"",N(D43)&lt;N(D91)),$AM43&amp;" ","")&amp;IF(AND(D44&lt;&gt;"",N(D44)&lt;N(D92)),$AM44&amp;" ","")&amp;IF(AND(D45&lt;&gt;"",N(D45)&lt;N(D93)),$AM45&amp;" ",""))</f>
      </c>
      <c r="E46" s="43">
        <f>TRIM(IF(AND(E38&lt;&gt;"",N(E38)&lt;N(E86)),$AM38&amp;" ","")&amp;IF(AND(E39&lt;&gt;"",N(E39)&lt;N(E87)),$AM39&amp;" ","")&amp;IF(AND(E40&lt;&gt;"",N(E40)&lt;N(E88)),$AM40&amp;" ","")&amp;IF(AND(E41&lt;&gt;"",N(E41)&lt;N(E89)),$AM41&amp;" ","")&amp;IF(AND(E42&lt;&gt;"",N(E42)&lt;N(E90)),$AM42&amp;" ","")&amp;IF(AND(E43&lt;&gt;"",N(E43)&lt;N(E91)),$AM43&amp;" ","")&amp;IF(AND(E44&lt;&gt;"",N(E44)&lt;N(E92)),$AM44&amp;" ","")&amp;IF(AND(E45&lt;&gt;"",N(E45)&lt;N(E93)),$AM45&amp;" ",""))</f>
      </c>
      <c r="F46" s="43">
        <f>TRIM(IF(AND(F38&lt;&gt;"",N(F38)&lt;N(F86)),$AM38&amp;" ","")&amp;IF(AND(F39&lt;&gt;"",N(F39)&lt;N(F87)),$AM39&amp;" ","")&amp;IF(AND(F40&lt;&gt;"",N(F40)&lt;N(F88)),$AM40&amp;" ","")&amp;IF(AND(F41&lt;&gt;"",N(F41)&lt;N(F89)),$AM41&amp;" ","")&amp;IF(AND(F42&lt;&gt;"",N(F42)&lt;N(F90)),$AM42&amp;" ","")&amp;IF(AND(F43&lt;&gt;"",N(F43)&lt;N(F91)),$AM43&amp;" ","")&amp;IF(AND(F44&lt;&gt;"",N(F44)&lt;N(F92)),$AM44&amp;" ","")&amp;IF(AND(F45&lt;&gt;"",N(F45)&lt;N(F93)),$AM45&amp;" ",""))</f>
      </c>
      <c r="G46" s="43">
        <f>TRIM(IF(AND(G38&lt;&gt;"",N(G38)&lt;N(G86)),$AM38&amp;" ","")&amp;IF(AND(G39&lt;&gt;"",N(G39)&lt;N(G87)),$AM39&amp;" ","")&amp;IF(AND(G40&lt;&gt;"",N(G40)&lt;N(G88)),$AM40&amp;" ","")&amp;IF(AND(G41&lt;&gt;"",N(G41)&lt;N(G89)),$AM41&amp;" ","")&amp;IF(AND(G42&lt;&gt;"",N(G42)&lt;N(G90)),$AM42&amp;" ","")&amp;IF(AND(G43&lt;&gt;"",N(G43)&lt;N(G91)),$AM43&amp;" ","")&amp;IF(AND(G44&lt;&gt;"",N(G44)&lt;N(G92)),$AM44&amp;" ","")&amp;IF(AND(G45&lt;&gt;"",N(G45)&lt;N(G93)),$AM45&amp;" ",""))</f>
      </c>
      <c r="H46" s="43">
        <f>TRIM(IF(AND(H38&lt;&gt;"",N(H38)&lt;N(H86)),$AM38&amp;" ","")&amp;IF(AND(H39&lt;&gt;"",N(H39)&lt;N(H87)),$AM39&amp;" ","")&amp;IF(AND(H40&lt;&gt;"",N(H40)&lt;N(H88)),$AM40&amp;" ","")&amp;IF(AND(H41&lt;&gt;"",N(H41)&lt;N(H89)),$AM41&amp;" ","")&amp;IF(AND(H42&lt;&gt;"",N(H42)&lt;N(H90)),$AM42&amp;" ","")&amp;IF(AND(H43&lt;&gt;"",N(H43)&lt;N(H91)),$AM43&amp;" ","")&amp;IF(AND(H44&lt;&gt;"",N(H44)&lt;N(H92)),$AM44&amp;" ","")&amp;IF(AND(H45&lt;&gt;"",N(H45)&lt;N(H93)),$AM45&amp;" ",""))</f>
      </c>
      <c r="I46" s="43">
        <f>TRIM(IF(AND(I38&lt;&gt;"",N(I38)&lt;N(I86)),$AM38&amp;" ","")&amp;IF(AND(I39&lt;&gt;"",N(I39)&lt;N(I87)),$AM39&amp;" ","")&amp;IF(AND(I40&lt;&gt;"",N(I40)&lt;N(I88)),$AM40&amp;" ","")&amp;IF(AND(I41&lt;&gt;"",N(I41)&lt;N(I89)),$AM41&amp;" ","")&amp;IF(AND(I42&lt;&gt;"",N(I42)&lt;N(I90)),$AM42&amp;" ","")&amp;IF(AND(I43&lt;&gt;"",N(I43)&lt;N(I91)),$AM43&amp;" ","")&amp;IF(AND(I44&lt;&gt;"",N(I44)&lt;N(I92)),$AM44&amp;" ","")&amp;IF(AND(I45&lt;&gt;"",N(I45)&lt;N(I93)),$AM45&amp;" ",""))</f>
      </c>
      <c r="J46" s="43">
        <f>TRIM(IF(AND(J38&lt;&gt;"",N(J38)&lt;N(J86)),$AM38&amp;" ","")&amp;IF(AND(J39&lt;&gt;"",N(J39)&lt;N(J87)),$AM39&amp;" ","")&amp;IF(AND(J40&lt;&gt;"",N(J40)&lt;N(J88)),$AM40&amp;" ","")&amp;IF(AND(J41&lt;&gt;"",N(J41)&lt;N(J89)),$AM41&amp;" ","")&amp;IF(AND(J42&lt;&gt;"",N(J42)&lt;N(J90)),$AM42&amp;" ","")&amp;IF(AND(J43&lt;&gt;"",N(J43)&lt;N(J91)),$AM43&amp;" ","")&amp;IF(AND(J44&lt;&gt;"",N(J44)&lt;N(J92)),$AM44&amp;" ","")&amp;IF(AND(J45&lt;&gt;"",N(J45)&lt;N(J93)),$AM45&amp;" ",""))</f>
      </c>
      <c r="K46" s="43">
        <f>TRIM(IF(AND(K38&lt;&gt;"",N(K38)&lt;N(K86)),$AM38&amp;" ","")&amp;IF(AND(K39&lt;&gt;"",N(K39)&lt;N(K87)),$AM39&amp;" ","")&amp;IF(AND(K40&lt;&gt;"",N(K40)&lt;N(K88)),$AM40&amp;" ","")&amp;IF(AND(K41&lt;&gt;"",N(K41)&lt;N(K89)),$AM41&amp;" ","")&amp;IF(AND(K42&lt;&gt;"",N(K42)&lt;N(K90)),$AM42&amp;" ","")&amp;IF(AND(K43&lt;&gt;"",N(K43)&lt;N(K91)),$AM43&amp;" ","")&amp;IF(AND(K44&lt;&gt;"",N(K44)&lt;N(K92)),$AM44&amp;" ","")&amp;IF(AND(K45&lt;&gt;"",N(K45)&lt;N(K93)),$AM45&amp;" ",""))</f>
      </c>
      <c r="L46" s="43">
        <f>TRIM(IF(AND(L38&lt;&gt;"",N(L38)&lt;N(L86)),$AM38&amp;" ","")&amp;IF(AND(L39&lt;&gt;"",N(L39)&lt;N(L87)),$AM39&amp;" ","")&amp;IF(AND(L40&lt;&gt;"",N(L40)&lt;N(L88)),$AM40&amp;" ","")&amp;IF(AND(L41&lt;&gt;"",N(L41)&lt;N(L89)),$AM41&amp;" ","")&amp;IF(AND(L42&lt;&gt;"",N(L42)&lt;N(L90)),$AM42&amp;" ","")&amp;IF(AND(L43&lt;&gt;"",N(L43)&lt;N(L91)),$AM43&amp;" ","")&amp;IF(AND(L44&lt;&gt;"",N(L44)&lt;N(L92)),$AM44&amp;" ","")&amp;IF(AND(L45&lt;&gt;"",N(L45)&lt;N(L93)),$AM45&amp;" ",""))</f>
      </c>
      <c r="M46" s="43">
        <f>TRIM(IF(AND(M38&lt;&gt;"",N(M38)&lt;N(M86)),$AM38&amp;" ","")&amp;IF(AND(M39&lt;&gt;"",N(M39)&lt;N(M87)),$AM39&amp;" ","")&amp;IF(AND(M40&lt;&gt;"",N(M40)&lt;N(M88)),$AM40&amp;" ","")&amp;IF(AND(M41&lt;&gt;"",N(M41)&lt;N(M89)),$AM41&amp;" ","")&amp;IF(AND(M42&lt;&gt;"",N(M42)&lt;N(M90)),$AM42&amp;" ","")&amp;IF(AND(M43&lt;&gt;"",N(M43)&lt;N(M91)),$AM43&amp;" ","")&amp;IF(AND(M44&lt;&gt;"",N(M44)&lt;N(M92)),$AM44&amp;" ","")&amp;IF(AND(M45&lt;&gt;"",N(M45)&lt;N(M93)),$AM45&amp;" ",""))</f>
      </c>
      <c r="N46" s="43">
        <f>TRIM(IF(AND(N38&lt;&gt;"",N(N38)&lt;N(N86)),$AM38&amp;" ","")&amp;IF(AND(N39&lt;&gt;"",N(N39)&lt;N(N87)),$AM39&amp;" ","")&amp;IF(AND(N40&lt;&gt;"",N(N40)&lt;N(N88)),$AM40&amp;" ","")&amp;IF(AND(N41&lt;&gt;"",N(N41)&lt;N(N89)),$AM41&amp;" ","")&amp;IF(AND(N42&lt;&gt;"",N(N42)&lt;N(N90)),$AM42&amp;" ","")&amp;IF(AND(N43&lt;&gt;"",N(N43)&lt;N(N91)),$AM43&amp;" ","")&amp;IF(AND(N44&lt;&gt;"",N(N44)&lt;N(N92)),$AM44&amp;" ","")&amp;IF(AND(N45&lt;&gt;"",N(N45)&lt;N(N93)),$AM45&amp;" ",""))</f>
      </c>
      <c r="O46" s="43">
        <f>TRIM(IF(AND(O38&lt;&gt;"",N(O38)&lt;N(O86)),$AM38&amp;" ","")&amp;IF(AND(O39&lt;&gt;"",N(O39)&lt;N(O87)),$AM39&amp;" ","")&amp;IF(AND(O40&lt;&gt;"",N(O40)&lt;N(O88)),$AM40&amp;" ","")&amp;IF(AND(O41&lt;&gt;"",N(O41)&lt;N(O89)),$AM41&amp;" ","")&amp;IF(AND(O42&lt;&gt;"",N(O42)&lt;N(O90)),$AM42&amp;" ","")&amp;IF(AND(O43&lt;&gt;"",N(O43)&lt;N(O91)),$AM43&amp;" ","")&amp;IF(AND(O44&lt;&gt;"",N(O44)&lt;N(O92)),$AM44&amp;" ","")&amp;IF(AND(O45&lt;&gt;"",N(O45)&lt;N(O93)),$AM45&amp;" ",""))</f>
      </c>
      <c r="P46" s="43">
        <f>TRIM(IF(AND(P38&lt;&gt;"",N(P38)&lt;N(P86)),$AM38&amp;" ","")&amp;IF(AND(P39&lt;&gt;"",N(P39)&lt;N(P87)),$AM39&amp;" ","")&amp;IF(AND(P40&lt;&gt;"",N(P40)&lt;N(P88)),$AM40&amp;" ","")&amp;IF(AND(P41&lt;&gt;"",N(P41)&lt;N(P89)),$AM41&amp;" ","")&amp;IF(AND(P42&lt;&gt;"",N(P42)&lt;N(P90)),$AM42&amp;" ","")&amp;IF(AND(P43&lt;&gt;"",N(P43)&lt;N(P91)),$AM43&amp;" ","")&amp;IF(AND(P44&lt;&gt;"",N(P44)&lt;N(P92)),$AM44&amp;" ","")&amp;IF(AND(P45&lt;&gt;"",N(P45)&lt;N(P93)),$AM45&amp;" ",""))</f>
      </c>
      <c r="Q46" s="43">
        <f>TRIM(IF(AND(Q38&lt;&gt;"",N(Q38)&lt;N(Q86)),$AM38&amp;" ","")&amp;IF(AND(Q39&lt;&gt;"",N(Q39)&lt;N(Q87)),$AM39&amp;" ","")&amp;IF(AND(Q40&lt;&gt;"",N(Q40)&lt;N(Q88)),$AM40&amp;" ","")&amp;IF(AND(Q41&lt;&gt;"",N(Q41)&lt;N(Q89)),$AM41&amp;" ","")&amp;IF(AND(Q42&lt;&gt;"",N(Q42)&lt;N(Q90)),$AM42&amp;" ","")&amp;IF(AND(Q43&lt;&gt;"",N(Q43)&lt;N(Q91)),$AM43&amp;" ","")&amp;IF(AND(Q44&lt;&gt;"",N(Q44)&lt;N(Q92)),$AM44&amp;" ","")&amp;IF(AND(Q45&lt;&gt;"",N(Q45)&lt;N(Q93)),$AM45&amp;" ",""))</f>
      </c>
      <c r="R46" s="43">
        <f>TRIM(IF(AND(R38&lt;&gt;"",N(R38)&lt;N(R86)),$AM38&amp;" ","")&amp;IF(AND(R39&lt;&gt;"",N(R39)&lt;N(R87)),$AM39&amp;" ","")&amp;IF(AND(R40&lt;&gt;"",N(R40)&lt;N(R88)),$AM40&amp;" ","")&amp;IF(AND(R41&lt;&gt;"",N(R41)&lt;N(R89)),$AM41&amp;" ","")&amp;IF(AND(R42&lt;&gt;"",N(R42)&lt;N(R90)),$AM42&amp;" ","")&amp;IF(AND(R43&lt;&gt;"",N(R43)&lt;N(R91)),$AM43&amp;" ","")&amp;IF(AND(R44&lt;&gt;"",N(R44)&lt;N(R92)),$AM44&amp;" ","")&amp;IF(AND(R45&lt;&gt;"",N(R45)&lt;N(R93)),$AM45&amp;" ",""))</f>
      </c>
      <c r="S46" s="43">
        <f>TRIM(IF(AND(S38&lt;&gt;"",N(S38)&lt;N(S86)),$AM38&amp;" ","")&amp;IF(AND(S39&lt;&gt;"",N(S39)&lt;N(S87)),$AM39&amp;" ","")&amp;IF(AND(S40&lt;&gt;"",N(S40)&lt;N(S88)),$AM40&amp;" ","")&amp;IF(AND(S41&lt;&gt;"",N(S41)&lt;N(S89)),$AM41&amp;" ","")&amp;IF(AND(S42&lt;&gt;"",N(S42)&lt;N(S90)),$AM42&amp;" ","")&amp;IF(AND(S43&lt;&gt;"",N(S43)&lt;N(S91)),$AM43&amp;" ","")&amp;IF(AND(S44&lt;&gt;"",N(S44)&lt;N(S92)),$AM44&amp;" ","")&amp;IF(AND(S45&lt;&gt;"",N(S45)&lt;N(S93)),$AM45&amp;" ",""))</f>
      </c>
      <c r="T46" s="43">
        <f>TRIM(IF(AND(T38&lt;&gt;"",N(T38)&lt;N(T86)),$AM38&amp;" ","")&amp;IF(AND(T39&lt;&gt;"",N(T39)&lt;N(T87)),$AM39&amp;" ","")&amp;IF(AND(T40&lt;&gt;"",N(T40)&lt;N(T88)),$AM40&amp;" ","")&amp;IF(AND(T41&lt;&gt;"",N(T41)&lt;N(T89)),$AM41&amp;" ","")&amp;IF(AND(T42&lt;&gt;"",N(T42)&lt;N(T90)),$AM42&amp;" ","")&amp;IF(AND(T43&lt;&gt;"",N(T43)&lt;N(T91)),$AM43&amp;" ","")&amp;IF(AND(T44&lt;&gt;"",N(T44)&lt;N(T92)),$AM44&amp;" ","")&amp;IF(AND(T45&lt;&gt;"",N(T45)&lt;N(T93)),$AM45&amp;" ",""))</f>
      </c>
      <c r="U46" s="43">
        <f>TRIM(IF(AND(U38&lt;&gt;"",N(U38)&lt;N(U86)),$AM38&amp;" ","")&amp;IF(AND(U39&lt;&gt;"",N(U39)&lt;N(U87)),$AM39&amp;" ","")&amp;IF(AND(U40&lt;&gt;"",N(U40)&lt;N(U88)),$AM40&amp;" ","")&amp;IF(AND(U41&lt;&gt;"",N(U41)&lt;N(U89)),$AM41&amp;" ","")&amp;IF(AND(U42&lt;&gt;"",N(U42)&lt;N(U90)),$AM42&amp;" ","")&amp;IF(AND(U43&lt;&gt;"",N(U43)&lt;N(U91)),$AM43&amp;" ","")&amp;IF(AND(U44&lt;&gt;"",N(U44)&lt;N(U92)),$AM44&amp;" ","")&amp;IF(AND(U45&lt;&gt;"",N(U45)&lt;N(U93)),$AM45&amp;" ",""))</f>
      </c>
      <c r="V46" s="43">
        <f>TRIM(IF(AND(V38&lt;&gt;"",N(V38)&lt;N(V86)),$AM38&amp;" ","")&amp;IF(AND(V39&lt;&gt;"",N(V39)&lt;N(V87)),$AM39&amp;" ","")&amp;IF(AND(V40&lt;&gt;"",N(V40)&lt;N(V88)),$AM40&amp;" ","")&amp;IF(AND(V41&lt;&gt;"",N(V41)&lt;N(V89)),$AM41&amp;" ","")&amp;IF(AND(V42&lt;&gt;"",N(V42)&lt;N(V90)),$AM42&amp;" ","")&amp;IF(AND(V43&lt;&gt;"",N(V43)&lt;N(V91)),$AM43&amp;" ","")&amp;IF(AND(V44&lt;&gt;"",N(V44)&lt;N(V92)),$AM44&amp;" ","")&amp;IF(AND(V45&lt;&gt;"",N(V45)&lt;N(V93)),$AM45&amp;" ",""))</f>
      </c>
      <c r="W46" s="43">
        <f>TRIM(IF(AND(W38&lt;&gt;"",N(W38)&lt;N(W86)),$AM38&amp;" ","")&amp;IF(AND(W39&lt;&gt;"",N(W39)&lt;N(W87)),$AM39&amp;" ","")&amp;IF(AND(W40&lt;&gt;"",N(W40)&lt;N(W88)),$AM40&amp;" ","")&amp;IF(AND(W41&lt;&gt;"",N(W41)&lt;N(W89)),$AM41&amp;" ","")&amp;IF(AND(W42&lt;&gt;"",N(W42)&lt;N(W90)),$AM42&amp;" ","")&amp;IF(AND(W43&lt;&gt;"",N(W43)&lt;N(W91)),$AM43&amp;" ","")&amp;IF(AND(W44&lt;&gt;"",N(W44)&lt;N(W92)),$AM44&amp;" ","")&amp;IF(AND(W45&lt;&gt;"",N(W45)&lt;N(W93)),$AM45&amp;" ",""))</f>
      </c>
      <c r="X46" s="43">
        <f>TRIM(IF(AND(X38&lt;&gt;"",N(X38)&lt;N(X86)),$AM38&amp;" ","")&amp;IF(AND(X39&lt;&gt;"",N(X39)&lt;N(X87)),$AM39&amp;" ","")&amp;IF(AND(X40&lt;&gt;"",N(X40)&lt;N(X88)),$AM40&amp;" ","")&amp;IF(AND(X41&lt;&gt;"",N(X41)&lt;N(X89)),$AM41&amp;" ","")&amp;IF(AND(X42&lt;&gt;"",N(X42)&lt;N(X90)),$AM42&amp;" ","")&amp;IF(AND(X43&lt;&gt;"",N(X43)&lt;N(X91)),$AM43&amp;" ","")&amp;IF(AND(X44&lt;&gt;"",N(X44)&lt;N(X92)),$AM44&amp;" ","")&amp;IF(AND(X45&lt;&gt;"",N(X45)&lt;N(X93)),$AM45&amp;" ",""))</f>
      </c>
      <c r="Y46" s="43">
        <f>TRIM(IF(AND(Y38&lt;&gt;"",N(Y38)&lt;N(Y86)),$AM38&amp;" ","")&amp;IF(AND(Y39&lt;&gt;"",N(Y39)&lt;N(Y87)),$AM39&amp;" ","")&amp;IF(AND(Y40&lt;&gt;"",N(Y40)&lt;N(Y88)),$AM40&amp;" ","")&amp;IF(AND(Y41&lt;&gt;"",N(Y41)&lt;N(Y89)),$AM41&amp;" ","")&amp;IF(AND(Y42&lt;&gt;"",N(Y42)&lt;N(Y90)),$AM42&amp;" ","")&amp;IF(AND(Y43&lt;&gt;"",N(Y43)&lt;N(Y91)),$AM43&amp;" ","")&amp;IF(AND(Y44&lt;&gt;"",N(Y44)&lt;N(Y92)),$AM44&amp;" ","")&amp;IF(AND(Y45&lt;&gt;"",N(Y45)&lt;N(Y93)),$AM45&amp;" ",""))</f>
      </c>
      <c r="Z46" s="43">
        <f>TRIM(IF(AND(Z38&lt;&gt;"",N(Z38)&lt;N(Z86)),$AM38&amp;" ","")&amp;IF(AND(Z39&lt;&gt;"",N(Z39)&lt;N(Z87)),$AM39&amp;" ","")&amp;IF(AND(Z40&lt;&gt;"",N(Z40)&lt;N(Z88)),$AM40&amp;" ","")&amp;IF(AND(Z41&lt;&gt;"",N(Z41)&lt;N(Z89)),$AM41&amp;" ","")&amp;IF(AND(Z42&lt;&gt;"",N(Z42)&lt;N(Z90)),$AM42&amp;" ","")&amp;IF(AND(Z43&lt;&gt;"",N(Z43)&lt;N(Z91)),$AM43&amp;" ","")&amp;IF(AND(Z44&lt;&gt;"",N(Z44)&lt;N(Z92)),$AM44&amp;" ","")&amp;IF(AND(Z45&lt;&gt;"",N(Z45)&lt;N(Z93)),$AM45&amp;" ",""))</f>
      </c>
      <c r="AA46" s="43">
        <f>TRIM(IF(AND(AA38&lt;&gt;"",N(AA38)&lt;N(AA86)),$AM38&amp;" ","")&amp;IF(AND(AA39&lt;&gt;"",N(AA39)&lt;N(AA87)),$AM39&amp;" ","")&amp;IF(AND(AA40&lt;&gt;"",N(AA40)&lt;N(AA88)),$AM40&amp;" ","")&amp;IF(AND(AA41&lt;&gt;"",N(AA41)&lt;N(AA89)),$AM41&amp;" ","")&amp;IF(AND(AA42&lt;&gt;"",N(AA42)&lt;N(AA90)),$AM42&amp;" ","")&amp;IF(AND(AA43&lt;&gt;"",N(AA43)&lt;N(AA91)),$AM43&amp;" ","")&amp;IF(AND(AA44&lt;&gt;"",N(AA44)&lt;N(AA92)),$AM44&amp;" ","")&amp;IF(AND(AA45&lt;&gt;"",N(AA45)&lt;N(AA93)),$AM45&amp;" ",""))</f>
      </c>
      <c r="AB46" s="43">
        <f>TRIM(IF(AND(AB38&lt;&gt;"",N(AB38)&lt;N(AB86)),$AM38&amp;" ","")&amp;IF(AND(AB39&lt;&gt;"",N(AB39)&lt;N(AB87)),$AM39&amp;" ","")&amp;IF(AND(AB40&lt;&gt;"",N(AB40)&lt;N(AB88)),$AM40&amp;" ","")&amp;IF(AND(AB41&lt;&gt;"",N(AB41)&lt;N(AB89)),$AM41&amp;" ","")&amp;IF(AND(AB42&lt;&gt;"",N(AB42)&lt;N(AB90)),$AM42&amp;" ","")&amp;IF(AND(AB43&lt;&gt;"",N(AB43)&lt;N(AB91)),$AM43&amp;" ","")&amp;IF(AND(AB44&lt;&gt;"",N(AB44)&lt;N(AB92)),$AM44&amp;" ","")&amp;IF(AND(AB45&lt;&gt;"",N(AB45)&lt;N(AB93)),$AM45&amp;" ",""))</f>
      </c>
      <c r="AC46" s="43">
        <f>TRIM(IF(AND(AC38&lt;&gt;"",N(AC38)&lt;N(AC86)),$AM38&amp;" ","")&amp;IF(AND(AC39&lt;&gt;"",N(AC39)&lt;N(AC87)),$AM39&amp;" ","")&amp;IF(AND(AC40&lt;&gt;"",N(AC40)&lt;N(AC88)),$AM40&amp;" ","")&amp;IF(AND(AC41&lt;&gt;"",N(AC41)&lt;N(AC89)),$AM41&amp;" ","")&amp;IF(AND(AC42&lt;&gt;"",N(AC42)&lt;N(AC90)),$AM42&amp;" ","")&amp;IF(AND(AC43&lt;&gt;"",N(AC43)&lt;N(AC91)),$AM43&amp;" ","")&amp;IF(AND(AC44&lt;&gt;"",N(AC44)&lt;N(AC92)),$AM44&amp;" ","")&amp;IF(AND(AC45&lt;&gt;"",N(AC45)&lt;N(AC93)),$AM45&amp;" ",""))</f>
      </c>
      <c r="AD46" s="43">
        <f>TRIM(IF(AND(AD38&lt;&gt;"",N(AD38)&lt;N(AD86)),$AM38&amp;" ","")&amp;IF(AND(AD39&lt;&gt;"",N(AD39)&lt;N(AD87)),$AM39&amp;" ","")&amp;IF(AND(AD40&lt;&gt;"",N(AD40)&lt;N(AD88)),$AM40&amp;" ","")&amp;IF(AND(AD41&lt;&gt;"",N(AD41)&lt;N(AD89)),$AM41&amp;" ","")&amp;IF(AND(AD42&lt;&gt;"",N(AD42)&lt;N(AD90)),$AM42&amp;" ","")&amp;IF(AND(AD43&lt;&gt;"",N(AD43)&lt;N(AD91)),$AM43&amp;" ","")&amp;IF(AND(AD44&lt;&gt;"",N(AD44)&lt;N(AD92)),$AM44&amp;" ","")&amp;IF(AND(AD45&lt;&gt;"",N(AD45)&lt;N(AD93)),$AM45&amp;" ",""))</f>
      </c>
      <c r="AE46" s="43">
        <f>TRIM(IF(AND(AE38&lt;&gt;"",N(AE38)&lt;N(AE86)),$AM38&amp;" ","")&amp;IF(AND(AE39&lt;&gt;"",N(AE39)&lt;N(AE87)),$AM39&amp;" ","")&amp;IF(AND(AE40&lt;&gt;"",N(AE40)&lt;N(AE88)),$AM40&amp;" ","")&amp;IF(AND(AE41&lt;&gt;"",N(AE41)&lt;N(AE89)),$AM41&amp;" ","")&amp;IF(AND(AE42&lt;&gt;"",N(AE42)&lt;N(AE90)),$AM42&amp;" ","")&amp;IF(AND(AE43&lt;&gt;"",N(AE43)&lt;N(AE91)),$AM43&amp;" ","")&amp;IF(AND(AE44&lt;&gt;"",N(AE44)&lt;N(AE92)),$AM44&amp;" ","")&amp;IF(AND(AE45&lt;&gt;"",N(AE45)&lt;N(AE93)),$AM45&amp;" ",""))</f>
      </c>
      <c r="AF46" s="43">
        <f>TRIM(IF(AND(AF38&lt;&gt;"",N(AF38)&lt;N(AF86)),$AM38&amp;" ","")&amp;IF(AND(AF39&lt;&gt;"",N(AF39)&lt;N(AF87)),$AM39&amp;" ","")&amp;IF(AND(AF40&lt;&gt;"",N(AF40)&lt;N(AF88)),$AM40&amp;" ","")&amp;IF(AND(AF41&lt;&gt;"",N(AF41)&lt;N(AF89)),$AM41&amp;" ","")&amp;IF(AND(AF42&lt;&gt;"",N(AF42)&lt;N(AF90)),$AM42&amp;" ","")&amp;IF(AND(AF43&lt;&gt;"",N(AF43)&lt;N(AF91)),$AM43&amp;" ","")&amp;IF(AND(AF44&lt;&gt;"",N(AF44)&lt;N(AF92)),$AM44&amp;" ","")&amp;IF(AND(AF45&lt;&gt;"",N(AF45)&lt;N(AF93)),$AM45&amp;" ",""))</f>
      </c>
    </row>
    <row r="48" spans="1:38" x14ac:dyDescent="0.25">
      <c r="A48" s="7" t="s">
        <v>65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1"/>
      <c r="W48" s="1"/>
      <c r="X48" s="7" t="s">
        <v>66</v>
      </c>
      <c r="Y48" s="1"/>
      <c r="Z48" s="1"/>
      <c r="AA48" s="1"/>
      <c r="AB48" s="1"/>
      <c r="AC48" s="1"/>
      <c r="AD48" s="1"/>
      <c r="AE48" s="1"/>
      <c r="AF48" s="1"/>
      <c r="AG48" s="44"/>
      <c r="AH48" s="44"/>
      <c r="AI48" s="44"/>
      <c r="AJ48" s="44"/>
      <c r="AK48" s="44"/>
      <c r="AL48" s="44"/>
    </row>
    <row r="50" hidden="1" spans="1:32" x14ac:dyDescent="0.25">
      <c r="A50" s="1"/>
      <c r="B50" s="1">
        <f>IF(B$5="",0,IF(ISNUMBER(MATCH(B$5,FeiertagDaten,0)),1,0))</f>
      </c>
      <c r="C50" s="1">
        <f>IF(C$5="",0,IF(ISNUMBER(MATCH(C$5,FeiertagDaten,0)),1,0))</f>
      </c>
      <c r="D50" s="1">
        <f>IF(D$5="",0,IF(ISNUMBER(MATCH(D$5,FeiertagDaten,0)),1,0))</f>
      </c>
      <c r="E50" s="1">
        <f>IF(E$5="",0,IF(ISNUMBER(MATCH(E$5,FeiertagDaten,0)),1,0))</f>
      </c>
      <c r="F50" s="1">
        <f>IF(F$5="",0,IF(ISNUMBER(MATCH(F$5,FeiertagDaten,0)),1,0))</f>
      </c>
      <c r="G50" s="1">
        <f>IF(G$5="",0,IF(ISNUMBER(MATCH(G$5,FeiertagDaten,0)),1,0))</f>
      </c>
      <c r="H50" s="1">
        <f>IF(H$5="",0,IF(ISNUMBER(MATCH(H$5,FeiertagDaten,0)),1,0))</f>
      </c>
      <c r="I50" s="1">
        <f>IF(I$5="",0,IF(ISNUMBER(MATCH(I$5,FeiertagDaten,0)),1,0))</f>
      </c>
      <c r="J50" s="1">
        <f>IF(J$5="",0,IF(ISNUMBER(MATCH(J$5,FeiertagDaten,0)),1,0))</f>
      </c>
      <c r="K50" s="1">
        <f>IF(K$5="",0,IF(ISNUMBER(MATCH(K$5,FeiertagDaten,0)),1,0))</f>
      </c>
      <c r="L50" s="1">
        <f>IF(L$5="",0,IF(ISNUMBER(MATCH(L$5,FeiertagDaten,0)),1,0))</f>
      </c>
      <c r="M50" s="1">
        <f>IF(M$5="",0,IF(ISNUMBER(MATCH(M$5,FeiertagDaten,0)),1,0))</f>
      </c>
      <c r="N50" s="1">
        <f>IF(N$5="",0,IF(ISNUMBER(MATCH(N$5,FeiertagDaten,0)),1,0))</f>
      </c>
      <c r="O50" s="1">
        <f>IF(O$5="",0,IF(ISNUMBER(MATCH(O$5,FeiertagDaten,0)),1,0))</f>
      </c>
      <c r="P50" s="1">
        <f>IF(P$5="",0,IF(ISNUMBER(MATCH(P$5,FeiertagDaten,0)),1,0))</f>
      </c>
      <c r="Q50" s="1">
        <f>IF(Q$5="",0,IF(ISNUMBER(MATCH(Q$5,FeiertagDaten,0)),1,0))</f>
      </c>
      <c r="R50" s="1">
        <f>IF(R$5="",0,IF(ISNUMBER(MATCH(R$5,FeiertagDaten,0)),1,0))</f>
      </c>
      <c r="S50" s="1">
        <f>IF(S$5="",0,IF(ISNUMBER(MATCH(S$5,FeiertagDaten,0)),1,0))</f>
      </c>
      <c r="T50" s="1">
        <f>IF(T$5="",0,IF(ISNUMBER(MATCH(T$5,FeiertagDaten,0)),1,0))</f>
      </c>
      <c r="U50" s="1">
        <f>IF(U$5="",0,IF(ISNUMBER(MATCH(U$5,FeiertagDaten,0)),1,0))</f>
      </c>
      <c r="V50" s="1">
        <f>IF(V$5="",0,IF(ISNUMBER(MATCH(V$5,FeiertagDaten,0)),1,0))</f>
      </c>
      <c r="W50" s="1">
        <f>IF(W$5="",0,IF(ISNUMBER(MATCH(W$5,FeiertagDaten,0)),1,0))</f>
      </c>
      <c r="X50" s="1">
        <f>IF(X$5="",0,IF(ISNUMBER(MATCH(X$5,FeiertagDaten,0)),1,0))</f>
      </c>
      <c r="Y50" s="1">
        <f>IF(Y$5="",0,IF(ISNUMBER(MATCH(Y$5,FeiertagDaten,0)),1,0))</f>
      </c>
      <c r="Z50" s="1">
        <f>IF(Z$5="",0,IF(ISNUMBER(MATCH(Z$5,FeiertagDaten,0)),1,0))</f>
      </c>
      <c r="AA50" s="1">
        <f>IF(AA$5="",0,IF(ISNUMBER(MATCH(AA$5,FeiertagDaten,0)),1,0))</f>
      </c>
      <c r="AB50" s="1">
        <f>IF(AB$5="",0,IF(ISNUMBER(MATCH(AB$5,FeiertagDaten,0)),1,0))</f>
      </c>
      <c r="AC50" s="1">
        <f>IF(AC$5="",0,IF(ISNUMBER(MATCH(AC$5,FeiertagDaten,0)),1,0))</f>
      </c>
      <c r="AD50" s="1">
        <f>IF(AD$5="",0,IF(ISNUMBER(MATCH(AD$5,FeiertagDaten,0)),1,0))</f>
      </c>
      <c r="AE50" s="1">
        <f>IF(AE$5="",0,IF(ISNUMBER(MATCH(AE$5,FeiertagDaten,0)),1,0))</f>
      </c>
      <c r="AF50" s="1">
        <f>IF(AF$5="",0,IF(ISNUMBER(MATCH(AF$5,FeiertagDaten,0)),1,0))</f>
      </c>
    </row>
    <row r="51" hidden="1" spans="1:32" x14ac:dyDescent="0.25">
      <c r="A51" s="1"/>
      <c r="B51" s="1">
        <f>IF(B$5="",0,WEEKDAY(B$5,2))</f>
      </c>
      <c r="C51" s="1">
        <f>IF(C$5="",0,WEEKDAY(C$5,2))</f>
      </c>
      <c r="D51" s="1">
        <f>IF(D$5="",0,WEEKDAY(D$5,2))</f>
      </c>
      <c r="E51" s="1">
        <f>IF(E$5="",0,WEEKDAY(E$5,2))</f>
      </c>
      <c r="F51" s="1">
        <f>IF(F$5="",0,WEEKDAY(F$5,2))</f>
      </c>
      <c r="G51" s="1">
        <f>IF(G$5="",0,WEEKDAY(G$5,2))</f>
      </c>
      <c r="H51" s="1">
        <f>IF(H$5="",0,WEEKDAY(H$5,2))</f>
      </c>
      <c r="I51" s="1">
        <f>IF(I$5="",0,WEEKDAY(I$5,2))</f>
      </c>
      <c r="J51" s="1">
        <f>IF(J$5="",0,WEEKDAY(J$5,2))</f>
      </c>
      <c r="K51" s="1">
        <f>IF(K$5="",0,WEEKDAY(K$5,2))</f>
      </c>
      <c r="L51" s="1">
        <f>IF(L$5="",0,WEEKDAY(L$5,2))</f>
      </c>
      <c r="M51" s="1">
        <f>IF(M$5="",0,WEEKDAY(M$5,2))</f>
      </c>
      <c r="N51" s="1">
        <f>IF(N$5="",0,WEEKDAY(N$5,2))</f>
      </c>
      <c r="O51" s="1">
        <f>IF(O$5="",0,WEEKDAY(O$5,2))</f>
      </c>
      <c r="P51" s="1">
        <f>IF(P$5="",0,WEEKDAY(P$5,2))</f>
      </c>
      <c r="Q51" s="1">
        <f>IF(Q$5="",0,WEEKDAY(Q$5,2))</f>
      </c>
      <c r="R51" s="1">
        <f>IF(R$5="",0,WEEKDAY(R$5,2))</f>
      </c>
      <c r="S51" s="1">
        <f>IF(S$5="",0,WEEKDAY(S$5,2))</f>
      </c>
      <c r="T51" s="1">
        <f>IF(T$5="",0,WEEKDAY(T$5,2))</f>
      </c>
      <c r="U51" s="1">
        <f>IF(U$5="",0,WEEKDAY(U$5,2))</f>
      </c>
      <c r="V51" s="1">
        <f>IF(V$5="",0,WEEKDAY(V$5,2))</f>
      </c>
      <c r="W51" s="1">
        <f>IF(W$5="",0,WEEKDAY(W$5,2))</f>
      </c>
      <c r="X51" s="1">
        <f>IF(X$5="",0,WEEKDAY(X$5,2))</f>
      </c>
      <c r="Y51" s="1">
        <f>IF(Y$5="",0,WEEKDAY(Y$5,2))</f>
      </c>
      <c r="Z51" s="1">
        <f>IF(Z$5="",0,WEEKDAY(Z$5,2))</f>
      </c>
      <c r="AA51" s="1">
        <f>IF(AA$5="",0,WEEKDAY(AA$5,2))</f>
      </c>
      <c r="AB51" s="1">
        <f>IF(AB$5="",0,WEEKDAY(AB$5,2))</f>
      </c>
      <c r="AC51" s="1">
        <f>IF(AC$5="",0,WEEKDAY(AC$5,2))</f>
      </c>
      <c r="AD51" s="1">
        <f>IF(AD$5="",0,WEEKDAY(AD$5,2))</f>
      </c>
      <c r="AE51" s="1">
        <f>IF(AE$5="",0,WEEKDAY(AE$5,2))</f>
      </c>
      <c r="AF51" s="1">
        <f>IF(AF$5="",0,WEEKDAY(AF$5,2))</f>
      </c>
    </row>
    <row r="52" hidden="1" spans="1:32" x14ac:dyDescent="0.25">
      <c r="A52" s="1"/>
      <c r="B52" s="1">
        <f>IF(B$5="",0,1)</f>
      </c>
      <c r="C52" s="1">
        <f>IF(C$5="",0,1)</f>
      </c>
      <c r="D52" s="1">
        <f>IF(D$5="",0,1)</f>
      </c>
      <c r="E52" s="1">
        <f>IF(E$5="",0,1)</f>
      </c>
      <c r="F52" s="1">
        <f>IF(F$5="",0,1)</f>
      </c>
      <c r="G52" s="1">
        <f>IF(G$5="",0,1)</f>
      </c>
      <c r="H52" s="1">
        <f>IF(H$5="",0,1)</f>
      </c>
      <c r="I52" s="1">
        <f>IF(I$5="",0,1)</f>
      </c>
      <c r="J52" s="1">
        <f>IF(J$5="",0,1)</f>
      </c>
      <c r="K52" s="1">
        <f>IF(K$5="",0,1)</f>
      </c>
      <c r="L52" s="1">
        <f>IF(L$5="",0,1)</f>
      </c>
      <c r="M52" s="1">
        <f>IF(M$5="",0,1)</f>
      </c>
      <c r="N52" s="1">
        <f>IF(N$5="",0,1)</f>
      </c>
      <c r="O52" s="1">
        <f>IF(O$5="",0,1)</f>
      </c>
      <c r="P52" s="1">
        <f>IF(P$5="",0,1)</f>
      </c>
      <c r="Q52" s="1">
        <f>IF(Q$5="",0,1)</f>
      </c>
      <c r="R52" s="1">
        <f>IF(R$5="",0,1)</f>
      </c>
      <c r="S52" s="1">
        <f>IF(S$5="",0,1)</f>
      </c>
      <c r="T52" s="1">
        <f>IF(T$5="",0,1)</f>
      </c>
      <c r="U52" s="1">
        <f>IF(U$5="",0,1)</f>
      </c>
      <c r="V52" s="1">
        <f>IF(V$5="",0,1)</f>
      </c>
      <c r="W52" s="1">
        <f>IF(W$5="",0,1)</f>
      </c>
      <c r="X52" s="1">
        <f>IF(X$5="",0,1)</f>
      </c>
      <c r="Y52" s="1">
        <f>IF(Y$5="",0,1)</f>
      </c>
      <c r="Z52" s="1">
        <f>IF(Z$5="",0,1)</f>
      </c>
      <c r="AA52" s="1">
        <f>IF(AA$5="",0,1)</f>
      </c>
      <c r="AB52" s="1">
        <f>IF(AB$5="",0,1)</f>
      </c>
      <c r="AC52" s="1">
        <f>IF(AC$5="",0,1)</f>
      </c>
      <c r="AD52" s="1">
        <f>IF(AD$5="",0,1)</f>
      </c>
      <c r="AE52" s="1">
        <f>IF(AE$5="",0,1)</f>
      </c>
      <c r="AF52" s="1">
        <f>IF(AF$5="",0,1)</f>
      </c>
    </row>
    <row r="53" hidden="1" spans="1:32" x14ac:dyDescent="0.25">
      <c r="A53" s="1"/>
      <c r="B53" s="1">
        <f>IF(AND(B51&gt;=1,B51&lt;=5,B50=0),1,0)</f>
      </c>
      <c r="C53" s="1">
        <f>IF(AND(C51&gt;=1,C51&lt;=5,C50=0),1,0)</f>
      </c>
      <c r="D53" s="1">
        <f>IF(AND(D51&gt;=1,D51&lt;=5,D50=0),1,0)</f>
      </c>
      <c r="E53" s="1">
        <f>IF(AND(E51&gt;=1,E51&lt;=5,E50=0),1,0)</f>
      </c>
      <c r="F53" s="1">
        <f>IF(AND(F51&gt;=1,F51&lt;=5,F50=0),1,0)</f>
      </c>
      <c r="G53" s="1">
        <f>IF(AND(G51&gt;=1,G51&lt;=5,G50=0),1,0)</f>
      </c>
      <c r="H53" s="1">
        <f>IF(AND(H51&gt;=1,H51&lt;=5,H50=0),1,0)</f>
      </c>
      <c r="I53" s="1">
        <f>IF(AND(I51&gt;=1,I51&lt;=5,I50=0),1,0)</f>
      </c>
      <c r="J53" s="1">
        <f>IF(AND(J51&gt;=1,J51&lt;=5,J50=0),1,0)</f>
      </c>
      <c r="K53" s="1">
        <f>IF(AND(K51&gt;=1,K51&lt;=5,K50=0),1,0)</f>
      </c>
      <c r="L53" s="1">
        <f>IF(AND(L51&gt;=1,L51&lt;=5,L50=0),1,0)</f>
      </c>
      <c r="M53" s="1">
        <f>IF(AND(M51&gt;=1,M51&lt;=5,M50=0),1,0)</f>
      </c>
      <c r="N53" s="1">
        <f>IF(AND(N51&gt;=1,N51&lt;=5,N50=0),1,0)</f>
      </c>
      <c r="O53" s="1">
        <f>IF(AND(O51&gt;=1,O51&lt;=5,O50=0),1,0)</f>
      </c>
      <c r="P53" s="1">
        <f>IF(AND(P51&gt;=1,P51&lt;=5,P50=0),1,0)</f>
      </c>
      <c r="Q53" s="1">
        <f>IF(AND(Q51&gt;=1,Q51&lt;=5,Q50=0),1,0)</f>
      </c>
      <c r="R53" s="1">
        <f>IF(AND(R51&gt;=1,R51&lt;=5,R50=0),1,0)</f>
      </c>
      <c r="S53" s="1">
        <f>IF(AND(S51&gt;=1,S51&lt;=5,S50=0),1,0)</f>
      </c>
      <c r="T53" s="1">
        <f>IF(AND(T51&gt;=1,T51&lt;=5,T50=0),1,0)</f>
      </c>
      <c r="U53" s="1">
        <f>IF(AND(U51&gt;=1,U51&lt;=5,U50=0),1,0)</f>
      </c>
      <c r="V53" s="1">
        <f>IF(AND(V51&gt;=1,V51&lt;=5,V50=0),1,0)</f>
      </c>
      <c r="W53" s="1">
        <f>IF(AND(W51&gt;=1,W51&lt;=5,W50=0),1,0)</f>
      </c>
      <c r="X53" s="1">
        <f>IF(AND(X51&gt;=1,X51&lt;=5,X50=0),1,0)</f>
      </c>
      <c r="Y53" s="1">
        <f>IF(AND(Y51&gt;=1,Y51&lt;=5,Y50=0),1,0)</f>
      </c>
      <c r="Z53" s="1">
        <f>IF(AND(Z51&gt;=1,Z51&lt;=5,Z50=0),1,0)</f>
      </c>
      <c r="AA53" s="1">
        <f>IF(AND(AA51&gt;=1,AA51&lt;=5,AA50=0),1,0)</f>
      </c>
      <c r="AB53" s="1">
        <f>IF(AND(AB51&gt;=1,AB51&lt;=5,AB50=0),1,0)</f>
      </c>
      <c r="AC53" s="1">
        <f>IF(AND(AC51&gt;=1,AC51&lt;=5,AC50=0),1,0)</f>
      </c>
      <c r="AD53" s="1">
        <f>IF(AND(AD51&gt;=1,AD51&lt;=5,AD50=0),1,0)</f>
      </c>
      <c r="AE53" s="1">
        <f>IF(AND(AE51&gt;=1,AE51&lt;=5,AE50=0),1,0)</f>
      </c>
      <c r="AF53" s="1">
        <f>IF(AND(AF51&gt;=1,AF51&lt;=5,AF50=0),1,0)</f>
      </c>
    </row>
    <row r="55" hidden="1" spans="1:32" x14ac:dyDescent="0.25">
      <c r="A55" s="1"/>
      <c r="B55" s="1">
        <f>IF(OR(B$52=0,INDEX('März'!$B$6:$AF$6,DAY(DATE(Jahr,4,0)))="",B6=""),0,IFERROR(IF(AND(INDEX(Arten,MATCH(INDEX('März'!$B$6:$AF$6,DAY(DATE(Jahr,4,0))),Codes,0))="Arbeit",INDEX(Arten,MATCH(B6,Codes,0))="Arbeit"),IF(ROUND((1+INDEX(Beginne,MATCH(B6,Codes,0))-INDEX(EndeRel,MATCH(INDEX('März'!$B$6:$AF$6,DAY(DATE(Jahr,4,0))),Codes,0)))*1440,0)&lt;660,1,0),0),0))</f>
      </c>
      <c r="C55" s="1">
        <f>IF(OR(C$52=0,B6="",C6=""),0,IFERROR(IF(AND(INDEX(Arten,MATCH(B6,Codes,0))="Arbeit",INDEX(Arten,MATCH(C6,Codes,0))="Arbeit"),IF(ROUND((1+INDEX(Beginne,MATCH(C6,Codes,0))-INDEX(EndeRel,MATCH(B6,Codes,0)))*1440,0)&lt;660,1,0),0),0))</f>
      </c>
      <c r="D55" s="1">
        <f>IF(OR(D$52=0,C6="",D6=""),0,IFERROR(IF(AND(INDEX(Arten,MATCH(C6,Codes,0))="Arbeit",INDEX(Arten,MATCH(D6,Codes,0))="Arbeit"),IF(ROUND((1+INDEX(Beginne,MATCH(D6,Codes,0))-INDEX(EndeRel,MATCH(C6,Codes,0)))*1440,0)&lt;660,1,0),0),0))</f>
      </c>
      <c r="E55" s="1">
        <f>IF(OR(E$52=0,D6="",E6=""),0,IFERROR(IF(AND(INDEX(Arten,MATCH(D6,Codes,0))="Arbeit",INDEX(Arten,MATCH(E6,Codes,0))="Arbeit"),IF(ROUND((1+INDEX(Beginne,MATCH(E6,Codes,0))-INDEX(EndeRel,MATCH(D6,Codes,0)))*1440,0)&lt;660,1,0),0),0))</f>
      </c>
      <c r="F55" s="1">
        <f>IF(OR(F$52=0,E6="",F6=""),0,IFERROR(IF(AND(INDEX(Arten,MATCH(E6,Codes,0))="Arbeit",INDEX(Arten,MATCH(F6,Codes,0))="Arbeit"),IF(ROUND((1+INDEX(Beginne,MATCH(F6,Codes,0))-INDEX(EndeRel,MATCH(E6,Codes,0)))*1440,0)&lt;660,1,0),0),0))</f>
      </c>
      <c r="G55" s="1">
        <f>IF(OR(G$52=0,F6="",G6=""),0,IFERROR(IF(AND(INDEX(Arten,MATCH(F6,Codes,0))="Arbeit",INDEX(Arten,MATCH(G6,Codes,0))="Arbeit"),IF(ROUND((1+INDEX(Beginne,MATCH(G6,Codes,0))-INDEX(EndeRel,MATCH(F6,Codes,0)))*1440,0)&lt;660,1,0),0),0))</f>
      </c>
      <c r="H55" s="1">
        <f>IF(OR(H$52=0,G6="",H6=""),0,IFERROR(IF(AND(INDEX(Arten,MATCH(G6,Codes,0))="Arbeit",INDEX(Arten,MATCH(H6,Codes,0))="Arbeit"),IF(ROUND((1+INDEX(Beginne,MATCH(H6,Codes,0))-INDEX(EndeRel,MATCH(G6,Codes,0)))*1440,0)&lt;660,1,0),0),0))</f>
      </c>
      <c r="I55" s="1">
        <f>IF(OR(I$52=0,H6="",I6=""),0,IFERROR(IF(AND(INDEX(Arten,MATCH(H6,Codes,0))="Arbeit",INDEX(Arten,MATCH(I6,Codes,0))="Arbeit"),IF(ROUND((1+INDEX(Beginne,MATCH(I6,Codes,0))-INDEX(EndeRel,MATCH(H6,Codes,0)))*1440,0)&lt;660,1,0),0),0))</f>
      </c>
      <c r="J55" s="1">
        <f>IF(OR(J$52=0,I6="",J6=""),0,IFERROR(IF(AND(INDEX(Arten,MATCH(I6,Codes,0))="Arbeit",INDEX(Arten,MATCH(J6,Codes,0))="Arbeit"),IF(ROUND((1+INDEX(Beginne,MATCH(J6,Codes,0))-INDEX(EndeRel,MATCH(I6,Codes,0)))*1440,0)&lt;660,1,0),0),0))</f>
      </c>
      <c r="K55" s="1">
        <f>IF(OR(K$52=0,J6="",K6=""),0,IFERROR(IF(AND(INDEX(Arten,MATCH(J6,Codes,0))="Arbeit",INDEX(Arten,MATCH(K6,Codes,0))="Arbeit"),IF(ROUND((1+INDEX(Beginne,MATCH(K6,Codes,0))-INDEX(EndeRel,MATCH(J6,Codes,0)))*1440,0)&lt;660,1,0),0),0))</f>
      </c>
      <c r="L55" s="1">
        <f>IF(OR(L$52=0,K6="",L6=""),0,IFERROR(IF(AND(INDEX(Arten,MATCH(K6,Codes,0))="Arbeit",INDEX(Arten,MATCH(L6,Codes,0))="Arbeit"),IF(ROUND((1+INDEX(Beginne,MATCH(L6,Codes,0))-INDEX(EndeRel,MATCH(K6,Codes,0)))*1440,0)&lt;660,1,0),0),0))</f>
      </c>
      <c r="M55" s="1">
        <f>IF(OR(M$52=0,L6="",M6=""),0,IFERROR(IF(AND(INDEX(Arten,MATCH(L6,Codes,0))="Arbeit",INDEX(Arten,MATCH(M6,Codes,0))="Arbeit"),IF(ROUND((1+INDEX(Beginne,MATCH(M6,Codes,0))-INDEX(EndeRel,MATCH(L6,Codes,0)))*1440,0)&lt;660,1,0),0),0))</f>
      </c>
      <c r="N55" s="1">
        <f>IF(OR(N$52=0,M6="",N6=""),0,IFERROR(IF(AND(INDEX(Arten,MATCH(M6,Codes,0))="Arbeit",INDEX(Arten,MATCH(N6,Codes,0))="Arbeit"),IF(ROUND((1+INDEX(Beginne,MATCH(N6,Codes,0))-INDEX(EndeRel,MATCH(M6,Codes,0)))*1440,0)&lt;660,1,0),0),0))</f>
      </c>
      <c r="O55" s="1">
        <f>IF(OR(O$52=0,N6="",O6=""),0,IFERROR(IF(AND(INDEX(Arten,MATCH(N6,Codes,0))="Arbeit",INDEX(Arten,MATCH(O6,Codes,0))="Arbeit"),IF(ROUND((1+INDEX(Beginne,MATCH(O6,Codes,0))-INDEX(EndeRel,MATCH(N6,Codes,0)))*1440,0)&lt;660,1,0),0),0))</f>
      </c>
      <c r="P55" s="1">
        <f>IF(OR(P$52=0,O6="",P6=""),0,IFERROR(IF(AND(INDEX(Arten,MATCH(O6,Codes,0))="Arbeit",INDEX(Arten,MATCH(P6,Codes,0))="Arbeit"),IF(ROUND((1+INDEX(Beginne,MATCH(P6,Codes,0))-INDEX(EndeRel,MATCH(O6,Codes,0)))*1440,0)&lt;660,1,0),0),0))</f>
      </c>
      <c r="Q55" s="1">
        <f>IF(OR(Q$52=0,P6="",Q6=""),0,IFERROR(IF(AND(INDEX(Arten,MATCH(P6,Codes,0))="Arbeit",INDEX(Arten,MATCH(Q6,Codes,0))="Arbeit"),IF(ROUND((1+INDEX(Beginne,MATCH(Q6,Codes,0))-INDEX(EndeRel,MATCH(P6,Codes,0)))*1440,0)&lt;660,1,0),0),0))</f>
      </c>
      <c r="R55" s="1">
        <f>IF(OR(R$52=0,Q6="",R6=""),0,IFERROR(IF(AND(INDEX(Arten,MATCH(Q6,Codes,0))="Arbeit",INDEX(Arten,MATCH(R6,Codes,0))="Arbeit"),IF(ROUND((1+INDEX(Beginne,MATCH(R6,Codes,0))-INDEX(EndeRel,MATCH(Q6,Codes,0)))*1440,0)&lt;660,1,0),0),0))</f>
      </c>
      <c r="S55" s="1">
        <f>IF(OR(S$52=0,R6="",S6=""),0,IFERROR(IF(AND(INDEX(Arten,MATCH(R6,Codes,0))="Arbeit",INDEX(Arten,MATCH(S6,Codes,0))="Arbeit"),IF(ROUND((1+INDEX(Beginne,MATCH(S6,Codes,0))-INDEX(EndeRel,MATCH(R6,Codes,0)))*1440,0)&lt;660,1,0),0),0))</f>
      </c>
      <c r="T55" s="1">
        <f>IF(OR(T$52=0,S6="",T6=""),0,IFERROR(IF(AND(INDEX(Arten,MATCH(S6,Codes,0))="Arbeit",INDEX(Arten,MATCH(T6,Codes,0))="Arbeit"),IF(ROUND((1+INDEX(Beginne,MATCH(T6,Codes,0))-INDEX(EndeRel,MATCH(S6,Codes,0)))*1440,0)&lt;660,1,0),0),0))</f>
      </c>
      <c r="U55" s="1">
        <f>IF(OR(U$52=0,T6="",U6=""),0,IFERROR(IF(AND(INDEX(Arten,MATCH(T6,Codes,0))="Arbeit",INDEX(Arten,MATCH(U6,Codes,0))="Arbeit"),IF(ROUND((1+INDEX(Beginne,MATCH(U6,Codes,0))-INDEX(EndeRel,MATCH(T6,Codes,0)))*1440,0)&lt;660,1,0),0),0))</f>
      </c>
      <c r="V55" s="1">
        <f>IF(OR(V$52=0,U6="",V6=""),0,IFERROR(IF(AND(INDEX(Arten,MATCH(U6,Codes,0))="Arbeit",INDEX(Arten,MATCH(V6,Codes,0))="Arbeit"),IF(ROUND((1+INDEX(Beginne,MATCH(V6,Codes,0))-INDEX(EndeRel,MATCH(U6,Codes,0)))*1440,0)&lt;660,1,0),0),0))</f>
      </c>
      <c r="W55" s="1">
        <f>IF(OR(W$52=0,V6="",W6=""),0,IFERROR(IF(AND(INDEX(Arten,MATCH(V6,Codes,0))="Arbeit",INDEX(Arten,MATCH(W6,Codes,0))="Arbeit"),IF(ROUND((1+INDEX(Beginne,MATCH(W6,Codes,0))-INDEX(EndeRel,MATCH(V6,Codes,0)))*1440,0)&lt;660,1,0),0),0))</f>
      </c>
      <c r="X55" s="1">
        <f>IF(OR(X$52=0,W6="",X6=""),0,IFERROR(IF(AND(INDEX(Arten,MATCH(W6,Codes,0))="Arbeit",INDEX(Arten,MATCH(X6,Codes,0))="Arbeit"),IF(ROUND((1+INDEX(Beginne,MATCH(X6,Codes,0))-INDEX(EndeRel,MATCH(W6,Codes,0)))*1440,0)&lt;660,1,0),0),0))</f>
      </c>
      <c r="Y55" s="1">
        <f>IF(OR(Y$52=0,X6="",Y6=""),0,IFERROR(IF(AND(INDEX(Arten,MATCH(X6,Codes,0))="Arbeit",INDEX(Arten,MATCH(Y6,Codes,0))="Arbeit"),IF(ROUND((1+INDEX(Beginne,MATCH(Y6,Codes,0))-INDEX(EndeRel,MATCH(X6,Codes,0)))*1440,0)&lt;660,1,0),0),0))</f>
      </c>
      <c r="Z55" s="1">
        <f>IF(OR(Z$52=0,Y6="",Z6=""),0,IFERROR(IF(AND(INDEX(Arten,MATCH(Y6,Codes,0))="Arbeit",INDEX(Arten,MATCH(Z6,Codes,0))="Arbeit"),IF(ROUND((1+INDEX(Beginne,MATCH(Z6,Codes,0))-INDEX(EndeRel,MATCH(Y6,Codes,0)))*1440,0)&lt;660,1,0),0),0))</f>
      </c>
      <c r="AA55" s="1">
        <f>IF(OR(AA$52=0,Z6="",AA6=""),0,IFERROR(IF(AND(INDEX(Arten,MATCH(Z6,Codes,0))="Arbeit",INDEX(Arten,MATCH(AA6,Codes,0))="Arbeit"),IF(ROUND((1+INDEX(Beginne,MATCH(AA6,Codes,0))-INDEX(EndeRel,MATCH(Z6,Codes,0)))*1440,0)&lt;660,1,0),0),0))</f>
      </c>
      <c r="AB55" s="1">
        <f>IF(OR(AB$52=0,AA6="",AB6=""),0,IFERROR(IF(AND(INDEX(Arten,MATCH(AA6,Codes,0))="Arbeit",INDEX(Arten,MATCH(AB6,Codes,0))="Arbeit"),IF(ROUND((1+INDEX(Beginne,MATCH(AB6,Codes,0))-INDEX(EndeRel,MATCH(AA6,Codes,0)))*1440,0)&lt;660,1,0),0),0))</f>
      </c>
      <c r="AC55" s="1">
        <f>IF(OR(AC$52=0,AB6="",AC6=""),0,IFERROR(IF(AND(INDEX(Arten,MATCH(AB6,Codes,0))="Arbeit",INDEX(Arten,MATCH(AC6,Codes,0))="Arbeit"),IF(ROUND((1+INDEX(Beginne,MATCH(AC6,Codes,0))-INDEX(EndeRel,MATCH(AB6,Codes,0)))*1440,0)&lt;660,1,0),0),0))</f>
      </c>
      <c r="AD55" s="1">
        <f>IF(OR(AD$52=0,AC6="",AD6=""),0,IFERROR(IF(AND(INDEX(Arten,MATCH(AC6,Codes,0))="Arbeit",INDEX(Arten,MATCH(AD6,Codes,0))="Arbeit"),IF(ROUND((1+INDEX(Beginne,MATCH(AD6,Codes,0))-INDEX(EndeRel,MATCH(AC6,Codes,0)))*1440,0)&lt;660,1,0),0),0))</f>
      </c>
      <c r="AE55" s="1">
        <f>IF(OR(AE$52=0,AD6="",AE6=""),0,IFERROR(IF(AND(INDEX(Arten,MATCH(AD6,Codes,0))="Arbeit",INDEX(Arten,MATCH(AE6,Codes,0))="Arbeit"),IF(ROUND((1+INDEX(Beginne,MATCH(AE6,Codes,0))-INDEX(EndeRel,MATCH(AD6,Codes,0)))*1440,0)&lt;660,1,0),0),0))</f>
      </c>
      <c r="AF55" s="1">
        <f>IF(OR(AF$52=0,AE6="",AF6=""),0,IFERROR(IF(AND(INDEX(Arten,MATCH(AE6,Codes,0))="Arbeit",INDEX(Arten,MATCH(AF6,Codes,0))="Arbeit"),IF(ROUND((1+INDEX(Beginne,MATCH(AF6,Codes,0))-INDEX(EndeRel,MATCH(AE6,Codes,0)))*1440,0)&lt;660,1,0),0),0))</f>
      </c>
    </row>
    <row r="56" hidden="1" spans="1:32" x14ac:dyDescent="0.25">
      <c r="A56" s="1"/>
      <c r="B56" s="1">
        <f>IF(OR(B$52=0,INDEX('März'!$B$7:$AF$7,DAY(DATE(Jahr,4,0)))="",B7=""),0,IFERROR(IF(AND(INDEX(Arten,MATCH(INDEX('März'!$B$7:$AF$7,DAY(DATE(Jahr,4,0))),Codes,0))="Arbeit",INDEX(Arten,MATCH(B7,Codes,0))="Arbeit"),IF(ROUND((1+INDEX(Beginne,MATCH(B7,Codes,0))-INDEX(EndeRel,MATCH(INDEX('März'!$B$7:$AF$7,DAY(DATE(Jahr,4,0))),Codes,0)))*1440,0)&lt;660,1,0),0),0))</f>
      </c>
      <c r="C56" s="1">
        <f>IF(OR(C$52=0,B7="",C7=""),0,IFERROR(IF(AND(INDEX(Arten,MATCH(B7,Codes,0))="Arbeit",INDEX(Arten,MATCH(C7,Codes,0))="Arbeit"),IF(ROUND((1+INDEX(Beginne,MATCH(C7,Codes,0))-INDEX(EndeRel,MATCH(B7,Codes,0)))*1440,0)&lt;660,1,0),0),0))</f>
      </c>
      <c r="D56" s="1">
        <f>IF(OR(D$52=0,C7="",D7=""),0,IFERROR(IF(AND(INDEX(Arten,MATCH(C7,Codes,0))="Arbeit",INDEX(Arten,MATCH(D7,Codes,0))="Arbeit"),IF(ROUND((1+INDEX(Beginne,MATCH(D7,Codes,0))-INDEX(EndeRel,MATCH(C7,Codes,0)))*1440,0)&lt;660,1,0),0),0))</f>
      </c>
      <c r="E56" s="1">
        <f>IF(OR(E$52=0,D7="",E7=""),0,IFERROR(IF(AND(INDEX(Arten,MATCH(D7,Codes,0))="Arbeit",INDEX(Arten,MATCH(E7,Codes,0))="Arbeit"),IF(ROUND((1+INDEX(Beginne,MATCH(E7,Codes,0))-INDEX(EndeRel,MATCH(D7,Codes,0)))*1440,0)&lt;660,1,0),0),0))</f>
      </c>
      <c r="F56" s="1">
        <f>IF(OR(F$52=0,E7="",F7=""),0,IFERROR(IF(AND(INDEX(Arten,MATCH(E7,Codes,0))="Arbeit",INDEX(Arten,MATCH(F7,Codes,0))="Arbeit"),IF(ROUND((1+INDEX(Beginne,MATCH(F7,Codes,0))-INDEX(EndeRel,MATCH(E7,Codes,0)))*1440,0)&lt;660,1,0),0),0))</f>
      </c>
      <c r="G56" s="1">
        <f>IF(OR(G$52=0,F7="",G7=""),0,IFERROR(IF(AND(INDEX(Arten,MATCH(F7,Codes,0))="Arbeit",INDEX(Arten,MATCH(G7,Codes,0))="Arbeit"),IF(ROUND((1+INDEX(Beginne,MATCH(G7,Codes,0))-INDEX(EndeRel,MATCH(F7,Codes,0)))*1440,0)&lt;660,1,0),0),0))</f>
      </c>
      <c r="H56" s="1">
        <f>IF(OR(H$52=0,G7="",H7=""),0,IFERROR(IF(AND(INDEX(Arten,MATCH(G7,Codes,0))="Arbeit",INDEX(Arten,MATCH(H7,Codes,0))="Arbeit"),IF(ROUND((1+INDEX(Beginne,MATCH(H7,Codes,0))-INDEX(EndeRel,MATCH(G7,Codes,0)))*1440,0)&lt;660,1,0),0),0))</f>
      </c>
      <c r="I56" s="1">
        <f>IF(OR(I$52=0,H7="",I7=""),0,IFERROR(IF(AND(INDEX(Arten,MATCH(H7,Codes,0))="Arbeit",INDEX(Arten,MATCH(I7,Codes,0))="Arbeit"),IF(ROUND((1+INDEX(Beginne,MATCH(I7,Codes,0))-INDEX(EndeRel,MATCH(H7,Codes,0)))*1440,0)&lt;660,1,0),0),0))</f>
      </c>
      <c r="J56" s="1">
        <f>IF(OR(J$52=0,I7="",J7=""),0,IFERROR(IF(AND(INDEX(Arten,MATCH(I7,Codes,0))="Arbeit",INDEX(Arten,MATCH(J7,Codes,0))="Arbeit"),IF(ROUND((1+INDEX(Beginne,MATCH(J7,Codes,0))-INDEX(EndeRel,MATCH(I7,Codes,0)))*1440,0)&lt;660,1,0),0),0))</f>
      </c>
      <c r="K56" s="1">
        <f>IF(OR(K$52=0,J7="",K7=""),0,IFERROR(IF(AND(INDEX(Arten,MATCH(J7,Codes,0))="Arbeit",INDEX(Arten,MATCH(K7,Codes,0))="Arbeit"),IF(ROUND((1+INDEX(Beginne,MATCH(K7,Codes,0))-INDEX(EndeRel,MATCH(J7,Codes,0)))*1440,0)&lt;660,1,0),0),0))</f>
      </c>
      <c r="L56" s="1">
        <f>IF(OR(L$52=0,K7="",L7=""),0,IFERROR(IF(AND(INDEX(Arten,MATCH(K7,Codes,0))="Arbeit",INDEX(Arten,MATCH(L7,Codes,0))="Arbeit"),IF(ROUND((1+INDEX(Beginne,MATCH(L7,Codes,0))-INDEX(EndeRel,MATCH(K7,Codes,0)))*1440,0)&lt;660,1,0),0),0))</f>
      </c>
      <c r="M56" s="1">
        <f>IF(OR(M$52=0,L7="",M7=""),0,IFERROR(IF(AND(INDEX(Arten,MATCH(L7,Codes,0))="Arbeit",INDEX(Arten,MATCH(M7,Codes,0))="Arbeit"),IF(ROUND((1+INDEX(Beginne,MATCH(M7,Codes,0))-INDEX(EndeRel,MATCH(L7,Codes,0)))*1440,0)&lt;660,1,0),0),0))</f>
      </c>
      <c r="N56" s="1">
        <f>IF(OR(N$52=0,M7="",N7=""),0,IFERROR(IF(AND(INDEX(Arten,MATCH(M7,Codes,0))="Arbeit",INDEX(Arten,MATCH(N7,Codes,0))="Arbeit"),IF(ROUND((1+INDEX(Beginne,MATCH(N7,Codes,0))-INDEX(EndeRel,MATCH(M7,Codes,0)))*1440,0)&lt;660,1,0),0),0))</f>
      </c>
      <c r="O56" s="1">
        <f>IF(OR(O$52=0,N7="",O7=""),0,IFERROR(IF(AND(INDEX(Arten,MATCH(N7,Codes,0))="Arbeit",INDEX(Arten,MATCH(O7,Codes,0))="Arbeit"),IF(ROUND((1+INDEX(Beginne,MATCH(O7,Codes,0))-INDEX(EndeRel,MATCH(N7,Codes,0)))*1440,0)&lt;660,1,0),0),0))</f>
      </c>
      <c r="P56" s="1">
        <f>IF(OR(P$52=0,O7="",P7=""),0,IFERROR(IF(AND(INDEX(Arten,MATCH(O7,Codes,0))="Arbeit",INDEX(Arten,MATCH(P7,Codes,0))="Arbeit"),IF(ROUND((1+INDEX(Beginne,MATCH(P7,Codes,0))-INDEX(EndeRel,MATCH(O7,Codes,0)))*1440,0)&lt;660,1,0),0),0))</f>
      </c>
      <c r="Q56" s="1">
        <f>IF(OR(Q$52=0,P7="",Q7=""),0,IFERROR(IF(AND(INDEX(Arten,MATCH(P7,Codes,0))="Arbeit",INDEX(Arten,MATCH(Q7,Codes,0))="Arbeit"),IF(ROUND((1+INDEX(Beginne,MATCH(Q7,Codes,0))-INDEX(EndeRel,MATCH(P7,Codes,0)))*1440,0)&lt;660,1,0),0),0))</f>
      </c>
      <c r="R56" s="1">
        <f>IF(OR(R$52=0,Q7="",R7=""),0,IFERROR(IF(AND(INDEX(Arten,MATCH(Q7,Codes,0))="Arbeit",INDEX(Arten,MATCH(R7,Codes,0))="Arbeit"),IF(ROUND((1+INDEX(Beginne,MATCH(R7,Codes,0))-INDEX(EndeRel,MATCH(Q7,Codes,0)))*1440,0)&lt;660,1,0),0),0))</f>
      </c>
      <c r="S56" s="1">
        <f>IF(OR(S$52=0,R7="",S7=""),0,IFERROR(IF(AND(INDEX(Arten,MATCH(R7,Codes,0))="Arbeit",INDEX(Arten,MATCH(S7,Codes,0))="Arbeit"),IF(ROUND((1+INDEX(Beginne,MATCH(S7,Codes,0))-INDEX(EndeRel,MATCH(R7,Codes,0)))*1440,0)&lt;660,1,0),0),0))</f>
      </c>
      <c r="T56" s="1">
        <f>IF(OR(T$52=0,S7="",T7=""),0,IFERROR(IF(AND(INDEX(Arten,MATCH(S7,Codes,0))="Arbeit",INDEX(Arten,MATCH(T7,Codes,0))="Arbeit"),IF(ROUND((1+INDEX(Beginne,MATCH(T7,Codes,0))-INDEX(EndeRel,MATCH(S7,Codes,0)))*1440,0)&lt;660,1,0),0),0))</f>
      </c>
      <c r="U56" s="1">
        <f>IF(OR(U$52=0,T7="",U7=""),0,IFERROR(IF(AND(INDEX(Arten,MATCH(T7,Codes,0))="Arbeit",INDEX(Arten,MATCH(U7,Codes,0))="Arbeit"),IF(ROUND((1+INDEX(Beginne,MATCH(U7,Codes,0))-INDEX(EndeRel,MATCH(T7,Codes,0)))*1440,0)&lt;660,1,0),0),0))</f>
      </c>
      <c r="V56" s="1">
        <f>IF(OR(V$52=0,U7="",V7=""),0,IFERROR(IF(AND(INDEX(Arten,MATCH(U7,Codes,0))="Arbeit",INDEX(Arten,MATCH(V7,Codes,0))="Arbeit"),IF(ROUND((1+INDEX(Beginne,MATCH(V7,Codes,0))-INDEX(EndeRel,MATCH(U7,Codes,0)))*1440,0)&lt;660,1,0),0),0))</f>
      </c>
      <c r="W56" s="1">
        <f>IF(OR(W$52=0,V7="",W7=""),0,IFERROR(IF(AND(INDEX(Arten,MATCH(V7,Codes,0))="Arbeit",INDEX(Arten,MATCH(W7,Codes,0))="Arbeit"),IF(ROUND((1+INDEX(Beginne,MATCH(W7,Codes,0))-INDEX(EndeRel,MATCH(V7,Codes,0)))*1440,0)&lt;660,1,0),0),0))</f>
      </c>
      <c r="X56" s="1">
        <f>IF(OR(X$52=0,W7="",X7=""),0,IFERROR(IF(AND(INDEX(Arten,MATCH(W7,Codes,0))="Arbeit",INDEX(Arten,MATCH(X7,Codes,0))="Arbeit"),IF(ROUND((1+INDEX(Beginne,MATCH(X7,Codes,0))-INDEX(EndeRel,MATCH(W7,Codes,0)))*1440,0)&lt;660,1,0),0),0))</f>
      </c>
      <c r="Y56" s="1">
        <f>IF(OR(Y$52=0,X7="",Y7=""),0,IFERROR(IF(AND(INDEX(Arten,MATCH(X7,Codes,0))="Arbeit",INDEX(Arten,MATCH(Y7,Codes,0))="Arbeit"),IF(ROUND((1+INDEX(Beginne,MATCH(Y7,Codes,0))-INDEX(EndeRel,MATCH(X7,Codes,0)))*1440,0)&lt;660,1,0),0),0))</f>
      </c>
      <c r="Z56" s="1">
        <f>IF(OR(Z$52=0,Y7="",Z7=""),0,IFERROR(IF(AND(INDEX(Arten,MATCH(Y7,Codes,0))="Arbeit",INDEX(Arten,MATCH(Z7,Codes,0))="Arbeit"),IF(ROUND((1+INDEX(Beginne,MATCH(Z7,Codes,0))-INDEX(EndeRel,MATCH(Y7,Codes,0)))*1440,0)&lt;660,1,0),0),0))</f>
      </c>
      <c r="AA56" s="1">
        <f>IF(OR(AA$52=0,Z7="",AA7=""),0,IFERROR(IF(AND(INDEX(Arten,MATCH(Z7,Codes,0))="Arbeit",INDEX(Arten,MATCH(AA7,Codes,0))="Arbeit"),IF(ROUND((1+INDEX(Beginne,MATCH(AA7,Codes,0))-INDEX(EndeRel,MATCH(Z7,Codes,0)))*1440,0)&lt;660,1,0),0),0))</f>
      </c>
      <c r="AB56" s="1">
        <f>IF(OR(AB$52=0,AA7="",AB7=""),0,IFERROR(IF(AND(INDEX(Arten,MATCH(AA7,Codes,0))="Arbeit",INDEX(Arten,MATCH(AB7,Codes,0))="Arbeit"),IF(ROUND((1+INDEX(Beginne,MATCH(AB7,Codes,0))-INDEX(EndeRel,MATCH(AA7,Codes,0)))*1440,0)&lt;660,1,0),0),0))</f>
      </c>
      <c r="AC56" s="1">
        <f>IF(OR(AC$52=0,AB7="",AC7=""),0,IFERROR(IF(AND(INDEX(Arten,MATCH(AB7,Codes,0))="Arbeit",INDEX(Arten,MATCH(AC7,Codes,0))="Arbeit"),IF(ROUND((1+INDEX(Beginne,MATCH(AC7,Codes,0))-INDEX(EndeRel,MATCH(AB7,Codes,0)))*1440,0)&lt;660,1,0),0),0))</f>
      </c>
      <c r="AD56" s="1">
        <f>IF(OR(AD$52=0,AC7="",AD7=""),0,IFERROR(IF(AND(INDEX(Arten,MATCH(AC7,Codes,0))="Arbeit",INDEX(Arten,MATCH(AD7,Codes,0))="Arbeit"),IF(ROUND((1+INDEX(Beginne,MATCH(AD7,Codes,0))-INDEX(EndeRel,MATCH(AC7,Codes,0)))*1440,0)&lt;660,1,0),0),0))</f>
      </c>
      <c r="AE56" s="1">
        <f>IF(OR(AE$52=0,AD7="",AE7=""),0,IFERROR(IF(AND(INDEX(Arten,MATCH(AD7,Codes,0))="Arbeit",INDEX(Arten,MATCH(AE7,Codes,0))="Arbeit"),IF(ROUND((1+INDEX(Beginne,MATCH(AE7,Codes,0))-INDEX(EndeRel,MATCH(AD7,Codes,0)))*1440,0)&lt;660,1,0),0),0))</f>
      </c>
      <c r="AF56" s="1">
        <f>IF(OR(AF$52=0,AE7="",AF7=""),0,IFERROR(IF(AND(INDEX(Arten,MATCH(AE7,Codes,0))="Arbeit",INDEX(Arten,MATCH(AF7,Codes,0))="Arbeit"),IF(ROUND((1+INDEX(Beginne,MATCH(AF7,Codes,0))-INDEX(EndeRel,MATCH(AE7,Codes,0)))*1440,0)&lt;660,1,0),0),0))</f>
      </c>
    </row>
    <row r="57" hidden="1" spans="1:32" x14ac:dyDescent="0.25">
      <c r="A57" s="1"/>
      <c r="B57" s="1">
        <f>IF(OR(B$52=0,INDEX('März'!$B$8:$AF$8,DAY(DATE(Jahr,4,0)))="",B8=""),0,IFERROR(IF(AND(INDEX(Arten,MATCH(INDEX('März'!$B$8:$AF$8,DAY(DATE(Jahr,4,0))),Codes,0))="Arbeit",INDEX(Arten,MATCH(B8,Codes,0))="Arbeit"),IF(ROUND((1+INDEX(Beginne,MATCH(B8,Codes,0))-INDEX(EndeRel,MATCH(INDEX('März'!$B$8:$AF$8,DAY(DATE(Jahr,4,0))),Codes,0)))*1440,0)&lt;660,1,0),0),0))</f>
      </c>
      <c r="C57" s="1">
        <f>IF(OR(C$52=0,B8="",C8=""),0,IFERROR(IF(AND(INDEX(Arten,MATCH(B8,Codes,0))="Arbeit",INDEX(Arten,MATCH(C8,Codes,0))="Arbeit"),IF(ROUND((1+INDEX(Beginne,MATCH(C8,Codes,0))-INDEX(EndeRel,MATCH(B8,Codes,0)))*1440,0)&lt;660,1,0),0),0))</f>
      </c>
      <c r="D57" s="1">
        <f>IF(OR(D$52=0,C8="",D8=""),0,IFERROR(IF(AND(INDEX(Arten,MATCH(C8,Codes,0))="Arbeit",INDEX(Arten,MATCH(D8,Codes,0))="Arbeit"),IF(ROUND((1+INDEX(Beginne,MATCH(D8,Codes,0))-INDEX(EndeRel,MATCH(C8,Codes,0)))*1440,0)&lt;660,1,0),0),0))</f>
      </c>
      <c r="E57" s="1">
        <f>IF(OR(E$52=0,D8="",E8=""),0,IFERROR(IF(AND(INDEX(Arten,MATCH(D8,Codes,0))="Arbeit",INDEX(Arten,MATCH(E8,Codes,0))="Arbeit"),IF(ROUND((1+INDEX(Beginne,MATCH(E8,Codes,0))-INDEX(EndeRel,MATCH(D8,Codes,0)))*1440,0)&lt;660,1,0),0),0))</f>
      </c>
      <c r="F57" s="1">
        <f>IF(OR(F$52=0,E8="",F8=""),0,IFERROR(IF(AND(INDEX(Arten,MATCH(E8,Codes,0))="Arbeit",INDEX(Arten,MATCH(F8,Codes,0))="Arbeit"),IF(ROUND((1+INDEX(Beginne,MATCH(F8,Codes,0))-INDEX(EndeRel,MATCH(E8,Codes,0)))*1440,0)&lt;660,1,0),0),0))</f>
      </c>
      <c r="G57" s="1">
        <f>IF(OR(G$52=0,F8="",G8=""),0,IFERROR(IF(AND(INDEX(Arten,MATCH(F8,Codes,0))="Arbeit",INDEX(Arten,MATCH(G8,Codes,0))="Arbeit"),IF(ROUND((1+INDEX(Beginne,MATCH(G8,Codes,0))-INDEX(EndeRel,MATCH(F8,Codes,0)))*1440,0)&lt;660,1,0),0),0))</f>
      </c>
      <c r="H57" s="1">
        <f>IF(OR(H$52=0,G8="",H8=""),0,IFERROR(IF(AND(INDEX(Arten,MATCH(G8,Codes,0))="Arbeit",INDEX(Arten,MATCH(H8,Codes,0))="Arbeit"),IF(ROUND((1+INDEX(Beginne,MATCH(H8,Codes,0))-INDEX(EndeRel,MATCH(G8,Codes,0)))*1440,0)&lt;660,1,0),0),0))</f>
      </c>
      <c r="I57" s="1">
        <f>IF(OR(I$52=0,H8="",I8=""),0,IFERROR(IF(AND(INDEX(Arten,MATCH(H8,Codes,0))="Arbeit",INDEX(Arten,MATCH(I8,Codes,0))="Arbeit"),IF(ROUND((1+INDEX(Beginne,MATCH(I8,Codes,0))-INDEX(EndeRel,MATCH(H8,Codes,0)))*1440,0)&lt;660,1,0),0),0))</f>
      </c>
      <c r="J57" s="1">
        <f>IF(OR(J$52=0,I8="",J8=""),0,IFERROR(IF(AND(INDEX(Arten,MATCH(I8,Codes,0))="Arbeit",INDEX(Arten,MATCH(J8,Codes,0))="Arbeit"),IF(ROUND((1+INDEX(Beginne,MATCH(J8,Codes,0))-INDEX(EndeRel,MATCH(I8,Codes,0)))*1440,0)&lt;660,1,0),0),0))</f>
      </c>
      <c r="K57" s="1">
        <f>IF(OR(K$52=0,J8="",K8=""),0,IFERROR(IF(AND(INDEX(Arten,MATCH(J8,Codes,0))="Arbeit",INDEX(Arten,MATCH(K8,Codes,0))="Arbeit"),IF(ROUND((1+INDEX(Beginne,MATCH(K8,Codes,0))-INDEX(EndeRel,MATCH(J8,Codes,0)))*1440,0)&lt;660,1,0),0),0))</f>
      </c>
      <c r="L57" s="1">
        <f>IF(OR(L$52=0,K8="",L8=""),0,IFERROR(IF(AND(INDEX(Arten,MATCH(K8,Codes,0))="Arbeit",INDEX(Arten,MATCH(L8,Codes,0))="Arbeit"),IF(ROUND((1+INDEX(Beginne,MATCH(L8,Codes,0))-INDEX(EndeRel,MATCH(K8,Codes,0)))*1440,0)&lt;660,1,0),0),0))</f>
      </c>
      <c r="M57" s="1">
        <f>IF(OR(M$52=0,L8="",M8=""),0,IFERROR(IF(AND(INDEX(Arten,MATCH(L8,Codes,0))="Arbeit",INDEX(Arten,MATCH(M8,Codes,0))="Arbeit"),IF(ROUND((1+INDEX(Beginne,MATCH(M8,Codes,0))-INDEX(EndeRel,MATCH(L8,Codes,0)))*1440,0)&lt;660,1,0),0),0))</f>
      </c>
      <c r="N57" s="1">
        <f>IF(OR(N$52=0,M8="",N8=""),0,IFERROR(IF(AND(INDEX(Arten,MATCH(M8,Codes,0))="Arbeit",INDEX(Arten,MATCH(N8,Codes,0))="Arbeit"),IF(ROUND((1+INDEX(Beginne,MATCH(N8,Codes,0))-INDEX(EndeRel,MATCH(M8,Codes,0)))*1440,0)&lt;660,1,0),0),0))</f>
      </c>
      <c r="O57" s="1">
        <f>IF(OR(O$52=0,N8="",O8=""),0,IFERROR(IF(AND(INDEX(Arten,MATCH(N8,Codes,0))="Arbeit",INDEX(Arten,MATCH(O8,Codes,0))="Arbeit"),IF(ROUND((1+INDEX(Beginne,MATCH(O8,Codes,0))-INDEX(EndeRel,MATCH(N8,Codes,0)))*1440,0)&lt;660,1,0),0),0))</f>
      </c>
      <c r="P57" s="1">
        <f>IF(OR(P$52=0,O8="",P8=""),0,IFERROR(IF(AND(INDEX(Arten,MATCH(O8,Codes,0))="Arbeit",INDEX(Arten,MATCH(P8,Codes,0))="Arbeit"),IF(ROUND((1+INDEX(Beginne,MATCH(P8,Codes,0))-INDEX(EndeRel,MATCH(O8,Codes,0)))*1440,0)&lt;660,1,0),0),0))</f>
      </c>
      <c r="Q57" s="1">
        <f>IF(OR(Q$52=0,P8="",Q8=""),0,IFERROR(IF(AND(INDEX(Arten,MATCH(P8,Codes,0))="Arbeit",INDEX(Arten,MATCH(Q8,Codes,0))="Arbeit"),IF(ROUND((1+INDEX(Beginne,MATCH(Q8,Codes,0))-INDEX(EndeRel,MATCH(P8,Codes,0)))*1440,0)&lt;660,1,0),0),0))</f>
      </c>
      <c r="R57" s="1">
        <f>IF(OR(R$52=0,Q8="",R8=""),0,IFERROR(IF(AND(INDEX(Arten,MATCH(Q8,Codes,0))="Arbeit",INDEX(Arten,MATCH(R8,Codes,0))="Arbeit"),IF(ROUND((1+INDEX(Beginne,MATCH(R8,Codes,0))-INDEX(EndeRel,MATCH(Q8,Codes,0)))*1440,0)&lt;660,1,0),0),0))</f>
      </c>
      <c r="S57" s="1">
        <f>IF(OR(S$52=0,R8="",S8=""),0,IFERROR(IF(AND(INDEX(Arten,MATCH(R8,Codes,0))="Arbeit",INDEX(Arten,MATCH(S8,Codes,0))="Arbeit"),IF(ROUND((1+INDEX(Beginne,MATCH(S8,Codes,0))-INDEX(EndeRel,MATCH(R8,Codes,0)))*1440,0)&lt;660,1,0),0),0))</f>
      </c>
      <c r="T57" s="1">
        <f>IF(OR(T$52=0,S8="",T8=""),0,IFERROR(IF(AND(INDEX(Arten,MATCH(S8,Codes,0))="Arbeit",INDEX(Arten,MATCH(T8,Codes,0))="Arbeit"),IF(ROUND((1+INDEX(Beginne,MATCH(T8,Codes,0))-INDEX(EndeRel,MATCH(S8,Codes,0)))*1440,0)&lt;660,1,0),0),0))</f>
      </c>
      <c r="U57" s="1">
        <f>IF(OR(U$52=0,T8="",U8=""),0,IFERROR(IF(AND(INDEX(Arten,MATCH(T8,Codes,0))="Arbeit",INDEX(Arten,MATCH(U8,Codes,0))="Arbeit"),IF(ROUND((1+INDEX(Beginne,MATCH(U8,Codes,0))-INDEX(EndeRel,MATCH(T8,Codes,0)))*1440,0)&lt;660,1,0),0),0))</f>
      </c>
      <c r="V57" s="1">
        <f>IF(OR(V$52=0,U8="",V8=""),0,IFERROR(IF(AND(INDEX(Arten,MATCH(U8,Codes,0))="Arbeit",INDEX(Arten,MATCH(V8,Codes,0))="Arbeit"),IF(ROUND((1+INDEX(Beginne,MATCH(V8,Codes,0))-INDEX(EndeRel,MATCH(U8,Codes,0)))*1440,0)&lt;660,1,0),0),0))</f>
      </c>
      <c r="W57" s="1">
        <f>IF(OR(W$52=0,V8="",W8=""),0,IFERROR(IF(AND(INDEX(Arten,MATCH(V8,Codes,0))="Arbeit",INDEX(Arten,MATCH(W8,Codes,0))="Arbeit"),IF(ROUND((1+INDEX(Beginne,MATCH(W8,Codes,0))-INDEX(EndeRel,MATCH(V8,Codes,0)))*1440,0)&lt;660,1,0),0),0))</f>
      </c>
      <c r="X57" s="1">
        <f>IF(OR(X$52=0,W8="",X8=""),0,IFERROR(IF(AND(INDEX(Arten,MATCH(W8,Codes,0))="Arbeit",INDEX(Arten,MATCH(X8,Codes,0))="Arbeit"),IF(ROUND((1+INDEX(Beginne,MATCH(X8,Codes,0))-INDEX(EndeRel,MATCH(W8,Codes,0)))*1440,0)&lt;660,1,0),0),0))</f>
      </c>
      <c r="Y57" s="1">
        <f>IF(OR(Y$52=0,X8="",Y8=""),0,IFERROR(IF(AND(INDEX(Arten,MATCH(X8,Codes,0))="Arbeit",INDEX(Arten,MATCH(Y8,Codes,0))="Arbeit"),IF(ROUND((1+INDEX(Beginne,MATCH(Y8,Codes,0))-INDEX(EndeRel,MATCH(X8,Codes,0)))*1440,0)&lt;660,1,0),0),0))</f>
      </c>
      <c r="Z57" s="1">
        <f>IF(OR(Z$52=0,Y8="",Z8=""),0,IFERROR(IF(AND(INDEX(Arten,MATCH(Y8,Codes,0))="Arbeit",INDEX(Arten,MATCH(Z8,Codes,0))="Arbeit"),IF(ROUND((1+INDEX(Beginne,MATCH(Z8,Codes,0))-INDEX(EndeRel,MATCH(Y8,Codes,0)))*1440,0)&lt;660,1,0),0),0))</f>
      </c>
      <c r="AA57" s="1">
        <f>IF(OR(AA$52=0,Z8="",AA8=""),0,IFERROR(IF(AND(INDEX(Arten,MATCH(Z8,Codes,0))="Arbeit",INDEX(Arten,MATCH(AA8,Codes,0))="Arbeit"),IF(ROUND((1+INDEX(Beginne,MATCH(AA8,Codes,0))-INDEX(EndeRel,MATCH(Z8,Codes,0)))*1440,0)&lt;660,1,0),0),0))</f>
      </c>
      <c r="AB57" s="1">
        <f>IF(OR(AB$52=0,AA8="",AB8=""),0,IFERROR(IF(AND(INDEX(Arten,MATCH(AA8,Codes,0))="Arbeit",INDEX(Arten,MATCH(AB8,Codes,0))="Arbeit"),IF(ROUND((1+INDEX(Beginne,MATCH(AB8,Codes,0))-INDEX(EndeRel,MATCH(AA8,Codes,0)))*1440,0)&lt;660,1,0),0),0))</f>
      </c>
      <c r="AC57" s="1">
        <f>IF(OR(AC$52=0,AB8="",AC8=""),0,IFERROR(IF(AND(INDEX(Arten,MATCH(AB8,Codes,0))="Arbeit",INDEX(Arten,MATCH(AC8,Codes,0))="Arbeit"),IF(ROUND((1+INDEX(Beginne,MATCH(AC8,Codes,0))-INDEX(EndeRel,MATCH(AB8,Codes,0)))*1440,0)&lt;660,1,0),0),0))</f>
      </c>
      <c r="AD57" s="1">
        <f>IF(OR(AD$52=0,AC8="",AD8=""),0,IFERROR(IF(AND(INDEX(Arten,MATCH(AC8,Codes,0))="Arbeit",INDEX(Arten,MATCH(AD8,Codes,0))="Arbeit"),IF(ROUND((1+INDEX(Beginne,MATCH(AD8,Codes,0))-INDEX(EndeRel,MATCH(AC8,Codes,0)))*1440,0)&lt;660,1,0),0),0))</f>
      </c>
      <c r="AE57" s="1">
        <f>IF(OR(AE$52=0,AD8="",AE8=""),0,IFERROR(IF(AND(INDEX(Arten,MATCH(AD8,Codes,0))="Arbeit",INDEX(Arten,MATCH(AE8,Codes,0))="Arbeit"),IF(ROUND((1+INDEX(Beginne,MATCH(AE8,Codes,0))-INDEX(EndeRel,MATCH(AD8,Codes,0)))*1440,0)&lt;660,1,0),0),0))</f>
      </c>
      <c r="AF57" s="1">
        <f>IF(OR(AF$52=0,AE8="",AF8=""),0,IFERROR(IF(AND(INDEX(Arten,MATCH(AE8,Codes,0))="Arbeit",INDEX(Arten,MATCH(AF8,Codes,0))="Arbeit"),IF(ROUND((1+INDEX(Beginne,MATCH(AF8,Codes,0))-INDEX(EndeRel,MATCH(AE8,Codes,0)))*1440,0)&lt;660,1,0),0),0))</f>
      </c>
    </row>
    <row r="58" hidden="1" spans="1:32" x14ac:dyDescent="0.25">
      <c r="A58" s="1"/>
      <c r="B58" s="1">
        <f>IF(OR(B$52=0,INDEX('März'!$B$9:$AF$9,DAY(DATE(Jahr,4,0)))="",B9=""),0,IFERROR(IF(AND(INDEX(Arten,MATCH(INDEX('März'!$B$9:$AF$9,DAY(DATE(Jahr,4,0))),Codes,0))="Arbeit",INDEX(Arten,MATCH(B9,Codes,0))="Arbeit"),IF(ROUND((1+INDEX(Beginne,MATCH(B9,Codes,0))-INDEX(EndeRel,MATCH(INDEX('März'!$B$9:$AF$9,DAY(DATE(Jahr,4,0))),Codes,0)))*1440,0)&lt;660,1,0),0),0))</f>
      </c>
      <c r="C58" s="1">
        <f>IF(OR(C$52=0,B9="",C9=""),0,IFERROR(IF(AND(INDEX(Arten,MATCH(B9,Codes,0))="Arbeit",INDEX(Arten,MATCH(C9,Codes,0))="Arbeit"),IF(ROUND((1+INDEX(Beginne,MATCH(C9,Codes,0))-INDEX(EndeRel,MATCH(B9,Codes,0)))*1440,0)&lt;660,1,0),0),0))</f>
      </c>
      <c r="D58" s="1">
        <f>IF(OR(D$52=0,C9="",D9=""),0,IFERROR(IF(AND(INDEX(Arten,MATCH(C9,Codes,0))="Arbeit",INDEX(Arten,MATCH(D9,Codes,0))="Arbeit"),IF(ROUND((1+INDEX(Beginne,MATCH(D9,Codes,0))-INDEX(EndeRel,MATCH(C9,Codes,0)))*1440,0)&lt;660,1,0),0),0))</f>
      </c>
      <c r="E58" s="1">
        <f>IF(OR(E$52=0,D9="",E9=""),0,IFERROR(IF(AND(INDEX(Arten,MATCH(D9,Codes,0))="Arbeit",INDEX(Arten,MATCH(E9,Codes,0))="Arbeit"),IF(ROUND((1+INDEX(Beginne,MATCH(E9,Codes,0))-INDEX(EndeRel,MATCH(D9,Codes,0)))*1440,0)&lt;660,1,0),0),0))</f>
      </c>
      <c r="F58" s="1">
        <f>IF(OR(F$52=0,E9="",F9=""),0,IFERROR(IF(AND(INDEX(Arten,MATCH(E9,Codes,0))="Arbeit",INDEX(Arten,MATCH(F9,Codes,0))="Arbeit"),IF(ROUND((1+INDEX(Beginne,MATCH(F9,Codes,0))-INDEX(EndeRel,MATCH(E9,Codes,0)))*1440,0)&lt;660,1,0),0),0))</f>
      </c>
      <c r="G58" s="1">
        <f>IF(OR(G$52=0,F9="",G9=""),0,IFERROR(IF(AND(INDEX(Arten,MATCH(F9,Codes,0))="Arbeit",INDEX(Arten,MATCH(G9,Codes,0))="Arbeit"),IF(ROUND((1+INDEX(Beginne,MATCH(G9,Codes,0))-INDEX(EndeRel,MATCH(F9,Codes,0)))*1440,0)&lt;660,1,0),0),0))</f>
      </c>
      <c r="H58" s="1">
        <f>IF(OR(H$52=0,G9="",H9=""),0,IFERROR(IF(AND(INDEX(Arten,MATCH(G9,Codes,0))="Arbeit",INDEX(Arten,MATCH(H9,Codes,0))="Arbeit"),IF(ROUND((1+INDEX(Beginne,MATCH(H9,Codes,0))-INDEX(EndeRel,MATCH(G9,Codes,0)))*1440,0)&lt;660,1,0),0),0))</f>
      </c>
      <c r="I58" s="1">
        <f>IF(OR(I$52=0,H9="",I9=""),0,IFERROR(IF(AND(INDEX(Arten,MATCH(H9,Codes,0))="Arbeit",INDEX(Arten,MATCH(I9,Codes,0))="Arbeit"),IF(ROUND((1+INDEX(Beginne,MATCH(I9,Codes,0))-INDEX(EndeRel,MATCH(H9,Codes,0)))*1440,0)&lt;660,1,0),0),0))</f>
      </c>
      <c r="J58" s="1">
        <f>IF(OR(J$52=0,I9="",J9=""),0,IFERROR(IF(AND(INDEX(Arten,MATCH(I9,Codes,0))="Arbeit",INDEX(Arten,MATCH(J9,Codes,0))="Arbeit"),IF(ROUND((1+INDEX(Beginne,MATCH(J9,Codes,0))-INDEX(EndeRel,MATCH(I9,Codes,0)))*1440,0)&lt;660,1,0),0),0))</f>
      </c>
      <c r="K58" s="1">
        <f>IF(OR(K$52=0,J9="",K9=""),0,IFERROR(IF(AND(INDEX(Arten,MATCH(J9,Codes,0))="Arbeit",INDEX(Arten,MATCH(K9,Codes,0))="Arbeit"),IF(ROUND((1+INDEX(Beginne,MATCH(K9,Codes,0))-INDEX(EndeRel,MATCH(J9,Codes,0)))*1440,0)&lt;660,1,0),0),0))</f>
      </c>
      <c r="L58" s="1">
        <f>IF(OR(L$52=0,K9="",L9=""),0,IFERROR(IF(AND(INDEX(Arten,MATCH(K9,Codes,0))="Arbeit",INDEX(Arten,MATCH(L9,Codes,0))="Arbeit"),IF(ROUND((1+INDEX(Beginne,MATCH(L9,Codes,0))-INDEX(EndeRel,MATCH(K9,Codes,0)))*1440,0)&lt;660,1,0),0),0))</f>
      </c>
      <c r="M58" s="1">
        <f>IF(OR(M$52=0,L9="",M9=""),0,IFERROR(IF(AND(INDEX(Arten,MATCH(L9,Codes,0))="Arbeit",INDEX(Arten,MATCH(M9,Codes,0))="Arbeit"),IF(ROUND((1+INDEX(Beginne,MATCH(M9,Codes,0))-INDEX(EndeRel,MATCH(L9,Codes,0)))*1440,0)&lt;660,1,0),0),0))</f>
      </c>
      <c r="N58" s="1">
        <f>IF(OR(N$52=0,M9="",N9=""),0,IFERROR(IF(AND(INDEX(Arten,MATCH(M9,Codes,0))="Arbeit",INDEX(Arten,MATCH(N9,Codes,0))="Arbeit"),IF(ROUND((1+INDEX(Beginne,MATCH(N9,Codes,0))-INDEX(EndeRel,MATCH(M9,Codes,0)))*1440,0)&lt;660,1,0),0),0))</f>
      </c>
      <c r="O58" s="1">
        <f>IF(OR(O$52=0,N9="",O9=""),0,IFERROR(IF(AND(INDEX(Arten,MATCH(N9,Codes,0))="Arbeit",INDEX(Arten,MATCH(O9,Codes,0))="Arbeit"),IF(ROUND((1+INDEX(Beginne,MATCH(O9,Codes,0))-INDEX(EndeRel,MATCH(N9,Codes,0)))*1440,0)&lt;660,1,0),0),0))</f>
      </c>
      <c r="P58" s="1">
        <f>IF(OR(P$52=0,O9="",P9=""),0,IFERROR(IF(AND(INDEX(Arten,MATCH(O9,Codes,0))="Arbeit",INDEX(Arten,MATCH(P9,Codes,0))="Arbeit"),IF(ROUND((1+INDEX(Beginne,MATCH(P9,Codes,0))-INDEX(EndeRel,MATCH(O9,Codes,0)))*1440,0)&lt;660,1,0),0),0))</f>
      </c>
      <c r="Q58" s="1">
        <f>IF(OR(Q$52=0,P9="",Q9=""),0,IFERROR(IF(AND(INDEX(Arten,MATCH(P9,Codes,0))="Arbeit",INDEX(Arten,MATCH(Q9,Codes,0))="Arbeit"),IF(ROUND((1+INDEX(Beginne,MATCH(Q9,Codes,0))-INDEX(EndeRel,MATCH(P9,Codes,0)))*1440,0)&lt;660,1,0),0),0))</f>
      </c>
      <c r="R58" s="1">
        <f>IF(OR(R$52=0,Q9="",R9=""),0,IFERROR(IF(AND(INDEX(Arten,MATCH(Q9,Codes,0))="Arbeit",INDEX(Arten,MATCH(R9,Codes,0))="Arbeit"),IF(ROUND((1+INDEX(Beginne,MATCH(R9,Codes,0))-INDEX(EndeRel,MATCH(Q9,Codes,0)))*1440,0)&lt;660,1,0),0),0))</f>
      </c>
      <c r="S58" s="1">
        <f>IF(OR(S$52=0,R9="",S9=""),0,IFERROR(IF(AND(INDEX(Arten,MATCH(R9,Codes,0))="Arbeit",INDEX(Arten,MATCH(S9,Codes,0))="Arbeit"),IF(ROUND((1+INDEX(Beginne,MATCH(S9,Codes,0))-INDEX(EndeRel,MATCH(R9,Codes,0)))*1440,0)&lt;660,1,0),0),0))</f>
      </c>
      <c r="T58" s="1">
        <f>IF(OR(T$52=0,S9="",T9=""),0,IFERROR(IF(AND(INDEX(Arten,MATCH(S9,Codes,0))="Arbeit",INDEX(Arten,MATCH(T9,Codes,0))="Arbeit"),IF(ROUND((1+INDEX(Beginne,MATCH(T9,Codes,0))-INDEX(EndeRel,MATCH(S9,Codes,0)))*1440,0)&lt;660,1,0),0),0))</f>
      </c>
      <c r="U58" s="1">
        <f>IF(OR(U$52=0,T9="",U9=""),0,IFERROR(IF(AND(INDEX(Arten,MATCH(T9,Codes,0))="Arbeit",INDEX(Arten,MATCH(U9,Codes,0))="Arbeit"),IF(ROUND((1+INDEX(Beginne,MATCH(U9,Codes,0))-INDEX(EndeRel,MATCH(T9,Codes,0)))*1440,0)&lt;660,1,0),0),0))</f>
      </c>
      <c r="V58" s="1">
        <f>IF(OR(V$52=0,U9="",V9=""),0,IFERROR(IF(AND(INDEX(Arten,MATCH(U9,Codes,0))="Arbeit",INDEX(Arten,MATCH(V9,Codes,0))="Arbeit"),IF(ROUND((1+INDEX(Beginne,MATCH(V9,Codes,0))-INDEX(EndeRel,MATCH(U9,Codes,0)))*1440,0)&lt;660,1,0),0),0))</f>
      </c>
      <c r="W58" s="1">
        <f>IF(OR(W$52=0,V9="",W9=""),0,IFERROR(IF(AND(INDEX(Arten,MATCH(V9,Codes,0))="Arbeit",INDEX(Arten,MATCH(W9,Codes,0))="Arbeit"),IF(ROUND((1+INDEX(Beginne,MATCH(W9,Codes,0))-INDEX(EndeRel,MATCH(V9,Codes,0)))*1440,0)&lt;660,1,0),0),0))</f>
      </c>
      <c r="X58" s="1">
        <f>IF(OR(X$52=0,W9="",X9=""),0,IFERROR(IF(AND(INDEX(Arten,MATCH(W9,Codes,0))="Arbeit",INDEX(Arten,MATCH(X9,Codes,0))="Arbeit"),IF(ROUND((1+INDEX(Beginne,MATCH(X9,Codes,0))-INDEX(EndeRel,MATCH(W9,Codes,0)))*1440,0)&lt;660,1,0),0),0))</f>
      </c>
      <c r="Y58" s="1">
        <f>IF(OR(Y$52=0,X9="",Y9=""),0,IFERROR(IF(AND(INDEX(Arten,MATCH(X9,Codes,0))="Arbeit",INDEX(Arten,MATCH(Y9,Codes,0))="Arbeit"),IF(ROUND((1+INDEX(Beginne,MATCH(Y9,Codes,0))-INDEX(EndeRel,MATCH(X9,Codes,0)))*1440,0)&lt;660,1,0),0),0))</f>
      </c>
      <c r="Z58" s="1">
        <f>IF(OR(Z$52=0,Y9="",Z9=""),0,IFERROR(IF(AND(INDEX(Arten,MATCH(Y9,Codes,0))="Arbeit",INDEX(Arten,MATCH(Z9,Codes,0))="Arbeit"),IF(ROUND((1+INDEX(Beginne,MATCH(Z9,Codes,0))-INDEX(EndeRel,MATCH(Y9,Codes,0)))*1440,0)&lt;660,1,0),0),0))</f>
      </c>
      <c r="AA58" s="1">
        <f>IF(OR(AA$52=0,Z9="",AA9=""),0,IFERROR(IF(AND(INDEX(Arten,MATCH(Z9,Codes,0))="Arbeit",INDEX(Arten,MATCH(AA9,Codes,0))="Arbeit"),IF(ROUND((1+INDEX(Beginne,MATCH(AA9,Codes,0))-INDEX(EndeRel,MATCH(Z9,Codes,0)))*1440,0)&lt;660,1,0),0),0))</f>
      </c>
      <c r="AB58" s="1">
        <f>IF(OR(AB$52=0,AA9="",AB9=""),0,IFERROR(IF(AND(INDEX(Arten,MATCH(AA9,Codes,0))="Arbeit",INDEX(Arten,MATCH(AB9,Codes,0))="Arbeit"),IF(ROUND((1+INDEX(Beginne,MATCH(AB9,Codes,0))-INDEX(EndeRel,MATCH(AA9,Codes,0)))*1440,0)&lt;660,1,0),0),0))</f>
      </c>
      <c r="AC58" s="1">
        <f>IF(OR(AC$52=0,AB9="",AC9=""),0,IFERROR(IF(AND(INDEX(Arten,MATCH(AB9,Codes,0))="Arbeit",INDEX(Arten,MATCH(AC9,Codes,0))="Arbeit"),IF(ROUND((1+INDEX(Beginne,MATCH(AC9,Codes,0))-INDEX(EndeRel,MATCH(AB9,Codes,0)))*1440,0)&lt;660,1,0),0),0))</f>
      </c>
      <c r="AD58" s="1">
        <f>IF(OR(AD$52=0,AC9="",AD9=""),0,IFERROR(IF(AND(INDEX(Arten,MATCH(AC9,Codes,0))="Arbeit",INDEX(Arten,MATCH(AD9,Codes,0))="Arbeit"),IF(ROUND((1+INDEX(Beginne,MATCH(AD9,Codes,0))-INDEX(EndeRel,MATCH(AC9,Codes,0)))*1440,0)&lt;660,1,0),0),0))</f>
      </c>
      <c r="AE58" s="1">
        <f>IF(OR(AE$52=0,AD9="",AE9=""),0,IFERROR(IF(AND(INDEX(Arten,MATCH(AD9,Codes,0))="Arbeit",INDEX(Arten,MATCH(AE9,Codes,0))="Arbeit"),IF(ROUND((1+INDEX(Beginne,MATCH(AE9,Codes,0))-INDEX(EndeRel,MATCH(AD9,Codes,0)))*1440,0)&lt;660,1,0),0),0))</f>
      </c>
      <c r="AF58" s="1">
        <f>IF(OR(AF$52=0,AE9="",AF9=""),0,IFERROR(IF(AND(INDEX(Arten,MATCH(AE9,Codes,0))="Arbeit",INDEX(Arten,MATCH(AF9,Codes,0))="Arbeit"),IF(ROUND((1+INDEX(Beginne,MATCH(AF9,Codes,0))-INDEX(EndeRel,MATCH(AE9,Codes,0)))*1440,0)&lt;660,1,0),0),0))</f>
      </c>
    </row>
    <row r="59" hidden="1" spans="1:32" x14ac:dyDescent="0.25">
      <c r="A59" s="1"/>
      <c r="B59" s="1">
        <f>IF(OR(B$52=0,INDEX('März'!$B$10:$AF$10,DAY(DATE(Jahr,4,0)))="",B10=""),0,IFERROR(IF(AND(INDEX(Arten,MATCH(INDEX('März'!$B$10:$AF$10,DAY(DATE(Jahr,4,0))),Codes,0))="Arbeit",INDEX(Arten,MATCH(B10,Codes,0))="Arbeit"),IF(ROUND((1+INDEX(Beginne,MATCH(B10,Codes,0))-INDEX(EndeRel,MATCH(INDEX('März'!$B$10:$AF$10,DAY(DATE(Jahr,4,0))),Codes,0)))*1440,0)&lt;660,1,0),0),0))</f>
      </c>
      <c r="C59" s="1">
        <f>IF(OR(C$52=0,B10="",C10=""),0,IFERROR(IF(AND(INDEX(Arten,MATCH(B10,Codes,0))="Arbeit",INDEX(Arten,MATCH(C10,Codes,0))="Arbeit"),IF(ROUND((1+INDEX(Beginne,MATCH(C10,Codes,0))-INDEX(EndeRel,MATCH(B10,Codes,0)))*1440,0)&lt;660,1,0),0),0))</f>
      </c>
      <c r="D59" s="1">
        <f>IF(OR(D$52=0,C10="",D10=""),0,IFERROR(IF(AND(INDEX(Arten,MATCH(C10,Codes,0))="Arbeit",INDEX(Arten,MATCH(D10,Codes,0))="Arbeit"),IF(ROUND((1+INDEX(Beginne,MATCH(D10,Codes,0))-INDEX(EndeRel,MATCH(C10,Codes,0)))*1440,0)&lt;660,1,0),0),0))</f>
      </c>
      <c r="E59" s="1">
        <f>IF(OR(E$52=0,D10="",E10=""),0,IFERROR(IF(AND(INDEX(Arten,MATCH(D10,Codes,0))="Arbeit",INDEX(Arten,MATCH(E10,Codes,0))="Arbeit"),IF(ROUND((1+INDEX(Beginne,MATCH(E10,Codes,0))-INDEX(EndeRel,MATCH(D10,Codes,0)))*1440,0)&lt;660,1,0),0),0))</f>
      </c>
      <c r="F59" s="1">
        <f>IF(OR(F$52=0,E10="",F10=""),0,IFERROR(IF(AND(INDEX(Arten,MATCH(E10,Codes,0))="Arbeit",INDEX(Arten,MATCH(F10,Codes,0))="Arbeit"),IF(ROUND((1+INDEX(Beginne,MATCH(F10,Codes,0))-INDEX(EndeRel,MATCH(E10,Codes,0)))*1440,0)&lt;660,1,0),0),0))</f>
      </c>
      <c r="G59" s="1">
        <f>IF(OR(G$52=0,F10="",G10=""),0,IFERROR(IF(AND(INDEX(Arten,MATCH(F10,Codes,0))="Arbeit",INDEX(Arten,MATCH(G10,Codes,0))="Arbeit"),IF(ROUND((1+INDEX(Beginne,MATCH(G10,Codes,0))-INDEX(EndeRel,MATCH(F10,Codes,0)))*1440,0)&lt;660,1,0),0),0))</f>
      </c>
      <c r="H59" s="1">
        <f>IF(OR(H$52=0,G10="",H10=""),0,IFERROR(IF(AND(INDEX(Arten,MATCH(G10,Codes,0))="Arbeit",INDEX(Arten,MATCH(H10,Codes,0))="Arbeit"),IF(ROUND((1+INDEX(Beginne,MATCH(H10,Codes,0))-INDEX(EndeRel,MATCH(G10,Codes,0)))*1440,0)&lt;660,1,0),0),0))</f>
      </c>
      <c r="I59" s="1">
        <f>IF(OR(I$52=0,H10="",I10=""),0,IFERROR(IF(AND(INDEX(Arten,MATCH(H10,Codes,0))="Arbeit",INDEX(Arten,MATCH(I10,Codes,0))="Arbeit"),IF(ROUND((1+INDEX(Beginne,MATCH(I10,Codes,0))-INDEX(EndeRel,MATCH(H10,Codes,0)))*1440,0)&lt;660,1,0),0),0))</f>
      </c>
      <c r="J59" s="1">
        <f>IF(OR(J$52=0,I10="",J10=""),0,IFERROR(IF(AND(INDEX(Arten,MATCH(I10,Codes,0))="Arbeit",INDEX(Arten,MATCH(J10,Codes,0))="Arbeit"),IF(ROUND((1+INDEX(Beginne,MATCH(J10,Codes,0))-INDEX(EndeRel,MATCH(I10,Codes,0)))*1440,0)&lt;660,1,0),0),0))</f>
      </c>
      <c r="K59" s="1">
        <f>IF(OR(K$52=0,J10="",K10=""),0,IFERROR(IF(AND(INDEX(Arten,MATCH(J10,Codes,0))="Arbeit",INDEX(Arten,MATCH(K10,Codes,0))="Arbeit"),IF(ROUND((1+INDEX(Beginne,MATCH(K10,Codes,0))-INDEX(EndeRel,MATCH(J10,Codes,0)))*1440,0)&lt;660,1,0),0),0))</f>
      </c>
      <c r="L59" s="1">
        <f>IF(OR(L$52=0,K10="",L10=""),0,IFERROR(IF(AND(INDEX(Arten,MATCH(K10,Codes,0))="Arbeit",INDEX(Arten,MATCH(L10,Codes,0))="Arbeit"),IF(ROUND((1+INDEX(Beginne,MATCH(L10,Codes,0))-INDEX(EndeRel,MATCH(K10,Codes,0)))*1440,0)&lt;660,1,0),0),0))</f>
      </c>
      <c r="M59" s="1">
        <f>IF(OR(M$52=0,L10="",M10=""),0,IFERROR(IF(AND(INDEX(Arten,MATCH(L10,Codes,0))="Arbeit",INDEX(Arten,MATCH(M10,Codes,0))="Arbeit"),IF(ROUND((1+INDEX(Beginne,MATCH(M10,Codes,0))-INDEX(EndeRel,MATCH(L10,Codes,0)))*1440,0)&lt;660,1,0),0),0))</f>
      </c>
      <c r="N59" s="1">
        <f>IF(OR(N$52=0,M10="",N10=""),0,IFERROR(IF(AND(INDEX(Arten,MATCH(M10,Codes,0))="Arbeit",INDEX(Arten,MATCH(N10,Codes,0))="Arbeit"),IF(ROUND((1+INDEX(Beginne,MATCH(N10,Codes,0))-INDEX(EndeRel,MATCH(M10,Codes,0)))*1440,0)&lt;660,1,0),0),0))</f>
      </c>
      <c r="O59" s="1">
        <f>IF(OR(O$52=0,N10="",O10=""),0,IFERROR(IF(AND(INDEX(Arten,MATCH(N10,Codes,0))="Arbeit",INDEX(Arten,MATCH(O10,Codes,0))="Arbeit"),IF(ROUND((1+INDEX(Beginne,MATCH(O10,Codes,0))-INDEX(EndeRel,MATCH(N10,Codes,0)))*1440,0)&lt;660,1,0),0),0))</f>
      </c>
      <c r="P59" s="1">
        <f>IF(OR(P$52=0,O10="",P10=""),0,IFERROR(IF(AND(INDEX(Arten,MATCH(O10,Codes,0))="Arbeit",INDEX(Arten,MATCH(P10,Codes,0))="Arbeit"),IF(ROUND((1+INDEX(Beginne,MATCH(P10,Codes,0))-INDEX(EndeRel,MATCH(O10,Codes,0)))*1440,0)&lt;660,1,0),0),0))</f>
      </c>
      <c r="Q59" s="1">
        <f>IF(OR(Q$52=0,P10="",Q10=""),0,IFERROR(IF(AND(INDEX(Arten,MATCH(P10,Codes,0))="Arbeit",INDEX(Arten,MATCH(Q10,Codes,0))="Arbeit"),IF(ROUND((1+INDEX(Beginne,MATCH(Q10,Codes,0))-INDEX(EndeRel,MATCH(P10,Codes,0)))*1440,0)&lt;660,1,0),0),0))</f>
      </c>
      <c r="R59" s="1">
        <f>IF(OR(R$52=0,Q10="",R10=""),0,IFERROR(IF(AND(INDEX(Arten,MATCH(Q10,Codes,0))="Arbeit",INDEX(Arten,MATCH(R10,Codes,0))="Arbeit"),IF(ROUND((1+INDEX(Beginne,MATCH(R10,Codes,0))-INDEX(EndeRel,MATCH(Q10,Codes,0)))*1440,0)&lt;660,1,0),0),0))</f>
      </c>
      <c r="S59" s="1">
        <f>IF(OR(S$52=0,R10="",S10=""),0,IFERROR(IF(AND(INDEX(Arten,MATCH(R10,Codes,0))="Arbeit",INDEX(Arten,MATCH(S10,Codes,0))="Arbeit"),IF(ROUND((1+INDEX(Beginne,MATCH(S10,Codes,0))-INDEX(EndeRel,MATCH(R10,Codes,0)))*1440,0)&lt;660,1,0),0),0))</f>
      </c>
      <c r="T59" s="1">
        <f>IF(OR(T$52=0,S10="",T10=""),0,IFERROR(IF(AND(INDEX(Arten,MATCH(S10,Codes,0))="Arbeit",INDEX(Arten,MATCH(T10,Codes,0))="Arbeit"),IF(ROUND((1+INDEX(Beginne,MATCH(T10,Codes,0))-INDEX(EndeRel,MATCH(S10,Codes,0)))*1440,0)&lt;660,1,0),0),0))</f>
      </c>
      <c r="U59" s="1">
        <f>IF(OR(U$52=0,T10="",U10=""),0,IFERROR(IF(AND(INDEX(Arten,MATCH(T10,Codes,0))="Arbeit",INDEX(Arten,MATCH(U10,Codes,0))="Arbeit"),IF(ROUND((1+INDEX(Beginne,MATCH(U10,Codes,0))-INDEX(EndeRel,MATCH(T10,Codes,0)))*1440,0)&lt;660,1,0),0),0))</f>
      </c>
      <c r="V59" s="1">
        <f>IF(OR(V$52=0,U10="",V10=""),0,IFERROR(IF(AND(INDEX(Arten,MATCH(U10,Codes,0))="Arbeit",INDEX(Arten,MATCH(V10,Codes,0))="Arbeit"),IF(ROUND((1+INDEX(Beginne,MATCH(V10,Codes,0))-INDEX(EndeRel,MATCH(U10,Codes,0)))*1440,0)&lt;660,1,0),0),0))</f>
      </c>
      <c r="W59" s="1">
        <f>IF(OR(W$52=0,V10="",W10=""),0,IFERROR(IF(AND(INDEX(Arten,MATCH(V10,Codes,0))="Arbeit",INDEX(Arten,MATCH(W10,Codes,0))="Arbeit"),IF(ROUND((1+INDEX(Beginne,MATCH(W10,Codes,0))-INDEX(EndeRel,MATCH(V10,Codes,0)))*1440,0)&lt;660,1,0),0),0))</f>
      </c>
      <c r="X59" s="1">
        <f>IF(OR(X$52=0,W10="",X10=""),0,IFERROR(IF(AND(INDEX(Arten,MATCH(W10,Codes,0))="Arbeit",INDEX(Arten,MATCH(X10,Codes,0))="Arbeit"),IF(ROUND((1+INDEX(Beginne,MATCH(X10,Codes,0))-INDEX(EndeRel,MATCH(W10,Codes,0)))*1440,0)&lt;660,1,0),0),0))</f>
      </c>
      <c r="Y59" s="1">
        <f>IF(OR(Y$52=0,X10="",Y10=""),0,IFERROR(IF(AND(INDEX(Arten,MATCH(X10,Codes,0))="Arbeit",INDEX(Arten,MATCH(Y10,Codes,0))="Arbeit"),IF(ROUND((1+INDEX(Beginne,MATCH(Y10,Codes,0))-INDEX(EndeRel,MATCH(X10,Codes,0)))*1440,0)&lt;660,1,0),0),0))</f>
      </c>
      <c r="Z59" s="1">
        <f>IF(OR(Z$52=0,Y10="",Z10=""),0,IFERROR(IF(AND(INDEX(Arten,MATCH(Y10,Codes,0))="Arbeit",INDEX(Arten,MATCH(Z10,Codes,0))="Arbeit"),IF(ROUND((1+INDEX(Beginne,MATCH(Z10,Codes,0))-INDEX(EndeRel,MATCH(Y10,Codes,0)))*1440,0)&lt;660,1,0),0),0))</f>
      </c>
      <c r="AA59" s="1">
        <f>IF(OR(AA$52=0,Z10="",AA10=""),0,IFERROR(IF(AND(INDEX(Arten,MATCH(Z10,Codes,0))="Arbeit",INDEX(Arten,MATCH(AA10,Codes,0))="Arbeit"),IF(ROUND((1+INDEX(Beginne,MATCH(AA10,Codes,0))-INDEX(EndeRel,MATCH(Z10,Codes,0)))*1440,0)&lt;660,1,0),0),0))</f>
      </c>
      <c r="AB59" s="1">
        <f>IF(OR(AB$52=0,AA10="",AB10=""),0,IFERROR(IF(AND(INDEX(Arten,MATCH(AA10,Codes,0))="Arbeit",INDEX(Arten,MATCH(AB10,Codes,0))="Arbeit"),IF(ROUND((1+INDEX(Beginne,MATCH(AB10,Codes,0))-INDEX(EndeRel,MATCH(AA10,Codes,0)))*1440,0)&lt;660,1,0),0),0))</f>
      </c>
      <c r="AC59" s="1">
        <f>IF(OR(AC$52=0,AB10="",AC10=""),0,IFERROR(IF(AND(INDEX(Arten,MATCH(AB10,Codes,0))="Arbeit",INDEX(Arten,MATCH(AC10,Codes,0))="Arbeit"),IF(ROUND((1+INDEX(Beginne,MATCH(AC10,Codes,0))-INDEX(EndeRel,MATCH(AB10,Codes,0)))*1440,0)&lt;660,1,0),0),0))</f>
      </c>
      <c r="AD59" s="1">
        <f>IF(OR(AD$52=0,AC10="",AD10=""),0,IFERROR(IF(AND(INDEX(Arten,MATCH(AC10,Codes,0))="Arbeit",INDEX(Arten,MATCH(AD10,Codes,0))="Arbeit"),IF(ROUND((1+INDEX(Beginne,MATCH(AD10,Codes,0))-INDEX(EndeRel,MATCH(AC10,Codes,0)))*1440,0)&lt;660,1,0),0),0))</f>
      </c>
      <c r="AE59" s="1">
        <f>IF(OR(AE$52=0,AD10="",AE10=""),0,IFERROR(IF(AND(INDEX(Arten,MATCH(AD10,Codes,0))="Arbeit",INDEX(Arten,MATCH(AE10,Codes,0))="Arbeit"),IF(ROUND((1+INDEX(Beginne,MATCH(AE10,Codes,0))-INDEX(EndeRel,MATCH(AD10,Codes,0)))*1440,0)&lt;660,1,0),0),0))</f>
      </c>
      <c r="AF59" s="1">
        <f>IF(OR(AF$52=0,AE10="",AF10=""),0,IFERROR(IF(AND(INDEX(Arten,MATCH(AE10,Codes,0))="Arbeit",INDEX(Arten,MATCH(AF10,Codes,0))="Arbeit"),IF(ROUND((1+INDEX(Beginne,MATCH(AF10,Codes,0))-INDEX(EndeRel,MATCH(AE10,Codes,0)))*1440,0)&lt;660,1,0),0),0))</f>
      </c>
    </row>
    <row r="60" hidden="1" spans="1:32" x14ac:dyDescent="0.25">
      <c r="A60" s="1"/>
      <c r="B60" s="1">
        <f>IF(OR(B$52=0,INDEX('März'!$B$11:$AF$11,DAY(DATE(Jahr,4,0)))="",B11=""),0,IFERROR(IF(AND(INDEX(Arten,MATCH(INDEX('März'!$B$11:$AF$11,DAY(DATE(Jahr,4,0))),Codes,0))="Arbeit",INDEX(Arten,MATCH(B11,Codes,0))="Arbeit"),IF(ROUND((1+INDEX(Beginne,MATCH(B11,Codes,0))-INDEX(EndeRel,MATCH(INDEX('März'!$B$11:$AF$11,DAY(DATE(Jahr,4,0))),Codes,0)))*1440,0)&lt;660,1,0),0),0))</f>
      </c>
      <c r="C60" s="1">
        <f>IF(OR(C$52=0,B11="",C11=""),0,IFERROR(IF(AND(INDEX(Arten,MATCH(B11,Codes,0))="Arbeit",INDEX(Arten,MATCH(C11,Codes,0))="Arbeit"),IF(ROUND((1+INDEX(Beginne,MATCH(C11,Codes,0))-INDEX(EndeRel,MATCH(B11,Codes,0)))*1440,0)&lt;660,1,0),0),0))</f>
      </c>
      <c r="D60" s="1">
        <f>IF(OR(D$52=0,C11="",D11=""),0,IFERROR(IF(AND(INDEX(Arten,MATCH(C11,Codes,0))="Arbeit",INDEX(Arten,MATCH(D11,Codes,0))="Arbeit"),IF(ROUND((1+INDEX(Beginne,MATCH(D11,Codes,0))-INDEX(EndeRel,MATCH(C11,Codes,0)))*1440,0)&lt;660,1,0),0),0))</f>
      </c>
      <c r="E60" s="1">
        <f>IF(OR(E$52=0,D11="",E11=""),0,IFERROR(IF(AND(INDEX(Arten,MATCH(D11,Codes,0))="Arbeit",INDEX(Arten,MATCH(E11,Codes,0))="Arbeit"),IF(ROUND((1+INDEX(Beginne,MATCH(E11,Codes,0))-INDEX(EndeRel,MATCH(D11,Codes,0)))*1440,0)&lt;660,1,0),0),0))</f>
      </c>
      <c r="F60" s="1">
        <f>IF(OR(F$52=0,E11="",F11=""),0,IFERROR(IF(AND(INDEX(Arten,MATCH(E11,Codes,0))="Arbeit",INDEX(Arten,MATCH(F11,Codes,0))="Arbeit"),IF(ROUND((1+INDEX(Beginne,MATCH(F11,Codes,0))-INDEX(EndeRel,MATCH(E11,Codes,0)))*1440,0)&lt;660,1,0),0),0))</f>
      </c>
      <c r="G60" s="1">
        <f>IF(OR(G$52=0,F11="",G11=""),0,IFERROR(IF(AND(INDEX(Arten,MATCH(F11,Codes,0))="Arbeit",INDEX(Arten,MATCH(G11,Codes,0))="Arbeit"),IF(ROUND((1+INDEX(Beginne,MATCH(G11,Codes,0))-INDEX(EndeRel,MATCH(F11,Codes,0)))*1440,0)&lt;660,1,0),0),0))</f>
      </c>
      <c r="H60" s="1">
        <f>IF(OR(H$52=0,G11="",H11=""),0,IFERROR(IF(AND(INDEX(Arten,MATCH(G11,Codes,0))="Arbeit",INDEX(Arten,MATCH(H11,Codes,0))="Arbeit"),IF(ROUND((1+INDEX(Beginne,MATCH(H11,Codes,0))-INDEX(EndeRel,MATCH(G11,Codes,0)))*1440,0)&lt;660,1,0),0),0))</f>
      </c>
      <c r="I60" s="1">
        <f>IF(OR(I$52=0,H11="",I11=""),0,IFERROR(IF(AND(INDEX(Arten,MATCH(H11,Codes,0))="Arbeit",INDEX(Arten,MATCH(I11,Codes,0))="Arbeit"),IF(ROUND((1+INDEX(Beginne,MATCH(I11,Codes,0))-INDEX(EndeRel,MATCH(H11,Codes,0)))*1440,0)&lt;660,1,0),0),0))</f>
      </c>
      <c r="J60" s="1">
        <f>IF(OR(J$52=0,I11="",J11=""),0,IFERROR(IF(AND(INDEX(Arten,MATCH(I11,Codes,0))="Arbeit",INDEX(Arten,MATCH(J11,Codes,0))="Arbeit"),IF(ROUND((1+INDEX(Beginne,MATCH(J11,Codes,0))-INDEX(EndeRel,MATCH(I11,Codes,0)))*1440,0)&lt;660,1,0),0),0))</f>
      </c>
      <c r="K60" s="1">
        <f>IF(OR(K$52=0,J11="",K11=""),0,IFERROR(IF(AND(INDEX(Arten,MATCH(J11,Codes,0))="Arbeit",INDEX(Arten,MATCH(K11,Codes,0))="Arbeit"),IF(ROUND((1+INDEX(Beginne,MATCH(K11,Codes,0))-INDEX(EndeRel,MATCH(J11,Codes,0)))*1440,0)&lt;660,1,0),0),0))</f>
      </c>
      <c r="L60" s="1">
        <f>IF(OR(L$52=0,K11="",L11=""),0,IFERROR(IF(AND(INDEX(Arten,MATCH(K11,Codes,0))="Arbeit",INDEX(Arten,MATCH(L11,Codes,0))="Arbeit"),IF(ROUND((1+INDEX(Beginne,MATCH(L11,Codes,0))-INDEX(EndeRel,MATCH(K11,Codes,0)))*1440,0)&lt;660,1,0),0),0))</f>
      </c>
      <c r="M60" s="1">
        <f>IF(OR(M$52=0,L11="",M11=""),0,IFERROR(IF(AND(INDEX(Arten,MATCH(L11,Codes,0))="Arbeit",INDEX(Arten,MATCH(M11,Codes,0))="Arbeit"),IF(ROUND((1+INDEX(Beginne,MATCH(M11,Codes,0))-INDEX(EndeRel,MATCH(L11,Codes,0)))*1440,0)&lt;660,1,0),0),0))</f>
      </c>
      <c r="N60" s="1">
        <f>IF(OR(N$52=0,M11="",N11=""),0,IFERROR(IF(AND(INDEX(Arten,MATCH(M11,Codes,0))="Arbeit",INDEX(Arten,MATCH(N11,Codes,0))="Arbeit"),IF(ROUND((1+INDEX(Beginne,MATCH(N11,Codes,0))-INDEX(EndeRel,MATCH(M11,Codes,0)))*1440,0)&lt;660,1,0),0),0))</f>
      </c>
      <c r="O60" s="1">
        <f>IF(OR(O$52=0,N11="",O11=""),0,IFERROR(IF(AND(INDEX(Arten,MATCH(N11,Codes,0))="Arbeit",INDEX(Arten,MATCH(O11,Codes,0))="Arbeit"),IF(ROUND((1+INDEX(Beginne,MATCH(O11,Codes,0))-INDEX(EndeRel,MATCH(N11,Codes,0)))*1440,0)&lt;660,1,0),0),0))</f>
      </c>
      <c r="P60" s="1">
        <f>IF(OR(P$52=0,O11="",P11=""),0,IFERROR(IF(AND(INDEX(Arten,MATCH(O11,Codes,0))="Arbeit",INDEX(Arten,MATCH(P11,Codes,0))="Arbeit"),IF(ROUND((1+INDEX(Beginne,MATCH(P11,Codes,0))-INDEX(EndeRel,MATCH(O11,Codes,0)))*1440,0)&lt;660,1,0),0),0))</f>
      </c>
      <c r="Q60" s="1">
        <f>IF(OR(Q$52=0,P11="",Q11=""),0,IFERROR(IF(AND(INDEX(Arten,MATCH(P11,Codes,0))="Arbeit",INDEX(Arten,MATCH(Q11,Codes,0))="Arbeit"),IF(ROUND((1+INDEX(Beginne,MATCH(Q11,Codes,0))-INDEX(EndeRel,MATCH(P11,Codes,0)))*1440,0)&lt;660,1,0),0),0))</f>
      </c>
      <c r="R60" s="1">
        <f>IF(OR(R$52=0,Q11="",R11=""),0,IFERROR(IF(AND(INDEX(Arten,MATCH(Q11,Codes,0))="Arbeit",INDEX(Arten,MATCH(R11,Codes,0))="Arbeit"),IF(ROUND((1+INDEX(Beginne,MATCH(R11,Codes,0))-INDEX(EndeRel,MATCH(Q11,Codes,0)))*1440,0)&lt;660,1,0),0),0))</f>
      </c>
      <c r="S60" s="1">
        <f>IF(OR(S$52=0,R11="",S11=""),0,IFERROR(IF(AND(INDEX(Arten,MATCH(R11,Codes,0))="Arbeit",INDEX(Arten,MATCH(S11,Codes,0))="Arbeit"),IF(ROUND((1+INDEX(Beginne,MATCH(S11,Codes,0))-INDEX(EndeRel,MATCH(R11,Codes,0)))*1440,0)&lt;660,1,0),0),0))</f>
      </c>
      <c r="T60" s="1">
        <f>IF(OR(T$52=0,S11="",T11=""),0,IFERROR(IF(AND(INDEX(Arten,MATCH(S11,Codes,0))="Arbeit",INDEX(Arten,MATCH(T11,Codes,0))="Arbeit"),IF(ROUND((1+INDEX(Beginne,MATCH(T11,Codes,0))-INDEX(EndeRel,MATCH(S11,Codes,0)))*1440,0)&lt;660,1,0),0),0))</f>
      </c>
      <c r="U60" s="1">
        <f>IF(OR(U$52=0,T11="",U11=""),0,IFERROR(IF(AND(INDEX(Arten,MATCH(T11,Codes,0))="Arbeit",INDEX(Arten,MATCH(U11,Codes,0))="Arbeit"),IF(ROUND((1+INDEX(Beginne,MATCH(U11,Codes,0))-INDEX(EndeRel,MATCH(T11,Codes,0)))*1440,0)&lt;660,1,0),0),0))</f>
      </c>
      <c r="V60" s="1">
        <f>IF(OR(V$52=0,U11="",V11=""),0,IFERROR(IF(AND(INDEX(Arten,MATCH(U11,Codes,0))="Arbeit",INDEX(Arten,MATCH(V11,Codes,0))="Arbeit"),IF(ROUND((1+INDEX(Beginne,MATCH(V11,Codes,0))-INDEX(EndeRel,MATCH(U11,Codes,0)))*1440,0)&lt;660,1,0),0),0))</f>
      </c>
      <c r="W60" s="1">
        <f>IF(OR(W$52=0,V11="",W11=""),0,IFERROR(IF(AND(INDEX(Arten,MATCH(V11,Codes,0))="Arbeit",INDEX(Arten,MATCH(W11,Codes,0))="Arbeit"),IF(ROUND((1+INDEX(Beginne,MATCH(W11,Codes,0))-INDEX(EndeRel,MATCH(V11,Codes,0)))*1440,0)&lt;660,1,0),0),0))</f>
      </c>
      <c r="X60" s="1">
        <f>IF(OR(X$52=0,W11="",X11=""),0,IFERROR(IF(AND(INDEX(Arten,MATCH(W11,Codes,0))="Arbeit",INDEX(Arten,MATCH(X11,Codes,0))="Arbeit"),IF(ROUND((1+INDEX(Beginne,MATCH(X11,Codes,0))-INDEX(EndeRel,MATCH(W11,Codes,0)))*1440,0)&lt;660,1,0),0),0))</f>
      </c>
      <c r="Y60" s="1">
        <f>IF(OR(Y$52=0,X11="",Y11=""),0,IFERROR(IF(AND(INDEX(Arten,MATCH(X11,Codes,0))="Arbeit",INDEX(Arten,MATCH(Y11,Codes,0))="Arbeit"),IF(ROUND((1+INDEX(Beginne,MATCH(Y11,Codes,0))-INDEX(EndeRel,MATCH(X11,Codes,0)))*1440,0)&lt;660,1,0),0),0))</f>
      </c>
      <c r="Z60" s="1">
        <f>IF(OR(Z$52=0,Y11="",Z11=""),0,IFERROR(IF(AND(INDEX(Arten,MATCH(Y11,Codes,0))="Arbeit",INDEX(Arten,MATCH(Z11,Codes,0))="Arbeit"),IF(ROUND((1+INDEX(Beginne,MATCH(Z11,Codes,0))-INDEX(EndeRel,MATCH(Y11,Codes,0)))*1440,0)&lt;660,1,0),0),0))</f>
      </c>
      <c r="AA60" s="1">
        <f>IF(OR(AA$52=0,Z11="",AA11=""),0,IFERROR(IF(AND(INDEX(Arten,MATCH(Z11,Codes,0))="Arbeit",INDEX(Arten,MATCH(AA11,Codes,0))="Arbeit"),IF(ROUND((1+INDEX(Beginne,MATCH(AA11,Codes,0))-INDEX(EndeRel,MATCH(Z11,Codes,0)))*1440,0)&lt;660,1,0),0),0))</f>
      </c>
      <c r="AB60" s="1">
        <f>IF(OR(AB$52=0,AA11="",AB11=""),0,IFERROR(IF(AND(INDEX(Arten,MATCH(AA11,Codes,0))="Arbeit",INDEX(Arten,MATCH(AB11,Codes,0))="Arbeit"),IF(ROUND((1+INDEX(Beginne,MATCH(AB11,Codes,0))-INDEX(EndeRel,MATCH(AA11,Codes,0)))*1440,0)&lt;660,1,0),0),0))</f>
      </c>
      <c r="AC60" s="1">
        <f>IF(OR(AC$52=0,AB11="",AC11=""),0,IFERROR(IF(AND(INDEX(Arten,MATCH(AB11,Codes,0))="Arbeit",INDEX(Arten,MATCH(AC11,Codes,0))="Arbeit"),IF(ROUND((1+INDEX(Beginne,MATCH(AC11,Codes,0))-INDEX(EndeRel,MATCH(AB11,Codes,0)))*1440,0)&lt;660,1,0),0),0))</f>
      </c>
      <c r="AD60" s="1">
        <f>IF(OR(AD$52=0,AC11="",AD11=""),0,IFERROR(IF(AND(INDEX(Arten,MATCH(AC11,Codes,0))="Arbeit",INDEX(Arten,MATCH(AD11,Codes,0))="Arbeit"),IF(ROUND((1+INDEX(Beginne,MATCH(AD11,Codes,0))-INDEX(EndeRel,MATCH(AC11,Codes,0)))*1440,0)&lt;660,1,0),0),0))</f>
      </c>
      <c r="AE60" s="1">
        <f>IF(OR(AE$52=0,AD11="",AE11=""),0,IFERROR(IF(AND(INDEX(Arten,MATCH(AD11,Codes,0))="Arbeit",INDEX(Arten,MATCH(AE11,Codes,0))="Arbeit"),IF(ROUND((1+INDEX(Beginne,MATCH(AE11,Codes,0))-INDEX(EndeRel,MATCH(AD11,Codes,0)))*1440,0)&lt;660,1,0),0),0))</f>
      </c>
      <c r="AF60" s="1">
        <f>IF(OR(AF$52=0,AE11="",AF11=""),0,IFERROR(IF(AND(INDEX(Arten,MATCH(AE11,Codes,0))="Arbeit",INDEX(Arten,MATCH(AF11,Codes,0))="Arbeit"),IF(ROUND((1+INDEX(Beginne,MATCH(AF11,Codes,0))-INDEX(EndeRel,MATCH(AE11,Codes,0)))*1440,0)&lt;660,1,0),0),0))</f>
      </c>
    </row>
    <row r="61" hidden="1" spans="1:32" x14ac:dyDescent="0.25">
      <c r="A61" s="1"/>
      <c r="B61" s="1">
        <f>IF(OR(B$52=0,INDEX('März'!$B$12:$AF$12,DAY(DATE(Jahr,4,0)))="",B12=""),0,IFERROR(IF(AND(INDEX(Arten,MATCH(INDEX('März'!$B$12:$AF$12,DAY(DATE(Jahr,4,0))),Codes,0))="Arbeit",INDEX(Arten,MATCH(B12,Codes,0))="Arbeit"),IF(ROUND((1+INDEX(Beginne,MATCH(B12,Codes,0))-INDEX(EndeRel,MATCH(INDEX('März'!$B$12:$AF$12,DAY(DATE(Jahr,4,0))),Codes,0)))*1440,0)&lt;660,1,0),0),0))</f>
      </c>
      <c r="C61" s="1">
        <f>IF(OR(C$52=0,B12="",C12=""),0,IFERROR(IF(AND(INDEX(Arten,MATCH(B12,Codes,0))="Arbeit",INDEX(Arten,MATCH(C12,Codes,0))="Arbeit"),IF(ROUND((1+INDEX(Beginne,MATCH(C12,Codes,0))-INDEX(EndeRel,MATCH(B12,Codes,0)))*1440,0)&lt;660,1,0),0),0))</f>
      </c>
      <c r="D61" s="1">
        <f>IF(OR(D$52=0,C12="",D12=""),0,IFERROR(IF(AND(INDEX(Arten,MATCH(C12,Codes,0))="Arbeit",INDEX(Arten,MATCH(D12,Codes,0))="Arbeit"),IF(ROUND((1+INDEX(Beginne,MATCH(D12,Codes,0))-INDEX(EndeRel,MATCH(C12,Codes,0)))*1440,0)&lt;660,1,0),0),0))</f>
      </c>
      <c r="E61" s="1">
        <f>IF(OR(E$52=0,D12="",E12=""),0,IFERROR(IF(AND(INDEX(Arten,MATCH(D12,Codes,0))="Arbeit",INDEX(Arten,MATCH(E12,Codes,0))="Arbeit"),IF(ROUND((1+INDEX(Beginne,MATCH(E12,Codes,0))-INDEX(EndeRel,MATCH(D12,Codes,0)))*1440,0)&lt;660,1,0),0),0))</f>
      </c>
      <c r="F61" s="1">
        <f>IF(OR(F$52=0,E12="",F12=""),0,IFERROR(IF(AND(INDEX(Arten,MATCH(E12,Codes,0))="Arbeit",INDEX(Arten,MATCH(F12,Codes,0))="Arbeit"),IF(ROUND((1+INDEX(Beginne,MATCH(F12,Codes,0))-INDEX(EndeRel,MATCH(E12,Codes,0)))*1440,0)&lt;660,1,0),0),0))</f>
      </c>
      <c r="G61" s="1">
        <f>IF(OR(G$52=0,F12="",G12=""),0,IFERROR(IF(AND(INDEX(Arten,MATCH(F12,Codes,0))="Arbeit",INDEX(Arten,MATCH(G12,Codes,0))="Arbeit"),IF(ROUND((1+INDEX(Beginne,MATCH(G12,Codes,0))-INDEX(EndeRel,MATCH(F12,Codes,0)))*1440,0)&lt;660,1,0),0),0))</f>
      </c>
      <c r="H61" s="1">
        <f>IF(OR(H$52=0,G12="",H12=""),0,IFERROR(IF(AND(INDEX(Arten,MATCH(G12,Codes,0))="Arbeit",INDEX(Arten,MATCH(H12,Codes,0))="Arbeit"),IF(ROUND((1+INDEX(Beginne,MATCH(H12,Codes,0))-INDEX(EndeRel,MATCH(G12,Codes,0)))*1440,0)&lt;660,1,0),0),0))</f>
      </c>
      <c r="I61" s="1">
        <f>IF(OR(I$52=0,H12="",I12=""),0,IFERROR(IF(AND(INDEX(Arten,MATCH(H12,Codes,0))="Arbeit",INDEX(Arten,MATCH(I12,Codes,0))="Arbeit"),IF(ROUND((1+INDEX(Beginne,MATCH(I12,Codes,0))-INDEX(EndeRel,MATCH(H12,Codes,0)))*1440,0)&lt;660,1,0),0),0))</f>
      </c>
      <c r="J61" s="1">
        <f>IF(OR(J$52=0,I12="",J12=""),0,IFERROR(IF(AND(INDEX(Arten,MATCH(I12,Codes,0))="Arbeit",INDEX(Arten,MATCH(J12,Codes,0))="Arbeit"),IF(ROUND((1+INDEX(Beginne,MATCH(J12,Codes,0))-INDEX(EndeRel,MATCH(I12,Codes,0)))*1440,0)&lt;660,1,0),0),0))</f>
      </c>
      <c r="K61" s="1">
        <f>IF(OR(K$52=0,J12="",K12=""),0,IFERROR(IF(AND(INDEX(Arten,MATCH(J12,Codes,0))="Arbeit",INDEX(Arten,MATCH(K12,Codes,0))="Arbeit"),IF(ROUND((1+INDEX(Beginne,MATCH(K12,Codes,0))-INDEX(EndeRel,MATCH(J12,Codes,0)))*1440,0)&lt;660,1,0),0),0))</f>
      </c>
      <c r="L61" s="1">
        <f>IF(OR(L$52=0,K12="",L12=""),0,IFERROR(IF(AND(INDEX(Arten,MATCH(K12,Codes,0))="Arbeit",INDEX(Arten,MATCH(L12,Codes,0))="Arbeit"),IF(ROUND((1+INDEX(Beginne,MATCH(L12,Codes,0))-INDEX(EndeRel,MATCH(K12,Codes,0)))*1440,0)&lt;660,1,0),0),0))</f>
      </c>
      <c r="M61" s="1">
        <f>IF(OR(M$52=0,L12="",M12=""),0,IFERROR(IF(AND(INDEX(Arten,MATCH(L12,Codes,0))="Arbeit",INDEX(Arten,MATCH(M12,Codes,0))="Arbeit"),IF(ROUND((1+INDEX(Beginne,MATCH(M12,Codes,0))-INDEX(EndeRel,MATCH(L12,Codes,0)))*1440,0)&lt;660,1,0),0),0))</f>
      </c>
      <c r="N61" s="1">
        <f>IF(OR(N$52=0,M12="",N12=""),0,IFERROR(IF(AND(INDEX(Arten,MATCH(M12,Codes,0))="Arbeit",INDEX(Arten,MATCH(N12,Codes,0))="Arbeit"),IF(ROUND((1+INDEX(Beginne,MATCH(N12,Codes,0))-INDEX(EndeRel,MATCH(M12,Codes,0)))*1440,0)&lt;660,1,0),0),0))</f>
      </c>
      <c r="O61" s="1">
        <f>IF(OR(O$52=0,N12="",O12=""),0,IFERROR(IF(AND(INDEX(Arten,MATCH(N12,Codes,0))="Arbeit",INDEX(Arten,MATCH(O12,Codes,0))="Arbeit"),IF(ROUND((1+INDEX(Beginne,MATCH(O12,Codes,0))-INDEX(EndeRel,MATCH(N12,Codes,0)))*1440,0)&lt;660,1,0),0),0))</f>
      </c>
      <c r="P61" s="1">
        <f>IF(OR(P$52=0,O12="",P12=""),0,IFERROR(IF(AND(INDEX(Arten,MATCH(O12,Codes,0))="Arbeit",INDEX(Arten,MATCH(P12,Codes,0))="Arbeit"),IF(ROUND((1+INDEX(Beginne,MATCH(P12,Codes,0))-INDEX(EndeRel,MATCH(O12,Codes,0)))*1440,0)&lt;660,1,0),0),0))</f>
      </c>
      <c r="Q61" s="1">
        <f>IF(OR(Q$52=0,P12="",Q12=""),0,IFERROR(IF(AND(INDEX(Arten,MATCH(P12,Codes,0))="Arbeit",INDEX(Arten,MATCH(Q12,Codes,0))="Arbeit"),IF(ROUND((1+INDEX(Beginne,MATCH(Q12,Codes,0))-INDEX(EndeRel,MATCH(P12,Codes,0)))*1440,0)&lt;660,1,0),0),0))</f>
      </c>
      <c r="R61" s="1">
        <f>IF(OR(R$52=0,Q12="",R12=""),0,IFERROR(IF(AND(INDEX(Arten,MATCH(Q12,Codes,0))="Arbeit",INDEX(Arten,MATCH(R12,Codes,0))="Arbeit"),IF(ROUND((1+INDEX(Beginne,MATCH(R12,Codes,0))-INDEX(EndeRel,MATCH(Q12,Codes,0)))*1440,0)&lt;660,1,0),0),0))</f>
      </c>
      <c r="S61" s="1">
        <f>IF(OR(S$52=0,R12="",S12=""),0,IFERROR(IF(AND(INDEX(Arten,MATCH(R12,Codes,0))="Arbeit",INDEX(Arten,MATCH(S12,Codes,0))="Arbeit"),IF(ROUND((1+INDEX(Beginne,MATCH(S12,Codes,0))-INDEX(EndeRel,MATCH(R12,Codes,0)))*1440,0)&lt;660,1,0),0),0))</f>
      </c>
      <c r="T61" s="1">
        <f>IF(OR(T$52=0,S12="",T12=""),0,IFERROR(IF(AND(INDEX(Arten,MATCH(S12,Codes,0))="Arbeit",INDEX(Arten,MATCH(T12,Codes,0))="Arbeit"),IF(ROUND((1+INDEX(Beginne,MATCH(T12,Codes,0))-INDEX(EndeRel,MATCH(S12,Codes,0)))*1440,0)&lt;660,1,0),0),0))</f>
      </c>
      <c r="U61" s="1">
        <f>IF(OR(U$52=0,T12="",U12=""),0,IFERROR(IF(AND(INDEX(Arten,MATCH(T12,Codes,0))="Arbeit",INDEX(Arten,MATCH(U12,Codes,0))="Arbeit"),IF(ROUND((1+INDEX(Beginne,MATCH(U12,Codes,0))-INDEX(EndeRel,MATCH(T12,Codes,0)))*1440,0)&lt;660,1,0),0),0))</f>
      </c>
      <c r="V61" s="1">
        <f>IF(OR(V$52=0,U12="",V12=""),0,IFERROR(IF(AND(INDEX(Arten,MATCH(U12,Codes,0))="Arbeit",INDEX(Arten,MATCH(V12,Codes,0))="Arbeit"),IF(ROUND((1+INDEX(Beginne,MATCH(V12,Codes,0))-INDEX(EndeRel,MATCH(U12,Codes,0)))*1440,0)&lt;660,1,0),0),0))</f>
      </c>
      <c r="W61" s="1">
        <f>IF(OR(W$52=0,V12="",W12=""),0,IFERROR(IF(AND(INDEX(Arten,MATCH(V12,Codes,0))="Arbeit",INDEX(Arten,MATCH(W12,Codes,0))="Arbeit"),IF(ROUND((1+INDEX(Beginne,MATCH(W12,Codes,0))-INDEX(EndeRel,MATCH(V12,Codes,0)))*1440,0)&lt;660,1,0),0),0))</f>
      </c>
      <c r="X61" s="1">
        <f>IF(OR(X$52=0,W12="",X12=""),0,IFERROR(IF(AND(INDEX(Arten,MATCH(W12,Codes,0))="Arbeit",INDEX(Arten,MATCH(X12,Codes,0))="Arbeit"),IF(ROUND((1+INDEX(Beginne,MATCH(X12,Codes,0))-INDEX(EndeRel,MATCH(W12,Codes,0)))*1440,0)&lt;660,1,0),0),0))</f>
      </c>
      <c r="Y61" s="1">
        <f>IF(OR(Y$52=0,X12="",Y12=""),0,IFERROR(IF(AND(INDEX(Arten,MATCH(X12,Codes,0))="Arbeit",INDEX(Arten,MATCH(Y12,Codes,0))="Arbeit"),IF(ROUND((1+INDEX(Beginne,MATCH(Y12,Codes,0))-INDEX(EndeRel,MATCH(X12,Codes,0)))*1440,0)&lt;660,1,0),0),0))</f>
      </c>
      <c r="Z61" s="1">
        <f>IF(OR(Z$52=0,Y12="",Z12=""),0,IFERROR(IF(AND(INDEX(Arten,MATCH(Y12,Codes,0))="Arbeit",INDEX(Arten,MATCH(Z12,Codes,0))="Arbeit"),IF(ROUND((1+INDEX(Beginne,MATCH(Z12,Codes,0))-INDEX(EndeRel,MATCH(Y12,Codes,0)))*1440,0)&lt;660,1,0),0),0))</f>
      </c>
      <c r="AA61" s="1">
        <f>IF(OR(AA$52=0,Z12="",AA12=""),0,IFERROR(IF(AND(INDEX(Arten,MATCH(Z12,Codes,0))="Arbeit",INDEX(Arten,MATCH(AA12,Codes,0))="Arbeit"),IF(ROUND((1+INDEX(Beginne,MATCH(AA12,Codes,0))-INDEX(EndeRel,MATCH(Z12,Codes,0)))*1440,0)&lt;660,1,0),0),0))</f>
      </c>
      <c r="AB61" s="1">
        <f>IF(OR(AB$52=0,AA12="",AB12=""),0,IFERROR(IF(AND(INDEX(Arten,MATCH(AA12,Codes,0))="Arbeit",INDEX(Arten,MATCH(AB12,Codes,0))="Arbeit"),IF(ROUND((1+INDEX(Beginne,MATCH(AB12,Codes,0))-INDEX(EndeRel,MATCH(AA12,Codes,0)))*1440,0)&lt;660,1,0),0),0))</f>
      </c>
      <c r="AC61" s="1">
        <f>IF(OR(AC$52=0,AB12="",AC12=""),0,IFERROR(IF(AND(INDEX(Arten,MATCH(AB12,Codes,0))="Arbeit",INDEX(Arten,MATCH(AC12,Codes,0))="Arbeit"),IF(ROUND((1+INDEX(Beginne,MATCH(AC12,Codes,0))-INDEX(EndeRel,MATCH(AB12,Codes,0)))*1440,0)&lt;660,1,0),0),0))</f>
      </c>
      <c r="AD61" s="1">
        <f>IF(OR(AD$52=0,AC12="",AD12=""),0,IFERROR(IF(AND(INDEX(Arten,MATCH(AC12,Codes,0))="Arbeit",INDEX(Arten,MATCH(AD12,Codes,0))="Arbeit"),IF(ROUND((1+INDEX(Beginne,MATCH(AD12,Codes,0))-INDEX(EndeRel,MATCH(AC12,Codes,0)))*1440,0)&lt;660,1,0),0),0))</f>
      </c>
      <c r="AE61" s="1">
        <f>IF(OR(AE$52=0,AD12="",AE12=""),0,IFERROR(IF(AND(INDEX(Arten,MATCH(AD12,Codes,0))="Arbeit",INDEX(Arten,MATCH(AE12,Codes,0))="Arbeit"),IF(ROUND((1+INDEX(Beginne,MATCH(AE12,Codes,0))-INDEX(EndeRel,MATCH(AD12,Codes,0)))*1440,0)&lt;660,1,0),0),0))</f>
      </c>
      <c r="AF61" s="1">
        <f>IF(OR(AF$52=0,AE12="",AF12=""),0,IFERROR(IF(AND(INDEX(Arten,MATCH(AE12,Codes,0))="Arbeit",INDEX(Arten,MATCH(AF12,Codes,0))="Arbeit"),IF(ROUND((1+INDEX(Beginne,MATCH(AF12,Codes,0))-INDEX(EndeRel,MATCH(AE12,Codes,0)))*1440,0)&lt;660,1,0),0),0))</f>
      </c>
    </row>
    <row r="62" hidden="1" spans="1:32" x14ac:dyDescent="0.25">
      <c r="A62" s="1"/>
      <c r="B62" s="1">
        <f>IF(OR(B$52=0,INDEX('März'!$B$13:$AF$13,DAY(DATE(Jahr,4,0)))="",B13=""),0,IFERROR(IF(AND(INDEX(Arten,MATCH(INDEX('März'!$B$13:$AF$13,DAY(DATE(Jahr,4,0))),Codes,0))="Arbeit",INDEX(Arten,MATCH(B13,Codes,0))="Arbeit"),IF(ROUND((1+INDEX(Beginne,MATCH(B13,Codes,0))-INDEX(EndeRel,MATCH(INDEX('März'!$B$13:$AF$13,DAY(DATE(Jahr,4,0))),Codes,0)))*1440,0)&lt;660,1,0),0),0))</f>
      </c>
      <c r="C62" s="1">
        <f>IF(OR(C$52=0,B13="",C13=""),0,IFERROR(IF(AND(INDEX(Arten,MATCH(B13,Codes,0))="Arbeit",INDEX(Arten,MATCH(C13,Codes,0))="Arbeit"),IF(ROUND((1+INDEX(Beginne,MATCH(C13,Codes,0))-INDEX(EndeRel,MATCH(B13,Codes,0)))*1440,0)&lt;660,1,0),0),0))</f>
      </c>
      <c r="D62" s="1">
        <f>IF(OR(D$52=0,C13="",D13=""),0,IFERROR(IF(AND(INDEX(Arten,MATCH(C13,Codes,0))="Arbeit",INDEX(Arten,MATCH(D13,Codes,0))="Arbeit"),IF(ROUND((1+INDEX(Beginne,MATCH(D13,Codes,0))-INDEX(EndeRel,MATCH(C13,Codes,0)))*1440,0)&lt;660,1,0),0),0))</f>
      </c>
      <c r="E62" s="1">
        <f>IF(OR(E$52=0,D13="",E13=""),0,IFERROR(IF(AND(INDEX(Arten,MATCH(D13,Codes,0))="Arbeit",INDEX(Arten,MATCH(E13,Codes,0))="Arbeit"),IF(ROUND((1+INDEX(Beginne,MATCH(E13,Codes,0))-INDEX(EndeRel,MATCH(D13,Codes,0)))*1440,0)&lt;660,1,0),0),0))</f>
      </c>
      <c r="F62" s="1">
        <f>IF(OR(F$52=0,E13="",F13=""),0,IFERROR(IF(AND(INDEX(Arten,MATCH(E13,Codes,0))="Arbeit",INDEX(Arten,MATCH(F13,Codes,0))="Arbeit"),IF(ROUND((1+INDEX(Beginne,MATCH(F13,Codes,0))-INDEX(EndeRel,MATCH(E13,Codes,0)))*1440,0)&lt;660,1,0),0),0))</f>
      </c>
      <c r="G62" s="1">
        <f>IF(OR(G$52=0,F13="",G13=""),0,IFERROR(IF(AND(INDEX(Arten,MATCH(F13,Codes,0))="Arbeit",INDEX(Arten,MATCH(G13,Codes,0))="Arbeit"),IF(ROUND((1+INDEX(Beginne,MATCH(G13,Codes,0))-INDEX(EndeRel,MATCH(F13,Codes,0)))*1440,0)&lt;660,1,0),0),0))</f>
      </c>
      <c r="H62" s="1">
        <f>IF(OR(H$52=0,G13="",H13=""),0,IFERROR(IF(AND(INDEX(Arten,MATCH(G13,Codes,0))="Arbeit",INDEX(Arten,MATCH(H13,Codes,0))="Arbeit"),IF(ROUND((1+INDEX(Beginne,MATCH(H13,Codes,0))-INDEX(EndeRel,MATCH(G13,Codes,0)))*1440,0)&lt;660,1,0),0),0))</f>
      </c>
      <c r="I62" s="1">
        <f>IF(OR(I$52=0,H13="",I13=""),0,IFERROR(IF(AND(INDEX(Arten,MATCH(H13,Codes,0))="Arbeit",INDEX(Arten,MATCH(I13,Codes,0))="Arbeit"),IF(ROUND((1+INDEX(Beginne,MATCH(I13,Codes,0))-INDEX(EndeRel,MATCH(H13,Codes,0)))*1440,0)&lt;660,1,0),0),0))</f>
      </c>
      <c r="J62" s="1">
        <f>IF(OR(J$52=0,I13="",J13=""),0,IFERROR(IF(AND(INDEX(Arten,MATCH(I13,Codes,0))="Arbeit",INDEX(Arten,MATCH(J13,Codes,0))="Arbeit"),IF(ROUND((1+INDEX(Beginne,MATCH(J13,Codes,0))-INDEX(EndeRel,MATCH(I13,Codes,0)))*1440,0)&lt;660,1,0),0),0))</f>
      </c>
      <c r="K62" s="1">
        <f>IF(OR(K$52=0,J13="",K13=""),0,IFERROR(IF(AND(INDEX(Arten,MATCH(J13,Codes,0))="Arbeit",INDEX(Arten,MATCH(K13,Codes,0))="Arbeit"),IF(ROUND((1+INDEX(Beginne,MATCH(K13,Codes,0))-INDEX(EndeRel,MATCH(J13,Codes,0)))*1440,0)&lt;660,1,0),0),0))</f>
      </c>
      <c r="L62" s="1">
        <f>IF(OR(L$52=0,K13="",L13=""),0,IFERROR(IF(AND(INDEX(Arten,MATCH(K13,Codes,0))="Arbeit",INDEX(Arten,MATCH(L13,Codes,0))="Arbeit"),IF(ROUND((1+INDEX(Beginne,MATCH(L13,Codes,0))-INDEX(EndeRel,MATCH(K13,Codes,0)))*1440,0)&lt;660,1,0),0),0))</f>
      </c>
      <c r="M62" s="1">
        <f>IF(OR(M$52=0,L13="",M13=""),0,IFERROR(IF(AND(INDEX(Arten,MATCH(L13,Codes,0))="Arbeit",INDEX(Arten,MATCH(M13,Codes,0))="Arbeit"),IF(ROUND((1+INDEX(Beginne,MATCH(M13,Codes,0))-INDEX(EndeRel,MATCH(L13,Codes,0)))*1440,0)&lt;660,1,0),0),0))</f>
      </c>
      <c r="N62" s="1">
        <f>IF(OR(N$52=0,M13="",N13=""),0,IFERROR(IF(AND(INDEX(Arten,MATCH(M13,Codes,0))="Arbeit",INDEX(Arten,MATCH(N13,Codes,0))="Arbeit"),IF(ROUND((1+INDEX(Beginne,MATCH(N13,Codes,0))-INDEX(EndeRel,MATCH(M13,Codes,0)))*1440,0)&lt;660,1,0),0),0))</f>
      </c>
      <c r="O62" s="1">
        <f>IF(OR(O$52=0,N13="",O13=""),0,IFERROR(IF(AND(INDEX(Arten,MATCH(N13,Codes,0))="Arbeit",INDEX(Arten,MATCH(O13,Codes,0))="Arbeit"),IF(ROUND((1+INDEX(Beginne,MATCH(O13,Codes,0))-INDEX(EndeRel,MATCH(N13,Codes,0)))*1440,0)&lt;660,1,0),0),0))</f>
      </c>
      <c r="P62" s="1">
        <f>IF(OR(P$52=0,O13="",P13=""),0,IFERROR(IF(AND(INDEX(Arten,MATCH(O13,Codes,0))="Arbeit",INDEX(Arten,MATCH(P13,Codes,0))="Arbeit"),IF(ROUND((1+INDEX(Beginne,MATCH(P13,Codes,0))-INDEX(EndeRel,MATCH(O13,Codes,0)))*1440,0)&lt;660,1,0),0),0))</f>
      </c>
      <c r="Q62" s="1">
        <f>IF(OR(Q$52=0,P13="",Q13=""),0,IFERROR(IF(AND(INDEX(Arten,MATCH(P13,Codes,0))="Arbeit",INDEX(Arten,MATCH(Q13,Codes,0))="Arbeit"),IF(ROUND((1+INDEX(Beginne,MATCH(Q13,Codes,0))-INDEX(EndeRel,MATCH(P13,Codes,0)))*1440,0)&lt;660,1,0),0),0))</f>
      </c>
      <c r="R62" s="1">
        <f>IF(OR(R$52=0,Q13="",R13=""),0,IFERROR(IF(AND(INDEX(Arten,MATCH(Q13,Codes,0))="Arbeit",INDEX(Arten,MATCH(R13,Codes,0))="Arbeit"),IF(ROUND((1+INDEX(Beginne,MATCH(R13,Codes,0))-INDEX(EndeRel,MATCH(Q13,Codes,0)))*1440,0)&lt;660,1,0),0),0))</f>
      </c>
      <c r="S62" s="1">
        <f>IF(OR(S$52=0,R13="",S13=""),0,IFERROR(IF(AND(INDEX(Arten,MATCH(R13,Codes,0))="Arbeit",INDEX(Arten,MATCH(S13,Codes,0))="Arbeit"),IF(ROUND((1+INDEX(Beginne,MATCH(S13,Codes,0))-INDEX(EndeRel,MATCH(R13,Codes,0)))*1440,0)&lt;660,1,0),0),0))</f>
      </c>
      <c r="T62" s="1">
        <f>IF(OR(T$52=0,S13="",T13=""),0,IFERROR(IF(AND(INDEX(Arten,MATCH(S13,Codes,0))="Arbeit",INDEX(Arten,MATCH(T13,Codes,0))="Arbeit"),IF(ROUND((1+INDEX(Beginne,MATCH(T13,Codes,0))-INDEX(EndeRel,MATCH(S13,Codes,0)))*1440,0)&lt;660,1,0),0),0))</f>
      </c>
      <c r="U62" s="1">
        <f>IF(OR(U$52=0,T13="",U13=""),0,IFERROR(IF(AND(INDEX(Arten,MATCH(T13,Codes,0))="Arbeit",INDEX(Arten,MATCH(U13,Codes,0))="Arbeit"),IF(ROUND((1+INDEX(Beginne,MATCH(U13,Codes,0))-INDEX(EndeRel,MATCH(T13,Codes,0)))*1440,0)&lt;660,1,0),0),0))</f>
      </c>
      <c r="V62" s="1">
        <f>IF(OR(V$52=0,U13="",V13=""),0,IFERROR(IF(AND(INDEX(Arten,MATCH(U13,Codes,0))="Arbeit",INDEX(Arten,MATCH(V13,Codes,0))="Arbeit"),IF(ROUND((1+INDEX(Beginne,MATCH(V13,Codes,0))-INDEX(EndeRel,MATCH(U13,Codes,0)))*1440,0)&lt;660,1,0),0),0))</f>
      </c>
      <c r="W62" s="1">
        <f>IF(OR(W$52=0,V13="",W13=""),0,IFERROR(IF(AND(INDEX(Arten,MATCH(V13,Codes,0))="Arbeit",INDEX(Arten,MATCH(W13,Codes,0))="Arbeit"),IF(ROUND((1+INDEX(Beginne,MATCH(W13,Codes,0))-INDEX(EndeRel,MATCH(V13,Codes,0)))*1440,0)&lt;660,1,0),0),0))</f>
      </c>
      <c r="X62" s="1">
        <f>IF(OR(X$52=0,W13="",X13=""),0,IFERROR(IF(AND(INDEX(Arten,MATCH(W13,Codes,0))="Arbeit",INDEX(Arten,MATCH(X13,Codes,0))="Arbeit"),IF(ROUND((1+INDEX(Beginne,MATCH(X13,Codes,0))-INDEX(EndeRel,MATCH(W13,Codes,0)))*1440,0)&lt;660,1,0),0),0))</f>
      </c>
      <c r="Y62" s="1">
        <f>IF(OR(Y$52=0,X13="",Y13=""),0,IFERROR(IF(AND(INDEX(Arten,MATCH(X13,Codes,0))="Arbeit",INDEX(Arten,MATCH(Y13,Codes,0))="Arbeit"),IF(ROUND((1+INDEX(Beginne,MATCH(Y13,Codes,0))-INDEX(EndeRel,MATCH(X13,Codes,0)))*1440,0)&lt;660,1,0),0),0))</f>
      </c>
      <c r="Z62" s="1">
        <f>IF(OR(Z$52=0,Y13="",Z13=""),0,IFERROR(IF(AND(INDEX(Arten,MATCH(Y13,Codes,0))="Arbeit",INDEX(Arten,MATCH(Z13,Codes,0))="Arbeit"),IF(ROUND((1+INDEX(Beginne,MATCH(Z13,Codes,0))-INDEX(EndeRel,MATCH(Y13,Codes,0)))*1440,0)&lt;660,1,0),0),0))</f>
      </c>
      <c r="AA62" s="1">
        <f>IF(OR(AA$52=0,Z13="",AA13=""),0,IFERROR(IF(AND(INDEX(Arten,MATCH(Z13,Codes,0))="Arbeit",INDEX(Arten,MATCH(AA13,Codes,0))="Arbeit"),IF(ROUND((1+INDEX(Beginne,MATCH(AA13,Codes,0))-INDEX(EndeRel,MATCH(Z13,Codes,0)))*1440,0)&lt;660,1,0),0),0))</f>
      </c>
      <c r="AB62" s="1">
        <f>IF(OR(AB$52=0,AA13="",AB13=""),0,IFERROR(IF(AND(INDEX(Arten,MATCH(AA13,Codes,0))="Arbeit",INDEX(Arten,MATCH(AB13,Codes,0))="Arbeit"),IF(ROUND((1+INDEX(Beginne,MATCH(AB13,Codes,0))-INDEX(EndeRel,MATCH(AA13,Codes,0)))*1440,0)&lt;660,1,0),0),0))</f>
      </c>
      <c r="AC62" s="1">
        <f>IF(OR(AC$52=0,AB13="",AC13=""),0,IFERROR(IF(AND(INDEX(Arten,MATCH(AB13,Codes,0))="Arbeit",INDEX(Arten,MATCH(AC13,Codes,0))="Arbeit"),IF(ROUND((1+INDEX(Beginne,MATCH(AC13,Codes,0))-INDEX(EndeRel,MATCH(AB13,Codes,0)))*1440,0)&lt;660,1,0),0),0))</f>
      </c>
      <c r="AD62" s="1">
        <f>IF(OR(AD$52=0,AC13="",AD13=""),0,IFERROR(IF(AND(INDEX(Arten,MATCH(AC13,Codes,0))="Arbeit",INDEX(Arten,MATCH(AD13,Codes,0))="Arbeit"),IF(ROUND((1+INDEX(Beginne,MATCH(AD13,Codes,0))-INDEX(EndeRel,MATCH(AC13,Codes,0)))*1440,0)&lt;660,1,0),0),0))</f>
      </c>
      <c r="AE62" s="1">
        <f>IF(OR(AE$52=0,AD13="",AE13=""),0,IFERROR(IF(AND(INDEX(Arten,MATCH(AD13,Codes,0))="Arbeit",INDEX(Arten,MATCH(AE13,Codes,0))="Arbeit"),IF(ROUND((1+INDEX(Beginne,MATCH(AE13,Codes,0))-INDEX(EndeRel,MATCH(AD13,Codes,0)))*1440,0)&lt;660,1,0),0),0))</f>
      </c>
      <c r="AF62" s="1">
        <f>IF(OR(AF$52=0,AE13="",AF13=""),0,IFERROR(IF(AND(INDEX(Arten,MATCH(AE13,Codes,0))="Arbeit",INDEX(Arten,MATCH(AF13,Codes,0))="Arbeit"),IF(ROUND((1+INDEX(Beginne,MATCH(AF13,Codes,0))-INDEX(EndeRel,MATCH(AE13,Codes,0)))*1440,0)&lt;660,1,0),0),0))</f>
      </c>
    </row>
    <row r="63" hidden="1" spans="1:32" x14ac:dyDescent="0.25">
      <c r="A63" s="1"/>
      <c r="B63" s="1">
        <f>IF(OR(B$52=0,INDEX('März'!$B$14:$AF$14,DAY(DATE(Jahr,4,0)))="",B14=""),0,IFERROR(IF(AND(INDEX(Arten,MATCH(INDEX('März'!$B$14:$AF$14,DAY(DATE(Jahr,4,0))),Codes,0))="Arbeit",INDEX(Arten,MATCH(B14,Codes,0))="Arbeit"),IF(ROUND((1+INDEX(Beginne,MATCH(B14,Codes,0))-INDEX(EndeRel,MATCH(INDEX('März'!$B$14:$AF$14,DAY(DATE(Jahr,4,0))),Codes,0)))*1440,0)&lt;660,1,0),0),0))</f>
      </c>
      <c r="C63" s="1">
        <f>IF(OR(C$52=0,B14="",C14=""),0,IFERROR(IF(AND(INDEX(Arten,MATCH(B14,Codes,0))="Arbeit",INDEX(Arten,MATCH(C14,Codes,0))="Arbeit"),IF(ROUND((1+INDEX(Beginne,MATCH(C14,Codes,0))-INDEX(EndeRel,MATCH(B14,Codes,0)))*1440,0)&lt;660,1,0),0),0))</f>
      </c>
      <c r="D63" s="1">
        <f>IF(OR(D$52=0,C14="",D14=""),0,IFERROR(IF(AND(INDEX(Arten,MATCH(C14,Codes,0))="Arbeit",INDEX(Arten,MATCH(D14,Codes,0))="Arbeit"),IF(ROUND((1+INDEX(Beginne,MATCH(D14,Codes,0))-INDEX(EndeRel,MATCH(C14,Codes,0)))*1440,0)&lt;660,1,0),0),0))</f>
      </c>
      <c r="E63" s="1">
        <f>IF(OR(E$52=0,D14="",E14=""),0,IFERROR(IF(AND(INDEX(Arten,MATCH(D14,Codes,0))="Arbeit",INDEX(Arten,MATCH(E14,Codes,0))="Arbeit"),IF(ROUND((1+INDEX(Beginne,MATCH(E14,Codes,0))-INDEX(EndeRel,MATCH(D14,Codes,0)))*1440,0)&lt;660,1,0),0),0))</f>
      </c>
      <c r="F63" s="1">
        <f>IF(OR(F$52=0,E14="",F14=""),0,IFERROR(IF(AND(INDEX(Arten,MATCH(E14,Codes,0))="Arbeit",INDEX(Arten,MATCH(F14,Codes,0))="Arbeit"),IF(ROUND((1+INDEX(Beginne,MATCH(F14,Codes,0))-INDEX(EndeRel,MATCH(E14,Codes,0)))*1440,0)&lt;660,1,0),0),0))</f>
      </c>
      <c r="G63" s="1">
        <f>IF(OR(G$52=0,F14="",G14=""),0,IFERROR(IF(AND(INDEX(Arten,MATCH(F14,Codes,0))="Arbeit",INDEX(Arten,MATCH(G14,Codes,0))="Arbeit"),IF(ROUND((1+INDEX(Beginne,MATCH(G14,Codes,0))-INDEX(EndeRel,MATCH(F14,Codes,0)))*1440,0)&lt;660,1,0),0),0))</f>
      </c>
      <c r="H63" s="1">
        <f>IF(OR(H$52=0,G14="",H14=""),0,IFERROR(IF(AND(INDEX(Arten,MATCH(G14,Codes,0))="Arbeit",INDEX(Arten,MATCH(H14,Codes,0))="Arbeit"),IF(ROUND((1+INDEX(Beginne,MATCH(H14,Codes,0))-INDEX(EndeRel,MATCH(G14,Codes,0)))*1440,0)&lt;660,1,0),0),0))</f>
      </c>
      <c r="I63" s="1">
        <f>IF(OR(I$52=0,H14="",I14=""),0,IFERROR(IF(AND(INDEX(Arten,MATCH(H14,Codes,0))="Arbeit",INDEX(Arten,MATCH(I14,Codes,0))="Arbeit"),IF(ROUND((1+INDEX(Beginne,MATCH(I14,Codes,0))-INDEX(EndeRel,MATCH(H14,Codes,0)))*1440,0)&lt;660,1,0),0),0))</f>
      </c>
      <c r="J63" s="1">
        <f>IF(OR(J$52=0,I14="",J14=""),0,IFERROR(IF(AND(INDEX(Arten,MATCH(I14,Codes,0))="Arbeit",INDEX(Arten,MATCH(J14,Codes,0))="Arbeit"),IF(ROUND((1+INDEX(Beginne,MATCH(J14,Codes,0))-INDEX(EndeRel,MATCH(I14,Codes,0)))*1440,0)&lt;660,1,0),0),0))</f>
      </c>
      <c r="K63" s="1">
        <f>IF(OR(K$52=0,J14="",K14=""),0,IFERROR(IF(AND(INDEX(Arten,MATCH(J14,Codes,0))="Arbeit",INDEX(Arten,MATCH(K14,Codes,0))="Arbeit"),IF(ROUND((1+INDEX(Beginne,MATCH(K14,Codes,0))-INDEX(EndeRel,MATCH(J14,Codes,0)))*1440,0)&lt;660,1,0),0),0))</f>
      </c>
      <c r="L63" s="1">
        <f>IF(OR(L$52=0,K14="",L14=""),0,IFERROR(IF(AND(INDEX(Arten,MATCH(K14,Codes,0))="Arbeit",INDEX(Arten,MATCH(L14,Codes,0))="Arbeit"),IF(ROUND((1+INDEX(Beginne,MATCH(L14,Codes,0))-INDEX(EndeRel,MATCH(K14,Codes,0)))*1440,0)&lt;660,1,0),0),0))</f>
      </c>
      <c r="M63" s="1">
        <f>IF(OR(M$52=0,L14="",M14=""),0,IFERROR(IF(AND(INDEX(Arten,MATCH(L14,Codes,0))="Arbeit",INDEX(Arten,MATCH(M14,Codes,0))="Arbeit"),IF(ROUND((1+INDEX(Beginne,MATCH(M14,Codes,0))-INDEX(EndeRel,MATCH(L14,Codes,0)))*1440,0)&lt;660,1,0),0),0))</f>
      </c>
      <c r="N63" s="1">
        <f>IF(OR(N$52=0,M14="",N14=""),0,IFERROR(IF(AND(INDEX(Arten,MATCH(M14,Codes,0))="Arbeit",INDEX(Arten,MATCH(N14,Codes,0))="Arbeit"),IF(ROUND((1+INDEX(Beginne,MATCH(N14,Codes,0))-INDEX(EndeRel,MATCH(M14,Codes,0)))*1440,0)&lt;660,1,0),0),0))</f>
      </c>
      <c r="O63" s="1">
        <f>IF(OR(O$52=0,N14="",O14=""),0,IFERROR(IF(AND(INDEX(Arten,MATCH(N14,Codes,0))="Arbeit",INDEX(Arten,MATCH(O14,Codes,0))="Arbeit"),IF(ROUND((1+INDEX(Beginne,MATCH(O14,Codes,0))-INDEX(EndeRel,MATCH(N14,Codes,0)))*1440,0)&lt;660,1,0),0),0))</f>
      </c>
      <c r="P63" s="1">
        <f>IF(OR(P$52=0,O14="",P14=""),0,IFERROR(IF(AND(INDEX(Arten,MATCH(O14,Codes,0))="Arbeit",INDEX(Arten,MATCH(P14,Codes,0))="Arbeit"),IF(ROUND((1+INDEX(Beginne,MATCH(P14,Codes,0))-INDEX(EndeRel,MATCH(O14,Codes,0)))*1440,0)&lt;660,1,0),0),0))</f>
      </c>
      <c r="Q63" s="1">
        <f>IF(OR(Q$52=0,P14="",Q14=""),0,IFERROR(IF(AND(INDEX(Arten,MATCH(P14,Codes,0))="Arbeit",INDEX(Arten,MATCH(Q14,Codes,0))="Arbeit"),IF(ROUND((1+INDEX(Beginne,MATCH(Q14,Codes,0))-INDEX(EndeRel,MATCH(P14,Codes,0)))*1440,0)&lt;660,1,0),0),0))</f>
      </c>
      <c r="R63" s="1">
        <f>IF(OR(R$52=0,Q14="",R14=""),0,IFERROR(IF(AND(INDEX(Arten,MATCH(Q14,Codes,0))="Arbeit",INDEX(Arten,MATCH(R14,Codes,0))="Arbeit"),IF(ROUND((1+INDEX(Beginne,MATCH(R14,Codes,0))-INDEX(EndeRel,MATCH(Q14,Codes,0)))*1440,0)&lt;660,1,0),0),0))</f>
      </c>
      <c r="S63" s="1">
        <f>IF(OR(S$52=0,R14="",S14=""),0,IFERROR(IF(AND(INDEX(Arten,MATCH(R14,Codes,0))="Arbeit",INDEX(Arten,MATCH(S14,Codes,0))="Arbeit"),IF(ROUND((1+INDEX(Beginne,MATCH(S14,Codes,0))-INDEX(EndeRel,MATCH(R14,Codes,0)))*1440,0)&lt;660,1,0),0),0))</f>
      </c>
      <c r="T63" s="1">
        <f>IF(OR(T$52=0,S14="",T14=""),0,IFERROR(IF(AND(INDEX(Arten,MATCH(S14,Codes,0))="Arbeit",INDEX(Arten,MATCH(T14,Codes,0))="Arbeit"),IF(ROUND((1+INDEX(Beginne,MATCH(T14,Codes,0))-INDEX(EndeRel,MATCH(S14,Codes,0)))*1440,0)&lt;660,1,0),0),0))</f>
      </c>
      <c r="U63" s="1">
        <f>IF(OR(U$52=0,T14="",U14=""),0,IFERROR(IF(AND(INDEX(Arten,MATCH(T14,Codes,0))="Arbeit",INDEX(Arten,MATCH(U14,Codes,0))="Arbeit"),IF(ROUND((1+INDEX(Beginne,MATCH(U14,Codes,0))-INDEX(EndeRel,MATCH(T14,Codes,0)))*1440,0)&lt;660,1,0),0),0))</f>
      </c>
      <c r="V63" s="1">
        <f>IF(OR(V$52=0,U14="",V14=""),0,IFERROR(IF(AND(INDEX(Arten,MATCH(U14,Codes,0))="Arbeit",INDEX(Arten,MATCH(V14,Codes,0))="Arbeit"),IF(ROUND((1+INDEX(Beginne,MATCH(V14,Codes,0))-INDEX(EndeRel,MATCH(U14,Codes,0)))*1440,0)&lt;660,1,0),0),0))</f>
      </c>
      <c r="W63" s="1">
        <f>IF(OR(W$52=0,V14="",W14=""),0,IFERROR(IF(AND(INDEX(Arten,MATCH(V14,Codes,0))="Arbeit",INDEX(Arten,MATCH(W14,Codes,0))="Arbeit"),IF(ROUND((1+INDEX(Beginne,MATCH(W14,Codes,0))-INDEX(EndeRel,MATCH(V14,Codes,0)))*1440,0)&lt;660,1,0),0),0))</f>
      </c>
      <c r="X63" s="1">
        <f>IF(OR(X$52=0,W14="",X14=""),0,IFERROR(IF(AND(INDEX(Arten,MATCH(W14,Codes,0))="Arbeit",INDEX(Arten,MATCH(X14,Codes,0))="Arbeit"),IF(ROUND((1+INDEX(Beginne,MATCH(X14,Codes,0))-INDEX(EndeRel,MATCH(W14,Codes,0)))*1440,0)&lt;660,1,0),0),0))</f>
      </c>
      <c r="Y63" s="1">
        <f>IF(OR(Y$52=0,X14="",Y14=""),0,IFERROR(IF(AND(INDEX(Arten,MATCH(X14,Codes,0))="Arbeit",INDEX(Arten,MATCH(Y14,Codes,0))="Arbeit"),IF(ROUND((1+INDEX(Beginne,MATCH(Y14,Codes,0))-INDEX(EndeRel,MATCH(X14,Codes,0)))*1440,0)&lt;660,1,0),0),0))</f>
      </c>
      <c r="Z63" s="1">
        <f>IF(OR(Z$52=0,Y14="",Z14=""),0,IFERROR(IF(AND(INDEX(Arten,MATCH(Y14,Codes,0))="Arbeit",INDEX(Arten,MATCH(Z14,Codes,0))="Arbeit"),IF(ROUND((1+INDEX(Beginne,MATCH(Z14,Codes,0))-INDEX(EndeRel,MATCH(Y14,Codes,0)))*1440,0)&lt;660,1,0),0),0))</f>
      </c>
      <c r="AA63" s="1">
        <f>IF(OR(AA$52=0,Z14="",AA14=""),0,IFERROR(IF(AND(INDEX(Arten,MATCH(Z14,Codes,0))="Arbeit",INDEX(Arten,MATCH(AA14,Codes,0))="Arbeit"),IF(ROUND((1+INDEX(Beginne,MATCH(AA14,Codes,0))-INDEX(EndeRel,MATCH(Z14,Codes,0)))*1440,0)&lt;660,1,0),0),0))</f>
      </c>
      <c r="AB63" s="1">
        <f>IF(OR(AB$52=0,AA14="",AB14=""),0,IFERROR(IF(AND(INDEX(Arten,MATCH(AA14,Codes,0))="Arbeit",INDEX(Arten,MATCH(AB14,Codes,0))="Arbeit"),IF(ROUND((1+INDEX(Beginne,MATCH(AB14,Codes,0))-INDEX(EndeRel,MATCH(AA14,Codes,0)))*1440,0)&lt;660,1,0),0),0))</f>
      </c>
      <c r="AC63" s="1">
        <f>IF(OR(AC$52=0,AB14="",AC14=""),0,IFERROR(IF(AND(INDEX(Arten,MATCH(AB14,Codes,0))="Arbeit",INDEX(Arten,MATCH(AC14,Codes,0))="Arbeit"),IF(ROUND((1+INDEX(Beginne,MATCH(AC14,Codes,0))-INDEX(EndeRel,MATCH(AB14,Codes,0)))*1440,0)&lt;660,1,0),0),0))</f>
      </c>
      <c r="AD63" s="1">
        <f>IF(OR(AD$52=0,AC14="",AD14=""),0,IFERROR(IF(AND(INDEX(Arten,MATCH(AC14,Codes,0))="Arbeit",INDEX(Arten,MATCH(AD14,Codes,0))="Arbeit"),IF(ROUND((1+INDEX(Beginne,MATCH(AD14,Codes,0))-INDEX(EndeRel,MATCH(AC14,Codes,0)))*1440,0)&lt;660,1,0),0),0))</f>
      </c>
      <c r="AE63" s="1">
        <f>IF(OR(AE$52=0,AD14="",AE14=""),0,IFERROR(IF(AND(INDEX(Arten,MATCH(AD14,Codes,0))="Arbeit",INDEX(Arten,MATCH(AE14,Codes,0))="Arbeit"),IF(ROUND((1+INDEX(Beginne,MATCH(AE14,Codes,0))-INDEX(EndeRel,MATCH(AD14,Codes,0)))*1440,0)&lt;660,1,0),0),0))</f>
      </c>
      <c r="AF63" s="1">
        <f>IF(OR(AF$52=0,AE14="",AF14=""),0,IFERROR(IF(AND(INDEX(Arten,MATCH(AE14,Codes,0))="Arbeit",INDEX(Arten,MATCH(AF14,Codes,0))="Arbeit"),IF(ROUND((1+INDEX(Beginne,MATCH(AF14,Codes,0))-INDEX(EndeRel,MATCH(AE14,Codes,0)))*1440,0)&lt;660,1,0),0),0))</f>
      </c>
    </row>
    <row r="64" hidden="1" spans="1:32" x14ac:dyDescent="0.25">
      <c r="A64" s="1"/>
      <c r="B64" s="1">
        <f>IF(OR(B$52=0,INDEX('März'!$B$15:$AF$15,DAY(DATE(Jahr,4,0)))="",B15=""),0,IFERROR(IF(AND(INDEX(Arten,MATCH(INDEX('März'!$B$15:$AF$15,DAY(DATE(Jahr,4,0))),Codes,0))="Arbeit",INDEX(Arten,MATCH(B15,Codes,0))="Arbeit"),IF(ROUND((1+INDEX(Beginne,MATCH(B15,Codes,0))-INDEX(EndeRel,MATCH(INDEX('März'!$B$15:$AF$15,DAY(DATE(Jahr,4,0))),Codes,0)))*1440,0)&lt;660,1,0),0),0))</f>
      </c>
      <c r="C64" s="1">
        <f>IF(OR(C$52=0,B15="",C15=""),0,IFERROR(IF(AND(INDEX(Arten,MATCH(B15,Codes,0))="Arbeit",INDEX(Arten,MATCH(C15,Codes,0))="Arbeit"),IF(ROUND((1+INDEX(Beginne,MATCH(C15,Codes,0))-INDEX(EndeRel,MATCH(B15,Codes,0)))*1440,0)&lt;660,1,0),0),0))</f>
      </c>
      <c r="D64" s="1">
        <f>IF(OR(D$52=0,C15="",D15=""),0,IFERROR(IF(AND(INDEX(Arten,MATCH(C15,Codes,0))="Arbeit",INDEX(Arten,MATCH(D15,Codes,0))="Arbeit"),IF(ROUND((1+INDEX(Beginne,MATCH(D15,Codes,0))-INDEX(EndeRel,MATCH(C15,Codes,0)))*1440,0)&lt;660,1,0),0),0))</f>
      </c>
      <c r="E64" s="1">
        <f>IF(OR(E$52=0,D15="",E15=""),0,IFERROR(IF(AND(INDEX(Arten,MATCH(D15,Codes,0))="Arbeit",INDEX(Arten,MATCH(E15,Codes,0))="Arbeit"),IF(ROUND((1+INDEX(Beginne,MATCH(E15,Codes,0))-INDEX(EndeRel,MATCH(D15,Codes,0)))*1440,0)&lt;660,1,0),0),0))</f>
      </c>
      <c r="F64" s="1">
        <f>IF(OR(F$52=0,E15="",F15=""),0,IFERROR(IF(AND(INDEX(Arten,MATCH(E15,Codes,0))="Arbeit",INDEX(Arten,MATCH(F15,Codes,0))="Arbeit"),IF(ROUND((1+INDEX(Beginne,MATCH(F15,Codes,0))-INDEX(EndeRel,MATCH(E15,Codes,0)))*1440,0)&lt;660,1,0),0),0))</f>
      </c>
      <c r="G64" s="1">
        <f>IF(OR(G$52=0,F15="",G15=""),0,IFERROR(IF(AND(INDEX(Arten,MATCH(F15,Codes,0))="Arbeit",INDEX(Arten,MATCH(G15,Codes,0))="Arbeit"),IF(ROUND((1+INDEX(Beginne,MATCH(G15,Codes,0))-INDEX(EndeRel,MATCH(F15,Codes,0)))*1440,0)&lt;660,1,0),0),0))</f>
      </c>
      <c r="H64" s="1">
        <f>IF(OR(H$52=0,G15="",H15=""),0,IFERROR(IF(AND(INDEX(Arten,MATCH(G15,Codes,0))="Arbeit",INDEX(Arten,MATCH(H15,Codes,0))="Arbeit"),IF(ROUND((1+INDEX(Beginne,MATCH(H15,Codes,0))-INDEX(EndeRel,MATCH(G15,Codes,0)))*1440,0)&lt;660,1,0),0),0))</f>
      </c>
      <c r="I64" s="1">
        <f>IF(OR(I$52=0,H15="",I15=""),0,IFERROR(IF(AND(INDEX(Arten,MATCH(H15,Codes,0))="Arbeit",INDEX(Arten,MATCH(I15,Codes,0))="Arbeit"),IF(ROUND((1+INDEX(Beginne,MATCH(I15,Codes,0))-INDEX(EndeRel,MATCH(H15,Codes,0)))*1440,0)&lt;660,1,0),0),0))</f>
      </c>
      <c r="J64" s="1">
        <f>IF(OR(J$52=0,I15="",J15=""),0,IFERROR(IF(AND(INDEX(Arten,MATCH(I15,Codes,0))="Arbeit",INDEX(Arten,MATCH(J15,Codes,0))="Arbeit"),IF(ROUND((1+INDEX(Beginne,MATCH(J15,Codes,0))-INDEX(EndeRel,MATCH(I15,Codes,0)))*1440,0)&lt;660,1,0),0),0))</f>
      </c>
      <c r="K64" s="1">
        <f>IF(OR(K$52=0,J15="",K15=""),0,IFERROR(IF(AND(INDEX(Arten,MATCH(J15,Codes,0))="Arbeit",INDEX(Arten,MATCH(K15,Codes,0))="Arbeit"),IF(ROUND((1+INDEX(Beginne,MATCH(K15,Codes,0))-INDEX(EndeRel,MATCH(J15,Codes,0)))*1440,0)&lt;660,1,0),0),0))</f>
      </c>
      <c r="L64" s="1">
        <f>IF(OR(L$52=0,K15="",L15=""),0,IFERROR(IF(AND(INDEX(Arten,MATCH(K15,Codes,0))="Arbeit",INDEX(Arten,MATCH(L15,Codes,0))="Arbeit"),IF(ROUND((1+INDEX(Beginne,MATCH(L15,Codes,0))-INDEX(EndeRel,MATCH(K15,Codes,0)))*1440,0)&lt;660,1,0),0),0))</f>
      </c>
      <c r="M64" s="1">
        <f>IF(OR(M$52=0,L15="",M15=""),0,IFERROR(IF(AND(INDEX(Arten,MATCH(L15,Codes,0))="Arbeit",INDEX(Arten,MATCH(M15,Codes,0))="Arbeit"),IF(ROUND((1+INDEX(Beginne,MATCH(M15,Codes,0))-INDEX(EndeRel,MATCH(L15,Codes,0)))*1440,0)&lt;660,1,0),0),0))</f>
      </c>
      <c r="N64" s="1">
        <f>IF(OR(N$52=0,M15="",N15=""),0,IFERROR(IF(AND(INDEX(Arten,MATCH(M15,Codes,0))="Arbeit",INDEX(Arten,MATCH(N15,Codes,0))="Arbeit"),IF(ROUND((1+INDEX(Beginne,MATCH(N15,Codes,0))-INDEX(EndeRel,MATCH(M15,Codes,0)))*1440,0)&lt;660,1,0),0),0))</f>
      </c>
      <c r="O64" s="1">
        <f>IF(OR(O$52=0,N15="",O15=""),0,IFERROR(IF(AND(INDEX(Arten,MATCH(N15,Codes,0))="Arbeit",INDEX(Arten,MATCH(O15,Codes,0))="Arbeit"),IF(ROUND((1+INDEX(Beginne,MATCH(O15,Codes,0))-INDEX(EndeRel,MATCH(N15,Codes,0)))*1440,0)&lt;660,1,0),0),0))</f>
      </c>
      <c r="P64" s="1">
        <f>IF(OR(P$52=0,O15="",P15=""),0,IFERROR(IF(AND(INDEX(Arten,MATCH(O15,Codes,0))="Arbeit",INDEX(Arten,MATCH(P15,Codes,0))="Arbeit"),IF(ROUND((1+INDEX(Beginne,MATCH(P15,Codes,0))-INDEX(EndeRel,MATCH(O15,Codes,0)))*1440,0)&lt;660,1,0),0),0))</f>
      </c>
      <c r="Q64" s="1">
        <f>IF(OR(Q$52=0,P15="",Q15=""),0,IFERROR(IF(AND(INDEX(Arten,MATCH(P15,Codes,0))="Arbeit",INDEX(Arten,MATCH(Q15,Codes,0))="Arbeit"),IF(ROUND((1+INDEX(Beginne,MATCH(Q15,Codes,0))-INDEX(EndeRel,MATCH(P15,Codes,0)))*1440,0)&lt;660,1,0),0),0))</f>
      </c>
      <c r="R64" s="1">
        <f>IF(OR(R$52=0,Q15="",R15=""),0,IFERROR(IF(AND(INDEX(Arten,MATCH(Q15,Codes,0))="Arbeit",INDEX(Arten,MATCH(R15,Codes,0))="Arbeit"),IF(ROUND((1+INDEX(Beginne,MATCH(R15,Codes,0))-INDEX(EndeRel,MATCH(Q15,Codes,0)))*1440,0)&lt;660,1,0),0),0))</f>
      </c>
      <c r="S64" s="1">
        <f>IF(OR(S$52=0,R15="",S15=""),0,IFERROR(IF(AND(INDEX(Arten,MATCH(R15,Codes,0))="Arbeit",INDEX(Arten,MATCH(S15,Codes,0))="Arbeit"),IF(ROUND((1+INDEX(Beginne,MATCH(S15,Codes,0))-INDEX(EndeRel,MATCH(R15,Codes,0)))*1440,0)&lt;660,1,0),0),0))</f>
      </c>
      <c r="T64" s="1">
        <f>IF(OR(T$52=0,S15="",T15=""),0,IFERROR(IF(AND(INDEX(Arten,MATCH(S15,Codes,0))="Arbeit",INDEX(Arten,MATCH(T15,Codes,0))="Arbeit"),IF(ROUND((1+INDEX(Beginne,MATCH(T15,Codes,0))-INDEX(EndeRel,MATCH(S15,Codes,0)))*1440,0)&lt;660,1,0),0),0))</f>
      </c>
      <c r="U64" s="1">
        <f>IF(OR(U$52=0,T15="",U15=""),0,IFERROR(IF(AND(INDEX(Arten,MATCH(T15,Codes,0))="Arbeit",INDEX(Arten,MATCH(U15,Codes,0))="Arbeit"),IF(ROUND((1+INDEX(Beginne,MATCH(U15,Codes,0))-INDEX(EndeRel,MATCH(T15,Codes,0)))*1440,0)&lt;660,1,0),0),0))</f>
      </c>
      <c r="V64" s="1">
        <f>IF(OR(V$52=0,U15="",V15=""),0,IFERROR(IF(AND(INDEX(Arten,MATCH(U15,Codes,0))="Arbeit",INDEX(Arten,MATCH(V15,Codes,0))="Arbeit"),IF(ROUND((1+INDEX(Beginne,MATCH(V15,Codes,0))-INDEX(EndeRel,MATCH(U15,Codes,0)))*1440,0)&lt;660,1,0),0),0))</f>
      </c>
      <c r="W64" s="1">
        <f>IF(OR(W$52=0,V15="",W15=""),0,IFERROR(IF(AND(INDEX(Arten,MATCH(V15,Codes,0))="Arbeit",INDEX(Arten,MATCH(W15,Codes,0))="Arbeit"),IF(ROUND((1+INDEX(Beginne,MATCH(W15,Codes,0))-INDEX(EndeRel,MATCH(V15,Codes,0)))*1440,0)&lt;660,1,0),0),0))</f>
      </c>
      <c r="X64" s="1">
        <f>IF(OR(X$52=0,W15="",X15=""),0,IFERROR(IF(AND(INDEX(Arten,MATCH(W15,Codes,0))="Arbeit",INDEX(Arten,MATCH(X15,Codes,0))="Arbeit"),IF(ROUND((1+INDEX(Beginne,MATCH(X15,Codes,0))-INDEX(EndeRel,MATCH(W15,Codes,0)))*1440,0)&lt;660,1,0),0),0))</f>
      </c>
      <c r="Y64" s="1">
        <f>IF(OR(Y$52=0,X15="",Y15=""),0,IFERROR(IF(AND(INDEX(Arten,MATCH(X15,Codes,0))="Arbeit",INDEX(Arten,MATCH(Y15,Codes,0))="Arbeit"),IF(ROUND((1+INDEX(Beginne,MATCH(Y15,Codes,0))-INDEX(EndeRel,MATCH(X15,Codes,0)))*1440,0)&lt;660,1,0),0),0))</f>
      </c>
      <c r="Z64" s="1">
        <f>IF(OR(Z$52=0,Y15="",Z15=""),0,IFERROR(IF(AND(INDEX(Arten,MATCH(Y15,Codes,0))="Arbeit",INDEX(Arten,MATCH(Z15,Codes,0))="Arbeit"),IF(ROUND((1+INDEX(Beginne,MATCH(Z15,Codes,0))-INDEX(EndeRel,MATCH(Y15,Codes,0)))*1440,0)&lt;660,1,0),0),0))</f>
      </c>
      <c r="AA64" s="1">
        <f>IF(OR(AA$52=0,Z15="",AA15=""),0,IFERROR(IF(AND(INDEX(Arten,MATCH(Z15,Codes,0))="Arbeit",INDEX(Arten,MATCH(AA15,Codes,0))="Arbeit"),IF(ROUND((1+INDEX(Beginne,MATCH(AA15,Codes,0))-INDEX(EndeRel,MATCH(Z15,Codes,0)))*1440,0)&lt;660,1,0),0),0))</f>
      </c>
      <c r="AB64" s="1">
        <f>IF(OR(AB$52=0,AA15="",AB15=""),0,IFERROR(IF(AND(INDEX(Arten,MATCH(AA15,Codes,0))="Arbeit",INDEX(Arten,MATCH(AB15,Codes,0))="Arbeit"),IF(ROUND((1+INDEX(Beginne,MATCH(AB15,Codes,0))-INDEX(EndeRel,MATCH(AA15,Codes,0)))*1440,0)&lt;660,1,0),0),0))</f>
      </c>
      <c r="AC64" s="1">
        <f>IF(OR(AC$52=0,AB15="",AC15=""),0,IFERROR(IF(AND(INDEX(Arten,MATCH(AB15,Codes,0))="Arbeit",INDEX(Arten,MATCH(AC15,Codes,0))="Arbeit"),IF(ROUND((1+INDEX(Beginne,MATCH(AC15,Codes,0))-INDEX(EndeRel,MATCH(AB15,Codes,0)))*1440,0)&lt;660,1,0),0),0))</f>
      </c>
      <c r="AD64" s="1">
        <f>IF(OR(AD$52=0,AC15="",AD15=""),0,IFERROR(IF(AND(INDEX(Arten,MATCH(AC15,Codes,0))="Arbeit",INDEX(Arten,MATCH(AD15,Codes,0))="Arbeit"),IF(ROUND((1+INDEX(Beginne,MATCH(AD15,Codes,0))-INDEX(EndeRel,MATCH(AC15,Codes,0)))*1440,0)&lt;660,1,0),0),0))</f>
      </c>
      <c r="AE64" s="1">
        <f>IF(OR(AE$52=0,AD15="",AE15=""),0,IFERROR(IF(AND(INDEX(Arten,MATCH(AD15,Codes,0))="Arbeit",INDEX(Arten,MATCH(AE15,Codes,0))="Arbeit"),IF(ROUND((1+INDEX(Beginne,MATCH(AE15,Codes,0))-INDEX(EndeRel,MATCH(AD15,Codes,0)))*1440,0)&lt;660,1,0),0),0))</f>
      </c>
      <c r="AF64" s="1">
        <f>IF(OR(AF$52=0,AE15="",AF15=""),0,IFERROR(IF(AND(INDEX(Arten,MATCH(AE15,Codes,0))="Arbeit",INDEX(Arten,MATCH(AF15,Codes,0))="Arbeit"),IF(ROUND((1+INDEX(Beginne,MATCH(AF15,Codes,0))-INDEX(EndeRel,MATCH(AE15,Codes,0)))*1440,0)&lt;660,1,0),0),0))</f>
      </c>
    </row>
    <row r="65" hidden="1" spans="1:32" x14ac:dyDescent="0.25">
      <c r="A65" s="1"/>
      <c r="B65" s="1">
        <f>IF(OR(B$52=0,INDEX('März'!$B$16:$AF$16,DAY(DATE(Jahr,4,0)))="",B16=""),0,IFERROR(IF(AND(INDEX(Arten,MATCH(INDEX('März'!$B$16:$AF$16,DAY(DATE(Jahr,4,0))),Codes,0))="Arbeit",INDEX(Arten,MATCH(B16,Codes,0))="Arbeit"),IF(ROUND((1+INDEX(Beginne,MATCH(B16,Codes,0))-INDEX(EndeRel,MATCH(INDEX('März'!$B$16:$AF$16,DAY(DATE(Jahr,4,0))),Codes,0)))*1440,0)&lt;660,1,0),0),0))</f>
      </c>
      <c r="C65" s="1">
        <f>IF(OR(C$52=0,B16="",C16=""),0,IFERROR(IF(AND(INDEX(Arten,MATCH(B16,Codes,0))="Arbeit",INDEX(Arten,MATCH(C16,Codes,0))="Arbeit"),IF(ROUND((1+INDEX(Beginne,MATCH(C16,Codes,0))-INDEX(EndeRel,MATCH(B16,Codes,0)))*1440,0)&lt;660,1,0),0),0))</f>
      </c>
      <c r="D65" s="1">
        <f>IF(OR(D$52=0,C16="",D16=""),0,IFERROR(IF(AND(INDEX(Arten,MATCH(C16,Codes,0))="Arbeit",INDEX(Arten,MATCH(D16,Codes,0))="Arbeit"),IF(ROUND((1+INDEX(Beginne,MATCH(D16,Codes,0))-INDEX(EndeRel,MATCH(C16,Codes,0)))*1440,0)&lt;660,1,0),0),0))</f>
      </c>
      <c r="E65" s="1">
        <f>IF(OR(E$52=0,D16="",E16=""),0,IFERROR(IF(AND(INDEX(Arten,MATCH(D16,Codes,0))="Arbeit",INDEX(Arten,MATCH(E16,Codes,0))="Arbeit"),IF(ROUND((1+INDEX(Beginne,MATCH(E16,Codes,0))-INDEX(EndeRel,MATCH(D16,Codes,0)))*1440,0)&lt;660,1,0),0),0))</f>
      </c>
      <c r="F65" s="1">
        <f>IF(OR(F$52=0,E16="",F16=""),0,IFERROR(IF(AND(INDEX(Arten,MATCH(E16,Codes,0))="Arbeit",INDEX(Arten,MATCH(F16,Codes,0))="Arbeit"),IF(ROUND((1+INDEX(Beginne,MATCH(F16,Codes,0))-INDEX(EndeRel,MATCH(E16,Codes,0)))*1440,0)&lt;660,1,0),0),0))</f>
      </c>
      <c r="G65" s="1">
        <f>IF(OR(G$52=0,F16="",G16=""),0,IFERROR(IF(AND(INDEX(Arten,MATCH(F16,Codes,0))="Arbeit",INDEX(Arten,MATCH(G16,Codes,0))="Arbeit"),IF(ROUND((1+INDEX(Beginne,MATCH(G16,Codes,0))-INDEX(EndeRel,MATCH(F16,Codes,0)))*1440,0)&lt;660,1,0),0),0))</f>
      </c>
      <c r="H65" s="1">
        <f>IF(OR(H$52=0,G16="",H16=""),0,IFERROR(IF(AND(INDEX(Arten,MATCH(G16,Codes,0))="Arbeit",INDEX(Arten,MATCH(H16,Codes,0))="Arbeit"),IF(ROUND((1+INDEX(Beginne,MATCH(H16,Codes,0))-INDEX(EndeRel,MATCH(G16,Codes,0)))*1440,0)&lt;660,1,0),0),0))</f>
      </c>
      <c r="I65" s="1">
        <f>IF(OR(I$52=0,H16="",I16=""),0,IFERROR(IF(AND(INDEX(Arten,MATCH(H16,Codes,0))="Arbeit",INDEX(Arten,MATCH(I16,Codes,0))="Arbeit"),IF(ROUND((1+INDEX(Beginne,MATCH(I16,Codes,0))-INDEX(EndeRel,MATCH(H16,Codes,0)))*1440,0)&lt;660,1,0),0),0))</f>
      </c>
      <c r="J65" s="1">
        <f>IF(OR(J$52=0,I16="",J16=""),0,IFERROR(IF(AND(INDEX(Arten,MATCH(I16,Codes,0))="Arbeit",INDEX(Arten,MATCH(J16,Codes,0))="Arbeit"),IF(ROUND((1+INDEX(Beginne,MATCH(J16,Codes,0))-INDEX(EndeRel,MATCH(I16,Codes,0)))*1440,0)&lt;660,1,0),0),0))</f>
      </c>
      <c r="K65" s="1">
        <f>IF(OR(K$52=0,J16="",K16=""),0,IFERROR(IF(AND(INDEX(Arten,MATCH(J16,Codes,0))="Arbeit",INDEX(Arten,MATCH(K16,Codes,0))="Arbeit"),IF(ROUND((1+INDEX(Beginne,MATCH(K16,Codes,0))-INDEX(EndeRel,MATCH(J16,Codes,0)))*1440,0)&lt;660,1,0),0),0))</f>
      </c>
      <c r="L65" s="1">
        <f>IF(OR(L$52=0,K16="",L16=""),0,IFERROR(IF(AND(INDEX(Arten,MATCH(K16,Codes,0))="Arbeit",INDEX(Arten,MATCH(L16,Codes,0))="Arbeit"),IF(ROUND((1+INDEX(Beginne,MATCH(L16,Codes,0))-INDEX(EndeRel,MATCH(K16,Codes,0)))*1440,0)&lt;660,1,0),0),0))</f>
      </c>
      <c r="M65" s="1">
        <f>IF(OR(M$52=0,L16="",M16=""),0,IFERROR(IF(AND(INDEX(Arten,MATCH(L16,Codes,0))="Arbeit",INDEX(Arten,MATCH(M16,Codes,0))="Arbeit"),IF(ROUND((1+INDEX(Beginne,MATCH(M16,Codes,0))-INDEX(EndeRel,MATCH(L16,Codes,0)))*1440,0)&lt;660,1,0),0),0))</f>
      </c>
      <c r="N65" s="1">
        <f>IF(OR(N$52=0,M16="",N16=""),0,IFERROR(IF(AND(INDEX(Arten,MATCH(M16,Codes,0))="Arbeit",INDEX(Arten,MATCH(N16,Codes,0))="Arbeit"),IF(ROUND((1+INDEX(Beginne,MATCH(N16,Codes,0))-INDEX(EndeRel,MATCH(M16,Codes,0)))*1440,0)&lt;660,1,0),0),0))</f>
      </c>
      <c r="O65" s="1">
        <f>IF(OR(O$52=0,N16="",O16=""),0,IFERROR(IF(AND(INDEX(Arten,MATCH(N16,Codes,0))="Arbeit",INDEX(Arten,MATCH(O16,Codes,0))="Arbeit"),IF(ROUND((1+INDEX(Beginne,MATCH(O16,Codes,0))-INDEX(EndeRel,MATCH(N16,Codes,0)))*1440,0)&lt;660,1,0),0),0))</f>
      </c>
      <c r="P65" s="1">
        <f>IF(OR(P$52=0,O16="",P16=""),0,IFERROR(IF(AND(INDEX(Arten,MATCH(O16,Codes,0))="Arbeit",INDEX(Arten,MATCH(P16,Codes,0))="Arbeit"),IF(ROUND((1+INDEX(Beginne,MATCH(P16,Codes,0))-INDEX(EndeRel,MATCH(O16,Codes,0)))*1440,0)&lt;660,1,0),0),0))</f>
      </c>
      <c r="Q65" s="1">
        <f>IF(OR(Q$52=0,P16="",Q16=""),0,IFERROR(IF(AND(INDEX(Arten,MATCH(P16,Codes,0))="Arbeit",INDEX(Arten,MATCH(Q16,Codes,0))="Arbeit"),IF(ROUND((1+INDEX(Beginne,MATCH(Q16,Codes,0))-INDEX(EndeRel,MATCH(P16,Codes,0)))*1440,0)&lt;660,1,0),0),0))</f>
      </c>
      <c r="R65" s="1">
        <f>IF(OR(R$52=0,Q16="",R16=""),0,IFERROR(IF(AND(INDEX(Arten,MATCH(Q16,Codes,0))="Arbeit",INDEX(Arten,MATCH(R16,Codes,0))="Arbeit"),IF(ROUND((1+INDEX(Beginne,MATCH(R16,Codes,0))-INDEX(EndeRel,MATCH(Q16,Codes,0)))*1440,0)&lt;660,1,0),0),0))</f>
      </c>
      <c r="S65" s="1">
        <f>IF(OR(S$52=0,R16="",S16=""),0,IFERROR(IF(AND(INDEX(Arten,MATCH(R16,Codes,0))="Arbeit",INDEX(Arten,MATCH(S16,Codes,0))="Arbeit"),IF(ROUND((1+INDEX(Beginne,MATCH(S16,Codes,0))-INDEX(EndeRel,MATCH(R16,Codes,0)))*1440,0)&lt;660,1,0),0),0))</f>
      </c>
      <c r="T65" s="1">
        <f>IF(OR(T$52=0,S16="",T16=""),0,IFERROR(IF(AND(INDEX(Arten,MATCH(S16,Codes,0))="Arbeit",INDEX(Arten,MATCH(T16,Codes,0))="Arbeit"),IF(ROUND((1+INDEX(Beginne,MATCH(T16,Codes,0))-INDEX(EndeRel,MATCH(S16,Codes,0)))*1440,0)&lt;660,1,0),0),0))</f>
      </c>
      <c r="U65" s="1">
        <f>IF(OR(U$52=0,T16="",U16=""),0,IFERROR(IF(AND(INDEX(Arten,MATCH(T16,Codes,0))="Arbeit",INDEX(Arten,MATCH(U16,Codes,0))="Arbeit"),IF(ROUND((1+INDEX(Beginne,MATCH(U16,Codes,0))-INDEX(EndeRel,MATCH(T16,Codes,0)))*1440,0)&lt;660,1,0),0),0))</f>
      </c>
      <c r="V65" s="1">
        <f>IF(OR(V$52=0,U16="",V16=""),0,IFERROR(IF(AND(INDEX(Arten,MATCH(U16,Codes,0))="Arbeit",INDEX(Arten,MATCH(V16,Codes,0))="Arbeit"),IF(ROUND((1+INDEX(Beginne,MATCH(V16,Codes,0))-INDEX(EndeRel,MATCH(U16,Codes,0)))*1440,0)&lt;660,1,0),0),0))</f>
      </c>
      <c r="W65" s="1">
        <f>IF(OR(W$52=0,V16="",W16=""),0,IFERROR(IF(AND(INDEX(Arten,MATCH(V16,Codes,0))="Arbeit",INDEX(Arten,MATCH(W16,Codes,0))="Arbeit"),IF(ROUND((1+INDEX(Beginne,MATCH(W16,Codes,0))-INDEX(EndeRel,MATCH(V16,Codes,0)))*1440,0)&lt;660,1,0),0),0))</f>
      </c>
      <c r="X65" s="1">
        <f>IF(OR(X$52=0,W16="",X16=""),0,IFERROR(IF(AND(INDEX(Arten,MATCH(W16,Codes,0))="Arbeit",INDEX(Arten,MATCH(X16,Codes,0))="Arbeit"),IF(ROUND((1+INDEX(Beginne,MATCH(X16,Codes,0))-INDEX(EndeRel,MATCH(W16,Codes,0)))*1440,0)&lt;660,1,0),0),0))</f>
      </c>
      <c r="Y65" s="1">
        <f>IF(OR(Y$52=0,X16="",Y16=""),0,IFERROR(IF(AND(INDEX(Arten,MATCH(X16,Codes,0))="Arbeit",INDEX(Arten,MATCH(Y16,Codes,0))="Arbeit"),IF(ROUND((1+INDEX(Beginne,MATCH(Y16,Codes,0))-INDEX(EndeRel,MATCH(X16,Codes,0)))*1440,0)&lt;660,1,0),0),0))</f>
      </c>
      <c r="Z65" s="1">
        <f>IF(OR(Z$52=0,Y16="",Z16=""),0,IFERROR(IF(AND(INDEX(Arten,MATCH(Y16,Codes,0))="Arbeit",INDEX(Arten,MATCH(Z16,Codes,0))="Arbeit"),IF(ROUND((1+INDEX(Beginne,MATCH(Z16,Codes,0))-INDEX(EndeRel,MATCH(Y16,Codes,0)))*1440,0)&lt;660,1,0),0),0))</f>
      </c>
      <c r="AA65" s="1">
        <f>IF(OR(AA$52=0,Z16="",AA16=""),0,IFERROR(IF(AND(INDEX(Arten,MATCH(Z16,Codes,0))="Arbeit",INDEX(Arten,MATCH(AA16,Codes,0))="Arbeit"),IF(ROUND((1+INDEX(Beginne,MATCH(AA16,Codes,0))-INDEX(EndeRel,MATCH(Z16,Codes,0)))*1440,0)&lt;660,1,0),0),0))</f>
      </c>
      <c r="AB65" s="1">
        <f>IF(OR(AB$52=0,AA16="",AB16=""),0,IFERROR(IF(AND(INDEX(Arten,MATCH(AA16,Codes,0))="Arbeit",INDEX(Arten,MATCH(AB16,Codes,0))="Arbeit"),IF(ROUND((1+INDEX(Beginne,MATCH(AB16,Codes,0))-INDEX(EndeRel,MATCH(AA16,Codes,0)))*1440,0)&lt;660,1,0),0),0))</f>
      </c>
      <c r="AC65" s="1">
        <f>IF(OR(AC$52=0,AB16="",AC16=""),0,IFERROR(IF(AND(INDEX(Arten,MATCH(AB16,Codes,0))="Arbeit",INDEX(Arten,MATCH(AC16,Codes,0))="Arbeit"),IF(ROUND((1+INDEX(Beginne,MATCH(AC16,Codes,0))-INDEX(EndeRel,MATCH(AB16,Codes,0)))*1440,0)&lt;660,1,0),0),0))</f>
      </c>
      <c r="AD65" s="1">
        <f>IF(OR(AD$52=0,AC16="",AD16=""),0,IFERROR(IF(AND(INDEX(Arten,MATCH(AC16,Codes,0))="Arbeit",INDEX(Arten,MATCH(AD16,Codes,0))="Arbeit"),IF(ROUND((1+INDEX(Beginne,MATCH(AD16,Codes,0))-INDEX(EndeRel,MATCH(AC16,Codes,0)))*1440,0)&lt;660,1,0),0),0))</f>
      </c>
      <c r="AE65" s="1">
        <f>IF(OR(AE$52=0,AD16="",AE16=""),0,IFERROR(IF(AND(INDEX(Arten,MATCH(AD16,Codes,0))="Arbeit",INDEX(Arten,MATCH(AE16,Codes,0))="Arbeit"),IF(ROUND((1+INDEX(Beginne,MATCH(AE16,Codes,0))-INDEX(EndeRel,MATCH(AD16,Codes,0)))*1440,0)&lt;660,1,0),0),0))</f>
      </c>
      <c r="AF65" s="1">
        <f>IF(OR(AF$52=0,AE16="",AF16=""),0,IFERROR(IF(AND(INDEX(Arten,MATCH(AE16,Codes,0))="Arbeit",INDEX(Arten,MATCH(AF16,Codes,0))="Arbeit"),IF(ROUND((1+INDEX(Beginne,MATCH(AF16,Codes,0))-INDEX(EndeRel,MATCH(AE16,Codes,0)))*1440,0)&lt;660,1,0),0),0))</f>
      </c>
    </row>
    <row r="66" hidden="1" spans="1:32" x14ac:dyDescent="0.25">
      <c r="A66" s="1"/>
      <c r="B66" s="1">
        <f>IF(OR(B$52=0,INDEX('März'!$B$17:$AF$17,DAY(DATE(Jahr,4,0)))="",B17=""),0,IFERROR(IF(AND(INDEX(Arten,MATCH(INDEX('März'!$B$17:$AF$17,DAY(DATE(Jahr,4,0))),Codes,0))="Arbeit",INDEX(Arten,MATCH(B17,Codes,0))="Arbeit"),IF(ROUND((1+INDEX(Beginne,MATCH(B17,Codes,0))-INDEX(EndeRel,MATCH(INDEX('März'!$B$17:$AF$17,DAY(DATE(Jahr,4,0))),Codes,0)))*1440,0)&lt;660,1,0),0),0))</f>
      </c>
      <c r="C66" s="1">
        <f>IF(OR(C$52=0,B17="",C17=""),0,IFERROR(IF(AND(INDEX(Arten,MATCH(B17,Codes,0))="Arbeit",INDEX(Arten,MATCH(C17,Codes,0))="Arbeit"),IF(ROUND((1+INDEX(Beginne,MATCH(C17,Codes,0))-INDEX(EndeRel,MATCH(B17,Codes,0)))*1440,0)&lt;660,1,0),0),0))</f>
      </c>
      <c r="D66" s="1">
        <f>IF(OR(D$52=0,C17="",D17=""),0,IFERROR(IF(AND(INDEX(Arten,MATCH(C17,Codes,0))="Arbeit",INDEX(Arten,MATCH(D17,Codes,0))="Arbeit"),IF(ROUND((1+INDEX(Beginne,MATCH(D17,Codes,0))-INDEX(EndeRel,MATCH(C17,Codes,0)))*1440,0)&lt;660,1,0),0),0))</f>
      </c>
      <c r="E66" s="1">
        <f>IF(OR(E$52=0,D17="",E17=""),0,IFERROR(IF(AND(INDEX(Arten,MATCH(D17,Codes,0))="Arbeit",INDEX(Arten,MATCH(E17,Codes,0))="Arbeit"),IF(ROUND((1+INDEX(Beginne,MATCH(E17,Codes,0))-INDEX(EndeRel,MATCH(D17,Codes,0)))*1440,0)&lt;660,1,0),0),0))</f>
      </c>
      <c r="F66" s="1">
        <f>IF(OR(F$52=0,E17="",F17=""),0,IFERROR(IF(AND(INDEX(Arten,MATCH(E17,Codes,0))="Arbeit",INDEX(Arten,MATCH(F17,Codes,0))="Arbeit"),IF(ROUND((1+INDEX(Beginne,MATCH(F17,Codes,0))-INDEX(EndeRel,MATCH(E17,Codes,0)))*1440,0)&lt;660,1,0),0),0))</f>
      </c>
      <c r="G66" s="1">
        <f>IF(OR(G$52=0,F17="",G17=""),0,IFERROR(IF(AND(INDEX(Arten,MATCH(F17,Codes,0))="Arbeit",INDEX(Arten,MATCH(G17,Codes,0))="Arbeit"),IF(ROUND((1+INDEX(Beginne,MATCH(G17,Codes,0))-INDEX(EndeRel,MATCH(F17,Codes,0)))*1440,0)&lt;660,1,0),0),0))</f>
      </c>
      <c r="H66" s="1">
        <f>IF(OR(H$52=0,G17="",H17=""),0,IFERROR(IF(AND(INDEX(Arten,MATCH(G17,Codes,0))="Arbeit",INDEX(Arten,MATCH(H17,Codes,0))="Arbeit"),IF(ROUND((1+INDEX(Beginne,MATCH(H17,Codes,0))-INDEX(EndeRel,MATCH(G17,Codes,0)))*1440,0)&lt;660,1,0),0),0))</f>
      </c>
      <c r="I66" s="1">
        <f>IF(OR(I$52=0,H17="",I17=""),0,IFERROR(IF(AND(INDEX(Arten,MATCH(H17,Codes,0))="Arbeit",INDEX(Arten,MATCH(I17,Codes,0))="Arbeit"),IF(ROUND((1+INDEX(Beginne,MATCH(I17,Codes,0))-INDEX(EndeRel,MATCH(H17,Codes,0)))*1440,0)&lt;660,1,0),0),0))</f>
      </c>
      <c r="J66" s="1">
        <f>IF(OR(J$52=0,I17="",J17=""),0,IFERROR(IF(AND(INDEX(Arten,MATCH(I17,Codes,0))="Arbeit",INDEX(Arten,MATCH(J17,Codes,0))="Arbeit"),IF(ROUND((1+INDEX(Beginne,MATCH(J17,Codes,0))-INDEX(EndeRel,MATCH(I17,Codes,0)))*1440,0)&lt;660,1,0),0),0))</f>
      </c>
      <c r="K66" s="1">
        <f>IF(OR(K$52=0,J17="",K17=""),0,IFERROR(IF(AND(INDEX(Arten,MATCH(J17,Codes,0))="Arbeit",INDEX(Arten,MATCH(K17,Codes,0))="Arbeit"),IF(ROUND((1+INDEX(Beginne,MATCH(K17,Codes,0))-INDEX(EndeRel,MATCH(J17,Codes,0)))*1440,0)&lt;660,1,0),0),0))</f>
      </c>
      <c r="L66" s="1">
        <f>IF(OR(L$52=0,K17="",L17=""),0,IFERROR(IF(AND(INDEX(Arten,MATCH(K17,Codes,0))="Arbeit",INDEX(Arten,MATCH(L17,Codes,0))="Arbeit"),IF(ROUND((1+INDEX(Beginne,MATCH(L17,Codes,0))-INDEX(EndeRel,MATCH(K17,Codes,0)))*1440,0)&lt;660,1,0),0),0))</f>
      </c>
      <c r="M66" s="1">
        <f>IF(OR(M$52=0,L17="",M17=""),0,IFERROR(IF(AND(INDEX(Arten,MATCH(L17,Codes,0))="Arbeit",INDEX(Arten,MATCH(M17,Codes,0))="Arbeit"),IF(ROUND((1+INDEX(Beginne,MATCH(M17,Codes,0))-INDEX(EndeRel,MATCH(L17,Codes,0)))*1440,0)&lt;660,1,0),0),0))</f>
      </c>
      <c r="N66" s="1">
        <f>IF(OR(N$52=0,M17="",N17=""),0,IFERROR(IF(AND(INDEX(Arten,MATCH(M17,Codes,0))="Arbeit",INDEX(Arten,MATCH(N17,Codes,0))="Arbeit"),IF(ROUND((1+INDEX(Beginne,MATCH(N17,Codes,0))-INDEX(EndeRel,MATCH(M17,Codes,0)))*1440,0)&lt;660,1,0),0),0))</f>
      </c>
      <c r="O66" s="1">
        <f>IF(OR(O$52=0,N17="",O17=""),0,IFERROR(IF(AND(INDEX(Arten,MATCH(N17,Codes,0))="Arbeit",INDEX(Arten,MATCH(O17,Codes,0))="Arbeit"),IF(ROUND((1+INDEX(Beginne,MATCH(O17,Codes,0))-INDEX(EndeRel,MATCH(N17,Codes,0)))*1440,0)&lt;660,1,0),0),0))</f>
      </c>
      <c r="P66" s="1">
        <f>IF(OR(P$52=0,O17="",P17=""),0,IFERROR(IF(AND(INDEX(Arten,MATCH(O17,Codes,0))="Arbeit",INDEX(Arten,MATCH(P17,Codes,0))="Arbeit"),IF(ROUND((1+INDEX(Beginne,MATCH(P17,Codes,0))-INDEX(EndeRel,MATCH(O17,Codes,0)))*1440,0)&lt;660,1,0),0),0))</f>
      </c>
      <c r="Q66" s="1">
        <f>IF(OR(Q$52=0,P17="",Q17=""),0,IFERROR(IF(AND(INDEX(Arten,MATCH(P17,Codes,0))="Arbeit",INDEX(Arten,MATCH(Q17,Codes,0))="Arbeit"),IF(ROUND((1+INDEX(Beginne,MATCH(Q17,Codes,0))-INDEX(EndeRel,MATCH(P17,Codes,0)))*1440,0)&lt;660,1,0),0),0))</f>
      </c>
      <c r="R66" s="1">
        <f>IF(OR(R$52=0,Q17="",R17=""),0,IFERROR(IF(AND(INDEX(Arten,MATCH(Q17,Codes,0))="Arbeit",INDEX(Arten,MATCH(R17,Codes,0))="Arbeit"),IF(ROUND((1+INDEX(Beginne,MATCH(R17,Codes,0))-INDEX(EndeRel,MATCH(Q17,Codes,0)))*1440,0)&lt;660,1,0),0),0))</f>
      </c>
      <c r="S66" s="1">
        <f>IF(OR(S$52=0,R17="",S17=""),0,IFERROR(IF(AND(INDEX(Arten,MATCH(R17,Codes,0))="Arbeit",INDEX(Arten,MATCH(S17,Codes,0))="Arbeit"),IF(ROUND((1+INDEX(Beginne,MATCH(S17,Codes,0))-INDEX(EndeRel,MATCH(R17,Codes,0)))*1440,0)&lt;660,1,0),0),0))</f>
      </c>
      <c r="T66" s="1">
        <f>IF(OR(T$52=0,S17="",T17=""),0,IFERROR(IF(AND(INDEX(Arten,MATCH(S17,Codes,0))="Arbeit",INDEX(Arten,MATCH(T17,Codes,0))="Arbeit"),IF(ROUND((1+INDEX(Beginne,MATCH(T17,Codes,0))-INDEX(EndeRel,MATCH(S17,Codes,0)))*1440,0)&lt;660,1,0),0),0))</f>
      </c>
      <c r="U66" s="1">
        <f>IF(OR(U$52=0,T17="",U17=""),0,IFERROR(IF(AND(INDEX(Arten,MATCH(T17,Codes,0))="Arbeit",INDEX(Arten,MATCH(U17,Codes,0))="Arbeit"),IF(ROUND((1+INDEX(Beginne,MATCH(U17,Codes,0))-INDEX(EndeRel,MATCH(T17,Codes,0)))*1440,0)&lt;660,1,0),0),0))</f>
      </c>
      <c r="V66" s="1">
        <f>IF(OR(V$52=0,U17="",V17=""),0,IFERROR(IF(AND(INDEX(Arten,MATCH(U17,Codes,0))="Arbeit",INDEX(Arten,MATCH(V17,Codes,0))="Arbeit"),IF(ROUND((1+INDEX(Beginne,MATCH(V17,Codes,0))-INDEX(EndeRel,MATCH(U17,Codes,0)))*1440,0)&lt;660,1,0),0),0))</f>
      </c>
      <c r="W66" s="1">
        <f>IF(OR(W$52=0,V17="",W17=""),0,IFERROR(IF(AND(INDEX(Arten,MATCH(V17,Codes,0))="Arbeit",INDEX(Arten,MATCH(W17,Codes,0))="Arbeit"),IF(ROUND((1+INDEX(Beginne,MATCH(W17,Codes,0))-INDEX(EndeRel,MATCH(V17,Codes,0)))*1440,0)&lt;660,1,0),0),0))</f>
      </c>
      <c r="X66" s="1">
        <f>IF(OR(X$52=0,W17="",X17=""),0,IFERROR(IF(AND(INDEX(Arten,MATCH(W17,Codes,0))="Arbeit",INDEX(Arten,MATCH(X17,Codes,0))="Arbeit"),IF(ROUND((1+INDEX(Beginne,MATCH(X17,Codes,0))-INDEX(EndeRel,MATCH(W17,Codes,0)))*1440,0)&lt;660,1,0),0),0))</f>
      </c>
      <c r="Y66" s="1">
        <f>IF(OR(Y$52=0,X17="",Y17=""),0,IFERROR(IF(AND(INDEX(Arten,MATCH(X17,Codes,0))="Arbeit",INDEX(Arten,MATCH(Y17,Codes,0))="Arbeit"),IF(ROUND((1+INDEX(Beginne,MATCH(Y17,Codes,0))-INDEX(EndeRel,MATCH(X17,Codes,0)))*1440,0)&lt;660,1,0),0),0))</f>
      </c>
      <c r="Z66" s="1">
        <f>IF(OR(Z$52=0,Y17="",Z17=""),0,IFERROR(IF(AND(INDEX(Arten,MATCH(Y17,Codes,0))="Arbeit",INDEX(Arten,MATCH(Z17,Codes,0))="Arbeit"),IF(ROUND((1+INDEX(Beginne,MATCH(Z17,Codes,0))-INDEX(EndeRel,MATCH(Y17,Codes,0)))*1440,0)&lt;660,1,0),0),0))</f>
      </c>
      <c r="AA66" s="1">
        <f>IF(OR(AA$52=0,Z17="",AA17=""),0,IFERROR(IF(AND(INDEX(Arten,MATCH(Z17,Codes,0))="Arbeit",INDEX(Arten,MATCH(AA17,Codes,0))="Arbeit"),IF(ROUND((1+INDEX(Beginne,MATCH(AA17,Codes,0))-INDEX(EndeRel,MATCH(Z17,Codes,0)))*1440,0)&lt;660,1,0),0),0))</f>
      </c>
      <c r="AB66" s="1">
        <f>IF(OR(AB$52=0,AA17="",AB17=""),0,IFERROR(IF(AND(INDEX(Arten,MATCH(AA17,Codes,0))="Arbeit",INDEX(Arten,MATCH(AB17,Codes,0))="Arbeit"),IF(ROUND((1+INDEX(Beginne,MATCH(AB17,Codes,0))-INDEX(EndeRel,MATCH(AA17,Codes,0)))*1440,0)&lt;660,1,0),0),0))</f>
      </c>
      <c r="AC66" s="1">
        <f>IF(OR(AC$52=0,AB17="",AC17=""),0,IFERROR(IF(AND(INDEX(Arten,MATCH(AB17,Codes,0))="Arbeit",INDEX(Arten,MATCH(AC17,Codes,0))="Arbeit"),IF(ROUND((1+INDEX(Beginne,MATCH(AC17,Codes,0))-INDEX(EndeRel,MATCH(AB17,Codes,0)))*1440,0)&lt;660,1,0),0),0))</f>
      </c>
      <c r="AD66" s="1">
        <f>IF(OR(AD$52=0,AC17="",AD17=""),0,IFERROR(IF(AND(INDEX(Arten,MATCH(AC17,Codes,0))="Arbeit",INDEX(Arten,MATCH(AD17,Codes,0))="Arbeit"),IF(ROUND((1+INDEX(Beginne,MATCH(AD17,Codes,0))-INDEX(EndeRel,MATCH(AC17,Codes,0)))*1440,0)&lt;660,1,0),0),0))</f>
      </c>
      <c r="AE66" s="1">
        <f>IF(OR(AE$52=0,AD17="",AE17=""),0,IFERROR(IF(AND(INDEX(Arten,MATCH(AD17,Codes,0))="Arbeit",INDEX(Arten,MATCH(AE17,Codes,0))="Arbeit"),IF(ROUND((1+INDEX(Beginne,MATCH(AE17,Codes,0))-INDEX(EndeRel,MATCH(AD17,Codes,0)))*1440,0)&lt;660,1,0),0),0))</f>
      </c>
      <c r="AF66" s="1">
        <f>IF(OR(AF$52=0,AE17="",AF17=""),0,IFERROR(IF(AND(INDEX(Arten,MATCH(AE17,Codes,0))="Arbeit",INDEX(Arten,MATCH(AF17,Codes,0))="Arbeit"),IF(ROUND((1+INDEX(Beginne,MATCH(AF17,Codes,0))-INDEX(EndeRel,MATCH(AE17,Codes,0)))*1440,0)&lt;660,1,0),0),0))</f>
      </c>
    </row>
    <row r="67" hidden="1" spans="1:32" x14ac:dyDescent="0.25">
      <c r="A67" s="1"/>
      <c r="B67" s="1">
        <f>IF(OR(B$52=0,INDEX('März'!$B$18:$AF$18,DAY(DATE(Jahr,4,0)))="",B18=""),0,IFERROR(IF(AND(INDEX(Arten,MATCH(INDEX('März'!$B$18:$AF$18,DAY(DATE(Jahr,4,0))),Codes,0))="Arbeit",INDEX(Arten,MATCH(B18,Codes,0))="Arbeit"),IF(ROUND((1+INDEX(Beginne,MATCH(B18,Codes,0))-INDEX(EndeRel,MATCH(INDEX('März'!$B$18:$AF$18,DAY(DATE(Jahr,4,0))),Codes,0)))*1440,0)&lt;660,1,0),0),0))</f>
      </c>
      <c r="C67" s="1">
        <f>IF(OR(C$52=0,B18="",C18=""),0,IFERROR(IF(AND(INDEX(Arten,MATCH(B18,Codes,0))="Arbeit",INDEX(Arten,MATCH(C18,Codes,0))="Arbeit"),IF(ROUND((1+INDEX(Beginne,MATCH(C18,Codes,0))-INDEX(EndeRel,MATCH(B18,Codes,0)))*1440,0)&lt;660,1,0),0),0))</f>
      </c>
      <c r="D67" s="1">
        <f>IF(OR(D$52=0,C18="",D18=""),0,IFERROR(IF(AND(INDEX(Arten,MATCH(C18,Codes,0))="Arbeit",INDEX(Arten,MATCH(D18,Codes,0))="Arbeit"),IF(ROUND((1+INDEX(Beginne,MATCH(D18,Codes,0))-INDEX(EndeRel,MATCH(C18,Codes,0)))*1440,0)&lt;660,1,0),0),0))</f>
      </c>
      <c r="E67" s="1">
        <f>IF(OR(E$52=0,D18="",E18=""),0,IFERROR(IF(AND(INDEX(Arten,MATCH(D18,Codes,0))="Arbeit",INDEX(Arten,MATCH(E18,Codes,0))="Arbeit"),IF(ROUND((1+INDEX(Beginne,MATCH(E18,Codes,0))-INDEX(EndeRel,MATCH(D18,Codes,0)))*1440,0)&lt;660,1,0),0),0))</f>
      </c>
      <c r="F67" s="1">
        <f>IF(OR(F$52=0,E18="",F18=""),0,IFERROR(IF(AND(INDEX(Arten,MATCH(E18,Codes,0))="Arbeit",INDEX(Arten,MATCH(F18,Codes,0))="Arbeit"),IF(ROUND((1+INDEX(Beginne,MATCH(F18,Codes,0))-INDEX(EndeRel,MATCH(E18,Codes,0)))*1440,0)&lt;660,1,0),0),0))</f>
      </c>
      <c r="G67" s="1">
        <f>IF(OR(G$52=0,F18="",G18=""),0,IFERROR(IF(AND(INDEX(Arten,MATCH(F18,Codes,0))="Arbeit",INDEX(Arten,MATCH(G18,Codes,0))="Arbeit"),IF(ROUND((1+INDEX(Beginne,MATCH(G18,Codes,0))-INDEX(EndeRel,MATCH(F18,Codes,0)))*1440,0)&lt;660,1,0),0),0))</f>
      </c>
      <c r="H67" s="1">
        <f>IF(OR(H$52=0,G18="",H18=""),0,IFERROR(IF(AND(INDEX(Arten,MATCH(G18,Codes,0))="Arbeit",INDEX(Arten,MATCH(H18,Codes,0))="Arbeit"),IF(ROUND((1+INDEX(Beginne,MATCH(H18,Codes,0))-INDEX(EndeRel,MATCH(G18,Codes,0)))*1440,0)&lt;660,1,0),0),0))</f>
      </c>
      <c r="I67" s="1">
        <f>IF(OR(I$52=0,H18="",I18=""),0,IFERROR(IF(AND(INDEX(Arten,MATCH(H18,Codes,0))="Arbeit",INDEX(Arten,MATCH(I18,Codes,0))="Arbeit"),IF(ROUND((1+INDEX(Beginne,MATCH(I18,Codes,0))-INDEX(EndeRel,MATCH(H18,Codes,0)))*1440,0)&lt;660,1,0),0),0))</f>
      </c>
      <c r="J67" s="1">
        <f>IF(OR(J$52=0,I18="",J18=""),0,IFERROR(IF(AND(INDEX(Arten,MATCH(I18,Codes,0))="Arbeit",INDEX(Arten,MATCH(J18,Codes,0))="Arbeit"),IF(ROUND((1+INDEX(Beginne,MATCH(J18,Codes,0))-INDEX(EndeRel,MATCH(I18,Codes,0)))*1440,0)&lt;660,1,0),0),0))</f>
      </c>
      <c r="K67" s="1">
        <f>IF(OR(K$52=0,J18="",K18=""),0,IFERROR(IF(AND(INDEX(Arten,MATCH(J18,Codes,0))="Arbeit",INDEX(Arten,MATCH(K18,Codes,0))="Arbeit"),IF(ROUND((1+INDEX(Beginne,MATCH(K18,Codes,0))-INDEX(EndeRel,MATCH(J18,Codes,0)))*1440,0)&lt;660,1,0),0),0))</f>
      </c>
      <c r="L67" s="1">
        <f>IF(OR(L$52=0,K18="",L18=""),0,IFERROR(IF(AND(INDEX(Arten,MATCH(K18,Codes,0))="Arbeit",INDEX(Arten,MATCH(L18,Codes,0))="Arbeit"),IF(ROUND((1+INDEX(Beginne,MATCH(L18,Codes,0))-INDEX(EndeRel,MATCH(K18,Codes,0)))*1440,0)&lt;660,1,0),0),0))</f>
      </c>
      <c r="M67" s="1">
        <f>IF(OR(M$52=0,L18="",M18=""),0,IFERROR(IF(AND(INDEX(Arten,MATCH(L18,Codes,0))="Arbeit",INDEX(Arten,MATCH(M18,Codes,0))="Arbeit"),IF(ROUND((1+INDEX(Beginne,MATCH(M18,Codes,0))-INDEX(EndeRel,MATCH(L18,Codes,0)))*1440,0)&lt;660,1,0),0),0))</f>
      </c>
      <c r="N67" s="1">
        <f>IF(OR(N$52=0,M18="",N18=""),0,IFERROR(IF(AND(INDEX(Arten,MATCH(M18,Codes,0))="Arbeit",INDEX(Arten,MATCH(N18,Codes,0))="Arbeit"),IF(ROUND((1+INDEX(Beginne,MATCH(N18,Codes,0))-INDEX(EndeRel,MATCH(M18,Codes,0)))*1440,0)&lt;660,1,0),0),0))</f>
      </c>
      <c r="O67" s="1">
        <f>IF(OR(O$52=0,N18="",O18=""),0,IFERROR(IF(AND(INDEX(Arten,MATCH(N18,Codes,0))="Arbeit",INDEX(Arten,MATCH(O18,Codes,0))="Arbeit"),IF(ROUND((1+INDEX(Beginne,MATCH(O18,Codes,0))-INDEX(EndeRel,MATCH(N18,Codes,0)))*1440,0)&lt;660,1,0),0),0))</f>
      </c>
      <c r="P67" s="1">
        <f>IF(OR(P$52=0,O18="",P18=""),0,IFERROR(IF(AND(INDEX(Arten,MATCH(O18,Codes,0))="Arbeit",INDEX(Arten,MATCH(P18,Codes,0))="Arbeit"),IF(ROUND((1+INDEX(Beginne,MATCH(P18,Codes,0))-INDEX(EndeRel,MATCH(O18,Codes,0)))*1440,0)&lt;660,1,0),0),0))</f>
      </c>
      <c r="Q67" s="1">
        <f>IF(OR(Q$52=0,P18="",Q18=""),0,IFERROR(IF(AND(INDEX(Arten,MATCH(P18,Codes,0))="Arbeit",INDEX(Arten,MATCH(Q18,Codes,0))="Arbeit"),IF(ROUND((1+INDEX(Beginne,MATCH(Q18,Codes,0))-INDEX(EndeRel,MATCH(P18,Codes,0)))*1440,0)&lt;660,1,0),0),0))</f>
      </c>
      <c r="R67" s="1">
        <f>IF(OR(R$52=0,Q18="",R18=""),0,IFERROR(IF(AND(INDEX(Arten,MATCH(Q18,Codes,0))="Arbeit",INDEX(Arten,MATCH(R18,Codes,0))="Arbeit"),IF(ROUND((1+INDEX(Beginne,MATCH(R18,Codes,0))-INDEX(EndeRel,MATCH(Q18,Codes,0)))*1440,0)&lt;660,1,0),0),0))</f>
      </c>
      <c r="S67" s="1">
        <f>IF(OR(S$52=0,R18="",S18=""),0,IFERROR(IF(AND(INDEX(Arten,MATCH(R18,Codes,0))="Arbeit",INDEX(Arten,MATCH(S18,Codes,0))="Arbeit"),IF(ROUND((1+INDEX(Beginne,MATCH(S18,Codes,0))-INDEX(EndeRel,MATCH(R18,Codes,0)))*1440,0)&lt;660,1,0),0),0))</f>
      </c>
      <c r="T67" s="1">
        <f>IF(OR(T$52=0,S18="",T18=""),0,IFERROR(IF(AND(INDEX(Arten,MATCH(S18,Codes,0))="Arbeit",INDEX(Arten,MATCH(T18,Codes,0))="Arbeit"),IF(ROUND((1+INDEX(Beginne,MATCH(T18,Codes,0))-INDEX(EndeRel,MATCH(S18,Codes,0)))*1440,0)&lt;660,1,0),0),0))</f>
      </c>
      <c r="U67" s="1">
        <f>IF(OR(U$52=0,T18="",U18=""),0,IFERROR(IF(AND(INDEX(Arten,MATCH(T18,Codes,0))="Arbeit",INDEX(Arten,MATCH(U18,Codes,0))="Arbeit"),IF(ROUND((1+INDEX(Beginne,MATCH(U18,Codes,0))-INDEX(EndeRel,MATCH(T18,Codes,0)))*1440,0)&lt;660,1,0),0),0))</f>
      </c>
      <c r="V67" s="1">
        <f>IF(OR(V$52=0,U18="",V18=""),0,IFERROR(IF(AND(INDEX(Arten,MATCH(U18,Codes,0))="Arbeit",INDEX(Arten,MATCH(V18,Codes,0))="Arbeit"),IF(ROUND((1+INDEX(Beginne,MATCH(V18,Codes,0))-INDEX(EndeRel,MATCH(U18,Codes,0)))*1440,0)&lt;660,1,0),0),0))</f>
      </c>
      <c r="W67" s="1">
        <f>IF(OR(W$52=0,V18="",W18=""),0,IFERROR(IF(AND(INDEX(Arten,MATCH(V18,Codes,0))="Arbeit",INDEX(Arten,MATCH(W18,Codes,0))="Arbeit"),IF(ROUND((1+INDEX(Beginne,MATCH(W18,Codes,0))-INDEX(EndeRel,MATCH(V18,Codes,0)))*1440,0)&lt;660,1,0),0),0))</f>
      </c>
      <c r="X67" s="1">
        <f>IF(OR(X$52=0,W18="",X18=""),0,IFERROR(IF(AND(INDEX(Arten,MATCH(W18,Codes,0))="Arbeit",INDEX(Arten,MATCH(X18,Codes,0))="Arbeit"),IF(ROUND((1+INDEX(Beginne,MATCH(X18,Codes,0))-INDEX(EndeRel,MATCH(W18,Codes,0)))*1440,0)&lt;660,1,0),0),0))</f>
      </c>
      <c r="Y67" s="1">
        <f>IF(OR(Y$52=0,X18="",Y18=""),0,IFERROR(IF(AND(INDEX(Arten,MATCH(X18,Codes,0))="Arbeit",INDEX(Arten,MATCH(Y18,Codes,0))="Arbeit"),IF(ROUND((1+INDEX(Beginne,MATCH(Y18,Codes,0))-INDEX(EndeRel,MATCH(X18,Codes,0)))*1440,0)&lt;660,1,0),0),0))</f>
      </c>
      <c r="Z67" s="1">
        <f>IF(OR(Z$52=0,Y18="",Z18=""),0,IFERROR(IF(AND(INDEX(Arten,MATCH(Y18,Codes,0))="Arbeit",INDEX(Arten,MATCH(Z18,Codes,0))="Arbeit"),IF(ROUND((1+INDEX(Beginne,MATCH(Z18,Codes,0))-INDEX(EndeRel,MATCH(Y18,Codes,0)))*1440,0)&lt;660,1,0),0),0))</f>
      </c>
      <c r="AA67" s="1">
        <f>IF(OR(AA$52=0,Z18="",AA18=""),0,IFERROR(IF(AND(INDEX(Arten,MATCH(Z18,Codes,0))="Arbeit",INDEX(Arten,MATCH(AA18,Codes,0))="Arbeit"),IF(ROUND((1+INDEX(Beginne,MATCH(AA18,Codes,0))-INDEX(EndeRel,MATCH(Z18,Codes,0)))*1440,0)&lt;660,1,0),0),0))</f>
      </c>
      <c r="AB67" s="1">
        <f>IF(OR(AB$52=0,AA18="",AB18=""),0,IFERROR(IF(AND(INDEX(Arten,MATCH(AA18,Codes,0))="Arbeit",INDEX(Arten,MATCH(AB18,Codes,0))="Arbeit"),IF(ROUND((1+INDEX(Beginne,MATCH(AB18,Codes,0))-INDEX(EndeRel,MATCH(AA18,Codes,0)))*1440,0)&lt;660,1,0),0),0))</f>
      </c>
      <c r="AC67" s="1">
        <f>IF(OR(AC$52=0,AB18="",AC18=""),0,IFERROR(IF(AND(INDEX(Arten,MATCH(AB18,Codes,0))="Arbeit",INDEX(Arten,MATCH(AC18,Codes,0))="Arbeit"),IF(ROUND((1+INDEX(Beginne,MATCH(AC18,Codes,0))-INDEX(EndeRel,MATCH(AB18,Codes,0)))*1440,0)&lt;660,1,0),0),0))</f>
      </c>
      <c r="AD67" s="1">
        <f>IF(OR(AD$52=0,AC18="",AD18=""),0,IFERROR(IF(AND(INDEX(Arten,MATCH(AC18,Codes,0))="Arbeit",INDEX(Arten,MATCH(AD18,Codes,0))="Arbeit"),IF(ROUND((1+INDEX(Beginne,MATCH(AD18,Codes,0))-INDEX(EndeRel,MATCH(AC18,Codes,0)))*1440,0)&lt;660,1,0),0),0))</f>
      </c>
      <c r="AE67" s="1">
        <f>IF(OR(AE$52=0,AD18="",AE18=""),0,IFERROR(IF(AND(INDEX(Arten,MATCH(AD18,Codes,0))="Arbeit",INDEX(Arten,MATCH(AE18,Codes,0))="Arbeit"),IF(ROUND((1+INDEX(Beginne,MATCH(AE18,Codes,0))-INDEX(EndeRel,MATCH(AD18,Codes,0)))*1440,0)&lt;660,1,0),0),0))</f>
      </c>
      <c r="AF67" s="1">
        <f>IF(OR(AF$52=0,AE18="",AF18=""),0,IFERROR(IF(AND(INDEX(Arten,MATCH(AE18,Codes,0))="Arbeit",INDEX(Arten,MATCH(AF18,Codes,0))="Arbeit"),IF(ROUND((1+INDEX(Beginne,MATCH(AF18,Codes,0))-INDEX(EndeRel,MATCH(AE18,Codes,0)))*1440,0)&lt;660,1,0),0),0))</f>
      </c>
    </row>
    <row r="68" hidden="1" spans="1:32" x14ac:dyDescent="0.25">
      <c r="A68" s="1"/>
      <c r="B68" s="1">
        <f>IF(OR(B$52=0,INDEX('März'!$B$19:$AF$19,DAY(DATE(Jahr,4,0)))="",B19=""),0,IFERROR(IF(AND(INDEX(Arten,MATCH(INDEX('März'!$B$19:$AF$19,DAY(DATE(Jahr,4,0))),Codes,0))="Arbeit",INDEX(Arten,MATCH(B19,Codes,0))="Arbeit"),IF(ROUND((1+INDEX(Beginne,MATCH(B19,Codes,0))-INDEX(EndeRel,MATCH(INDEX('März'!$B$19:$AF$19,DAY(DATE(Jahr,4,0))),Codes,0)))*1440,0)&lt;660,1,0),0),0))</f>
      </c>
      <c r="C68" s="1">
        <f>IF(OR(C$52=0,B19="",C19=""),0,IFERROR(IF(AND(INDEX(Arten,MATCH(B19,Codes,0))="Arbeit",INDEX(Arten,MATCH(C19,Codes,0))="Arbeit"),IF(ROUND((1+INDEX(Beginne,MATCH(C19,Codes,0))-INDEX(EndeRel,MATCH(B19,Codes,0)))*1440,0)&lt;660,1,0),0),0))</f>
      </c>
      <c r="D68" s="1">
        <f>IF(OR(D$52=0,C19="",D19=""),0,IFERROR(IF(AND(INDEX(Arten,MATCH(C19,Codes,0))="Arbeit",INDEX(Arten,MATCH(D19,Codes,0))="Arbeit"),IF(ROUND((1+INDEX(Beginne,MATCH(D19,Codes,0))-INDEX(EndeRel,MATCH(C19,Codes,0)))*1440,0)&lt;660,1,0),0),0))</f>
      </c>
      <c r="E68" s="1">
        <f>IF(OR(E$52=0,D19="",E19=""),0,IFERROR(IF(AND(INDEX(Arten,MATCH(D19,Codes,0))="Arbeit",INDEX(Arten,MATCH(E19,Codes,0))="Arbeit"),IF(ROUND((1+INDEX(Beginne,MATCH(E19,Codes,0))-INDEX(EndeRel,MATCH(D19,Codes,0)))*1440,0)&lt;660,1,0),0),0))</f>
      </c>
      <c r="F68" s="1">
        <f>IF(OR(F$52=0,E19="",F19=""),0,IFERROR(IF(AND(INDEX(Arten,MATCH(E19,Codes,0))="Arbeit",INDEX(Arten,MATCH(F19,Codes,0))="Arbeit"),IF(ROUND((1+INDEX(Beginne,MATCH(F19,Codes,0))-INDEX(EndeRel,MATCH(E19,Codes,0)))*1440,0)&lt;660,1,0),0),0))</f>
      </c>
      <c r="G68" s="1">
        <f>IF(OR(G$52=0,F19="",G19=""),0,IFERROR(IF(AND(INDEX(Arten,MATCH(F19,Codes,0))="Arbeit",INDEX(Arten,MATCH(G19,Codes,0))="Arbeit"),IF(ROUND((1+INDEX(Beginne,MATCH(G19,Codes,0))-INDEX(EndeRel,MATCH(F19,Codes,0)))*1440,0)&lt;660,1,0),0),0))</f>
      </c>
      <c r="H68" s="1">
        <f>IF(OR(H$52=0,G19="",H19=""),0,IFERROR(IF(AND(INDEX(Arten,MATCH(G19,Codes,0))="Arbeit",INDEX(Arten,MATCH(H19,Codes,0))="Arbeit"),IF(ROUND((1+INDEX(Beginne,MATCH(H19,Codes,0))-INDEX(EndeRel,MATCH(G19,Codes,0)))*1440,0)&lt;660,1,0),0),0))</f>
      </c>
      <c r="I68" s="1">
        <f>IF(OR(I$52=0,H19="",I19=""),0,IFERROR(IF(AND(INDEX(Arten,MATCH(H19,Codes,0))="Arbeit",INDEX(Arten,MATCH(I19,Codes,0))="Arbeit"),IF(ROUND((1+INDEX(Beginne,MATCH(I19,Codes,0))-INDEX(EndeRel,MATCH(H19,Codes,0)))*1440,0)&lt;660,1,0),0),0))</f>
      </c>
      <c r="J68" s="1">
        <f>IF(OR(J$52=0,I19="",J19=""),0,IFERROR(IF(AND(INDEX(Arten,MATCH(I19,Codes,0))="Arbeit",INDEX(Arten,MATCH(J19,Codes,0))="Arbeit"),IF(ROUND((1+INDEX(Beginne,MATCH(J19,Codes,0))-INDEX(EndeRel,MATCH(I19,Codes,0)))*1440,0)&lt;660,1,0),0),0))</f>
      </c>
      <c r="K68" s="1">
        <f>IF(OR(K$52=0,J19="",K19=""),0,IFERROR(IF(AND(INDEX(Arten,MATCH(J19,Codes,0))="Arbeit",INDEX(Arten,MATCH(K19,Codes,0))="Arbeit"),IF(ROUND((1+INDEX(Beginne,MATCH(K19,Codes,0))-INDEX(EndeRel,MATCH(J19,Codes,0)))*1440,0)&lt;660,1,0),0),0))</f>
      </c>
      <c r="L68" s="1">
        <f>IF(OR(L$52=0,K19="",L19=""),0,IFERROR(IF(AND(INDEX(Arten,MATCH(K19,Codes,0))="Arbeit",INDEX(Arten,MATCH(L19,Codes,0))="Arbeit"),IF(ROUND((1+INDEX(Beginne,MATCH(L19,Codes,0))-INDEX(EndeRel,MATCH(K19,Codes,0)))*1440,0)&lt;660,1,0),0),0))</f>
      </c>
      <c r="M68" s="1">
        <f>IF(OR(M$52=0,L19="",M19=""),0,IFERROR(IF(AND(INDEX(Arten,MATCH(L19,Codes,0))="Arbeit",INDEX(Arten,MATCH(M19,Codes,0))="Arbeit"),IF(ROUND((1+INDEX(Beginne,MATCH(M19,Codes,0))-INDEX(EndeRel,MATCH(L19,Codes,0)))*1440,0)&lt;660,1,0),0),0))</f>
      </c>
      <c r="N68" s="1">
        <f>IF(OR(N$52=0,M19="",N19=""),0,IFERROR(IF(AND(INDEX(Arten,MATCH(M19,Codes,0))="Arbeit",INDEX(Arten,MATCH(N19,Codes,0))="Arbeit"),IF(ROUND((1+INDEX(Beginne,MATCH(N19,Codes,0))-INDEX(EndeRel,MATCH(M19,Codes,0)))*1440,0)&lt;660,1,0),0),0))</f>
      </c>
      <c r="O68" s="1">
        <f>IF(OR(O$52=0,N19="",O19=""),0,IFERROR(IF(AND(INDEX(Arten,MATCH(N19,Codes,0))="Arbeit",INDEX(Arten,MATCH(O19,Codes,0))="Arbeit"),IF(ROUND((1+INDEX(Beginne,MATCH(O19,Codes,0))-INDEX(EndeRel,MATCH(N19,Codes,0)))*1440,0)&lt;660,1,0),0),0))</f>
      </c>
      <c r="P68" s="1">
        <f>IF(OR(P$52=0,O19="",P19=""),0,IFERROR(IF(AND(INDEX(Arten,MATCH(O19,Codes,0))="Arbeit",INDEX(Arten,MATCH(P19,Codes,0))="Arbeit"),IF(ROUND((1+INDEX(Beginne,MATCH(P19,Codes,0))-INDEX(EndeRel,MATCH(O19,Codes,0)))*1440,0)&lt;660,1,0),0),0))</f>
      </c>
      <c r="Q68" s="1">
        <f>IF(OR(Q$52=0,P19="",Q19=""),0,IFERROR(IF(AND(INDEX(Arten,MATCH(P19,Codes,0))="Arbeit",INDEX(Arten,MATCH(Q19,Codes,0))="Arbeit"),IF(ROUND((1+INDEX(Beginne,MATCH(Q19,Codes,0))-INDEX(EndeRel,MATCH(P19,Codes,0)))*1440,0)&lt;660,1,0),0),0))</f>
      </c>
      <c r="R68" s="1">
        <f>IF(OR(R$52=0,Q19="",R19=""),0,IFERROR(IF(AND(INDEX(Arten,MATCH(Q19,Codes,0))="Arbeit",INDEX(Arten,MATCH(R19,Codes,0))="Arbeit"),IF(ROUND((1+INDEX(Beginne,MATCH(R19,Codes,0))-INDEX(EndeRel,MATCH(Q19,Codes,0)))*1440,0)&lt;660,1,0),0),0))</f>
      </c>
      <c r="S68" s="1">
        <f>IF(OR(S$52=0,R19="",S19=""),0,IFERROR(IF(AND(INDEX(Arten,MATCH(R19,Codes,0))="Arbeit",INDEX(Arten,MATCH(S19,Codes,0))="Arbeit"),IF(ROUND((1+INDEX(Beginne,MATCH(S19,Codes,0))-INDEX(EndeRel,MATCH(R19,Codes,0)))*1440,0)&lt;660,1,0),0),0))</f>
      </c>
      <c r="T68" s="1">
        <f>IF(OR(T$52=0,S19="",T19=""),0,IFERROR(IF(AND(INDEX(Arten,MATCH(S19,Codes,0))="Arbeit",INDEX(Arten,MATCH(T19,Codes,0))="Arbeit"),IF(ROUND((1+INDEX(Beginne,MATCH(T19,Codes,0))-INDEX(EndeRel,MATCH(S19,Codes,0)))*1440,0)&lt;660,1,0),0),0))</f>
      </c>
      <c r="U68" s="1">
        <f>IF(OR(U$52=0,T19="",U19=""),0,IFERROR(IF(AND(INDEX(Arten,MATCH(T19,Codes,0))="Arbeit",INDEX(Arten,MATCH(U19,Codes,0))="Arbeit"),IF(ROUND((1+INDEX(Beginne,MATCH(U19,Codes,0))-INDEX(EndeRel,MATCH(T19,Codes,0)))*1440,0)&lt;660,1,0),0),0))</f>
      </c>
      <c r="V68" s="1">
        <f>IF(OR(V$52=0,U19="",V19=""),0,IFERROR(IF(AND(INDEX(Arten,MATCH(U19,Codes,0))="Arbeit",INDEX(Arten,MATCH(V19,Codes,0))="Arbeit"),IF(ROUND((1+INDEX(Beginne,MATCH(V19,Codes,0))-INDEX(EndeRel,MATCH(U19,Codes,0)))*1440,0)&lt;660,1,0),0),0))</f>
      </c>
      <c r="W68" s="1">
        <f>IF(OR(W$52=0,V19="",W19=""),0,IFERROR(IF(AND(INDEX(Arten,MATCH(V19,Codes,0))="Arbeit",INDEX(Arten,MATCH(W19,Codes,0))="Arbeit"),IF(ROUND((1+INDEX(Beginne,MATCH(W19,Codes,0))-INDEX(EndeRel,MATCH(V19,Codes,0)))*1440,0)&lt;660,1,0),0),0))</f>
      </c>
      <c r="X68" s="1">
        <f>IF(OR(X$52=0,W19="",X19=""),0,IFERROR(IF(AND(INDEX(Arten,MATCH(W19,Codes,0))="Arbeit",INDEX(Arten,MATCH(X19,Codes,0))="Arbeit"),IF(ROUND((1+INDEX(Beginne,MATCH(X19,Codes,0))-INDEX(EndeRel,MATCH(W19,Codes,0)))*1440,0)&lt;660,1,0),0),0))</f>
      </c>
      <c r="Y68" s="1">
        <f>IF(OR(Y$52=0,X19="",Y19=""),0,IFERROR(IF(AND(INDEX(Arten,MATCH(X19,Codes,0))="Arbeit",INDEX(Arten,MATCH(Y19,Codes,0))="Arbeit"),IF(ROUND((1+INDEX(Beginne,MATCH(Y19,Codes,0))-INDEX(EndeRel,MATCH(X19,Codes,0)))*1440,0)&lt;660,1,0),0),0))</f>
      </c>
      <c r="Z68" s="1">
        <f>IF(OR(Z$52=0,Y19="",Z19=""),0,IFERROR(IF(AND(INDEX(Arten,MATCH(Y19,Codes,0))="Arbeit",INDEX(Arten,MATCH(Z19,Codes,0))="Arbeit"),IF(ROUND((1+INDEX(Beginne,MATCH(Z19,Codes,0))-INDEX(EndeRel,MATCH(Y19,Codes,0)))*1440,0)&lt;660,1,0),0),0))</f>
      </c>
      <c r="AA68" s="1">
        <f>IF(OR(AA$52=0,Z19="",AA19=""),0,IFERROR(IF(AND(INDEX(Arten,MATCH(Z19,Codes,0))="Arbeit",INDEX(Arten,MATCH(AA19,Codes,0))="Arbeit"),IF(ROUND((1+INDEX(Beginne,MATCH(AA19,Codes,0))-INDEX(EndeRel,MATCH(Z19,Codes,0)))*1440,0)&lt;660,1,0),0),0))</f>
      </c>
      <c r="AB68" s="1">
        <f>IF(OR(AB$52=0,AA19="",AB19=""),0,IFERROR(IF(AND(INDEX(Arten,MATCH(AA19,Codes,0))="Arbeit",INDEX(Arten,MATCH(AB19,Codes,0))="Arbeit"),IF(ROUND((1+INDEX(Beginne,MATCH(AB19,Codes,0))-INDEX(EndeRel,MATCH(AA19,Codes,0)))*1440,0)&lt;660,1,0),0),0))</f>
      </c>
      <c r="AC68" s="1">
        <f>IF(OR(AC$52=0,AB19="",AC19=""),0,IFERROR(IF(AND(INDEX(Arten,MATCH(AB19,Codes,0))="Arbeit",INDEX(Arten,MATCH(AC19,Codes,0))="Arbeit"),IF(ROUND((1+INDEX(Beginne,MATCH(AC19,Codes,0))-INDEX(EndeRel,MATCH(AB19,Codes,0)))*1440,0)&lt;660,1,0),0),0))</f>
      </c>
      <c r="AD68" s="1">
        <f>IF(OR(AD$52=0,AC19="",AD19=""),0,IFERROR(IF(AND(INDEX(Arten,MATCH(AC19,Codes,0))="Arbeit",INDEX(Arten,MATCH(AD19,Codes,0))="Arbeit"),IF(ROUND((1+INDEX(Beginne,MATCH(AD19,Codes,0))-INDEX(EndeRel,MATCH(AC19,Codes,0)))*1440,0)&lt;660,1,0),0),0))</f>
      </c>
      <c r="AE68" s="1">
        <f>IF(OR(AE$52=0,AD19="",AE19=""),0,IFERROR(IF(AND(INDEX(Arten,MATCH(AD19,Codes,0))="Arbeit",INDEX(Arten,MATCH(AE19,Codes,0))="Arbeit"),IF(ROUND((1+INDEX(Beginne,MATCH(AE19,Codes,0))-INDEX(EndeRel,MATCH(AD19,Codes,0)))*1440,0)&lt;660,1,0),0),0))</f>
      </c>
      <c r="AF68" s="1">
        <f>IF(OR(AF$52=0,AE19="",AF19=""),0,IFERROR(IF(AND(INDEX(Arten,MATCH(AE19,Codes,0))="Arbeit",INDEX(Arten,MATCH(AF19,Codes,0))="Arbeit"),IF(ROUND((1+INDEX(Beginne,MATCH(AF19,Codes,0))-INDEX(EndeRel,MATCH(AE19,Codes,0)))*1440,0)&lt;660,1,0),0),0))</f>
      </c>
    </row>
    <row r="69" hidden="1" spans="1:32" x14ac:dyDescent="0.25">
      <c r="A69" s="1"/>
      <c r="B69" s="1">
        <f>IF(OR(B$52=0,INDEX('März'!$B$20:$AF$20,DAY(DATE(Jahr,4,0)))="",B20=""),0,IFERROR(IF(AND(INDEX(Arten,MATCH(INDEX('März'!$B$20:$AF$20,DAY(DATE(Jahr,4,0))),Codes,0))="Arbeit",INDEX(Arten,MATCH(B20,Codes,0))="Arbeit"),IF(ROUND((1+INDEX(Beginne,MATCH(B20,Codes,0))-INDEX(EndeRel,MATCH(INDEX('März'!$B$20:$AF$20,DAY(DATE(Jahr,4,0))),Codes,0)))*1440,0)&lt;660,1,0),0),0))</f>
      </c>
      <c r="C69" s="1">
        <f>IF(OR(C$52=0,B20="",C20=""),0,IFERROR(IF(AND(INDEX(Arten,MATCH(B20,Codes,0))="Arbeit",INDEX(Arten,MATCH(C20,Codes,0))="Arbeit"),IF(ROUND((1+INDEX(Beginne,MATCH(C20,Codes,0))-INDEX(EndeRel,MATCH(B20,Codes,0)))*1440,0)&lt;660,1,0),0),0))</f>
      </c>
      <c r="D69" s="1">
        <f>IF(OR(D$52=0,C20="",D20=""),0,IFERROR(IF(AND(INDEX(Arten,MATCH(C20,Codes,0))="Arbeit",INDEX(Arten,MATCH(D20,Codes,0))="Arbeit"),IF(ROUND((1+INDEX(Beginne,MATCH(D20,Codes,0))-INDEX(EndeRel,MATCH(C20,Codes,0)))*1440,0)&lt;660,1,0),0),0))</f>
      </c>
      <c r="E69" s="1">
        <f>IF(OR(E$52=0,D20="",E20=""),0,IFERROR(IF(AND(INDEX(Arten,MATCH(D20,Codes,0))="Arbeit",INDEX(Arten,MATCH(E20,Codes,0))="Arbeit"),IF(ROUND((1+INDEX(Beginne,MATCH(E20,Codes,0))-INDEX(EndeRel,MATCH(D20,Codes,0)))*1440,0)&lt;660,1,0),0),0))</f>
      </c>
      <c r="F69" s="1">
        <f>IF(OR(F$52=0,E20="",F20=""),0,IFERROR(IF(AND(INDEX(Arten,MATCH(E20,Codes,0))="Arbeit",INDEX(Arten,MATCH(F20,Codes,0))="Arbeit"),IF(ROUND((1+INDEX(Beginne,MATCH(F20,Codes,0))-INDEX(EndeRel,MATCH(E20,Codes,0)))*1440,0)&lt;660,1,0),0),0))</f>
      </c>
      <c r="G69" s="1">
        <f>IF(OR(G$52=0,F20="",G20=""),0,IFERROR(IF(AND(INDEX(Arten,MATCH(F20,Codes,0))="Arbeit",INDEX(Arten,MATCH(G20,Codes,0))="Arbeit"),IF(ROUND((1+INDEX(Beginne,MATCH(G20,Codes,0))-INDEX(EndeRel,MATCH(F20,Codes,0)))*1440,0)&lt;660,1,0),0),0))</f>
      </c>
      <c r="H69" s="1">
        <f>IF(OR(H$52=0,G20="",H20=""),0,IFERROR(IF(AND(INDEX(Arten,MATCH(G20,Codes,0))="Arbeit",INDEX(Arten,MATCH(H20,Codes,0))="Arbeit"),IF(ROUND((1+INDEX(Beginne,MATCH(H20,Codes,0))-INDEX(EndeRel,MATCH(G20,Codes,0)))*1440,0)&lt;660,1,0),0),0))</f>
      </c>
      <c r="I69" s="1">
        <f>IF(OR(I$52=0,H20="",I20=""),0,IFERROR(IF(AND(INDEX(Arten,MATCH(H20,Codes,0))="Arbeit",INDEX(Arten,MATCH(I20,Codes,0))="Arbeit"),IF(ROUND((1+INDEX(Beginne,MATCH(I20,Codes,0))-INDEX(EndeRel,MATCH(H20,Codes,0)))*1440,0)&lt;660,1,0),0),0))</f>
      </c>
      <c r="J69" s="1">
        <f>IF(OR(J$52=0,I20="",J20=""),0,IFERROR(IF(AND(INDEX(Arten,MATCH(I20,Codes,0))="Arbeit",INDEX(Arten,MATCH(J20,Codes,0))="Arbeit"),IF(ROUND((1+INDEX(Beginne,MATCH(J20,Codes,0))-INDEX(EndeRel,MATCH(I20,Codes,0)))*1440,0)&lt;660,1,0),0),0))</f>
      </c>
      <c r="K69" s="1">
        <f>IF(OR(K$52=0,J20="",K20=""),0,IFERROR(IF(AND(INDEX(Arten,MATCH(J20,Codes,0))="Arbeit",INDEX(Arten,MATCH(K20,Codes,0))="Arbeit"),IF(ROUND((1+INDEX(Beginne,MATCH(K20,Codes,0))-INDEX(EndeRel,MATCH(J20,Codes,0)))*1440,0)&lt;660,1,0),0),0))</f>
      </c>
      <c r="L69" s="1">
        <f>IF(OR(L$52=0,K20="",L20=""),0,IFERROR(IF(AND(INDEX(Arten,MATCH(K20,Codes,0))="Arbeit",INDEX(Arten,MATCH(L20,Codes,0))="Arbeit"),IF(ROUND((1+INDEX(Beginne,MATCH(L20,Codes,0))-INDEX(EndeRel,MATCH(K20,Codes,0)))*1440,0)&lt;660,1,0),0),0))</f>
      </c>
      <c r="M69" s="1">
        <f>IF(OR(M$52=0,L20="",M20=""),0,IFERROR(IF(AND(INDEX(Arten,MATCH(L20,Codes,0))="Arbeit",INDEX(Arten,MATCH(M20,Codes,0))="Arbeit"),IF(ROUND((1+INDEX(Beginne,MATCH(M20,Codes,0))-INDEX(EndeRel,MATCH(L20,Codes,0)))*1440,0)&lt;660,1,0),0),0))</f>
      </c>
      <c r="N69" s="1">
        <f>IF(OR(N$52=0,M20="",N20=""),0,IFERROR(IF(AND(INDEX(Arten,MATCH(M20,Codes,0))="Arbeit",INDEX(Arten,MATCH(N20,Codes,0))="Arbeit"),IF(ROUND((1+INDEX(Beginne,MATCH(N20,Codes,0))-INDEX(EndeRel,MATCH(M20,Codes,0)))*1440,0)&lt;660,1,0),0),0))</f>
      </c>
      <c r="O69" s="1">
        <f>IF(OR(O$52=0,N20="",O20=""),0,IFERROR(IF(AND(INDEX(Arten,MATCH(N20,Codes,0))="Arbeit",INDEX(Arten,MATCH(O20,Codes,0))="Arbeit"),IF(ROUND((1+INDEX(Beginne,MATCH(O20,Codes,0))-INDEX(EndeRel,MATCH(N20,Codes,0)))*1440,0)&lt;660,1,0),0),0))</f>
      </c>
      <c r="P69" s="1">
        <f>IF(OR(P$52=0,O20="",P20=""),0,IFERROR(IF(AND(INDEX(Arten,MATCH(O20,Codes,0))="Arbeit",INDEX(Arten,MATCH(P20,Codes,0))="Arbeit"),IF(ROUND((1+INDEX(Beginne,MATCH(P20,Codes,0))-INDEX(EndeRel,MATCH(O20,Codes,0)))*1440,0)&lt;660,1,0),0),0))</f>
      </c>
      <c r="Q69" s="1">
        <f>IF(OR(Q$52=0,P20="",Q20=""),0,IFERROR(IF(AND(INDEX(Arten,MATCH(P20,Codes,0))="Arbeit",INDEX(Arten,MATCH(Q20,Codes,0))="Arbeit"),IF(ROUND((1+INDEX(Beginne,MATCH(Q20,Codes,0))-INDEX(EndeRel,MATCH(P20,Codes,0)))*1440,0)&lt;660,1,0),0),0))</f>
      </c>
      <c r="R69" s="1">
        <f>IF(OR(R$52=0,Q20="",R20=""),0,IFERROR(IF(AND(INDEX(Arten,MATCH(Q20,Codes,0))="Arbeit",INDEX(Arten,MATCH(R20,Codes,0))="Arbeit"),IF(ROUND((1+INDEX(Beginne,MATCH(R20,Codes,0))-INDEX(EndeRel,MATCH(Q20,Codes,0)))*1440,0)&lt;660,1,0),0),0))</f>
      </c>
      <c r="S69" s="1">
        <f>IF(OR(S$52=0,R20="",S20=""),0,IFERROR(IF(AND(INDEX(Arten,MATCH(R20,Codes,0))="Arbeit",INDEX(Arten,MATCH(S20,Codes,0))="Arbeit"),IF(ROUND((1+INDEX(Beginne,MATCH(S20,Codes,0))-INDEX(EndeRel,MATCH(R20,Codes,0)))*1440,0)&lt;660,1,0),0),0))</f>
      </c>
      <c r="T69" s="1">
        <f>IF(OR(T$52=0,S20="",T20=""),0,IFERROR(IF(AND(INDEX(Arten,MATCH(S20,Codes,0))="Arbeit",INDEX(Arten,MATCH(T20,Codes,0))="Arbeit"),IF(ROUND((1+INDEX(Beginne,MATCH(T20,Codes,0))-INDEX(EndeRel,MATCH(S20,Codes,0)))*1440,0)&lt;660,1,0),0),0))</f>
      </c>
      <c r="U69" s="1">
        <f>IF(OR(U$52=0,T20="",U20=""),0,IFERROR(IF(AND(INDEX(Arten,MATCH(T20,Codes,0))="Arbeit",INDEX(Arten,MATCH(U20,Codes,0))="Arbeit"),IF(ROUND((1+INDEX(Beginne,MATCH(U20,Codes,0))-INDEX(EndeRel,MATCH(T20,Codes,0)))*1440,0)&lt;660,1,0),0),0))</f>
      </c>
      <c r="V69" s="1">
        <f>IF(OR(V$52=0,U20="",V20=""),0,IFERROR(IF(AND(INDEX(Arten,MATCH(U20,Codes,0))="Arbeit",INDEX(Arten,MATCH(V20,Codes,0))="Arbeit"),IF(ROUND((1+INDEX(Beginne,MATCH(V20,Codes,0))-INDEX(EndeRel,MATCH(U20,Codes,0)))*1440,0)&lt;660,1,0),0),0))</f>
      </c>
      <c r="W69" s="1">
        <f>IF(OR(W$52=0,V20="",W20=""),0,IFERROR(IF(AND(INDEX(Arten,MATCH(V20,Codes,0))="Arbeit",INDEX(Arten,MATCH(W20,Codes,0))="Arbeit"),IF(ROUND((1+INDEX(Beginne,MATCH(W20,Codes,0))-INDEX(EndeRel,MATCH(V20,Codes,0)))*1440,0)&lt;660,1,0),0),0))</f>
      </c>
      <c r="X69" s="1">
        <f>IF(OR(X$52=0,W20="",X20=""),0,IFERROR(IF(AND(INDEX(Arten,MATCH(W20,Codes,0))="Arbeit",INDEX(Arten,MATCH(X20,Codes,0))="Arbeit"),IF(ROUND((1+INDEX(Beginne,MATCH(X20,Codes,0))-INDEX(EndeRel,MATCH(W20,Codes,0)))*1440,0)&lt;660,1,0),0),0))</f>
      </c>
      <c r="Y69" s="1">
        <f>IF(OR(Y$52=0,X20="",Y20=""),0,IFERROR(IF(AND(INDEX(Arten,MATCH(X20,Codes,0))="Arbeit",INDEX(Arten,MATCH(Y20,Codes,0))="Arbeit"),IF(ROUND((1+INDEX(Beginne,MATCH(Y20,Codes,0))-INDEX(EndeRel,MATCH(X20,Codes,0)))*1440,0)&lt;660,1,0),0),0))</f>
      </c>
      <c r="Z69" s="1">
        <f>IF(OR(Z$52=0,Y20="",Z20=""),0,IFERROR(IF(AND(INDEX(Arten,MATCH(Y20,Codes,0))="Arbeit",INDEX(Arten,MATCH(Z20,Codes,0))="Arbeit"),IF(ROUND((1+INDEX(Beginne,MATCH(Z20,Codes,0))-INDEX(EndeRel,MATCH(Y20,Codes,0)))*1440,0)&lt;660,1,0),0),0))</f>
      </c>
      <c r="AA69" s="1">
        <f>IF(OR(AA$52=0,Z20="",AA20=""),0,IFERROR(IF(AND(INDEX(Arten,MATCH(Z20,Codes,0))="Arbeit",INDEX(Arten,MATCH(AA20,Codes,0))="Arbeit"),IF(ROUND((1+INDEX(Beginne,MATCH(AA20,Codes,0))-INDEX(EndeRel,MATCH(Z20,Codes,0)))*1440,0)&lt;660,1,0),0),0))</f>
      </c>
      <c r="AB69" s="1">
        <f>IF(OR(AB$52=0,AA20="",AB20=""),0,IFERROR(IF(AND(INDEX(Arten,MATCH(AA20,Codes,0))="Arbeit",INDEX(Arten,MATCH(AB20,Codes,0))="Arbeit"),IF(ROUND((1+INDEX(Beginne,MATCH(AB20,Codes,0))-INDEX(EndeRel,MATCH(AA20,Codes,0)))*1440,0)&lt;660,1,0),0),0))</f>
      </c>
      <c r="AC69" s="1">
        <f>IF(OR(AC$52=0,AB20="",AC20=""),0,IFERROR(IF(AND(INDEX(Arten,MATCH(AB20,Codes,0))="Arbeit",INDEX(Arten,MATCH(AC20,Codes,0))="Arbeit"),IF(ROUND((1+INDEX(Beginne,MATCH(AC20,Codes,0))-INDEX(EndeRel,MATCH(AB20,Codes,0)))*1440,0)&lt;660,1,0),0),0))</f>
      </c>
      <c r="AD69" s="1">
        <f>IF(OR(AD$52=0,AC20="",AD20=""),0,IFERROR(IF(AND(INDEX(Arten,MATCH(AC20,Codes,0))="Arbeit",INDEX(Arten,MATCH(AD20,Codes,0))="Arbeit"),IF(ROUND((1+INDEX(Beginne,MATCH(AD20,Codes,0))-INDEX(EndeRel,MATCH(AC20,Codes,0)))*1440,0)&lt;660,1,0),0),0))</f>
      </c>
      <c r="AE69" s="1">
        <f>IF(OR(AE$52=0,AD20="",AE20=""),0,IFERROR(IF(AND(INDEX(Arten,MATCH(AD20,Codes,0))="Arbeit",INDEX(Arten,MATCH(AE20,Codes,0))="Arbeit"),IF(ROUND((1+INDEX(Beginne,MATCH(AE20,Codes,0))-INDEX(EndeRel,MATCH(AD20,Codes,0)))*1440,0)&lt;660,1,0),0),0))</f>
      </c>
      <c r="AF69" s="1">
        <f>IF(OR(AF$52=0,AE20="",AF20=""),0,IFERROR(IF(AND(INDEX(Arten,MATCH(AE20,Codes,0))="Arbeit",INDEX(Arten,MATCH(AF20,Codes,0))="Arbeit"),IF(ROUND((1+INDEX(Beginne,MATCH(AF20,Codes,0))-INDEX(EndeRel,MATCH(AE20,Codes,0)))*1440,0)&lt;660,1,0),0),0))</f>
      </c>
    </row>
    <row r="70" hidden="1" spans="1:32" x14ac:dyDescent="0.25">
      <c r="A70" s="1"/>
      <c r="B70" s="1">
        <f>IF(OR(B$52=0,INDEX('März'!$B$21:$AF$21,DAY(DATE(Jahr,4,0)))="",B21=""),0,IFERROR(IF(AND(INDEX(Arten,MATCH(INDEX('März'!$B$21:$AF$21,DAY(DATE(Jahr,4,0))),Codes,0))="Arbeit",INDEX(Arten,MATCH(B21,Codes,0))="Arbeit"),IF(ROUND((1+INDEX(Beginne,MATCH(B21,Codes,0))-INDEX(EndeRel,MATCH(INDEX('März'!$B$21:$AF$21,DAY(DATE(Jahr,4,0))),Codes,0)))*1440,0)&lt;660,1,0),0),0))</f>
      </c>
      <c r="C70" s="1">
        <f>IF(OR(C$52=0,B21="",C21=""),0,IFERROR(IF(AND(INDEX(Arten,MATCH(B21,Codes,0))="Arbeit",INDEX(Arten,MATCH(C21,Codes,0))="Arbeit"),IF(ROUND((1+INDEX(Beginne,MATCH(C21,Codes,0))-INDEX(EndeRel,MATCH(B21,Codes,0)))*1440,0)&lt;660,1,0),0),0))</f>
      </c>
      <c r="D70" s="1">
        <f>IF(OR(D$52=0,C21="",D21=""),0,IFERROR(IF(AND(INDEX(Arten,MATCH(C21,Codes,0))="Arbeit",INDEX(Arten,MATCH(D21,Codes,0))="Arbeit"),IF(ROUND((1+INDEX(Beginne,MATCH(D21,Codes,0))-INDEX(EndeRel,MATCH(C21,Codes,0)))*1440,0)&lt;660,1,0),0),0))</f>
      </c>
      <c r="E70" s="1">
        <f>IF(OR(E$52=0,D21="",E21=""),0,IFERROR(IF(AND(INDEX(Arten,MATCH(D21,Codes,0))="Arbeit",INDEX(Arten,MATCH(E21,Codes,0))="Arbeit"),IF(ROUND((1+INDEX(Beginne,MATCH(E21,Codes,0))-INDEX(EndeRel,MATCH(D21,Codes,0)))*1440,0)&lt;660,1,0),0),0))</f>
      </c>
      <c r="F70" s="1">
        <f>IF(OR(F$52=0,E21="",F21=""),0,IFERROR(IF(AND(INDEX(Arten,MATCH(E21,Codes,0))="Arbeit",INDEX(Arten,MATCH(F21,Codes,0))="Arbeit"),IF(ROUND((1+INDEX(Beginne,MATCH(F21,Codes,0))-INDEX(EndeRel,MATCH(E21,Codes,0)))*1440,0)&lt;660,1,0),0),0))</f>
      </c>
      <c r="G70" s="1">
        <f>IF(OR(G$52=0,F21="",G21=""),0,IFERROR(IF(AND(INDEX(Arten,MATCH(F21,Codes,0))="Arbeit",INDEX(Arten,MATCH(G21,Codes,0))="Arbeit"),IF(ROUND((1+INDEX(Beginne,MATCH(G21,Codes,0))-INDEX(EndeRel,MATCH(F21,Codes,0)))*1440,0)&lt;660,1,0),0),0))</f>
      </c>
      <c r="H70" s="1">
        <f>IF(OR(H$52=0,G21="",H21=""),0,IFERROR(IF(AND(INDEX(Arten,MATCH(G21,Codes,0))="Arbeit",INDEX(Arten,MATCH(H21,Codes,0))="Arbeit"),IF(ROUND((1+INDEX(Beginne,MATCH(H21,Codes,0))-INDEX(EndeRel,MATCH(G21,Codes,0)))*1440,0)&lt;660,1,0),0),0))</f>
      </c>
      <c r="I70" s="1">
        <f>IF(OR(I$52=0,H21="",I21=""),0,IFERROR(IF(AND(INDEX(Arten,MATCH(H21,Codes,0))="Arbeit",INDEX(Arten,MATCH(I21,Codes,0))="Arbeit"),IF(ROUND((1+INDEX(Beginne,MATCH(I21,Codes,0))-INDEX(EndeRel,MATCH(H21,Codes,0)))*1440,0)&lt;660,1,0),0),0))</f>
      </c>
      <c r="J70" s="1">
        <f>IF(OR(J$52=0,I21="",J21=""),0,IFERROR(IF(AND(INDEX(Arten,MATCH(I21,Codes,0))="Arbeit",INDEX(Arten,MATCH(J21,Codes,0))="Arbeit"),IF(ROUND((1+INDEX(Beginne,MATCH(J21,Codes,0))-INDEX(EndeRel,MATCH(I21,Codes,0)))*1440,0)&lt;660,1,0),0),0))</f>
      </c>
      <c r="K70" s="1">
        <f>IF(OR(K$52=0,J21="",K21=""),0,IFERROR(IF(AND(INDEX(Arten,MATCH(J21,Codes,0))="Arbeit",INDEX(Arten,MATCH(K21,Codes,0))="Arbeit"),IF(ROUND((1+INDEX(Beginne,MATCH(K21,Codes,0))-INDEX(EndeRel,MATCH(J21,Codes,0)))*1440,0)&lt;660,1,0),0),0))</f>
      </c>
      <c r="L70" s="1">
        <f>IF(OR(L$52=0,K21="",L21=""),0,IFERROR(IF(AND(INDEX(Arten,MATCH(K21,Codes,0))="Arbeit",INDEX(Arten,MATCH(L21,Codes,0))="Arbeit"),IF(ROUND((1+INDEX(Beginne,MATCH(L21,Codes,0))-INDEX(EndeRel,MATCH(K21,Codes,0)))*1440,0)&lt;660,1,0),0),0))</f>
      </c>
      <c r="M70" s="1">
        <f>IF(OR(M$52=0,L21="",M21=""),0,IFERROR(IF(AND(INDEX(Arten,MATCH(L21,Codes,0))="Arbeit",INDEX(Arten,MATCH(M21,Codes,0))="Arbeit"),IF(ROUND((1+INDEX(Beginne,MATCH(M21,Codes,0))-INDEX(EndeRel,MATCH(L21,Codes,0)))*1440,0)&lt;660,1,0),0),0))</f>
      </c>
      <c r="N70" s="1">
        <f>IF(OR(N$52=0,M21="",N21=""),0,IFERROR(IF(AND(INDEX(Arten,MATCH(M21,Codes,0))="Arbeit",INDEX(Arten,MATCH(N21,Codes,0))="Arbeit"),IF(ROUND((1+INDEX(Beginne,MATCH(N21,Codes,0))-INDEX(EndeRel,MATCH(M21,Codes,0)))*1440,0)&lt;660,1,0),0),0))</f>
      </c>
      <c r="O70" s="1">
        <f>IF(OR(O$52=0,N21="",O21=""),0,IFERROR(IF(AND(INDEX(Arten,MATCH(N21,Codes,0))="Arbeit",INDEX(Arten,MATCH(O21,Codes,0))="Arbeit"),IF(ROUND((1+INDEX(Beginne,MATCH(O21,Codes,0))-INDEX(EndeRel,MATCH(N21,Codes,0)))*1440,0)&lt;660,1,0),0),0))</f>
      </c>
      <c r="P70" s="1">
        <f>IF(OR(P$52=0,O21="",P21=""),0,IFERROR(IF(AND(INDEX(Arten,MATCH(O21,Codes,0))="Arbeit",INDEX(Arten,MATCH(P21,Codes,0))="Arbeit"),IF(ROUND((1+INDEX(Beginne,MATCH(P21,Codes,0))-INDEX(EndeRel,MATCH(O21,Codes,0)))*1440,0)&lt;660,1,0),0),0))</f>
      </c>
      <c r="Q70" s="1">
        <f>IF(OR(Q$52=0,P21="",Q21=""),0,IFERROR(IF(AND(INDEX(Arten,MATCH(P21,Codes,0))="Arbeit",INDEX(Arten,MATCH(Q21,Codes,0))="Arbeit"),IF(ROUND((1+INDEX(Beginne,MATCH(Q21,Codes,0))-INDEX(EndeRel,MATCH(P21,Codes,0)))*1440,0)&lt;660,1,0),0),0))</f>
      </c>
      <c r="R70" s="1">
        <f>IF(OR(R$52=0,Q21="",R21=""),0,IFERROR(IF(AND(INDEX(Arten,MATCH(Q21,Codes,0))="Arbeit",INDEX(Arten,MATCH(R21,Codes,0))="Arbeit"),IF(ROUND((1+INDEX(Beginne,MATCH(R21,Codes,0))-INDEX(EndeRel,MATCH(Q21,Codes,0)))*1440,0)&lt;660,1,0),0),0))</f>
      </c>
      <c r="S70" s="1">
        <f>IF(OR(S$52=0,R21="",S21=""),0,IFERROR(IF(AND(INDEX(Arten,MATCH(R21,Codes,0))="Arbeit",INDEX(Arten,MATCH(S21,Codes,0))="Arbeit"),IF(ROUND((1+INDEX(Beginne,MATCH(S21,Codes,0))-INDEX(EndeRel,MATCH(R21,Codes,0)))*1440,0)&lt;660,1,0),0),0))</f>
      </c>
      <c r="T70" s="1">
        <f>IF(OR(T$52=0,S21="",T21=""),0,IFERROR(IF(AND(INDEX(Arten,MATCH(S21,Codes,0))="Arbeit",INDEX(Arten,MATCH(T21,Codes,0))="Arbeit"),IF(ROUND((1+INDEX(Beginne,MATCH(T21,Codes,0))-INDEX(EndeRel,MATCH(S21,Codes,0)))*1440,0)&lt;660,1,0),0),0))</f>
      </c>
      <c r="U70" s="1">
        <f>IF(OR(U$52=0,T21="",U21=""),0,IFERROR(IF(AND(INDEX(Arten,MATCH(T21,Codes,0))="Arbeit",INDEX(Arten,MATCH(U21,Codes,0))="Arbeit"),IF(ROUND((1+INDEX(Beginne,MATCH(U21,Codes,0))-INDEX(EndeRel,MATCH(T21,Codes,0)))*1440,0)&lt;660,1,0),0),0))</f>
      </c>
      <c r="V70" s="1">
        <f>IF(OR(V$52=0,U21="",V21=""),0,IFERROR(IF(AND(INDEX(Arten,MATCH(U21,Codes,0))="Arbeit",INDEX(Arten,MATCH(V21,Codes,0))="Arbeit"),IF(ROUND((1+INDEX(Beginne,MATCH(V21,Codes,0))-INDEX(EndeRel,MATCH(U21,Codes,0)))*1440,0)&lt;660,1,0),0),0))</f>
      </c>
      <c r="W70" s="1">
        <f>IF(OR(W$52=0,V21="",W21=""),0,IFERROR(IF(AND(INDEX(Arten,MATCH(V21,Codes,0))="Arbeit",INDEX(Arten,MATCH(W21,Codes,0))="Arbeit"),IF(ROUND((1+INDEX(Beginne,MATCH(W21,Codes,0))-INDEX(EndeRel,MATCH(V21,Codes,0)))*1440,0)&lt;660,1,0),0),0))</f>
      </c>
      <c r="X70" s="1">
        <f>IF(OR(X$52=0,W21="",X21=""),0,IFERROR(IF(AND(INDEX(Arten,MATCH(W21,Codes,0))="Arbeit",INDEX(Arten,MATCH(X21,Codes,0))="Arbeit"),IF(ROUND((1+INDEX(Beginne,MATCH(X21,Codes,0))-INDEX(EndeRel,MATCH(W21,Codes,0)))*1440,0)&lt;660,1,0),0),0))</f>
      </c>
      <c r="Y70" s="1">
        <f>IF(OR(Y$52=0,X21="",Y21=""),0,IFERROR(IF(AND(INDEX(Arten,MATCH(X21,Codes,0))="Arbeit",INDEX(Arten,MATCH(Y21,Codes,0))="Arbeit"),IF(ROUND((1+INDEX(Beginne,MATCH(Y21,Codes,0))-INDEX(EndeRel,MATCH(X21,Codes,0)))*1440,0)&lt;660,1,0),0),0))</f>
      </c>
      <c r="Z70" s="1">
        <f>IF(OR(Z$52=0,Y21="",Z21=""),0,IFERROR(IF(AND(INDEX(Arten,MATCH(Y21,Codes,0))="Arbeit",INDEX(Arten,MATCH(Z21,Codes,0))="Arbeit"),IF(ROUND((1+INDEX(Beginne,MATCH(Z21,Codes,0))-INDEX(EndeRel,MATCH(Y21,Codes,0)))*1440,0)&lt;660,1,0),0),0))</f>
      </c>
      <c r="AA70" s="1">
        <f>IF(OR(AA$52=0,Z21="",AA21=""),0,IFERROR(IF(AND(INDEX(Arten,MATCH(Z21,Codes,0))="Arbeit",INDEX(Arten,MATCH(AA21,Codes,0))="Arbeit"),IF(ROUND((1+INDEX(Beginne,MATCH(AA21,Codes,0))-INDEX(EndeRel,MATCH(Z21,Codes,0)))*1440,0)&lt;660,1,0),0),0))</f>
      </c>
      <c r="AB70" s="1">
        <f>IF(OR(AB$52=0,AA21="",AB21=""),0,IFERROR(IF(AND(INDEX(Arten,MATCH(AA21,Codes,0))="Arbeit",INDEX(Arten,MATCH(AB21,Codes,0))="Arbeit"),IF(ROUND((1+INDEX(Beginne,MATCH(AB21,Codes,0))-INDEX(EndeRel,MATCH(AA21,Codes,0)))*1440,0)&lt;660,1,0),0),0))</f>
      </c>
      <c r="AC70" s="1">
        <f>IF(OR(AC$52=0,AB21="",AC21=""),0,IFERROR(IF(AND(INDEX(Arten,MATCH(AB21,Codes,0))="Arbeit",INDEX(Arten,MATCH(AC21,Codes,0))="Arbeit"),IF(ROUND((1+INDEX(Beginne,MATCH(AC21,Codes,0))-INDEX(EndeRel,MATCH(AB21,Codes,0)))*1440,0)&lt;660,1,0),0),0))</f>
      </c>
      <c r="AD70" s="1">
        <f>IF(OR(AD$52=0,AC21="",AD21=""),0,IFERROR(IF(AND(INDEX(Arten,MATCH(AC21,Codes,0))="Arbeit",INDEX(Arten,MATCH(AD21,Codes,0))="Arbeit"),IF(ROUND((1+INDEX(Beginne,MATCH(AD21,Codes,0))-INDEX(EndeRel,MATCH(AC21,Codes,0)))*1440,0)&lt;660,1,0),0),0))</f>
      </c>
      <c r="AE70" s="1">
        <f>IF(OR(AE$52=0,AD21="",AE21=""),0,IFERROR(IF(AND(INDEX(Arten,MATCH(AD21,Codes,0))="Arbeit",INDEX(Arten,MATCH(AE21,Codes,0))="Arbeit"),IF(ROUND((1+INDEX(Beginne,MATCH(AE21,Codes,0))-INDEX(EndeRel,MATCH(AD21,Codes,0)))*1440,0)&lt;660,1,0),0),0))</f>
      </c>
      <c r="AF70" s="1">
        <f>IF(OR(AF$52=0,AE21="",AF21=""),0,IFERROR(IF(AND(INDEX(Arten,MATCH(AE21,Codes,0))="Arbeit",INDEX(Arten,MATCH(AF21,Codes,0))="Arbeit"),IF(ROUND((1+INDEX(Beginne,MATCH(AF21,Codes,0))-INDEX(EndeRel,MATCH(AE21,Codes,0)))*1440,0)&lt;660,1,0),0),0))</f>
      </c>
    </row>
    <row r="71" hidden="1" spans="1:32" x14ac:dyDescent="0.25">
      <c r="A71" s="1"/>
      <c r="B71" s="1">
        <f>IF(OR(B$52=0,INDEX('März'!$B$22:$AF$22,DAY(DATE(Jahr,4,0)))="",B22=""),0,IFERROR(IF(AND(INDEX(Arten,MATCH(INDEX('März'!$B$22:$AF$22,DAY(DATE(Jahr,4,0))),Codes,0))="Arbeit",INDEX(Arten,MATCH(B22,Codes,0))="Arbeit"),IF(ROUND((1+INDEX(Beginne,MATCH(B22,Codes,0))-INDEX(EndeRel,MATCH(INDEX('März'!$B$22:$AF$22,DAY(DATE(Jahr,4,0))),Codes,0)))*1440,0)&lt;660,1,0),0),0))</f>
      </c>
      <c r="C71" s="1">
        <f>IF(OR(C$52=0,B22="",C22=""),0,IFERROR(IF(AND(INDEX(Arten,MATCH(B22,Codes,0))="Arbeit",INDEX(Arten,MATCH(C22,Codes,0))="Arbeit"),IF(ROUND((1+INDEX(Beginne,MATCH(C22,Codes,0))-INDEX(EndeRel,MATCH(B22,Codes,0)))*1440,0)&lt;660,1,0),0),0))</f>
      </c>
      <c r="D71" s="1">
        <f>IF(OR(D$52=0,C22="",D22=""),0,IFERROR(IF(AND(INDEX(Arten,MATCH(C22,Codes,0))="Arbeit",INDEX(Arten,MATCH(D22,Codes,0))="Arbeit"),IF(ROUND((1+INDEX(Beginne,MATCH(D22,Codes,0))-INDEX(EndeRel,MATCH(C22,Codes,0)))*1440,0)&lt;660,1,0),0),0))</f>
      </c>
      <c r="E71" s="1">
        <f>IF(OR(E$52=0,D22="",E22=""),0,IFERROR(IF(AND(INDEX(Arten,MATCH(D22,Codes,0))="Arbeit",INDEX(Arten,MATCH(E22,Codes,0))="Arbeit"),IF(ROUND((1+INDEX(Beginne,MATCH(E22,Codes,0))-INDEX(EndeRel,MATCH(D22,Codes,0)))*1440,0)&lt;660,1,0),0),0))</f>
      </c>
      <c r="F71" s="1">
        <f>IF(OR(F$52=0,E22="",F22=""),0,IFERROR(IF(AND(INDEX(Arten,MATCH(E22,Codes,0))="Arbeit",INDEX(Arten,MATCH(F22,Codes,0))="Arbeit"),IF(ROUND((1+INDEX(Beginne,MATCH(F22,Codes,0))-INDEX(EndeRel,MATCH(E22,Codes,0)))*1440,0)&lt;660,1,0),0),0))</f>
      </c>
      <c r="G71" s="1">
        <f>IF(OR(G$52=0,F22="",G22=""),0,IFERROR(IF(AND(INDEX(Arten,MATCH(F22,Codes,0))="Arbeit",INDEX(Arten,MATCH(G22,Codes,0))="Arbeit"),IF(ROUND((1+INDEX(Beginne,MATCH(G22,Codes,0))-INDEX(EndeRel,MATCH(F22,Codes,0)))*1440,0)&lt;660,1,0),0),0))</f>
      </c>
      <c r="H71" s="1">
        <f>IF(OR(H$52=0,G22="",H22=""),0,IFERROR(IF(AND(INDEX(Arten,MATCH(G22,Codes,0))="Arbeit",INDEX(Arten,MATCH(H22,Codes,0))="Arbeit"),IF(ROUND((1+INDEX(Beginne,MATCH(H22,Codes,0))-INDEX(EndeRel,MATCH(G22,Codes,0)))*1440,0)&lt;660,1,0),0),0))</f>
      </c>
      <c r="I71" s="1">
        <f>IF(OR(I$52=0,H22="",I22=""),0,IFERROR(IF(AND(INDEX(Arten,MATCH(H22,Codes,0))="Arbeit",INDEX(Arten,MATCH(I22,Codes,0))="Arbeit"),IF(ROUND((1+INDEX(Beginne,MATCH(I22,Codes,0))-INDEX(EndeRel,MATCH(H22,Codes,0)))*1440,0)&lt;660,1,0),0),0))</f>
      </c>
      <c r="J71" s="1">
        <f>IF(OR(J$52=0,I22="",J22=""),0,IFERROR(IF(AND(INDEX(Arten,MATCH(I22,Codes,0))="Arbeit",INDEX(Arten,MATCH(J22,Codes,0))="Arbeit"),IF(ROUND((1+INDEX(Beginne,MATCH(J22,Codes,0))-INDEX(EndeRel,MATCH(I22,Codes,0)))*1440,0)&lt;660,1,0),0),0))</f>
      </c>
      <c r="K71" s="1">
        <f>IF(OR(K$52=0,J22="",K22=""),0,IFERROR(IF(AND(INDEX(Arten,MATCH(J22,Codes,0))="Arbeit",INDEX(Arten,MATCH(K22,Codes,0))="Arbeit"),IF(ROUND((1+INDEX(Beginne,MATCH(K22,Codes,0))-INDEX(EndeRel,MATCH(J22,Codes,0)))*1440,0)&lt;660,1,0),0),0))</f>
      </c>
      <c r="L71" s="1">
        <f>IF(OR(L$52=0,K22="",L22=""),0,IFERROR(IF(AND(INDEX(Arten,MATCH(K22,Codes,0))="Arbeit",INDEX(Arten,MATCH(L22,Codes,0))="Arbeit"),IF(ROUND((1+INDEX(Beginne,MATCH(L22,Codes,0))-INDEX(EndeRel,MATCH(K22,Codes,0)))*1440,0)&lt;660,1,0),0),0))</f>
      </c>
      <c r="M71" s="1">
        <f>IF(OR(M$52=0,L22="",M22=""),0,IFERROR(IF(AND(INDEX(Arten,MATCH(L22,Codes,0))="Arbeit",INDEX(Arten,MATCH(M22,Codes,0))="Arbeit"),IF(ROUND((1+INDEX(Beginne,MATCH(M22,Codes,0))-INDEX(EndeRel,MATCH(L22,Codes,0)))*1440,0)&lt;660,1,0),0),0))</f>
      </c>
      <c r="N71" s="1">
        <f>IF(OR(N$52=0,M22="",N22=""),0,IFERROR(IF(AND(INDEX(Arten,MATCH(M22,Codes,0))="Arbeit",INDEX(Arten,MATCH(N22,Codes,0))="Arbeit"),IF(ROUND((1+INDEX(Beginne,MATCH(N22,Codes,0))-INDEX(EndeRel,MATCH(M22,Codes,0)))*1440,0)&lt;660,1,0),0),0))</f>
      </c>
      <c r="O71" s="1">
        <f>IF(OR(O$52=0,N22="",O22=""),0,IFERROR(IF(AND(INDEX(Arten,MATCH(N22,Codes,0))="Arbeit",INDEX(Arten,MATCH(O22,Codes,0))="Arbeit"),IF(ROUND((1+INDEX(Beginne,MATCH(O22,Codes,0))-INDEX(EndeRel,MATCH(N22,Codes,0)))*1440,0)&lt;660,1,0),0),0))</f>
      </c>
      <c r="P71" s="1">
        <f>IF(OR(P$52=0,O22="",P22=""),0,IFERROR(IF(AND(INDEX(Arten,MATCH(O22,Codes,0))="Arbeit",INDEX(Arten,MATCH(P22,Codes,0))="Arbeit"),IF(ROUND((1+INDEX(Beginne,MATCH(P22,Codes,0))-INDEX(EndeRel,MATCH(O22,Codes,0)))*1440,0)&lt;660,1,0),0),0))</f>
      </c>
      <c r="Q71" s="1">
        <f>IF(OR(Q$52=0,P22="",Q22=""),0,IFERROR(IF(AND(INDEX(Arten,MATCH(P22,Codes,0))="Arbeit",INDEX(Arten,MATCH(Q22,Codes,0))="Arbeit"),IF(ROUND((1+INDEX(Beginne,MATCH(Q22,Codes,0))-INDEX(EndeRel,MATCH(P22,Codes,0)))*1440,0)&lt;660,1,0),0),0))</f>
      </c>
      <c r="R71" s="1">
        <f>IF(OR(R$52=0,Q22="",R22=""),0,IFERROR(IF(AND(INDEX(Arten,MATCH(Q22,Codes,0))="Arbeit",INDEX(Arten,MATCH(R22,Codes,0))="Arbeit"),IF(ROUND((1+INDEX(Beginne,MATCH(R22,Codes,0))-INDEX(EndeRel,MATCH(Q22,Codes,0)))*1440,0)&lt;660,1,0),0),0))</f>
      </c>
      <c r="S71" s="1">
        <f>IF(OR(S$52=0,R22="",S22=""),0,IFERROR(IF(AND(INDEX(Arten,MATCH(R22,Codes,0))="Arbeit",INDEX(Arten,MATCH(S22,Codes,0))="Arbeit"),IF(ROUND((1+INDEX(Beginne,MATCH(S22,Codes,0))-INDEX(EndeRel,MATCH(R22,Codes,0)))*1440,0)&lt;660,1,0),0),0))</f>
      </c>
      <c r="T71" s="1">
        <f>IF(OR(T$52=0,S22="",T22=""),0,IFERROR(IF(AND(INDEX(Arten,MATCH(S22,Codes,0))="Arbeit",INDEX(Arten,MATCH(T22,Codes,0))="Arbeit"),IF(ROUND((1+INDEX(Beginne,MATCH(T22,Codes,0))-INDEX(EndeRel,MATCH(S22,Codes,0)))*1440,0)&lt;660,1,0),0),0))</f>
      </c>
      <c r="U71" s="1">
        <f>IF(OR(U$52=0,T22="",U22=""),0,IFERROR(IF(AND(INDEX(Arten,MATCH(T22,Codes,0))="Arbeit",INDEX(Arten,MATCH(U22,Codes,0))="Arbeit"),IF(ROUND((1+INDEX(Beginne,MATCH(U22,Codes,0))-INDEX(EndeRel,MATCH(T22,Codes,0)))*1440,0)&lt;660,1,0),0),0))</f>
      </c>
      <c r="V71" s="1">
        <f>IF(OR(V$52=0,U22="",V22=""),0,IFERROR(IF(AND(INDEX(Arten,MATCH(U22,Codes,0))="Arbeit",INDEX(Arten,MATCH(V22,Codes,0))="Arbeit"),IF(ROUND((1+INDEX(Beginne,MATCH(V22,Codes,0))-INDEX(EndeRel,MATCH(U22,Codes,0)))*1440,0)&lt;660,1,0),0),0))</f>
      </c>
      <c r="W71" s="1">
        <f>IF(OR(W$52=0,V22="",W22=""),0,IFERROR(IF(AND(INDEX(Arten,MATCH(V22,Codes,0))="Arbeit",INDEX(Arten,MATCH(W22,Codes,0))="Arbeit"),IF(ROUND((1+INDEX(Beginne,MATCH(W22,Codes,0))-INDEX(EndeRel,MATCH(V22,Codes,0)))*1440,0)&lt;660,1,0),0),0))</f>
      </c>
      <c r="X71" s="1">
        <f>IF(OR(X$52=0,W22="",X22=""),0,IFERROR(IF(AND(INDEX(Arten,MATCH(W22,Codes,0))="Arbeit",INDEX(Arten,MATCH(X22,Codes,0))="Arbeit"),IF(ROUND((1+INDEX(Beginne,MATCH(X22,Codes,0))-INDEX(EndeRel,MATCH(W22,Codes,0)))*1440,0)&lt;660,1,0),0),0))</f>
      </c>
      <c r="Y71" s="1">
        <f>IF(OR(Y$52=0,X22="",Y22=""),0,IFERROR(IF(AND(INDEX(Arten,MATCH(X22,Codes,0))="Arbeit",INDEX(Arten,MATCH(Y22,Codes,0))="Arbeit"),IF(ROUND((1+INDEX(Beginne,MATCH(Y22,Codes,0))-INDEX(EndeRel,MATCH(X22,Codes,0)))*1440,0)&lt;660,1,0),0),0))</f>
      </c>
      <c r="Z71" s="1">
        <f>IF(OR(Z$52=0,Y22="",Z22=""),0,IFERROR(IF(AND(INDEX(Arten,MATCH(Y22,Codes,0))="Arbeit",INDEX(Arten,MATCH(Z22,Codes,0))="Arbeit"),IF(ROUND((1+INDEX(Beginne,MATCH(Z22,Codes,0))-INDEX(EndeRel,MATCH(Y22,Codes,0)))*1440,0)&lt;660,1,0),0),0))</f>
      </c>
      <c r="AA71" s="1">
        <f>IF(OR(AA$52=0,Z22="",AA22=""),0,IFERROR(IF(AND(INDEX(Arten,MATCH(Z22,Codes,0))="Arbeit",INDEX(Arten,MATCH(AA22,Codes,0))="Arbeit"),IF(ROUND((1+INDEX(Beginne,MATCH(AA22,Codes,0))-INDEX(EndeRel,MATCH(Z22,Codes,0)))*1440,0)&lt;660,1,0),0),0))</f>
      </c>
      <c r="AB71" s="1">
        <f>IF(OR(AB$52=0,AA22="",AB22=""),0,IFERROR(IF(AND(INDEX(Arten,MATCH(AA22,Codes,0))="Arbeit",INDEX(Arten,MATCH(AB22,Codes,0))="Arbeit"),IF(ROUND((1+INDEX(Beginne,MATCH(AB22,Codes,0))-INDEX(EndeRel,MATCH(AA22,Codes,0)))*1440,0)&lt;660,1,0),0),0))</f>
      </c>
      <c r="AC71" s="1">
        <f>IF(OR(AC$52=0,AB22="",AC22=""),0,IFERROR(IF(AND(INDEX(Arten,MATCH(AB22,Codes,0))="Arbeit",INDEX(Arten,MATCH(AC22,Codes,0))="Arbeit"),IF(ROUND((1+INDEX(Beginne,MATCH(AC22,Codes,0))-INDEX(EndeRel,MATCH(AB22,Codes,0)))*1440,0)&lt;660,1,0),0),0))</f>
      </c>
      <c r="AD71" s="1">
        <f>IF(OR(AD$52=0,AC22="",AD22=""),0,IFERROR(IF(AND(INDEX(Arten,MATCH(AC22,Codes,0))="Arbeit",INDEX(Arten,MATCH(AD22,Codes,0))="Arbeit"),IF(ROUND((1+INDEX(Beginne,MATCH(AD22,Codes,0))-INDEX(EndeRel,MATCH(AC22,Codes,0)))*1440,0)&lt;660,1,0),0),0))</f>
      </c>
      <c r="AE71" s="1">
        <f>IF(OR(AE$52=0,AD22="",AE22=""),0,IFERROR(IF(AND(INDEX(Arten,MATCH(AD22,Codes,0))="Arbeit",INDEX(Arten,MATCH(AE22,Codes,0))="Arbeit"),IF(ROUND((1+INDEX(Beginne,MATCH(AE22,Codes,0))-INDEX(EndeRel,MATCH(AD22,Codes,0)))*1440,0)&lt;660,1,0),0),0))</f>
      </c>
      <c r="AF71" s="1">
        <f>IF(OR(AF$52=0,AE22="",AF22=""),0,IFERROR(IF(AND(INDEX(Arten,MATCH(AE22,Codes,0))="Arbeit",INDEX(Arten,MATCH(AF22,Codes,0))="Arbeit"),IF(ROUND((1+INDEX(Beginne,MATCH(AF22,Codes,0))-INDEX(EndeRel,MATCH(AE22,Codes,0)))*1440,0)&lt;660,1,0),0),0))</f>
      </c>
    </row>
    <row r="72" hidden="1" spans="1:32" x14ac:dyDescent="0.25">
      <c r="A72" s="1"/>
      <c r="B72" s="1">
        <f>IF(OR(B$52=0,INDEX('März'!$B$23:$AF$23,DAY(DATE(Jahr,4,0)))="",B23=""),0,IFERROR(IF(AND(INDEX(Arten,MATCH(INDEX('März'!$B$23:$AF$23,DAY(DATE(Jahr,4,0))),Codes,0))="Arbeit",INDEX(Arten,MATCH(B23,Codes,0))="Arbeit"),IF(ROUND((1+INDEX(Beginne,MATCH(B23,Codes,0))-INDEX(EndeRel,MATCH(INDEX('März'!$B$23:$AF$23,DAY(DATE(Jahr,4,0))),Codes,0)))*1440,0)&lt;660,1,0),0),0))</f>
      </c>
      <c r="C72" s="1">
        <f>IF(OR(C$52=0,B23="",C23=""),0,IFERROR(IF(AND(INDEX(Arten,MATCH(B23,Codes,0))="Arbeit",INDEX(Arten,MATCH(C23,Codes,0))="Arbeit"),IF(ROUND((1+INDEX(Beginne,MATCH(C23,Codes,0))-INDEX(EndeRel,MATCH(B23,Codes,0)))*1440,0)&lt;660,1,0),0),0))</f>
      </c>
      <c r="D72" s="1">
        <f>IF(OR(D$52=0,C23="",D23=""),0,IFERROR(IF(AND(INDEX(Arten,MATCH(C23,Codes,0))="Arbeit",INDEX(Arten,MATCH(D23,Codes,0))="Arbeit"),IF(ROUND((1+INDEX(Beginne,MATCH(D23,Codes,0))-INDEX(EndeRel,MATCH(C23,Codes,0)))*1440,0)&lt;660,1,0),0),0))</f>
      </c>
      <c r="E72" s="1">
        <f>IF(OR(E$52=0,D23="",E23=""),0,IFERROR(IF(AND(INDEX(Arten,MATCH(D23,Codes,0))="Arbeit",INDEX(Arten,MATCH(E23,Codes,0))="Arbeit"),IF(ROUND((1+INDEX(Beginne,MATCH(E23,Codes,0))-INDEX(EndeRel,MATCH(D23,Codes,0)))*1440,0)&lt;660,1,0),0),0))</f>
      </c>
      <c r="F72" s="1">
        <f>IF(OR(F$52=0,E23="",F23=""),0,IFERROR(IF(AND(INDEX(Arten,MATCH(E23,Codes,0))="Arbeit",INDEX(Arten,MATCH(F23,Codes,0))="Arbeit"),IF(ROUND((1+INDEX(Beginne,MATCH(F23,Codes,0))-INDEX(EndeRel,MATCH(E23,Codes,0)))*1440,0)&lt;660,1,0),0),0))</f>
      </c>
      <c r="G72" s="1">
        <f>IF(OR(G$52=0,F23="",G23=""),0,IFERROR(IF(AND(INDEX(Arten,MATCH(F23,Codes,0))="Arbeit",INDEX(Arten,MATCH(G23,Codes,0))="Arbeit"),IF(ROUND((1+INDEX(Beginne,MATCH(G23,Codes,0))-INDEX(EndeRel,MATCH(F23,Codes,0)))*1440,0)&lt;660,1,0),0),0))</f>
      </c>
      <c r="H72" s="1">
        <f>IF(OR(H$52=0,G23="",H23=""),0,IFERROR(IF(AND(INDEX(Arten,MATCH(G23,Codes,0))="Arbeit",INDEX(Arten,MATCH(H23,Codes,0))="Arbeit"),IF(ROUND((1+INDEX(Beginne,MATCH(H23,Codes,0))-INDEX(EndeRel,MATCH(G23,Codes,0)))*1440,0)&lt;660,1,0),0),0))</f>
      </c>
      <c r="I72" s="1">
        <f>IF(OR(I$52=0,H23="",I23=""),0,IFERROR(IF(AND(INDEX(Arten,MATCH(H23,Codes,0))="Arbeit",INDEX(Arten,MATCH(I23,Codes,0))="Arbeit"),IF(ROUND((1+INDEX(Beginne,MATCH(I23,Codes,0))-INDEX(EndeRel,MATCH(H23,Codes,0)))*1440,0)&lt;660,1,0),0),0))</f>
      </c>
      <c r="J72" s="1">
        <f>IF(OR(J$52=0,I23="",J23=""),0,IFERROR(IF(AND(INDEX(Arten,MATCH(I23,Codes,0))="Arbeit",INDEX(Arten,MATCH(J23,Codes,0))="Arbeit"),IF(ROUND((1+INDEX(Beginne,MATCH(J23,Codes,0))-INDEX(EndeRel,MATCH(I23,Codes,0)))*1440,0)&lt;660,1,0),0),0))</f>
      </c>
      <c r="K72" s="1">
        <f>IF(OR(K$52=0,J23="",K23=""),0,IFERROR(IF(AND(INDEX(Arten,MATCH(J23,Codes,0))="Arbeit",INDEX(Arten,MATCH(K23,Codes,0))="Arbeit"),IF(ROUND((1+INDEX(Beginne,MATCH(K23,Codes,0))-INDEX(EndeRel,MATCH(J23,Codes,0)))*1440,0)&lt;660,1,0),0),0))</f>
      </c>
      <c r="L72" s="1">
        <f>IF(OR(L$52=0,K23="",L23=""),0,IFERROR(IF(AND(INDEX(Arten,MATCH(K23,Codes,0))="Arbeit",INDEX(Arten,MATCH(L23,Codes,0))="Arbeit"),IF(ROUND((1+INDEX(Beginne,MATCH(L23,Codes,0))-INDEX(EndeRel,MATCH(K23,Codes,0)))*1440,0)&lt;660,1,0),0),0))</f>
      </c>
      <c r="M72" s="1">
        <f>IF(OR(M$52=0,L23="",M23=""),0,IFERROR(IF(AND(INDEX(Arten,MATCH(L23,Codes,0))="Arbeit",INDEX(Arten,MATCH(M23,Codes,0))="Arbeit"),IF(ROUND((1+INDEX(Beginne,MATCH(M23,Codes,0))-INDEX(EndeRel,MATCH(L23,Codes,0)))*1440,0)&lt;660,1,0),0),0))</f>
      </c>
      <c r="N72" s="1">
        <f>IF(OR(N$52=0,M23="",N23=""),0,IFERROR(IF(AND(INDEX(Arten,MATCH(M23,Codes,0))="Arbeit",INDEX(Arten,MATCH(N23,Codes,0))="Arbeit"),IF(ROUND((1+INDEX(Beginne,MATCH(N23,Codes,0))-INDEX(EndeRel,MATCH(M23,Codes,0)))*1440,0)&lt;660,1,0),0),0))</f>
      </c>
      <c r="O72" s="1">
        <f>IF(OR(O$52=0,N23="",O23=""),0,IFERROR(IF(AND(INDEX(Arten,MATCH(N23,Codes,0))="Arbeit",INDEX(Arten,MATCH(O23,Codes,0))="Arbeit"),IF(ROUND((1+INDEX(Beginne,MATCH(O23,Codes,0))-INDEX(EndeRel,MATCH(N23,Codes,0)))*1440,0)&lt;660,1,0),0),0))</f>
      </c>
      <c r="P72" s="1">
        <f>IF(OR(P$52=0,O23="",P23=""),0,IFERROR(IF(AND(INDEX(Arten,MATCH(O23,Codes,0))="Arbeit",INDEX(Arten,MATCH(P23,Codes,0))="Arbeit"),IF(ROUND((1+INDEX(Beginne,MATCH(P23,Codes,0))-INDEX(EndeRel,MATCH(O23,Codes,0)))*1440,0)&lt;660,1,0),0),0))</f>
      </c>
      <c r="Q72" s="1">
        <f>IF(OR(Q$52=0,P23="",Q23=""),0,IFERROR(IF(AND(INDEX(Arten,MATCH(P23,Codes,0))="Arbeit",INDEX(Arten,MATCH(Q23,Codes,0))="Arbeit"),IF(ROUND((1+INDEX(Beginne,MATCH(Q23,Codes,0))-INDEX(EndeRel,MATCH(P23,Codes,0)))*1440,0)&lt;660,1,0),0),0))</f>
      </c>
      <c r="R72" s="1">
        <f>IF(OR(R$52=0,Q23="",R23=""),0,IFERROR(IF(AND(INDEX(Arten,MATCH(Q23,Codes,0))="Arbeit",INDEX(Arten,MATCH(R23,Codes,0))="Arbeit"),IF(ROUND((1+INDEX(Beginne,MATCH(R23,Codes,0))-INDEX(EndeRel,MATCH(Q23,Codes,0)))*1440,0)&lt;660,1,0),0),0))</f>
      </c>
      <c r="S72" s="1">
        <f>IF(OR(S$52=0,R23="",S23=""),0,IFERROR(IF(AND(INDEX(Arten,MATCH(R23,Codes,0))="Arbeit",INDEX(Arten,MATCH(S23,Codes,0))="Arbeit"),IF(ROUND((1+INDEX(Beginne,MATCH(S23,Codes,0))-INDEX(EndeRel,MATCH(R23,Codes,0)))*1440,0)&lt;660,1,0),0),0))</f>
      </c>
      <c r="T72" s="1">
        <f>IF(OR(T$52=0,S23="",T23=""),0,IFERROR(IF(AND(INDEX(Arten,MATCH(S23,Codes,0))="Arbeit",INDEX(Arten,MATCH(T23,Codes,0))="Arbeit"),IF(ROUND((1+INDEX(Beginne,MATCH(T23,Codes,0))-INDEX(EndeRel,MATCH(S23,Codes,0)))*1440,0)&lt;660,1,0),0),0))</f>
      </c>
      <c r="U72" s="1">
        <f>IF(OR(U$52=0,T23="",U23=""),0,IFERROR(IF(AND(INDEX(Arten,MATCH(T23,Codes,0))="Arbeit",INDEX(Arten,MATCH(U23,Codes,0))="Arbeit"),IF(ROUND((1+INDEX(Beginne,MATCH(U23,Codes,0))-INDEX(EndeRel,MATCH(T23,Codes,0)))*1440,0)&lt;660,1,0),0),0))</f>
      </c>
      <c r="V72" s="1">
        <f>IF(OR(V$52=0,U23="",V23=""),0,IFERROR(IF(AND(INDEX(Arten,MATCH(U23,Codes,0))="Arbeit",INDEX(Arten,MATCH(V23,Codes,0))="Arbeit"),IF(ROUND((1+INDEX(Beginne,MATCH(V23,Codes,0))-INDEX(EndeRel,MATCH(U23,Codes,0)))*1440,0)&lt;660,1,0),0),0))</f>
      </c>
      <c r="W72" s="1">
        <f>IF(OR(W$52=0,V23="",W23=""),0,IFERROR(IF(AND(INDEX(Arten,MATCH(V23,Codes,0))="Arbeit",INDEX(Arten,MATCH(W23,Codes,0))="Arbeit"),IF(ROUND((1+INDEX(Beginne,MATCH(W23,Codes,0))-INDEX(EndeRel,MATCH(V23,Codes,0)))*1440,0)&lt;660,1,0),0),0))</f>
      </c>
      <c r="X72" s="1">
        <f>IF(OR(X$52=0,W23="",X23=""),0,IFERROR(IF(AND(INDEX(Arten,MATCH(W23,Codes,0))="Arbeit",INDEX(Arten,MATCH(X23,Codes,0))="Arbeit"),IF(ROUND((1+INDEX(Beginne,MATCH(X23,Codes,0))-INDEX(EndeRel,MATCH(W23,Codes,0)))*1440,0)&lt;660,1,0),0),0))</f>
      </c>
      <c r="Y72" s="1">
        <f>IF(OR(Y$52=0,X23="",Y23=""),0,IFERROR(IF(AND(INDEX(Arten,MATCH(X23,Codes,0))="Arbeit",INDEX(Arten,MATCH(Y23,Codes,0))="Arbeit"),IF(ROUND((1+INDEX(Beginne,MATCH(Y23,Codes,0))-INDEX(EndeRel,MATCH(X23,Codes,0)))*1440,0)&lt;660,1,0),0),0))</f>
      </c>
      <c r="Z72" s="1">
        <f>IF(OR(Z$52=0,Y23="",Z23=""),0,IFERROR(IF(AND(INDEX(Arten,MATCH(Y23,Codes,0))="Arbeit",INDEX(Arten,MATCH(Z23,Codes,0))="Arbeit"),IF(ROUND((1+INDEX(Beginne,MATCH(Z23,Codes,0))-INDEX(EndeRel,MATCH(Y23,Codes,0)))*1440,0)&lt;660,1,0),0),0))</f>
      </c>
      <c r="AA72" s="1">
        <f>IF(OR(AA$52=0,Z23="",AA23=""),0,IFERROR(IF(AND(INDEX(Arten,MATCH(Z23,Codes,0))="Arbeit",INDEX(Arten,MATCH(AA23,Codes,0))="Arbeit"),IF(ROUND((1+INDEX(Beginne,MATCH(AA23,Codes,0))-INDEX(EndeRel,MATCH(Z23,Codes,0)))*1440,0)&lt;660,1,0),0),0))</f>
      </c>
      <c r="AB72" s="1">
        <f>IF(OR(AB$52=0,AA23="",AB23=""),0,IFERROR(IF(AND(INDEX(Arten,MATCH(AA23,Codes,0))="Arbeit",INDEX(Arten,MATCH(AB23,Codes,0))="Arbeit"),IF(ROUND((1+INDEX(Beginne,MATCH(AB23,Codes,0))-INDEX(EndeRel,MATCH(AA23,Codes,0)))*1440,0)&lt;660,1,0),0),0))</f>
      </c>
      <c r="AC72" s="1">
        <f>IF(OR(AC$52=0,AB23="",AC23=""),0,IFERROR(IF(AND(INDEX(Arten,MATCH(AB23,Codes,0))="Arbeit",INDEX(Arten,MATCH(AC23,Codes,0))="Arbeit"),IF(ROUND((1+INDEX(Beginne,MATCH(AC23,Codes,0))-INDEX(EndeRel,MATCH(AB23,Codes,0)))*1440,0)&lt;660,1,0),0),0))</f>
      </c>
      <c r="AD72" s="1">
        <f>IF(OR(AD$52=0,AC23="",AD23=""),0,IFERROR(IF(AND(INDEX(Arten,MATCH(AC23,Codes,0))="Arbeit",INDEX(Arten,MATCH(AD23,Codes,0))="Arbeit"),IF(ROUND((1+INDEX(Beginne,MATCH(AD23,Codes,0))-INDEX(EndeRel,MATCH(AC23,Codes,0)))*1440,0)&lt;660,1,0),0),0))</f>
      </c>
      <c r="AE72" s="1">
        <f>IF(OR(AE$52=0,AD23="",AE23=""),0,IFERROR(IF(AND(INDEX(Arten,MATCH(AD23,Codes,0))="Arbeit",INDEX(Arten,MATCH(AE23,Codes,0))="Arbeit"),IF(ROUND((1+INDEX(Beginne,MATCH(AE23,Codes,0))-INDEX(EndeRel,MATCH(AD23,Codes,0)))*1440,0)&lt;660,1,0),0),0))</f>
      </c>
      <c r="AF72" s="1">
        <f>IF(OR(AF$52=0,AE23="",AF23=""),0,IFERROR(IF(AND(INDEX(Arten,MATCH(AE23,Codes,0))="Arbeit",INDEX(Arten,MATCH(AF23,Codes,0))="Arbeit"),IF(ROUND((1+INDEX(Beginne,MATCH(AF23,Codes,0))-INDEX(EndeRel,MATCH(AE23,Codes,0)))*1440,0)&lt;660,1,0),0),0))</f>
      </c>
    </row>
    <row r="73" hidden="1" spans="1:32" x14ac:dyDescent="0.25">
      <c r="A73" s="1"/>
      <c r="B73" s="1">
        <f>IF(OR(B$52=0,INDEX('März'!$B$24:$AF$24,DAY(DATE(Jahr,4,0)))="",B24=""),0,IFERROR(IF(AND(INDEX(Arten,MATCH(INDEX('März'!$B$24:$AF$24,DAY(DATE(Jahr,4,0))),Codes,0))="Arbeit",INDEX(Arten,MATCH(B24,Codes,0))="Arbeit"),IF(ROUND((1+INDEX(Beginne,MATCH(B24,Codes,0))-INDEX(EndeRel,MATCH(INDEX('März'!$B$24:$AF$24,DAY(DATE(Jahr,4,0))),Codes,0)))*1440,0)&lt;660,1,0),0),0))</f>
      </c>
      <c r="C73" s="1">
        <f>IF(OR(C$52=0,B24="",C24=""),0,IFERROR(IF(AND(INDEX(Arten,MATCH(B24,Codes,0))="Arbeit",INDEX(Arten,MATCH(C24,Codes,0))="Arbeit"),IF(ROUND((1+INDEX(Beginne,MATCH(C24,Codes,0))-INDEX(EndeRel,MATCH(B24,Codes,0)))*1440,0)&lt;660,1,0),0),0))</f>
      </c>
      <c r="D73" s="1">
        <f>IF(OR(D$52=0,C24="",D24=""),0,IFERROR(IF(AND(INDEX(Arten,MATCH(C24,Codes,0))="Arbeit",INDEX(Arten,MATCH(D24,Codes,0))="Arbeit"),IF(ROUND((1+INDEX(Beginne,MATCH(D24,Codes,0))-INDEX(EndeRel,MATCH(C24,Codes,0)))*1440,0)&lt;660,1,0),0),0))</f>
      </c>
      <c r="E73" s="1">
        <f>IF(OR(E$52=0,D24="",E24=""),0,IFERROR(IF(AND(INDEX(Arten,MATCH(D24,Codes,0))="Arbeit",INDEX(Arten,MATCH(E24,Codes,0))="Arbeit"),IF(ROUND((1+INDEX(Beginne,MATCH(E24,Codes,0))-INDEX(EndeRel,MATCH(D24,Codes,0)))*1440,0)&lt;660,1,0),0),0))</f>
      </c>
      <c r="F73" s="1">
        <f>IF(OR(F$52=0,E24="",F24=""),0,IFERROR(IF(AND(INDEX(Arten,MATCH(E24,Codes,0))="Arbeit",INDEX(Arten,MATCH(F24,Codes,0))="Arbeit"),IF(ROUND((1+INDEX(Beginne,MATCH(F24,Codes,0))-INDEX(EndeRel,MATCH(E24,Codes,0)))*1440,0)&lt;660,1,0),0),0))</f>
      </c>
      <c r="G73" s="1">
        <f>IF(OR(G$52=0,F24="",G24=""),0,IFERROR(IF(AND(INDEX(Arten,MATCH(F24,Codes,0))="Arbeit",INDEX(Arten,MATCH(G24,Codes,0))="Arbeit"),IF(ROUND((1+INDEX(Beginne,MATCH(G24,Codes,0))-INDEX(EndeRel,MATCH(F24,Codes,0)))*1440,0)&lt;660,1,0),0),0))</f>
      </c>
      <c r="H73" s="1">
        <f>IF(OR(H$52=0,G24="",H24=""),0,IFERROR(IF(AND(INDEX(Arten,MATCH(G24,Codes,0))="Arbeit",INDEX(Arten,MATCH(H24,Codes,0))="Arbeit"),IF(ROUND((1+INDEX(Beginne,MATCH(H24,Codes,0))-INDEX(EndeRel,MATCH(G24,Codes,0)))*1440,0)&lt;660,1,0),0),0))</f>
      </c>
      <c r="I73" s="1">
        <f>IF(OR(I$52=0,H24="",I24=""),0,IFERROR(IF(AND(INDEX(Arten,MATCH(H24,Codes,0))="Arbeit",INDEX(Arten,MATCH(I24,Codes,0))="Arbeit"),IF(ROUND((1+INDEX(Beginne,MATCH(I24,Codes,0))-INDEX(EndeRel,MATCH(H24,Codes,0)))*1440,0)&lt;660,1,0),0),0))</f>
      </c>
      <c r="J73" s="1">
        <f>IF(OR(J$52=0,I24="",J24=""),0,IFERROR(IF(AND(INDEX(Arten,MATCH(I24,Codes,0))="Arbeit",INDEX(Arten,MATCH(J24,Codes,0))="Arbeit"),IF(ROUND((1+INDEX(Beginne,MATCH(J24,Codes,0))-INDEX(EndeRel,MATCH(I24,Codes,0)))*1440,0)&lt;660,1,0),0),0))</f>
      </c>
      <c r="K73" s="1">
        <f>IF(OR(K$52=0,J24="",K24=""),0,IFERROR(IF(AND(INDEX(Arten,MATCH(J24,Codes,0))="Arbeit",INDEX(Arten,MATCH(K24,Codes,0))="Arbeit"),IF(ROUND((1+INDEX(Beginne,MATCH(K24,Codes,0))-INDEX(EndeRel,MATCH(J24,Codes,0)))*1440,0)&lt;660,1,0),0),0))</f>
      </c>
      <c r="L73" s="1">
        <f>IF(OR(L$52=0,K24="",L24=""),0,IFERROR(IF(AND(INDEX(Arten,MATCH(K24,Codes,0))="Arbeit",INDEX(Arten,MATCH(L24,Codes,0))="Arbeit"),IF(ROUND((1+INDEX(Beginne,MATCH(L24,Codes,0))-INDEX(EndeRel,MATCH(K24,Codes,0)))*1440,0)&lt;660,1,0),0),0))</f>
      </c>
      <c r="M73" s="1">
        <f>IF(OR(M$52=0,L24="",M24=""),0,IFERROR(IF(AND(INDEX(Arten,MATCH(L24,Codes,0))="Arbeit",INDEX(Arten,MATCH(M24,Codes,0))="Arbeit"),IF(ROUND((1+INDEX(Beginne,MATCH(M24,Codes,0))-INDEX(EndeRel,MATCH(L24,Codes,0)))*1440,0)&lt;660,1,0),0),0))</f>
      </c>
      <c r="N73" s="1">
        <f>IF(OR(N$52=0,M24="",N24=""),0,IFERROR(IF(AND(INDEX(Arten,MATCH(M24,Codes,0))="Arbeit",INDEX(Arten,MATCH(N24,Codes,0))="Arbeit"),IF(ROUND((1+INDEX(Beginne,MATCH(N24,Codes,0))-INDEX(EndeRel,MATCH(M24,Codes,0)))*1440,0)&lt;660,1,0),0),0))</f>
      </c>
      <c r="O73" s="1">
        <f>IF(OR(O$52=0,N24="",O24=""),0,IFERROR(IF(AND(INDEX(Arten,MATCH(N24,Codes,0))="Arbeit",INDEX(Arten,MATCH(O24,Codes,0))="Arbeit"),IF(ROUND((1+INDEX(Beginne,MATCH(O24,Codes,0))-INDEX(EndeRel,MATCH(N24,Codes,0)))*1440,0)&lt;660,1,0),0),0))</f>
      </c>
      <c r="P73" s="1">
        <f>IF(OR(P$52=0,O24="",P24=""),0,IFERROR(IF(AND(INDEX(Arten,MATCH(O24,Codes,0))="Arbeit",INDEX(Arten,MATCH(P24,Codes,0))="Arbeit"),IF(ROUND((1+INDEX(Beginne,MATCH(P24,Codes,0))-INDEX(EndeRel,MATCH(O24,Codes,0)))*1440,0)&lt;660,1,0),0),0))</f>
      </c>
      <c r="Q73" s="1">
        <f>IF(OR(Q$52=0,P24="",Q24=""),0,IFERROR(IF(AND(INDEX(Arten,MATCH(P24,Codes,0))="Arbeit",INDEX(Arten,MATCH(Q24,Codes,0))="Arbeit"),IF(ROUND((1+INDEX(Beginne,MATCH(Q24,Codes,0))-INDEX(EndeRel,MATCH(P24,Codes,0)))*1440,0)&lt;660,1,0),0),0))</f>
      </c>
      <c r="R73" s="1">
        <f>IF(OR(R$52=0,Q24="",R24=""),0,IFERROR(IF(AND(INDEX(Arten,MATCH(Q24,Codes,0))="Arbeit",INDEX(Arten,MATCH(R24,Codes,0))="Arbeit"),IF(ROUND((1+INDEX(Beginne,MATCH(R24,Codes,0))-INDEX(EndeRel,MATCH(Q24,Codes,0)))*1440,0)&lt;660,1,0),0),0))</f>
      </c>
      <c r="S73" s="1">
        <f>IF(OR(S$52=0,R24="",S24=""),0,IFERROR(IF(AND(INDEX(Arten,MATCH(R24,Codes,0))="Arbeit",INDEX(Arten,MATCH(S24,Codes,0))="Arbeit"),IF(ROUND((1+INDEX(Beginne,MATCH(S24,Codes,0))-INDEX(EndeRel,MATCH(R24,Codes,0)))*1440,0)&lt;660,1,0),0),0))</f>
      </c>
      <c r="T73" s="1">
        <f>IF(OR(T$52=0,S24="",T24=""),0,IFERROR(IF(AND(INDEX(Arten,MATCH(S24,Codes,0))="Arbeit",INDEX(Arten,MATCH(T24,Codes,0))="Arbeit"),IF(ROUND((1+INDEX(Beginne,MATCH(T24,Codes,0))-INDEX(EndeRel,MATCH(S24,Codes,0)))*1440,0)&lt;660,1,0),0),0))</f>
      </c>
      <c r="U73" s="1">
        <f>IF(OR(U$52=0,T24="",U24=""),0,IFERROR(IF(AND(INDEX(Arten,MATCH(T24,Codes,0))="Arbeit",INDEX(Arten,MATCH(U24,Codes,0))="Arbeit"),IF(ROUND((1+INDEX(Beginne,MATCH(U24,Codes,0))-INDEX(EndeRel,MATCH(T24,Codes,0)))*1440,0)&lt;660,1,0),0),0))</f>
      </c>
      <c r="V73" s="1">
        <f>IF(OR(V$52=0,U24="",V24=""),0,IFERROR(IF(AND(INDEX(Arten,MATCH(U24,Codes,0))="Arbeit",INDEX(Arten,MATCH(V24,Codes,0))="Arbeit"),IF(ROUND((1+INDEX(Beginne,MATCH(V24,Codes,0))-INDEX(EndeRel,MATCH(U24,Codes,0)))*1440,0)&lt;660,1,0),0),0))</f>
      </c>
      <c r="W73" s="1">
        <f>IF(OR(W$52=0,V24="",W24=""),0,IFERROR(IF(AND(INDEX(Arten,MATCH(V24,Codes,0))="Arbeit",INDEX(Arten,MATCH(W24,Codes,0))="Arbeit"),IF(ROUND((1+INDEX(Beginne,MATCH(W24,Codes,0))-INDEX(EndeRel,MATCH(V24,Codes,0)))*1440,0)&lt;660,1,0),0),0))</f>
      </c>
      <c r="X73" s="1">
        <f>IF(OR(X$52=0,W24="",X24=""),0,IFERROR(IF(AND(INDEX(Arten,MATCH(W24,Codes,0))="Arbeit",INDEX(Arten,MATCH(X24,Codes,0))="Arbeit"),IF(ROUND((1+INDEX(Beginne,MATCH(X24,Codes,0))-INDEX(EndeRel,MATCH(W24,Codes,0)))*1440,0)&lt;660,1,0),0),0))</f>
      </c>
      <c r="Y73" s="1">
        <f>IF(OR(Y$52=0,X24="",Y24=""),0,IFERROR(IF(AND(INDEX(Arten,MATCH(X24,Codes,0))="Arbeit",INDEX(Arten,MATCH(Y24,Codes,0))="Arbeit"),IF(ROUND((1+INDEX(Beginne,MATCH(Y24,Codes,0))-INDEX(EndeRel,MATCH(X24,Codes,0)))*1440,0)&lt;660,1,0),0),0))</f>
      </c>
      <c r="Z73" s="1">
        <f>IF(OR(Z$52=0,Y24="",Z24=""),0,IFERROR(IF(AND(INDEX(Arten,MATCH(Y24,Codes,0))="Arbeit",INDEX(Arten,MATCH(Z24,Codes,0))="Arbeit"),IF(ROUND((1+INDEX(Beginne,MATCH(Z24,Codes,0))-INDEX(EndeRel,MATCH(Y24,Codes,0)))*1440,0)&lt;660,1,0),0),0))</f>
      </c>
      <c r="AA73" s="1">
        <f>IF(OR(AA$52=0,Z24="",AA24=""),0,IFERROR(IF(AND(INDEX(Arten,MATCH(Z24,Codes,0))="Arbeit",INDEX(Arten,MATCH(AA24,Codes,0))="Arbeit"),IF(ROUND((1+INDEX(Beginne,MATCH(AA24,Codes,0))-INDEX(EndeRel,MATCH(Z24,Codes,0)))*1440,0)&lt;660,1,0),0),0))</f>
      </c>
      <c r="AB73" s="1">
        <f>IF(OR(AB$52=0,AA24="",AB24=""),0,IFERROR(IF(AND(INDEX(Arten,MATCH(AA24,Codes,0))="Arbeit",INDEX(Arten,MATCH(AB24,Codes,0))="Arbeit"),IF(ROUND((1+INDEX(Beginne,MATCH(AB24,Codes,0))-INDEX(EndeRel,MATCH(AA24,Codes,0)))*1440,0)&lt;660,1,0),0),0))</f>
      </c>
      <c r="AC73" s="1">
        <f>IF(OR(AC$52=0,AB24="",AC24=""),0,IFERROR(IF(AND(INDEX(Arten,MATCH(AB24,Codes,0))="Arbeit",INDEX(Arten,MATCH(AC24,Codes,0))="Arbeit"),IF(ROUND((1+INDEX(Beginne,MATCH(AC24,Codes,0))-INDEX(EndeRel,MATCH(AB24,Codes,0)))*1440,0)&lt;660,1,0),0),0))</f>
      </c>
      <c r="AD73" s="1">
        <f>IF(OR(AD$52=0,AC24="",AD24=""),0,IFERROR(IF(AND(INDEX(Arten,MATCH(AC24,Codes,0))="Arbeit",INDEX(Arten,MATCH(AD24,Codes,0))="Arbeit"),IF(ROUND((1+INDEX(Beginne,MATCH(AD24,Codes,0))-INDEX(EndeRel,MATCH(AC24,Codes,0)))*1440,0)&lt;660,1,0),0),0))</f>
      </c>
      <c r="AE73" s="1">
        <f>IF(OR(AE$52=0,AD24="",AE24=""),0,IFERROR(IF(AND(INDEX(Arten,MATCH(AD24,Codes,0))="Arbeit",INDEX(Arten,MATCH(AE24,Codes,0))="Arbeit"),IF(ROUND((1+INDEX(Beginne,MATCH(AE24,Codes,0))-INDEX(EndeRel,MATCH(AD24,Codes,0)))*1440,0)&lt;660,1,0),0),0))</f>
      </c>
      <c r="AF73" s="1">
        <f>IF(OR(AF$52=0,AE24="",AF24=""),0,IFERROR(IF(AND(INDEX(Arten,MATCH(AE24,Codes,0))="Arbeit",INDEX(Arten,MATCH(AF24,Codes,0))="Arbeit"),IF(ROUND((1+INDEX(Beginne,MATCH(AF24,Codes,0))-INDEX(EndeRel,MATCH(AE24,Codes,0)))*1440,0)&lt;660,1,0),0),0))</f>
      </c>
    </row>
    <row r="74" hidden="1" spans="1:32" x14ac:dyDescent="0.25">
      <c r="A74" s="1"/>
      <c r="B74" s="1">
        <f>IF(OR(B$52=0,INDEX('März'!$B$25:$AF$25,DAY(DATE(Jahr,4,0)))="",B25=""),0,IFERROR(IF(AND(INDEX(Arten,MATCH(INDEX('März'!$B$25:$AF$25,DAY(DATE(Jahr,4,0))),Codes,0))="Arbeit",INDEX(Arten,MATCH(B25,Codes,0))="Arbeit"),IF(ROUND((1+INDEX(Beginne,MATCH(B25,Codes,0))-INDEX(EndeRel,MATCH(INDEX('März'!$B$25:$AF$25,DAY(DATE(Jahr,4,0))),Codes,0)))*1440,0)&lt;660,1,0),0),0))</f>
      </c>
      <c r="C74" s="1">
        <f>IF(OR(C$52=0,B25="",C25=""),0,IFERROR(IF(AND(INDEX(Arten,MATCH(B25,Codes,0))="Arbeit",INDEX(Arten,MATCH(C25,Codes,0))="Arbeit"),IF(ROUND((1+INDEX(Beginne,MATCH(C25,Codes,0))-INDEX(EndeRel,MATCH(B25,Codes,0)))*1440,0)&lt;660,1,0),0),0))</f>
      </c>
      <c r="D74" s="1">
        <f>IF(OR(D$52=0,C25="",D25=""),0,IFERROR(IF(AND(INDEX(Arten,MATCH(C25,Codes,0))="Arbeit",INDEX(Arten,MATCH(D25,Codes,0))="Arbeit"),IF(ROUND((1+INDEX(Beginne,MATCH(D25,Codes,0))-INDEX(EndeRel,MATCH(C25,Codes,0)))*1440,0)&lt;660,1,0),0),0))</f>
      </c>
      <c r="E74" s="1">
        <f>IF(OR(E$52=0,D25="",E25=""),0,IFERROR(IF(AND(INDEX(Arten,MATCH(D25,Codes,0))="Arbeit",INDEX(Arten,MATCH(E25,Codes,0))="Arbeit"),IF(ROUND((1+INDEX(Beginne,MATCH(E25,Codes,0))-INDEX(EndeRel,MATCH(D25,Codes,0)))*1440,0)&lt;660,1,0),0),0))</f>
      </c>
      <c r="F74" s="1">
        <f>IF(OR(F$52=0,E25="",F25=""),0,IFERROR(IF(AND(INDEX(Arten,MATCH(E25,Codes,0))="Arbeit",INDEX(Arten,MATCH(F25,Codes,0))="Arbeit"),IF(ROUND((1+INDEX(Beginne,MATCH(F25,Codes,0))-INDEX(EndeRel,MATCH(E25,Codes,0)))*1440,0)&lt;660,1,0),0),0))</f>
      </c>
      <c r="G74" s="1">
        <f>IF(OR(G$52=0,F25="",G25=""),0,IFERROR(IF(AND(INDEX(Arten,MATCH(F25,Codes,0))="Arbeit",INDEX(Arten,MATCH(G25,Codes,0))="Arbeit"),IF(ROUND((1+INDEX(Beginne,MATCH(G25,Codes,0))-INDEX(EndeRel,MATCH(F25,Codes,0)))*1440,0)&lt;660,1,0),0),0))</f>
      </c>
      <c r="H74" s="1">
        <f>IF(OR(H$52=0,G25="",H25=""),0,IFERROR(IF(AND(INDEX(Arten,MATCH(G25,Codes,0))="Arbeit",INDEX(Arten,MATCH(H25,Codes,0))="Arbeit"),IF(ROUND((1+INDEX(Beginne,MATCH(H25,Codes,0))-INDEX(EndeRel,MATCH(G25,Codes,0)))*1440,0)&lt;660,1,0),0),0))</f>
      </c>
      <c r="I74" s="1">
        <f>IF(OR(I$52=0,H25="",I25=""),0,IFERROR(IF(AND(INDEX(Arten,MATCH(H25,Codes,0))="Arbeit",INDEX(Arten,MATCH(I25,Codes,0))="Arbeit"),IF(ROUND((1+INDEX(Beginne,MATCH(I25,Codes,0))-INDEX(EndeRel,MATCH(H25,Codes,0)))*1440,0)&lt;660,1,0),0),0))</f>
      </c>
      <c r="J74" s="1">
        <f>IF(OR(J$52=0,I25="",J25=""),0,IFERROR(IF(AND(INDEX(Arten,MATCH(I25,Codes,0))="Arbeit",INDEX(Arten,MATCH(J25,Codes,0))="Arbeit"),IF(ROUND((1+INDEX(Beginne,MATCH(J25,Codes,0))-INDEX(EndeRel,MATCH(I25,Codes,0)))*1440,0)&lt;660,1,0),0),0))</f>
      </c>
      <c r="K74" s="1">
        <f>IF(OR(K$52=0,J25="",K25=""),0,IFERROR(IF(AND(INDEX(Arten,MATCH(J25,Codes,0))="Arbeit",INDEX(Arten,MATCH(K25,Codes,0))="Arbeit"),IF(ROUND((1+INDEX(Beginne,MATCH(K25,Codes,0))-INDEX(EndeRel,MATCH(J25,Codes,0)))*1440,0)&lt;660,1,0),0),0))</f>
      </c>
      <c r="L74" s="1">
        <f>IF(OR(L$52=0,K25="",L25=""),0,IFERROR(IF(AND(INDEX(Arten,MATCH(K25,Codes,0))="Arbeit",INDEX(Arten,MATCH(L25,Codes,0))="Arbeit"),IF(ROUND((1+INDEX(Beginne,MATCH(L25,Codes,0))-INDEX(EndeRel,MATCH(K25,Codes,0)))*1440,0)&lt;660,1,0),0),0))</f>
      </c>
      <c r="M74" s="1">
        <f>IF(OR(M$52=0,L25="",M25=""),0,IFERROR(IF(AND(INDEX(Arten,MATCH(L25,Codes,0))="Arbeit",INDEX(Arten,MATCH(M25,Codes,0))="Arbeit"),IF(ROUND((1+INDEX(Beginne,MATCH(M25,Codes,0))-INDEX(EndeRel,MATCH(L25,Codes,0)))*1440,0)&lt;660,1,0),0),0))</f>
      </c>
      <c r="N74" s="1">
        <f>IF(OR(N$52=0,M25="",N25=""),0,IFERROR(IF(AND(INDEX(Arten,MATCH(M25,Codes,0))="Arbeit",INDEX(Arten,MATCH(N25,Codes,0))="Arbeit"),IF(ROUND((1+INDEX(Beginne,MATCH(N25,Codes,0))-INDEX(EndeRel,MATCH(M25,Codes,0)))*1440,0)&lt;660,1,0),0),0))</f>
      </c>
      <c r="O74" s="1">
        <f>IF(OR(O$52=0,N25="",O25=""),0,IFERROR(IF(AND(INDEX(Arten,MATCH(N25,Codes,0))="Arbeit",INDEX(Arten,MATCH(O25,Codes,0))="Arbeit"),IF(ROUND((1+INDEX(Beginne,MATCH(O25,Codes,0))-INDEX(EndeRel,MATCH(N25,Codes,0)))*1440,0)&lt;660,1,0),0),0))</f>
      </c>
      <c r="P74" s="1">
        <f>IF(OR(P$52=0,O25="",P25=""),0,IFERROR(IF(AND(INDEX(Arten,MATCH(O25,Codes,0))="Arbeit",INDEX(Arten,MATCH(P25,Codes,0))="Arbeit"),IF(ROUND((1+INDEX(Beginne,MATCH(P25,Codes,0))-INDEX(EndeRel,MATCH(O25,Codes,0)))*1440,0)&lt;660,1,0),0),0))</f>
      </c>
      <c r="Q74" s="1">
        <f>IF(OR(Q$52=0,P25="",Q25=""),0,IFERROR(IF(AND(INDEX(Arten,MATCH(P25,Codes,0))="Arbeit",INDEX(Arten,MATCH(Q25,Codes,0))="Arbeit"),IF(ROUND((1+INDEX(Beginne,MATCH(Q25,Codes,0))-INDEX(EndeRel,MATCH(P25,Codes,0)))*1440,0)&lt;660,1,0),0),0))</f>
      </c>
      <c r="R74" s="1">
        <f>IF(OR(R$52=0,Q25="",R25=""),0,IFERROR(IF(AND(INDEX(Arten,MATCH(Q25,Codes,0))="Arbeit",INDEX(Arten,MATCH(R25,Codes,0))="Arbeit"),IF(ROUND((1+INDEX(Beginne,MATCH(R25,Codes,0))-INDEX(EndeRel,MATCH(Q25,Codes,0)))*1440,0)&lt;660,1,0),0),0))</f>
      </c>
      <c r="S74" s="1">
        <f>IF(OR(S$52=0,R25="",S25=""),0,IFERROR(IF(AND(INDEX(Arten,MATCH(R25,Codes,0))="Arbeit",INDEX(Arten,MATCH(S25,Codes,0))="Arbeit"),IF(ROUND((1+INDEX(Beginne,MATCH(S25,Codes,0))-INDEX(EndeRel,MATCH(R25,Codes,0)))*1440,0)&lt;660,1,0),0),0))</f>
      </c>
      <c r="T74" s="1">
        <f>IF(OR(T$52=0,S25="",T25=""),0,IFERROR(IF(AND(INDEX(Arten,MATCH(S25,Codes,0))="Arbeit",INDEX(Arten,MATCH(T25,Codes,0))="Arbeit"),IF(ROUND((1+INDEX(Beginne,MATCH(T25,Codes,0))-INDEX(EndeRel,MATCH(S25,Codes,0)))*1440,0)&lt;660,1,0),0),0))</f>
      </c>
      <c r="U74" s="1">
        <f>IF(OR(U$52=0,T25="",U25=""),0,IFERROR(IF(AND(INDEX(Arten,MATCH(T25,Codes,0))="Arbeit",INDEX(Arten,MATCH(U25,Codes,0))="Arbeit"),IF(ROUND((1+INDEX(Beginne,MATCH(U25,Codes,0))-INDEX(EndeRel,MATCH(T25,Codes,0)))*1440,0)&lt;660,1,0),0),0))</f>
      </c>
      <c r="V74" s="1">
        <f>IF(OR(V$52=0,U25="",V25=""),0,IFERROR(IF(AND(INDEX(Arten,MATCH(U25,Codes,0))="Arbeit",INDEX(Arten,MATCH(V25,Codes,0))="Arbeit"),IF(ROUND((1+INDEX(Beginne,MATCH(V25,Codes,0))-INDEX(EndeRel,MATCH(U25,Codes,0)))*1440,0)&lt;660,1,0),0),0))</f>
      </c>
      <c r="W74" s="1">
        <f>IF(OR(W$52=0,V25="",W25=""),0,IFERROR(IF(AND(INDEX(Arten,MATCH(V25,Codes,0))="Arbeit",INDEX(Arten,MATCH(W25,Codes,0))="Arbeit"),IF(ROUND((1+INDEX(Beginne,MATCH(W25,Codes,0))-INDEX(EndeRel,MATCH(V25,Codes,0)))*1440,0)&lt;660,1,0),0),0))</f>
      </c>
      <c r="X74" s="1">
        <f>IF(OR(X$52=0,W25="",X25=""),0,IFERROR(IF(AND(INDEX(Arten,MATCH(W25,Codes,0))="Arbeit",INDEX(Arten,MATCH(X25,Codes,0))="Arbeit"),IF(ROUND((1+INDEX(Beginne,MATCH(X25,Codes,0))-INDEX(EndeRel,MATCH(W25,Codes,0)))*1440,0)&lt;660,1,0),0),0))</f>
      </c>
      <c r="Y74" s="1">
        <f>IF(OR(Y$52=0,X25="",Y25=""),0,IFERROR(IF(AND(INDEX(Arten,MATCH(X25,Codes,0))="Arbeit",INDEX(Arten,MATCH(Y25,Codes,0))="Arbeit"),IF(ROUND((1+INDEX(Beginne,MATCH(Y25,Codes,0))-INDEX(EndeRel,MATCH(X25,Codes,0)))*1440,0)&lt;660,1,0),0),0))</f>
      </c>
      <c r="Z74" s="1">
        <f>IF(OR(Z$52=0,Y25="",Z25=""),0,IFERROR(IF(AND(INDEX(Arten,MATCH(Y25,Codes,0))="Arbeit",INDEX(Arten,MATCH(Z25,Codes,0))="Arbeit"),IF(ROUND((1+INDEX(Beginne,MATCH(Z25,Codes,0))-INDEX(EndeRel,MATCH(Y25,Codes,0)))*1440,0)&lt;660,1,0),0),0))</f>
      </c>
      <c r="AA74" s="1">
        <f>IF(OR(AA$52=0,Z25="",AA25=""),0,IFERROR(IF(AND(INDEX(Arten,MATCH(Z25,Codes,0))="Arbeit",INDEX(Arten,MATCH(AA25,Codes,0))="Arbeit"),IF(ROUND((1+INDEX(Beginne,MATCH(AA25,Codes,0))-INDEX(EndeRel,MATCH(Z25,Codes,0)))*1440,0)&lt;660,1,0),0),0))</f>
      </c>
      <c r="AB74" s="1">
        <f>IF(OR(AB$52=0,AA25="",AB25=""),0,IFERROR(IF(AND(INDEX(Arten,MATCH(AA25,Codes,0))="Arbeit",INDEX(Arten,MATCH(AB25,Codes,0))="Arbeit"),IF(ROUND((1+INDEX(Beginne,MATCH(AB25,Codes,0))-INDEX(EndeRel,MATCH(AA25,Codes,0)))*1440,0)&lt;660,1,0),0),0))</f>
      </c>
      <c r="AC74" s="1">
        <f>IF(OR(AC$52=0,AB25="",AC25=""),0,IFERROR(IF(AND(INDEX(Arten,MATCH(AB25,Codes,0))="Arbeit",INDEX(Arten,MATCH(AC25,Codes,0))="Arbeit"),IF(ROUND((1+INDEX(Beginne,MATCH(AC25,Codes,0))-INDEX(EndeRel,MATCH(AB25,Codes,0)))*1440,0)&lt;660,1,0),0),0))</f>
      </c>
      <c r="AD74" s="1">
        <f>IF(OR(AD$52=0,AC25="",AD25=""),0,IFERROR(IF(AND(INDEX(Arten,MATCH(AC25,Codes,0))="Arbeit",INDEX(Arten,MATCH(AD25,Codes,0))="Arbeit"),IF(ROUND((1+INDEX(Beginne,MATCH(AD25,Codes,0))-INDEX(EndeRel,MATCH(AC25,Codes,0)))*1440,0)&lt;660,1,0),0),0))</f>
      </c>
      <c r="AE74" s="1">
        <f>IF(OR(AE$52=0,AD25="",AE25=""),0,IFERROR(IF(AND(INDEX(Arten,MATCH(AD25,Codes,0))="Arbeit",INDEX(Arten,MATCH(AE25,Codes,0))="Arbeit"),IF(ROUND((1+INDEX(Beginne,MATCH(AE25,Codes,0))-INDEX(EndeRel,MATCH(AD25,Codes,0)))*1440,0)&lt;660,1,0),0),0))</f>
      </c>
      <c r="AF74" s="1">
        <f>IF(OR(AF$52=0,AE25="",AF25=""),0,IFERROR(IF(AND(INDEX(Arten,MATCH(AE25,Codes,0))="Arbeit",INDEX(Arten,MATCH(AF25,Codes,0))="Arbeit"),IF(ROUND((1+INDEX(Beginne,MATCH(AF25,Codes,0))-INDEX(EndeRel,MATCH(AE25,Codes,0)))*1440,0)&lt;660,1,0),0),0))</f>
      </c>
    </row>
    <row r="75" hidden="1" spans="1:32" x14ac:dyDescent="0.25">
      <c r="A75" s="1"/>
      <c r="B75" s="1">
        <f>IF(OR(B$52=0,INDEX('März'!$B$26:$AF$26,DAY(DATE(Jahr,4,0)))="",B26=""),0,IFERROR(IF(AND(INDEX(Arten,MATCH(INDEX('März'!$B$26:$AF$26,DAY(DATE(Jahr,4,0))),Codes,0))="Arbeit",INDEX(Arten,MATCH(B26,Codes,0))="Arbeit"),IF(ROUND((1+INDEX(Beginne,MATCH(B26,Codes,0))-INDEX(EndeRel,MATCH(INDEX('März'!$B$26:$AF$26,DAY(DATE(Jahr,4,0))),Codes,0)))*1440,0)&lt;660,1,0),0),0))</f>
      </c>
      <c r="C75" s="1">
        <f>IF(OR(C$52=0,B26="",C26=""),0,IFERROR(IF(AND(INDEX(Arten,MATCH(B26,Codes,0))="Arbeit",INDEX(Arten,MATCH(C26,Codes,0))="Arbeit"),IF(ROUND((1+INDEX(Beginne,MATCH(C26,Codes,0))-INDEX(EndeRel,MATCH(B26,Codes,0)))*1440,0)&lt;660,1,0),0),0))</f>
      </c>
      <c r="D75" s="1">
        <f>IF(OR(D$52=0,C26="",D26=""),0,IFERROR(IF(AND(INDEX(Arten,MATCH(C26,Codes,0))="Arbeit",INDEX(Arten,MATCH(D26,Codes,0))="Arbeit"),IF(ROUND((1+INDEX(Beginne,MATCH(D26,Codes,0))-INDEX(EndeRel,MATCH(C26,Codes,0)))*1440,0)&lt;660,1,0),0),0))</f>
      </c>
      <c r="E75" s="1">
        <f>IF(OR(E$52=0,D26="",E26=""),0,IFERROR(IF(AND(INDEX(Arten,MATCH(D26,Codes,0))="Arbeit",INDEX(Arten,MATCH(E26,Codes,0))="Arbeit"),IF(ROUND((1+INDEX(Beginne,MATCH(E26,Codes,0))-INDEX(EndeRel,MATCH(D26,Codes,0)))*1440,0)&lt;660,1,0),0),0))</f>
      </c>
      <c r="F75" s="1">
        <f>IF(OR(F$52=0,E26="",F26=""),0,IFERROR(IF(AND(INDEX(Arten,MATCH(E26,Codes,0))="Arbeit",INDEX(Arten,MATCH(F26,Codes,0))="Arbeit"),IF(ROUND((1+INDEX(Beginne,MATCH(F26,Codes,0))-INDEX(EndeRel,MATCH(E26,Codes,0)))*1440,0)&lt;660,1,0),0),0))</f>
      </c>
      <c r="G75" s="1">
        <f>IF(OR(G$52=0,F26="",G26=""),0,IFERROR(IF(AND(INDEX(Arten,MATCH(F26,Codes,0))="Arbeit",INDEX(Arten,MATCH(G26,Codes,0))="Arbeit"),IF(ROUND((1+INDEX(Beginne,MATCH(G26,Codes,0))-INDEX(EndeRel,MATCH(F26,Codes,0)))*1440,0)&lt;660,1,0),0),0))</f>
      </c>
      <c r="H75" s="1">
        <f>IF(OR(H$52=0,G26="",H26=""),0,IFERROR(IF(AND(INDEX(Arten,MATCH(G26,Codes,0))="Arbeit",INDEX(Arten,MATCH(H26,Codes,0))="Arbeit"),IF(ROUND((1+INDEX(Beginne,MATCH(H26,Codes,0))-INDEX(EndeRel,MATCH(G26,Codes,0)))*1440,0)&lt;660,1,0),0),0))</f>
      </c>
      <c r="I75" s="1">
        <f>IF(OR(I$52=0,H26="",I26=""),0,IFERROR(IF(AND(INDEX(Arten,MATCH(H26,Codes,0))="Arbeit",INDEX(Arten,MATCH(I26,Codes,0))="Arbeit"),IF(ROUND((1+INDEX(Beginne,MATCH(I26,Codes,0))-INDEX(EndeRel,MATCH(H26,Codes,0)))*1440,0)&lt;660,1,0),0),0))</f>
      </c>
      <c r="J75" s="1">
        <f>IF(OR(J$52=0,I26="",J26=""),0,IFERROR(IF(AND(INDEX(Arten,MATCH(I26,Codes,0))="Arbeit",INDEX(Arten,MATCH(J26,Codes,0))="Arbeit"),IF(ROUND((1+INDEX(Beginne,MATCH(J26,Codes,0))-INDEX(EndeRel,MATCH(I26,Codes,0)))*1440,0)&lt;660,1,0),0),0))</f>
      </c>
      <c r="K75" s="1">
        <f>IF(OR(K$52=0,J26="",K26=""),0,IFERROR(IF(AND(INDEX(Arten,MATCH(J26,Codes,0))="Arbeit",INDEX(Arten,MATCH(K26,Codes,0))="Arbeit"),IF(ROUND((1+INDEX(Beginne,MATCH(K26,Codes,0))-INDEX(EndeRel,MATCH(J26,Codes,0)))*1440,0)&lt;660,1,0),0),0))</f>
      </c>
      <c r="L75" s="1">
        <f>IF(OR(L$52=0,K26="",L26=""),0,IFERROR(IF(AND(INDEX(Arten,MATCH(K26,Codes,0))="Arbeit",INDEX(Arten,MATCH(L26,Codes,0))="Arbeit"),IF(ROUND((1+INDEX(Beginne,MATCH(L26,Codes,0))-INDEX(EndeRel,MATCH(K26,Codes,0)))*1440,0)&lt;660,1,0),0),0))</f>
      </c>
      <c r="M75" s="1">
        <f>IF(OR(M$52=0,L26="",M26=""),0,IFERROR(IF(AND(INDEX(Arten,MATCH(L26,Codes,0))="Arbeit",INDEX(Arten,MATCH(M26,Codes,0))="Arbeit"),IF(ROUND((1+INDEX(Beginne,MATCH(M26,Codes,0))-INDEX(EndeRel,MATCH(L26,Codes,0)))*1440,0)&lt;660,1,0),0),0))</f>
      </c>
      <c r="N75" s="1">
        <f>IF(OR(N$52=0,M26="",N26=""),0,IFERROR(IF(AND(INDEX(Arten,MATCH(M26,Codes,0))="Arbeit",INDEX(Arten,MATCH(N26,Codes,0))="Arbeit"),IF(ROUND((1+INDEX(Beginne,MATCH(N26,Codes,0))-INDEX(EndeRel,MATCH(M26,Codes,0)))*1440,0)&lt;660,1,0),0),0))</f>
      </c>
      <c r="O75" s="1">
        <f>IF(OR(O$52=0,N26="",O26=""),0,IFERROR(IF(AND(INDEX(Arten,MATCH(N26,Codes,0))="Arbeit",INDEX(Arten,MATCH(O26,Codes,0))="Arbeit"),IF(ROUND((1+INDEX(Beginne,MATCH(O26,Codes,0))-INDEX(EndeRel,MATCH(N26,Codes,0)))*1440,0)&lt;660,1,0),0),0))</f>
      </c>
      <c r="P75" s="1">
        <f>IF(OR(P$52=0,O26="",P26=""),0,IFERROR(IF(AND(INDEX(Arten,MATCH(O26,Codes,0))="Arbeit",INDEX(Arten,MATCH(P26,Codes,0))="Arbeit"),IF(ROUND((1+INDEX(Beginne,MATCH(P26,Codes,0))-INDEX(EndeRel,MATCH(O26,Codes,0)))*1440,0)&lt;660,1,0),0),0))</f>
      </c>
      <c r="Q75" s="1">
        <f>IF(OR(Q$52=0,P26="",Q26=""),0,IFERROR(IF(AND(INDEX(Arten,MATCH(P26,Codes,0))="Arbeit",INDEX(Arten,MATCH(Q26,Codes,0))="Arbeit"),IF(ROUND((1+INDEX(Beginne,MATCH(Q26,Codes,0))-INDEX(EndeRel,MATCH(P26,Codes,0)))*1440,0)&lt;660,1,0),0),0))</f>
      </c>
      <c r="R75" s="1">
        <f>IF(OR(R$52=0,Q26="",R26=""),0,IFERROR(IF(AND(INDEX(Arten,MATCH(Q26,Codes,0))="Arbeit",INDEX(Arten,MATCH(R26,Codes,0))="Arbeit"),IF(ROUND((1+INDEX(Beginne,MATCH(R26,Codes,0))-INDEX(EndeRel,MATCH(Q26,Codes,0)))*1440,0)&lt;660,1,0),0),0))</f>
      </c>
      <c r="S75" s="1">
        <f>IF(OR(S$52=0,R26="",S26=""),0,IFERROR(IF(AND(INDEX(Arten,MATCH(R26,Codes,0))="Arbeit",INDEX(Arten,MATCH(S26,Codes,0))="Arbeit"),IF(ROUND((1+INDEX(Beginne,MATCH(S26,Codes,0))-INDEX(EndeRel,MATCH(R26,Codes,0)))*1440,0)&lt;660,1,0),0),0))</f>
      </c>
      <c r="T75" s="1">
        <f>IF(OR(T$52=0,S26="",T26=""),0,IFERROR(IF(AND(INDEX(Arten,MATCH(S26,Codes,0))="Arbeit",INDEX(Arten,MATCH(T26,Codes,0))="Arbeit"),IF(ROUND((1+INDEX(Beginne,MATCH(T26,Codes,0))-INDEX(EndeRel,MATCH(S26,Codes,0)))*1440,0)&lt;660,1,0),0),0))</f>
      </c>
      <c r="U75" s="1">
        <f>IF(OR(U$52=0,T26="",U26=""),0,IFERROR(IF(AND(INDEX(Arten,MATCH(T26,Codes,0))="Arbeit",INDEX(Arten,MATCH(U26,Codes,0))="Arbeit"),IF(ROUND((1+INDEX(Beginne,MATCH(U26,Codes,0))-INDEX(EndeRel,MATCH(T26,Codes,0)))*1440,0)&lt;660,1,0),0),0))</f>
      </c>
      <c r="V75" s="1">
        <f>IF(OR(V$52=0,U26="",V26=""),0,IFERROR(IF(AND(INDEX(Arten,MATCH(U26,Codes,0))="Arbeit",INDEX(Arten,MATCH(V26,Codes,0))="Arbeit"),IF(ROUND((1+INDEX(Beginne,MATCH(V26,Codes,0))-INDEX(EndeRel,MATCH(U26,Codes,0)))*1440,0)&lt;660,1,0),0),0))</f>
      </c>
      <c r="W75" s="1">
        <f>IF(OR(W$52=0,V26="",W26=""),0,IFERROR(IF(AND(INDEX(Arten,MATCH(V26,Codes,0))="Arbeit",INDEX(Arten,MATCH(W26,Codes,0))="Arbeit"),IF(ROUND((1+INDEX(Beginne,MATCH(W26,Codes,0))-INDEX(EndeRel,MATCH(V26,Codes,0)))*1440,0)&lt;660,1,0),0),0))</f>
      </c>
      <c r="X75" s="1">
        <f>IF(OR(X$52=0,W26="",X26=""),0,IFERROR(IF(AND(INDEX(Arten,MATCH(W26,Codes,0))="Arbeit",INDEX(Arten,MATCH(X26,Codes,0))="Arbeit"),IF(ROUND((1+INDEX(Beginne,MATCH(X26,Codes,0))-INDEX(EndeRel,MATCH(W26,Codes,0)))*1440,0)&lt;660,1,0),0),0))</f>
      </c>
      <c r="Y75" s="1">
        <f>IF(OR(Y$52=0,X26="",Y26=""),0,IFERROR(IF(AND(INDEX(Arten,MATCH(X26,Codes,0))="Arbeit",INDEX(Arten,MATCH(Y26,Codes,0))="Arbeit"),IF(ROUND((1+INDEX(Beginne,MATCH(Y26,Codes,0))-INDEX(EndeRel,MATCH(X26,Codes,0)))*1440,0)&lt;660,1,0),0),0))</f>
      </c>
      <c r="Z75" s="1">
        <f>IF(OR(Z$52=0,Y26="",Z26=""),0,IFERROR(IF(AND(INDEX(Arten,MATCH(Y26,Codes,0))="Arbeit",INDEX(Arten,MATCH(Z26,Codes,0))="Arbeit"),IF(ROUND((1+INDEX(Beginne,MATCH(Z26,Codes,0))-INDEX(EndeRel,MATCH(Y26,Codes,0)))*1440,0)&lt;660,1,0),0),0))</f>
      </c>
      <c r="AA75" s="1">
        <f>IF(OR(AA$52=0,Z26="",AA26=""),0,IFERROR(IF(AND(INDEX(Arten,MATCH(Z26,Codes,0))="Arbeit",INDEX(Arten,MATCH(AA26,Codes,0))="Arbeit"),IF(ROUND((1+INDEX(Beginne,MATCH(AA26,Codes,0))-INDEX(EndeRel,MATCH(Z26,Codes,0)))*1440,0)&lt;660,1,0),0),0))</f>
      </c>
      <c r="AB75" s="1">
        <f>IF(OR(AB$52=0,AA26="",AB26=""),0,IFERROR(IF(AND(INDEX(Arten,MATCH(AA26,Codes,0))="Arbeit",INDEX(Arten,MATCH(AB26,Codes,0))="Arbeit"),IF(ROUND((1+INDEX(Beginne,MATCH(AB26,Codes,0))-INDEX(EndeRel,MATCH(AA26,Codes,0)))*1440,0)&lt;660,1,0),0),0))</f>
      </c>
      <c r="AC75" s="1">
        <f>IF(OR(AC$52=0,AB26="",AC26=""),0,IFERROR(IF(AND(INDEX(Arten,MATCH(AB26,Codes,0))="Arbeit",INDEX(Arten,MATCH(AC26,Codes,0))="Arbeit"),IF(ROUND((1+INDEX(Beginne,MATCH(AC26,Codes,0))-INDEX(EndeRel,MATCH(AB26,Codes,0)))*1440,0)&lt;660,1,0),0),0))</f>
      </c>
      <c r="AD75" s="1">
        <f>IF(OR(AD$52=0,AC26="",AD26=""),0,IFERROR(IF(AND(INDEX(Arten,MATCH(AC26,Codes,0))="Arbeit",INDEX(Arten,MATCH(AD26,Codes,0))="Arbeit"),IF(ROUND((1+INDEX(Beginne,MATCH(AD26,Codes,0))-INDEX(EndeRel,MATCH(AC26,Codes,0)))*1440,0)&lt;660,1,0),0),0))</f>
      </c>
      <c r="AE75" s="1">
        <f>IF(OR(AE$52=0,AD26="",AE26=""),0,IFERROR(IF(AND(INDEX(Arten,MATCH(AD26,Codes,0))="Arbeit",INDEX(Arten,MATCH(AE26,Codes,0))="Arbeit"),IF(ROUND((1+INDEX(Beginne,MATCH(AE26,Codes,0))-INDEX(EndeRel,MATCH(AD26,Codes,0)))*1440,0)&lt;660,1,0),0),0))</f>
      </c>
      <c r="AF75" s="1">
        <f>IF(OR(AF$52=0,AE26="",AF26=""),0,IFERROR(IF(AND(INDEX(Arten,MATCH(AE26,Codes,0))="Arbeit",INDEX(Arten,MATCH(AF26,Codes,0))="Arbeit"),IF(ROUND((1+INDEX(Beginne,MATCH(AF26,Codes,0))-INDEX(EndeRel,MATCH(AE26,Codes,0)))*1440,0)&lt;660,1,0),0),0))</f>
      </c>
    </row>
    <row r="76" hidden="1" spans="1:32" x14ac:dyDescent="0.25">
      <c r="A76" s="1"/>
      <c r="B76" s="1">
        <f>IF(OR(B$52=0,INDEX('März'!$B$27:$AF$27,DAY(DATE(Jahr,4,0)))="",B27=""),0,IFERROR(IF(AND(INDEX(Arten,MATCH(INDEX('März'!$B$27:$AF$27,DAY(DATE(Jahr,4,0))),Codes,0))="Arbeit",INDEX(Arten,MATCH(B27,Codes,0))="Arbeit"),IF(ROUND((1+INDEX(Beginne,MATCH(B27,Codes,0))-INDEX(EndeRel,MATCH(INDEX('März'!$B$27:$AF$27,DAY(DATE(Jahr,4,0))),Codes,0)))*1440,0)&lt;660,1,0),0),0))</f>
      </c>
      <c r="C76" s="1">
        <f>IF(OR(C$52=0,B27="",C27=""),0,IFERROR(IF(AND(INDEX(Arten,MATCH(B27,Codes,0))="Arbeit",INDEX(Arten,MATCH(C27,Codes,0))="Arbeit"),IF(ROUND((1+INDEX(Beginne,MATCH(C27,Codes,0))-INDEX(EndeRel,MATCH(B27,Codes,0)))*1440,0)&lt;660,1,0),0),0))</f>
      </c>
      <c r="D76" s="1">
        <f>IF(OR(D$52=0,C27="",D27=""),0,IFERROR(IF(AND(INDEX(Arten,MATCH(C27,Codes,0))="Arbeit",INDEX(Arten,MATCH(D27,Codes,0))="Arbeit"),IF(ROUND((1+INDEX(Beginne,MATCH(D27,Codes,0))-INDEX(EndeRel,MATCH(C27,Codes,0)))*1440,0)&lt;660,1,0),0),0))</f>
      </c>
      <c r="E76" s="1">
        <f>IF(OR(E$52=0,D27="",E27=""),0,IFERROR(IF(AND(INDEX(Arten,MATCH(D27,Codes,0))="Arbeit",INDEX(Arten,MATCH(E27,Codes,0))="Arbeit"),IF(ROUND((1+INDEX(Beginne,MATCH(E27,Codes,0))-INDEX(EndeRel,MATCH(D27,Codes,0)))*1440,0)&lt;660,1,0),0),0))</f>
      </c>
      <c r="F76" s="1">
        <f>IF(OR(F$52=0,E27="",F27=""),0,IFERROR(IF(AND(INDEX(Arten,MATCH(E27,Codes,0))="Arbeit",INDEX(Arten,MATCH(F27,Codes,0))="Arbeit"),IF(ROUND((1+INDEX(Beginne,MATCH(F27,Codes,0))-INDEX(EndeRel,MATCH(E27,Codes,0)))*1440,0)&lt;660,1,0),0),0))</f>
      </c>
      <c r="G76" s="1">
        <f>IF(OR(G$52=0,F27="",G27=""),0,IFERROR(IF(AND(INDEX(Arten,MATCH(F27,Codes,0))="Arbeit",INDEX(Arten,MATCH(G27,Codes,0))="Arbeit"),IF(ROUND((1+INDEX(Beginne,MATCH(G27,Codes,0))-INDEX(EndeRel,MATCH(F27,Codes,0)))*1440,0)&lt;660,1,0),0),0))</f>
      </c>
      <c r="H76" s="1">
        <f>IF(OR(H$52=0,G27="",H27=""),0,IFERROR(IF(AND(INDEX(Arten,MATCH(G27,Codes,0))="Arbeit",INDEX(Arten,MATCH(H27,Codes,0))="Arbeit"),IF(ROUND((1+INDEX(Beginne,MATCH(H27,Codes,0))-INDEX(EndeRel,MATCH(G27,Codes,0)))*1440,0)&lt;660,1,0),0),0))</f>
      </c>
      <c r="I76" s="1">
        <f>IF(OR(I$52=0,H27="",I27=""),0,IFERROR(IF(AND(INDEX(Arten,MATCH(H27,Codes,0))="Arbeit",INDEX(Arten,MATCH(I27,Codes,0))="Arbeit"),IF(ROUND((1+INDEX(Beginne,MATCH(I27,Codes,0))-INDEX(EndeRel,MATCH(H27,Codes,0)))*1440,0)&lt;660,1,0),0),0))</f>
      </c>
      <c r="J76" s="1">
        <f>IF(OR(J$52=0,I27="",J27=""),0,IFERROR(IF(AND(INDEX(Arten,MATCH(I27,Codes,0))="Arbeit",INDEX(Arten,MATCH(J27,Codes,0))="Arbeit"),IF(ROUND((1+INDEX(Beginne,MATCH(J27,Codes,0))-INDEX(EndeRel,MATCH(I27,Codes,0)))*1440,0)&lt;660,1,0),0),0))</f>
      </c>
      <c r="K76" s="1">
        <f>IF(OR(K$52=0,J27="",K27=""),0,IFERROR(IF(AND(INDEX(Arten,MATCH(J27,Codes,0))="Arbeit",INDEX(Arten,MATCH(K27,Codes,0))="Arbeit"),IF(ROUND((1+INDEX(Beginne,MATCH(K27,Codes,0))-INDEX(EndeRel,MATCH(J27,Codes,0)))*1440,0)&lt;660,1,0),0),0))</f>
      </c>
      <c r="L76" s="1">
        <f>IF(OR(L$52=0,K27="",L27=""),0,IFERROR(IF(AND(INDEX(Arten,MATCH(K27,Codes,0))="Arbeit",INDEX(Arten,MATCH(L27,Codes,0))="Arbeit"),IF(ROUND((1+INDEX(Beginne,MATCH(L27,Codes,0))-INDEX(EndeRel,MATCH(K27,Codes,0)))*1440,0)&lt;660,1,0),0),0))</f>
      </c>
      <c r="M76" s="1">
        <f>IF(OR(M$52=0,L27="",M27=""),0,IFERROR(IF(AND(INDEX(Arten,MATCH(L27,Codes,0))="Arbeit",INDEX(Arten,MATCH(M27,Codes,0))="Arbeit"),IF(ROUND((1+INDEX(Beginne,MATCH(M27,Codes,0))-INDEX(EndeRel,MATCH(L27,Codes,0)))*1440,0)&lt;660,1,0),0),0))</f>
      </c>
      <c r="N76" s="1">
        <f>IF(OR(N$52=0,M27="",N27=""),0,IFERROR(IF(AND(INDEX(Arten,MATCH(M27,Codes,0))="Arbeit",INDEX(Arten,MATCH(N27,Codes,0))="Arbeit"),IF(ROUND((1+INDEX(Beginne,MATCH(N27,Codes,0))-INDEX(EndeRel,MATCH(M27,Codes,0)))*1440,0)&lt;660,1,0),0),0))</f>
      </c>
      <c r="O76" s="1">
        <f>IF(OR(O$52=0,N27="",O27=""),0,IFERROR(IF(AND(INDEX(Arten,MATCH(N27,Codes,0))="Arbeit",INDEX(Arten,MATCH(O27,Codes,0))="Arbeit"),IF(ROUND((1+INDEX(Beginne,MATCH(O27,Codes,0))-INDEX(EndeRel,MATCH(N27,Codes,0)))*1440,0)&lt;660,1,0),0),0))</f>
      </c>
      <c r="P76" s="1">
        <f>IF(OR(P$52=0,O27="",P27=""),0,IFERROR(IF(AND(INDEX(Arten,MATCH(O27,Codes,0))="Arbeit",INDEX(Arten,MATCH(P27,Codes,0))="Arbeit"),IF(ROUND((1+INDEX(Beginne,MATCH(P27,Codes,0))-INDEX(EndeRel,MATCH(O27,Codes,0)))*1440,0)&lt;660,1,0),0),0))</f>
      </c>
      <c r="Q76" s="1">
        <f>IF(OR(Q$52=0,P27="",Q27=""),0,IFERROR(IF(AND(INDEX(Arten,MATCH(P27,Codes,0))="Arbeit",INDEX(Arten,MATCH(Q27,Codes,0))="Arbeit"),IF(ROUND((1+INDEX(Beginne,MATCH(Q27,Codes,0))-INDEX(EndeRel,MATCH(P27,Codes,0)))*1440,0)&lt;660,1,0),0),0))</f>
      </c>
      <c r="R76" s="1">
        <f>IF(OR(R$52=0,Q27="",R27=""),0,IFERROR(IF(AND(INDEX(Arten,MATCH(Q27,Codes,0))="Arbeit",INDEX(Arten,MATCH(R27,Codes,0))="Arbeit"),IF(ROUND((1+INDEX(Beginne,MATCH(R27,Codes,0))-INDEX(EndeRel,MATCH(Q27,Codes,0)))*1440,0)&lt;660,1,0),0),0))</f>
      </c>
      <c r="S76" s="1">
        <f>IF(OR(S$52=0,R27="",S27=""),0,IFERROR(IF(AND(INDEX(Arten,MATCH(R27,Codes,0))="Arbeit",INDEX(Arten,MATCH(S27,Codes,0))="Arbeit"),IF(ROUND((1+INDEX(Beginne,MATCH(S27,Codes,0))-INDEX(EndeRel,MATCH(R27,Codes,0)))*1440,0)&lt;660,1,0),0),0))</f>
      </c>
      <c r="T76" s="1">
        <f>IF(OR(T$52=0,S27="",T27=""),0,IFERROR(IF(AND(INDEX(Arten,MATCH(S27,Codes,0))="Arbeit",INDEX(Arten,MATCH(T27,Codes,0))="Arbeit"),IF(ROUND((1+INDEX(Beginne,MATCH(T27,Codes,0))-INDEX(EndeRel,MATCH(S27,Codes,0)))*1440,0)&lt;660,1,0),0),0))</f>
      </c>
      <c r="U76" s="1">
        <f>IF(OR(U$52=0,T27="",U27=""),0,IFERROR(IF(AND(INDEX(Arten,MATCH(T27,Codes,0))="Arbeit",INDEX(Arten,MATCH(U27,Codes,0))="Arbeit"),IF(ROUND((1+INDEX(Beginne,MATCH(U27,Codes,0))-INDEX(EndeRel,MATCH(T27,Codes,0)))*1440,0)&lt;660,1,0),0),0))</f>
      </c>
      <c r="V76" s="1">
        <f>IF(OR(V$52=0,U27="",V27=""),0,IFERROR(IF(AND(INDEX(Arten,MATCH(U27,Codes,0))="Arbeit",INDEX(Arten,MATCH(V27,Codes,0))="Arbeit"),IF(ROUND((1+INDEX(Beginne,MATCH(V27,Codes,0))-INDEX(EndeRel,MATCH(U27,Codes,0)))*1440,0)&lt;660,1,0),0),0))</f>
      </c>
      <c r="W76" s="1">
        <f>IF(OR(W$52=0,V27="",W27=""),0,IFERROR(IF(AND(INDEX(Arten,MATCH(V27,Codes,0))="Arbeit",INDEX(Arten,MATCH(W27,Codes,0))="Arbeit"),IF(ROUND((1+INDEX(Beginne,MATCH(W27,Codes,0))-INDEX(EndeRel,MATCH(V27,Codes,0)))*1440,0)&lt;660,1,0),0),0))</f>
      </c>
      <c r="X76" s="1">
        <f>IF(OR(X$52=0,W27="",X27=""),0,IFERROR(IF(AND(INDEX(Arten,MATCH(W27,Codes,0))="Arbeit",INDEX(Arten,MATCH(X27,Codes,0))="Arbeit"),IF(ROUND((1+INDEX(Beginne,MATCH(X27,Codes,0))-INDEX(EndeRel,MATCH(W27,Codes,0)))*1440,0)&lt;660,1,0),0),0))</f>
      </c>
      <c r="Y76" s="1">
        <f>IF(OR(Y$52=0,X27="",Y27=""),0,IFERROR(IF(AND(INDEX(Arten,MATCH(X27,Codes,0))="Arbeit",INDEX(Arten,MATCH(Y27,Codes,0))="Arbeit"),IF(ROUND((1+INDEX(Beginne,MATCH(Y27,Codes,0))-INDEX(EndeRel,MATCH(X27,Codes,0)))*1440,0)&lt;660,1,0),0),0))</f>
      </c>
      <c r="Z76" s="1">
        <f>IF(OR(Z$52=0,Y27="",Z27=""),0,IFERROR(IF(AND(INDEX(Arten,MATCH(Y27,Codes,0))="Arbeit",INDEX(Arten,MATCH(Z27,Codes,0))="Arbeit"),IF(ROUND((1+INDEX(Beginne,MATCH(Z27,Codes,0))-INDEX(EndeRel,MATCH(Y27,Codes,0)))*1440,0)&lt;660,1,0),0),0))</f>
      </c>
      <c r="AA76" s="1">
        <f>IF(OR(AA$52=0,Z27="",AA27=""),0,IFERROR(IF(AND(INDEX(Arten,MATCH(Z27,Codes,0))="Arbeit",INDEX(Arten,MATCH(AA27,Codes,0))="Arbeit"),IF(ROUND((1+INDEX(Beginne,MATCH(AA27,Codes,0))-INDEX(EndeRel,MATCH(Z27,Codes,0)))*1440,0)&lt;660,1,0),0),0))</f>
      </c>
      <c r="AB76" s="1">
        <f>IF(OR(AB$52=0,AA27="",AB27=""),0,IFERROR(IF(AND(INDEX(Arten,MATCH(AA27,Codes,0))="Arbeit",INDEX(Arten,MATCH(AB27,Codes,0))="Arbeit"),IF(ROUND((1+INDEX(Beginne,MATCH(AB27,Codes,0))-INDEX(EndeRel,MATCH(AA27,Codes,0)))*1440,0)&lt;660,1,0),0),0))</f>
      </c>
      <c r="AC76" s="1">
        <f>IF(OR(AC$52=0,AB27="",AC27=""),0,IFERROR(IF(AND(INDEX(Arten,MATCH(AB27,Codes,0))="Arbeit",INDEX(Arten,MATCH(AC27,Codes,0))="Arbeit"),IF(ROUND((1+INDEX(Beginne,MATCH(AC27,Codes,0))-INDEX(EndeRel,MATCH(AB27,Codes,0)))*1440,0)&lt;660,1,0),0),0))</f>
      </c>
      <c r="AD76" s="1">
        <f>IF(OR(AD$52=0,AC27="",AD27=""),0,IFERROR(IF(AND(INDEX(Arten,MATCH(AC27,Codes,0))="Arbeit",INDEX(Arten,MATCH(AD27,Codes,0))="Arbeit"),IF(ROUND((1+INDEX(Beginne,MATCH(AD27,Codes,0))-INDEX(EndeRel,MATCH(AC27,Codes,0)))*1440,0)&lt;660,1,0),0),0))</f>
      </c>
      <c r="AE76" s="1">
        <f>IF(OR(AE$52=0,AD27="",AE27=""),0,IFERROR(IF(AND(INDEX(Arten,MATCH(AD27,Codes,0))="Arbeit",INDEX(Arten,MATCH(AE27,Codes,0))="Arbeit"),IF(ROUND((1+INDEX(Beginne,MATCH(AE27,Codes,0))-INDEX(EndeRel,MATCH(AD27,Codes,0)))*1440,0)&lt;660,1,0),0),0))</f>
      </c>
      <c r="AF76" s="1">
        <f>IF(OR(AF$52=0,AE27="",AF27=""),0,IFERROR(IF(AND(INDEX(Arten,MATCH(AE27,Codes,0))="Arbeit",INDEX(Arten,MATCH(AF27,Codes,0))="Arbeit"),IF(ROUND((1+INDEX(Beginne,MATCH(AF27,Codes,0))-INDEX(EndeRel,MATCH(AE27,Codes,0)))*1440,0)&lt;660,1,0),0),0))</f>
      </c>
    </row>
    <row r="77" hidden="1" spans="1:32" x14ac:dyDescent="0.25">
      <c r="A77" s="1"/>
      <c r="B77" s="1">
        <f>IF(OR(B$52=0,INDEX('März'!$B$28:$AF$28,DAY(DATE(Jahr,4,0)))="",B28=""),0,IFERROR(IF(AND(INDEX(Arten,MATCH(INDEX('März'!$B$28:$AF$28,DAY(DATE(Jahr,4,0))),Codes,0))="Arbeit",INDEX(Arten,MATCH(B28,Codes,0))="Arbeit"),IF(ROUND((1+INDEX(Beginne,MATCH(B28,Codes,0))-INDEX(EndeRel,MATCH(INDEX('März'!$B$28:$AF$28,DAY(DATE(Jahr,4,0))),Codes,0)))*1440,0)&lt;660,1,0),0),0))</f>
      </c>
      <c r="C77" s="1">
        <f>IF(OR(C$52=0,B28="",C28=""),0,IFERROR(IF(AND(INDEX(Arten,MATCH(B28,Codes,0))="Arbeit",INDEX(Arten,MATCH(C28,Codes,0))="Arbeit"),IF(ROUND((1+INDEX(Beginne,MATCH(C28,Codes,0))-INDEX(EndeRel,MATCH(B28,Codes,0)))*1440,0)&lt;660,1,0),0),0))</f>
      </c>
      <c r="D77" s="1">
        <f>IF(OR(D$52=0,C28="",D28=""),0,IFERROR(IF(AND(INDEX(Arten,MATCH(C28,Codes,0))="Arbeit",INDEX(Arten,MATCH(D28,Codes,0))="Arbeit"),IF(ROUND((1+INDEX(Beginne,MATCH(D28,Codes,0))-INDEX(EndeRel,MATCH(C28,Codes,0)))*1440,0)&lt;660,1,0),0),0))</f>
      </c>
      <c r="E77" s="1">
        <f>IF(OR(E$52=0,D28="",E28=""),0,IFERROR(IF(AND(INDEX(Arten,MATCH(D28,Codes,0))="Arbeit",INDEX(Arten,MATCH(E28,Codes,0))="Arbeit"),IF(ROUND((1+INDEX(Beginne,MATCH(E28,Codes,0))-INDEX(EndeRel,MATCH(D28,Codes,0)))*1440,0)&lt;660,1,0),0),0))</f>
      </c>
      <c r="F77" s="1">
        <f>IF(OR(F$52=0,E28="",F28=""),0,IFERROR(IF(AND(INDEX(Arten,MATCH(E28,Codes,0))="Arbeit",INDEX(Arten,MATCH(F28,Codes,0))="Arbeit"),IF(ROUND((1+INDEX(Beginne,MATCH(F28,Codes,0))-INDEX(EndeRel,MATCH(E28,Codes,0)))*1440,0)&lt;660,1,0),0),0))</f>
      </c>
      <c r="G77" s="1">
        <f>IF(OR(G$52=0,F28="",G28=""),0,IFERROR(IF(AND(INDEX(Arten,MATCH(F28,Codes,0))="Arbeit",INDEX(Arten,MATCH(G28,Codes,0))="Arbeit"),IF(ROUND((1+INDEX(Beginne,MATCH(G28,Codes,0))-INDEX(EndeRel,MATCH(F28,Codes,0)))*1440,0)&lt;660,1,0),0),0))</f>
      </c>
      <c r="H77" s="1">
        <f>IF(OR(H$52=0,G28="",H28=""),0,IFERROR(IF(AND(INDEX(Arten,MATCH(G28,Codes,0))="Arbeit",INDEX(Arten,MATCH(H28,Codes,0))="Arbeit"),IF(ROUND((1+INDEX(Beginne,MATCH(H28,Codes,0))-INDEX(EndeRel,MATCH(G28,Codes,0)))*1440,0)&lt;660,1,0),0),0))</f>
      </c>
      <c r="I77" s="1">
        <f>IF(OR(I$52=0,H28="",I28=""),0,IFERROR(IF(AND(INDEX(Arten,MATCH(H28,Codes,0))="Arbeit",INDEX(Arten,MATCH(I28,Codes,0))="Arbeit"),IF(ROUND((1+INDEX(Beginne,MATCH(I28,Codes,0))-INDEX(EndeRel,MATCH(H28,Codes,0)))*1440,0)&lt;660,1,0),0),0))</f>
      </c>
      <c r="J77" s="1">
        <f>IF(OR(J$52=0,I28="",J28=""),0,IFERROR(IF(AND(INDEX(Arten,MATCH(I28,Codes,0))="Arbeit",INDEX(Arten,MATCH(J28,Codes,0))="Arbeit"),IF(ROUND((1+INDEX(Beginne,MATCH(J28,Codes,0))-INDEX(EndeRel,MATCH(I28,Codes,0)))*1440,0)&lt;660,1,0),0),0))</f>
      </c>
      <c r="K77" s="1">
        <f>IF(OR(K$52=0,J28="",K28=""),0,IFERROR(IF(AND(INDEX(Arten,MATCH(J28,Codes,0))="Arbeit",INDEX(Arten,MATCH(K28,Codes,0))="Arbeit"),IF(ROUND((1+INDEX(Beginne,MATCH(K28,Codes,0))-INDEX(EndeRel,MATCH(J28,Codes,0)))*1440,0)&lt;660,1,0),0),0))</f>
      </c>
      <c r="L77" s="1">
        <f>IF(OR(L$52=0,K28="",L28=""),0,IFERROR(IF(AND(INDEX(Arten,MATCH(K28,Codes,0))="Arbeit",INDEX(Arten,MATCH(L28,Codes,0))="Arbeit"),IF(ROUND((1+INDEX(Beginne,MATCH(L28,Codes,0))-INDEX(EndeRel,MATCH(K28,Codes,0)))*1440,0)&lt;660,1,0),0),0))</f>
      </c>
      <c r="M77" s="1">
        <f>IF(OR(M$52=0,L28="",M28=""),0,IFERROR(IF(AND(INDEX(Arten,MATCH(L28,Codes,0))="Arbeit",INDEX(Arten,MATCH(M28,Codes,0))="Arbeit"),IF(ROUND((1+INDEX(Beginne,MATCH(M28,Codes,0))-INDEX(EndeRel,MATCH(L28,Codes,0)))*1440,0)&lt;660,1,0),0),0))</f>
      </c>
      <c r="N77" s="1">
        <f>IF(OR(N$52=0,M28="",N28=""),0,IFERROR(IF(AND(INDEX(Arten,MATCH(M28,Codes,0))="Arbeit",INDEX(Arten,MATCH(N28,Codes,0))="Arbeit"),IF(ROUND((1+INDEX(Beginne,MATCH(N28,Codes,0))-INDEX(EndeRel,MATCH(M28,Codes,0)))*1440,0)&lt;660,1,0),0),0))</f>
      </c>
      <c r="O77" s="1">
        <f>IF(OR(O$52=0,N28="",O28=""),0,IFERROR(IF(AND(INDEX(Arten,MATCH(N28,Codes,0))="Arbeit",INDEX(Arten,MATCH(O28,Codes,0))="Arbeit"),IF(ROUND((1+INDEX(Beginne,MATCH(O28,Codes,0))-INDEX(EndeRel,MATCH(N28,Codes,0)))*1440,0)&lt;660,1,0),0),0))</f>
      </c>
      <c r="P77" s="1">
        <f>IF(OR(P$52=0,O28="",P28=""),0,IFERROR(IF(AND(INDEX(Arten,MATCH(O28,Codes,0))="Arbeit",INDEX(Arten,MATCH(P28,Codes,0))="Arbeit"),IF(ROUND((1+INDEX(Beginne,MATCH(P28,Codes,0))-INDEX(EndeRel,MATCH(O28,Codes,0)))*1440,0)&lt;660,1,0),0),0))</f>
      </c>
      <c r="Q77" s="1">
        <f>IF(OR(Q$52=0,P28="",Q28=""),0,IFERROR(IF(AND(INDEX(Arten,MATCH(P28,Codes,0))="Arbeit",INDEX(Arten,MATCH(Q28,Codes,0))="Arbeit"),IF(ROUND((1+INDEX(Beginne,MATCH(Q28,Codes,0))-INDEX(EndeRel,MATCH(P28,Codes,0)))*1440,0)&lt;660,1,0),0),0))</f>
      </c>
      <c r="R77" s="1">
        <f>IF(OR(R$52=0,Q28="",R28=""),0,IFERROR(IF(AND(INDEX(Arten,MATCH(Q28,Codes,0))="Arbeit",INDEX(Arten,MATCH(R28,Codes,0))="Arbeit"),IF(ROUND((1+INDEX(Beginne,MATCH(R28,Codes,0))-INDEX(EndeRel,MATCH(Q28,Codes,0)))*1440,0)&lt;660,1,0),0),0))</f>
      </c>
      <c r="S77" s="1">
        <f>IF(OR(S$52=0,R28="",S28=""),0,IFERROR(IF(AND(INDEX(Arten,MATCH(R28,Codes,0))="Arbeit",INDEX(Arten,MATCH(S28,Codes,0))="Arbeit"),IF(ROUND((1+INDEX(Beginne,MATCH(S28,Codes,0))-INDEX(EndeRel,MATCH(R28,Codes,0)))*1440,0)&lt;660,1,0),0),0))</f>
      </c>
      <c r="T77" s="1">
        <f>IF(OR(T$52=0,S28="",T28=""),0,IFERROR(IF(AND(INDEX(Arten,MATCH(S28,Codes,0))="Arbeit",INDEX(Arten,MATCH(T28,Codes,0))="Arbeit"),IF(ROUND((1+INDEX(Beginne,MATCH(T28,Codes,0))-INDEX(EndeRel,MATCH(S28,Codes,0)))*1440,0)&lt;660,1,0),0),0))</f>
      </c>
      <c r="U77" s="1">
        <f>IF(OR(U$52=0,T28="",U28=""),0,IFERROR(IF(AND(INDEX(Arten,MATCH(T28,Codes,0))="Arbeit",INDEX(Arten,MATCH(U28,Codes,0))="Arbeit"),IF(ROUND((1+INDEX(Beginne,MATCH(U28,Codes,0))-INDEX(EndeRel,MATCH(T28,Codes,0)))*1440,0)&lt;660,1,0),0),0))</f>
      </c>
      <c r="V77" s="1">
        <f>IF(OR(V$52=0,U28="",V28=""),0,IFERROR(IF(AND(INDEX(Arten,MATCH(U28,Codes,0))="Arbeit",INDEX(Arten,MATCH(V28,Codes,0))="Arbeit"),IF(ROUND((1+INDEX(Beginne,MATCH(V28,Codes,0))-INDEX(EndeRel,MATCH(U28,Codes,0)))*1440,0)&lt;660,1,0),0),0))</f>
      </c>
      <c r="W77" s="1">
        <f>IF(OR(W$52=0,V28="",W28=""),0,IFERROR(IF(AND(INDEX(Arten,MATCH(V28,Codes,0))="Arbeit",INDEX(Arten,MATCH(W28,Codes,0))="Arbeit"),IF(ROUND((1+INDEX(Beginne,MATCH(W28,Codes,0))-INDEX(EndeRel,MATCH(V28,Codes,0)))*1440,0)&lt;660,1,0),0),0))</f>
      </c>
      <c r="X77" s="1">
        <f>IF(OR(X$52=0,W28="",X28=""),0,IFERROR(IF(AND(INDEX(Arten,MATCH(W28,Codes,0))="Arbeit",INDEX(Arten,MATCH(X28,Codes,0))="Arbeit"),IF(ROUND((1+INDEX(Beginne,MATCH(X28,Codes,0))-INDEX(EndeRel,MATCH(W28,Codes,0)))*1440,0)&lt;660,1,0),0),0))</f>
      </c>
      <c r="Y77" s="1">
        <f>IF(OR(Y$52=0,X28="",Y28=""),0,IFERROR(IF(AND(INDEX(Arten,MATCH(X28,Codes,0))="Arbeit",INDEX(Arten,MATCH(Y28,Codes,0))="Arbeit"),IF(ROUND((1+INDEX(Beginne,MATCH(Y28,Codes,0))-INDEX(EndeRel,MATCH(X28,Codes,0)))*1440,0)&lt;660,1,0),0),0))</f>
      </c>
      <c r="Z77" s="1">
        <f>IF(OR(Z$52=0,Y28="",Z28=""),0,IFERROR(IF(AND(INDEX(Arten,MATCH(Y28,Codes,0))="Arbeit",INDEX(Arten,MATCH(Z28,Codes,0))="Arbeit"),IF(ROUND((1+INDEX(Beginne,MATCH(Z28,Codes,0))-INDEX(EndeRel,MATCH(Y28,Codes,0)))*1440,0)&lt;660,1,0),0),0))</f>
      </c>
      <c r="AA77" s="1">
        <f>IF(OR(AA$52=0,Z28="",AA28=""),0,IFERROR(IF(AND(INDEX(Arten,MATCH(Z28,Codes,0))="Arbeit",INDEX(Arten,MATCH(AA28,Codes,0))="Arbeit"),IF(ROUND((1+INDEX(Beginne,MATCH(AA28,Codes,0))-INDEX(EndeRel,MATCH(Z28,Codes,0)))*1440,0)&lt;660,1,0),0),0))</f>
      </c>
      <c r="AB77" s="1">
        <f>IF(OR(AB$52=0,AA28="",AB28=""),0,IFERROR(IF(AND(INDEX(Arten,MATCH(AA28,Codes,0))="Arbeit",INDEX(Arten,MATCH(AB28,Codes,0))="Arbeit"),IF(ROUND((1+INDEX(Beginne,MATCH(AB28,Codes,0))-INDEX(EndeRel,MATCH(AA28,Codes,0)))*1440,0)&lt;660,1,0),0),0))</f>
      </c>
      <c r="AC77" s="1">
        <f>IF(OR(AC$52=0,AB28="",AC28=""),0,IFERROR(IF(AND(INDEX(Arten,MATCH(AB28,Codes,0))="Arbeit",INDEX(Arten,MATCH(AC28,Codes,0))="Arbeit"),IF(ROUND((1+INDEX(Beginne,MATCH(AC28,Codes,0))-INDEX(EndeRel,MATCH(AB28,Codes,0)))*1440,0)&lt;660,1,0),0),0))</f>
      </c>
      <c r="AD77" s="1">
        <f>IF(OR(AD$52=0,AC28="",AD28=""),0,IFERROR(IF(AND(INDEX(Arten,MATCH(AC28,Codes,0))="Arbeit",INDEX(Arten,MATCH(AD28,Codes,0))="Arbeit"),IF(ROUND((1+INDEX(Beginne,MATCH(AD28,Codes,0))-INDEX(EndeRel,MATCH(AC28,Codes,0)))*1440,0)&lt;660,1,0),0),0))</f>
      </c>
      <c r="AE77" s="1">
        <f>IF(OR(AE$52=0,AD28="",AE28=""),0,IFERROR(IF(AND(INDEX(Arten,MATCH(AD28,Codes,0))="Arbeit",INDEX(Arten,MATCH(AE28,Codes,0))="Arbeit"),IF(ROUND((1+INDEX(Beginne,MATCH(AE28,Codes,0))-INDEX(EndeRel,MATCH(AD28,Codes,0)))*1440,0)&lt;660,1,0),0),0))</f>
      </c>
      <c r="AF77" s="1">
        <f>IF(OR(AF$52=0,AE28="",AF28=""),0,IFERROR(IF(AND(INDEX(Arten,MATCH(AE28,Codes,0))="Arbeit",INDEX(Arten,MATCH(AF28,Codes,0))="Arbeit"),IF(ROUND((1+INDEX(Beginne,MATCH(AF28,Codes,0))-INDEX(EndeRel,MATCH(AE28,Codes,0)))*1440,0)&lt;660,1,0),0),0))</f>
      </c>
    </row>
    <row r="78" hidden="1" spans="1:32" x14ac:dyDescent="0.25">
      <c r="A78" s="1"/>
      <c r="B78" s="1">
        <f>IF(OR(B$52=0,INDEX('März'!$B$29:$AF$29,DAY(DATE(Jahr,4,0)))="",B29=""),0,IFERROR(IF(AND(INDEX(Arten,MATCH(INDEX('März'!$B$29:$AF$29,DAY(DATE(Jahr,4,0))),Codes,0))="Arbeit",INDEX(Arten,MATCH(B29,Codes,0))="Arbeit"),IF(ROUND((1+INDEX(Beginne,MATCH(B29,Codes,0))-INDEX(EndeRel,MATCH(INDEX('März'!$B$29:$AF$29,DAY(DATE(Jahr,4,0))),Codes,0)))*1440,0)&lt;660,1,0),0),0))</f>
      </c>
      <c r="C78" s="1">
        <f>IF(OR(C$52=0,B29="",C29=""),0,IFERROR(IF(AND(INDEX(Arten,MATCH(B29,Codes,0))="Arbeit",INDEX(Arten,MATCH(C29,Codes,0))="Arbeit"),IF(ROUND((1+INDEX(Beginne,MATCH(C29,Codes,0))-INDEX(EndeRel,MATCH(B29,Codes,0)))*1440,0)&lt;660,1,0),0),0))</f>
      </c>
      <c r="D78" s="1">
        <f>IF(OR(D$52=0,C29="",D29=""),0,IFERROR(IF(AND(INDEX(Arten,MATCH(C29,Codes,0))="Arbeit",INDEX(Arten,MATCH(D29,Codes,0))="Arbeit"),IF(ROUND((1+INDEX(Beginne,MATCH(D29,Codes,0))-INDEX(EndeRel,MATCH(C29,Codes,0)))*1440,0)&lt;660,1,0),0),0))</f>
      </c>
      <c r="E78" s="1">
        <f>IF(OR(E$52=0,D29="",E29=""),0,IFERROR(IF(AND(INDEX(Arten,MATCH(D29,Codes,0))="Arbeit",INDEX(Arten,MATCH(E29,Codes,0))="Arbeit"),IF(ROUND((1+INDEX(Beginne,MATCH(E29,Codes,0))-INDEX(EndeRel,MATCH(D29,Codes,0)))*1440,0)&lt;660,1,0),0),0))</f>
      </c>
      <c r="F78" s="1">
        <f>IF(OR(F$52=0,E29="",F29=""),0,IFERROR(IF(AND(INDEX(Arten,MATCH(E29,Codes,0))="Arbeit",INDEX(Arten,MATCH(F29,Codes,0))="Arbeit"),IF(ROUND((1+INDEX(Beginne,MATCH(F29,Codes,0))-INDEX(EndeRel,MATCH(E29,Codes,0)))*1440,0)&lt;660,1,0),0),0))</f>
      </c>
      <c r="G78" s="1">
        <f>IF(OR(G$52=0,F29="",G29=""),0,IFERROR(IF(AND(INDEX(Arten,MATCH(F29,Codes,0))="Arbeit",INDEX(Arten,MATCH(G29,Codes,0))="Arbeit"),IF(ROUND((1+INDEX(Beginne,MATCH(G29,Codes,0))-INDEX(EndeRel,MATCH(F29,Codes,0)))*1440,0)&lt;660,1,0),0),0))</f>
      </c>
      <c r="H78" s="1">
        <f>IF(OR(H$52=0,G29="",H29=""),0,IFERROR(IF(AND(INDEX(Arten,MATCH(G29,Codes,0))="Arbeit",INDEX(Arten,MATCH(H29,Codes,0))="Arbeit"),IF(ROUND((1+INDEX(Beginne,MATCH(H29,Codes,0))-INDEX(EndeRel,MATCH(G29,Codes,0)))*1440,0)&lt;660,1,0),0),0))</f>
      </c>
      <c r="I78" s="1">
        <f>IF(OR(I$52=0,H29="",I29=""),0,IFERROR(IF(AND(INDEX(Arten,MATCH(H29,Codes,0))="Arbeit",INDEX(Arten,MATCH(I29,Codes,0))="Arbeit"),IF(ROUND((1+INDEX(Beginne,MATCH(I29,Codes,0))-INDEX(EndeRel,MATCH(H29,Codes,0)))*1440,0)&lt;660,1,0),0),0))</f>
      </c>
      <c r="J78" s="1">
        <f>IF(OR(J$52=0,I29="",J29=""),0,IFERROR(IF(AND(INDEX(Arten,MATCH(I29,Codes,0))="Arbeit",INDEX(Arten,MATCH(J29,Codes,0))="Arbeit"),IF(ROUND((1+INDEX(Beginne,MATCH(J29,Codes,0))-INDEX(EndeRel,MATCH(I29,Codes,0)))*1440,0)&lt;660,1,0),0),0))</f>
      </c>
      <c r="K78" s="1">
        <f>IF(OR(K$52=0,J29="",K29=""),0,IFERROR(IF(AND(INDEX(Arten,MATCH(J29,Codes,0))="Arbeit",INDEX(Arten,MATCH(K29,Codes,0))="Arbeit"),IF(ROUND((1+INDEX(Beginne,MATCH(K29,Codes,0))-INDEX(EndeRel,MATCH(J29,Codes,0)))*1440,0)&lt;660,1,0),0),0))</f>
      </c>
      <c r="L78" s="1">
        <f>IF(OR(L$52=0,K29="",L29=""),0,IFERROR(IF(AND(INDEX(Arten,MATCH(K29,Codes,0))="Arbeit",INDEX(Arten,MATCH(L29,Codes,0))="Arbeit"),IF(ROUND((1+INDEX(Beginne,MATCH(L29,Codes,0))-INDEX(EndeRel,MATCH(K29,Codes,0)))*1440,0)&lt;660,1,0),0),0))</f>
      </c>
      <c r="M78" s="1">
        <f>IF(OR(M$52=0,L29="",M29=""),0,IFERROR(IF(AND(INDEX(Arten,MATCH(L29,Codes,0))="Arbeit",INDEX(Arten,MATCH(M29,Codes,0))="Arbeit"),IF(ROUND((1+INDEX(Beginne,MATCH(M29,Codes,0))-INDEX(EndeRel,MATCH(L29,Codes,0)))*1440,0)&lt;660,1,0),0),0))</f>
      </c>
      <c r="N78" s="1">
        <f>IF(OR(N$52=0,M29="",N29=""),0,IFERROR(IF(AND(INDEX(Arten,MATCH(M29,Codes,0))="Arbeit",INDEX(Arten,MATCH(N29,Codes,0))="Arbeit"),IF(ROUND((1+INDEX(Beginne,MATCH(N29,Codes,0))-INDEX(EndeRel,MATCH(M29,Codes,0)))*1440,0)&lt;660,1,0),0),0))</f>
      </c>
      <c r="O78" s="1">
        <f>IF(OR(O$52=0,N29="",O29=""),0,IFERROR(IF(AND(INDEX(Arten,MATCH(N29,Codes,0))="Arbeit",INDEX(Arten,MATCH(O29,Codes,0))="Arbeit"),IF(ROUND((1+INDEX(Beginne,MATCH(O29,Codes,0))-INDEX(EndeRel,MATCH(N29,Codes,0)))*1440,0)&lt;660,1,0),0),0))</f>
      </c>
      <c r="P78" s="1">
        <f>IF(OR(P$52=0,O29="",P29=""),0,IFERROR(IF(AND(INDEX(Arten,MATCH(O29,Codes,0))="Arbeit",INDEX(Arten,MATCH(P29,Codes,0))="Arbeit"),IF(ROUND((1+INDEX(Beginne,MATCH(P29,Codes,0))-INDEX(EndeRel,MATCH(O29,Codes,0)))*1440,0)&lt;660,1,0),0),0))</f>
      </c>
      <c r="Q78" s="1">
        <f>IF(OR(Q$52=0,P29="",Q29=""),0,IFERROR(IF(AND(INDEX(Arten,MATCH(P29,Codes,0))="Arbeit",INDEX(Arten,MATCH(Q29,Codes,0))="Arbeit"),IF(ROUND((1+INDEX(Beginne,MATCH(Q29,Codes,0))-INDEX(EndeRel,MATCH(P29,Codes,0)))*1440,0)&lt;660,1,0),0),0))</f>
      </c>
      <c r="R78" s="1">
        <f>IF(OR(R$52=0,Q29="",R29=""),0,IFERROR(IF(AND(INDEX(Arten,MATCH(Q29,Codes,0))="Arbeit",INDEX(Arten,MATCH(R29,Codes,0))="Arbeit"),IF(ROUND((1+INDEX(Beginne,MATCH(R29,Codes,0))-INDEX(EndeRel,MATCH(Q29,Codes,0)))*1440,0)&lt;660,1,0),0),0))</f>
      </c>
      <c r="S78" s="1">
        <f>IF(OR(S$52=0,R29="",S29=""),0,IFERROR(IF(AND(INDEX(Arten,MATCH(R29,Codes,0))="Arbeit",INDEX(Arten,MATCH(S29,Codes,0))="Arbeit"),IF(ROUND((1+INDEX(Beginne,MATCH(S29,Codes,0))-INDEX(EndeRel,MATCH(R29,Codes,0)))*1440,0)&lt;660,1,0),0),0))</f>
      </c>
      <c r="T78" s="1">
        <f>IF(OR(T$52=0,S29="",T29=""),0,IFERROR(IF(AND(INDEX(Arten,MATCH(S29,Codes,0))="Arbeit",INDEX(Arten,MATCH(T29,Codes,0))="Arbeit"),IF(ROUND((1+INDEX(Beginne,MATCH(T29,Codes,0))-INDEX(EndeRel,MATCH(S29,Codes,0)))*1440,0)&lt;660,1,0),0),0))</f>
      </c>
      <c r="U78" s="1">
        <f>IF(OR(U$52=0,T29="",U29=""),0,IFERROR(IF(AND(INDEX(Arten,MATCH(T29,Codes,0))="Arbeit",INDEX(Arten,MATCH(U29,Codes,0))="Arbeit"),IF(ROUND((1+INDEX(Beginne,MATCH(U29,Codes,0))-INDEX(EndeRel,MATCH(T29,Codes,0)))*1440,0)&lt;660,1,0),0),0))</f>
      </c>
      <c r="V78" s="1">
        <f>IF(OR(V$52=0,U29="",V29=""),0,IFERROR(IF(AND(INDEX(Arten,MATCH(U29,Codes,0))="Arbeit",INDEX(Arten,MATCH(V29,Codes,0))="Arbeit"),IF(ROUND((1+INDEX(Beginne,MATCH(V29,Codes,0))-INDEX(EndeRel,MATCH(U29,Codes,0)))*1440,0)&lt;660,1,0),0),0))</f>
      </c>
      <c r="W78" s="1">
        <f>IF(OR(W$52=0,V29="",W29=""),0,IFERROR(IF(AND(INDEX(Arten,MATCH(V29,Codes,0))="Arbeit",INDEX(Arten,MATCH(W29,Codes,0))="Arbeit"),IF(ROUND((1+INDEX(Beginne,MATCH(W29,Codes,0))-INDEX(EndeRel,MATCH(V29,Codes,0)))*1440,0)&lt;660,1,0),0),0))</f>
      </c>
      <c r="X78" s="1">
        <f>IF(OR(X$52=0,W29="",X29=""),0,IFERROR(IF(AND(INDEX(Arten,MATCH(W29,Codes,0))="Arbeit",INDEX(Arten,MATCH(X29,Codes,0))="Arbeit"),IF(ROUND((1+INDEX(Beginne,MATCH(X29,Codes,0))-INDEX(EndeRel,MATCH(W29,Codes,0)))*1440,0)&lt;660,1,0),0),0))</f>
      </c>
      <c r="Y78" s="1">
        <f>IF(OR(Y$52=0,X29="",Y29=""),0,IFERROR(IF(AND(INDEX(Arten,MATCH(X29,Codes,0))="Arbeit",INDEX(Arten,MATCH(Y29,Codes,0))="Arbeit"),IF(ROUND((1+INDEX(Beginne,MATCH(Y29,Codes,0))-INDEX(EndeRel,MATCH(X29,Codes,0)))*1440,0)&lt;660,1,0),0),0))</f>
      </c>
      <c r="Z78" s="1">
        <f>IF(OR(Z$52=0,Y29="",Z29=""),0,IFERROR(IF(AND(INDEX(Arten,MATCH(Y29,Codes,0))="Arbeit",INDEX(Arten,MATCH(Z29,Codes,0))="Arbeit"),IF(ROUND((1+INDEX(Beginne,MATCH(Z29,Codes,0))-INDEX(EndeRel,MATCH(Y29,Codes,0)))*1440,0)&lt;660,1,0),0),0))</f>
      </c>
      <c r="AA78" s="1">
        <f>IF(OR(AA$52=0,Z29="",AA29=""),0,IFERROR(IF(AND(INDEX(Arten,MATCH(Z29,Codes,0))="Arbeit",INDEX(Arten,MATCH(AA29,Codes,0))="Arbeit"),IF(ROUND((1+INDEX(Beginne,MATCH(AA29,Codes,0))-INDEX(EndeRel,MATCH(Z29,Codes,0)))*1440,0)&lt;660,1,0),0),0))</f>
      </c>
      <c r="AB78" s="1">
        <f>IF(OR(AB$52=0,AA29="",AB29=""),0,IFERROR(IF(AND(INDEX(Arten,MATCH(AA29,Codes,0))="Arbeit",INDEX(Arten,MATCH(AB29,Codes,0))="Arbeit"),IF(ROUND((1+INDEX(Beginne,MATCH(AB29,Codes,0))-INDEX(EndeRel,MATCH(AA29,Codes,0)))*1440,0)&lt;660,1,0),0),0))</f>
      </c>
      <c r="AC78" s="1">
        <f>IF(OR(AC$52=0,AB29="",AC29=""),0,IFERROR(IF(AND(INDEX(Arten,MATCH(AB29,Codes,0))="Arbeit",INDEX(Arten,MATCH(AC29,Codes,0))="Arbeit"),IF(ROUND((1+INDEX(Beginne,MATCH(AC29,Codes,0))-INDEX(EndeRel,MATCH(AB29,Codes,0)))*1440,0)&lt;660,1,0),0),0))</f>
      </c>
      <c r="AD78" s="1">
        <f>IF(OR(AD$52=0,AC29="",AD29=""),0,IFERROR(IF(AND(INDEX(Arten,MATCH(AC29,Codes,0))="Arbeit",INDEX(Arten,MATCH(AD29,Codes,0))="Arbeit"),IF(ROUND((1+INDEX(Beginne,MATCH(AD29,Codes,0))-INDEX(EndeRel,MATCH(AC29,Codes,0)))*1440,0)&lt;660,1,0),0),0))</f>
      </c>
      <c r="AE78" s="1">
        <f>IF(OR(AE$52=0,AD29="",AE29=""),0,IFERROR(IF(AND(INDEX(Arten,MATCH(AD29,Codes,0))="Arbeit",INDEX(Arten,MATCH(AE29,Codes,0))="Arbeit"),IF(ROUND((1+INDEX(Beginne,MATCH(AE29,Codes,0))-INDEX(EndeRel,MATCH(AD29,Codes,0)))*1440,0)&lt;660,1,0),0),0))</f>
      </c>
      <c r="AF78" s="1">
        <f>IF(OR(AF$52=0,AE29="",AF29=""),0,IFERROR(IF(AND(INDEX(Arten,MATCH(AE29,Codes,0))="Arbeit",INDEX(Arten,MATCH(AF29,Codes,0))="Arbeit"),IF(ROUND((1+INDEX(Beginne,MATCH(AF29,Codes,0))-INDEX(EndeRel,MATCH(AE29,Codes,0)))*1440,0)&lt;660,1,0),0),0))</f>
      </c>
    </row>
    <row r="79" hidden="1" spans="1:32" x14ac:dyDescent="0.25">
      <c r="A79" s="1"/>
      <c r="B79" s="1">
        <f>IF(OR(B$52=0,INDEX('März'!$B$30:$AF$30,DAY(DATE(Jahr,4,0)))="",B30=""),0,IFERROR(IF(AND(INDEX(Arten,MATCH(INDEX('März'!$B$30:$AF$30,DAY(DATE(Jahr,4,0))),Codes,0))="Arbeit",INDEX(Arten,MATCH(B30,Codes,0))="Arbeit"),IF(ROUND((1+INDEX(Beginne,MATCH(B30,Codes,0))-INDEX(EndeRel,MATCH(INDEX('März'!$B$30:$AF$30,DAY(DATE(Jahr,4,0))),Codes,0)))*1440,0)&lt;660,1,0),0),0))</f>
      </c>
      <c r="C79" s="1">
        <f>IF(OR(C$52=0,B30="",C30=""),0,IFERROR(IF(AND(INDEX(Arten,MATCH(B30,Codes,0))="Arbeit",INDEX(Arten,MATCH(C30,Codes,0))="Arbeit"),IF(ROUND((1+INDEX(Beginne,MATCH(C30,Codes,0))-INDEX(EndeRel,MATCH(B30,Codes,0)))*1440,0)&lt;660,1,0),0),0))</f>
      </c>
      <c r="D79" s="1">
        <f>IF(OR(D$52=0,C30="",D30=""),0,IFERROR(IF(AND(INDEX(Arten,MATCH(C30,Codes,0))="Arbeit",INDEX(Arten,MATCH(D30,Codes,0))="Arbeit"),IF(ROUND((1+INDEX(Beginne,MATCH(D30,Codes,0))-INDEX(EndeRel,MATCH(C30,Codes,0)))*1440,0)&lt;660,1,0),0),0))</f>
      </c>
      <c r="E79" s="1">
        <f>IF(OR(E$52=0,D30="",E30=""),0,IFERROR(IF(AND(INDEX(Arten,MATCH(D30,Codes,0))="Arbeit",INDEX(Arten,MATCH(E30,Codes,0))="Arbeit"),IF(ROUND((1+INDEX(Beginne,MATCH(E30,Codes,0))-INDEX(EndeRel,MATCH(D30,Codes,0)))*1440,0)&lt;660,1,0),0),0))</f>
      </c>
      <c r="F79" s="1">
        <f>IF(OR(F$52=0,E30="",F30=""),0,IFERROR(IF(AND(INDEX(Arten,MATCH(E30,Codes,0))="Arbeit",INDEX(Arten,MATCH(F30,Codes,0))="Arbeit"),IF(ROUND((1+INDEX(Beginne,MATCH(F30,Codes,0))-INDEX(EndeRel,MATCH(E30,Codes,0)))*1440,0)&lt;660,1,0),0),0))</f>
      </c>
      <c r="G79" s="1">
        <f>IF(OR(G$52=0,F30="",G30=""),0,IFERROR(IF(AND(INDEX(Arten,MATCH(F30,Codes,0))="Arbeit",INDEX(Arten,MATCH(G30,Codes,0))="Arbeit"),IF(ROUND((1+INDEX(Beginne,MATCH(G30,Codes,0))-INDEX(EndeRel,MATCH(F30,Codes,0)))*1440,0)&lt;660,1,0),0),0))</f>
      </c>
      <c r="H79" s="1">
        <f>IF(OR(H$52=0,G30="",H30=""),0,IFERROR(IF(AND(INDEX(Arten,MATCH(G30,Codes,0))="Arbeit",INDEX(Arten,MATCH(H30,Codes,0))="Arbeit"),IF(ROUND((1+INDEX(Beginne,MATCH(H30,Codes,0))-INDEX(EndeRel,MATCH(G30,Codes,0)))*1440,0)&lt;660,1,0),0),0))</f>
      </c>
      <c r="I79" s="1">
        <f>IF(OR(I$52=0,H30="",I30=""),0,IFERROR(IF(AND(INDEX(Arten,MATCH(H30,Codes,0))="Arbeit",INDEX(Arten,MATCH(I30,Codes,0))="Arbeit"),IF(ROUND((1+INDEX(Beginne,MATCH(I30,Codes,0))-INDEX(EndeRel,MATCH(H30,Codes,0)))*1440,0)&lt;660,1,0),0),0))</f>
      </c>
      <c r="J79" s="1">
        <f>IF(OR(J$52=0,I30="",J30=""),0,IFERROR(IF(AND(INDEX(Arten,MATCH(I30,Codes,0))="Arbeit",INDEX(Arten,MATCH(J30,Codes,0))="Arbeit"),IF(ROUND((1+INDEX(Beginne,MATCH(J30,Codes,0))-INDEX(EndeRel,MATCH(I30,Codes,0)))*1440,0)&lt;660,1,0),0),0))</f>
      </c>
      <c r="K79" s="1">
        <f>IF(OR(K$52=0,J30="",K30=""),0,IFERROR(IF(AND(INDEX(Arten,MATCH(J30,Codes,0))="Arbeit",INDEX(Arten,MATCH(K30,Codes,0))="Arbeit"),IF(ROUND((1+INDEX(Beginne,MATCH(K30,Codes,0))-INDEX(EndeRel,MATCH(J30,Codes,0)))*1440,0)&lt;660,1,0),0),0))</f>
      </c>
      <c r="L79" s="1">
        <f>IF(OR(L$52=0,K30="",L30=""),0,IFERROR(IF(AND(INDEX(Arten,MATCH(K30,Codes,0))="Arbeit",INDEX(Arten,MATCH(L30,Codes,0))="Arbeit"),IF(ROUND((1+INDEX(Beginne,MATCH(L30,Codes,0))-INDEX(EndeRel,MATCH(K30,Codes,0)))*1440,0)&lt;660,1,0),0),0))</f>
      </c>
      <c r="M79" s="1">
        <f>IF(OR(M$52=0,L30="",M30=""),0,IFERROR(IF(AND(INDEX(Arten,MATCH(L30,Codes,0))="Arbeit",INDEX(Arten,MATCH(M30,Codes,0))="Arbeit"),IF(ROUND((1+INDEX(Beginne,MATCH(M30,Codes,0))-INDEX(EndeRel,MATCH(L30,Codes,0)))*1440,0)&lt;660,1,0),0),0))</f>
      </c>
      <c r="N79" s="1">
        <f>IF(OR(N$52=0,M30="",N30=""),0,IFERROR(IF(AND(INDEX(Arten,MATCH(M30,Codes,0))="Arbeit",INDEX(Arten,MATCH(N30,Codes,0))="Arbeit"),IF(ROUND((1+INDEX(Beginne,MATCH(N30,Codes,0))-INDEX(EndeRel,MATCH(M30,Codes,0)))*1440,0)&lt;660,1,0),0),0))</f>
      </c>
      <c r="O79" s="1">
        <f>IF(OR(O$52=0,N30="",O30=""),0,IFERROR(IF(AND(INDEX(Arten,MATCH(N30,Codes,0))="Arbeit",INDEX(Arten,MATCH(O30,Codes,0))="Arbeit"),IF(ROUND((1+INDEX(Beginne,MATCH(O30,Codes,0))-INDEX(EndeRel,MATCH(N30,Codes,0)))*1440,0)&lt;660,1,0),0),0))</f>
      </c>
      <c r="P79" s="1">
        <f>IF(OR(P$52=0,O30="",P30=""),0,IFERROR(IF(AND(INDEX(Arten,MATCH(O30,Codes,0))="Arbeit",INDEX(Arten,MATCH(P30,Codes,0))="Arbeit"),IF(ROUND((1+INDEX(Beginne,MATCH(P30,Codes,0))-INDEX(EndeRel,MATCH(O30,Codes,0)))*1440,0)&lt;660,1,0),0),0))</f>
      </c>
      <c r="Q79" s="1">
        <f>IF(OR(Q$52=0,P30="",Q30=""),0,IFERROR(IF(AND(INDEX(Arten,MATCH(P30,Codes,0))="Arbeit",INDEX(Arten,MATCH(Q30,Codes,0))="Arbeit"),IF(ROUND((1+INDEX(Beginne,MATCH(Q30,Codes,0))-INDEX(EndeRel,MATCH(P30,Codes,0)))*1440,0)&lt;660,1,0),0),0))</f>
      </c>
      <c r="R79" s="1">
        <f>IF(OR(R$52=0,Q30="",R30=""),0,IFERROR(IF(AND(INDEX(Arten,MATCH(Q30,Codes,0))="Arbeit",INDEX(Arten,MATCH(R30,Codes,0))="Arbeit"),IF(ROUND((1+INDEX(Beginne,MATCH(R30,Codes,0))-INDEX(EndeRel,MATCH(Q30,Codes,0)))*1440,0)&lt;660,1,0),0),0))</f>
      </c>
      <c r="S79" s="1">
        <f>IF(OR(S$52=0,R30="",S30=""),0,IFERROR(IF(AND(INDEX(Arten,MATCH(R30,Codes,0))="Arbeit",INDEX(Arten,MATCH(S30,Codes,0))="Arbeit"),IF(ROUND((1+INDEX(Beginne,MATCH(S30,Codes,0))-INDEX(EndeRel,MATCH(R30,Codes,0)))*1440,0)&lt;660,1,0),0),0))</f>
      </c>
      <c r="T79" s="1">
        <f>IF(OR(T$52=0,S30="",T30=""),0,IFERROR(IF(AND(INDEX(Arten,MATCH(S30,Codes,0))="Arbeit",INDEX(Arten,MATCH(T30,Codes,0))="Arbeit"),IF(ROUND((1+INDEX(Beginne,MATCH(T30,Codes,0))-INDEX(EndeRel,MATCH(S30,Codes,0)))*1440,0)&lt;660,1,0),0),0))</f>
      </c>
      <c r="U79" s="1">
        <f>IF(OR(U$52=0,T30="",U30=""),0,IFERROR(IF(AND(INDEX(Arten,MATCH(T30,Codes,0))="Arbeit",INDEX(Arten,MATCH(U30,Codes,0))="Arbeit"),IF(ROUND((1+INDEX(Beginne,MATCH(U30,Codes,0))-INDEX(EndeRel,MATCH(T30,Codes,0)))*1440,0)&lt;660,1,0),0),0))</f>
      </c>
      <c r="V79" s="1">
        <f>IF(OR(V$52=0,U30="",V30=""),0,IFERROR(IF(AND(INDEX(Arten,MATCH(U30,Codes,0))="Arbeit",INDEX(Arten,MATCH(V30,Codes,0))="Arbeit"),IF(ROUND((1+INDEX(Beginne,MATCH(V30,Codes,0))-INDEX(EndeRel,MATCH(U30,Codes,0)))*1440,0)&lt;660,1,0),0),0))</f>
      </c>
      <c r="W79" s="1">
        <f>IF(OR(W$52=0,V30="",W30=""),0,IFERROR(IF(AND(INDEX(Arten,MATCH(V30,Codes,0))="Arbeit",INDEX(Arten,MATCH(W30,Codes,0))="Arbeit"),IF(ROUND((1+INDEX(Beginne,MATCH(W30,Codes,0))-INDEX(EndeRel,MATCH(V30,Codes,0)))*1440,0)&lt;660,1,0),0),0))</f>
      </c>
      <c r="X79" s="1">
        <f>IF(OR(X$52=0,W30="",X30=""),0,IFERROR(IF(AND(INDEX(Arten,MATCH(W30,Codes,0))="Arbeit",INDEX(Arten,MATCH(X30,Codes,0))="Arbeit"),IF(ROUND((1+INDEX(Beginne,MATCH(X30,Codes,0))-INDEX(EndeRel,MATCH(W30,Codes,0)))*1440,0)&lt;660,1,0),0),0))</f>
      </c>
      <c r="Y79" s="1">
        <f>IF(OR(Y$52=0,X30="",Y30=""),0,IFERROR(IF(AND(INDEX(Arten,MATCH(X30,Codes,0))="Arbeit",INDEX(Arten,MATCH(Y30,Codes,0))="Arbeit"),IF(ROUND((1+INDEX(Beginne,MATCH(Y30,Codes,0))-INDEX(EndeRel,MATCH(X30,Codes,0)))*1440,0)&lt;660,1,0),0),0))</f>
      </c>
      <c r="Z79" s="1">
        <f>IF(OR(Z$52=0,Y30="",Z30=""),0,IFERROR(IF(AND(INDEX(Arten,MATCH(Y30,Codes,0))="Arbeit",INDEX(Arten,MATCH(Z30,Codes,0))="Arbeit"),IF(ROUND((1+INDEX(Beginne,MATCH(Z30,Codes,0))-INDEX(EndeRel,MATCH(Y30,Codes,0)))*1440,0)&lt;660,1,0),0),0))</f>
      </c>
      <c r="AA79" s="1">
        <f>IF(OR(AA$52=0,Z30="",AA30=""),0,IFERROR(IF(AND(INDEX(Arten,MATCH(Z30,Codes,0))="Arbeit",INDEX(Arten,MATCH(AA30,Codes,0))="Arbeit"),IF(ROUND((1+INDEX(Beginne,MATCH(AA30,Codes,0))-INDEX(EndeRel,MATCH(Z30,Codes,0)))*1440,0)&lt;660,1,0),0),0))</f>
      </c>
      <c r="AB79" s="1">
        <f>IF(OR(AB$52=0,AA30="",AB30=""),0,IFERROR(IF(AND(INDEX(Arten,MATCH(AA30,Codes,0))="Arbeit",INDEX(Arten,MATCH(AB30,Codes,0))="Arbeit"),IF(ROUND((1+INDEX(Beginne,MATCH(AB30,Codes,0))-INDEX(EndeRel,MATCH(AA30,Codes,0)))*1440,0)&lt;660,1,0),0),0))</f>
      </c>
      <c r="AC79" s="1">
        <f>IF(OR(AC$52=0,AB30="",AC30=""),0,IFERROR(IF(AND(INDEX(Arten,MATCH(AB30,Codes,0))="Arbeit",INDEX(Arten,MATCH(AC30,Codes,0))="Arbeit"),IF(ROUND((1+INDEX(Beginne,MATCH(AC30,Codes,0))-INDEX(EndeRel,MATCH(AB30,Codes,0)))*1440,0)&lt;660,1,0),0),0))</f>
      </c>
      <c r="AD79" s="1">
        <f>IF(OR(AD$52=0,AC30="",AD30=""),0,IFERROR(IF(AND(INDEX(Arten,MATCH(AC30,Codes,0))="Arbeit",INDEX(Arten,MATCH(AD30,Codes,0))="Arbeit"),IF(ROUND((1+INDEX(Beginne,MATCH(AD30,Codes,0))-INDEX(EndeRel,MATCH(AC30,Codes,0)))*1440,0)&lt;660,1,0),0),0))</f>
      </c>
      <c r="AE79" s="1">
        <f>IF(OR(AE$52=0,AD30="",AE30=""),0,IFERROR(IF(AND(INDEX(Arten,MATCH(AD30,Codes,0))="Arbeit",INDEX(Arten,MATCH(AE30,Codes,0))="Arbeit"),IF(ROUND((1+INDEX(Beginne,MATCH(AE30,Codes,0))-INDEX(EndeRel,MATCH(AD30,Codes,0)))*1440,0)&lt;660,1,0),0),0))</f>
      </c>
      <c r="AF79" s="1">
        <f>IF(OR(AF$52=0,AE30="",AF30=""),0,IFERROR(IF(AND(INDEX(Arten,MATCH(AE30,Codes,0))="Arbeit",INDEX(Arten,MATCH(AF30,Codes,0))="Arbeit"),IF(ROUND((1+INDEX(Beginne,MATCH(AF30,Codes,0))-INDEX(EndeRel,MATCH(AE30,Codes,0)))*1440,0)&lt;660,1,0),0),0))</f>
      </c>
    </row>
    <row r="80" hidden="1" spans="1:32" x14ac:dyDescent="0.25">
      <c r="A80" s="1"/>
      <c r="B80" s="1">
        <f>IF(OR(B$52=0,INDEX('März'!$B$31:$AF$31,DAY(DATE(Jahr,4,0)))="",B31=""),0,IFERROR(IF(AND(INDEX(Arten,MATCH(INDEX('März'!$B$31:$AF$31,DAY(DATE(Jahr,4,0))),Codes,0))="Arbeit",INDEX(Arten,MATCH(B31,Codes,0))="Arbeit"),IF(ROUND((1+INDEX(Beginne,MATCH(B31,Codes,0))-INDEX(EndeRel,MATCH(INDEX('März'!$B$31:$AF$31,DAY(DATE(Jahr,4,0))),Codes,0)))*1440,0)&lt;660,1,0),0),0))</f>
      </c>
      <c r="C80" s="1">
        <f>IF(OR(C$52=0,B31="",C31=""),0,IFERROR(IF(AND(INDEX(Arten,MATCH(B31,Codes,0))="Arbeit",INDEX(Arten,MATCH(C31,Codes,0))="Arbeit"),IF(ROUND((1+INDEX(Beginne,MATCH(C31,Codes,0))-INDEX(EndeRel,MATCH(B31,Codes,0)))*1440,0)&lt;660,1,0),0),0))</f>
      </c>
      <c r="D80" s="1">
        <f>IF(OR(D$52=0,C31="",D31=""),0,IFERROR(IF(AND(INDEX(Arten,MATCH(C31,Codes,0))="Arbeit",INDEX(Arten,MATCH(D31,Codes,0))="Arbeit"),IF(ROUND((1+INDEX(Beginne,MATCH(D31,Codes,0))-INDEX(EndeRel,MATCH(C31,Codes,0)))*1440,0)&lt;660,1,0),0),0))</f>
      </c>
      <c r="E80" s="1">
        <f>IF(OR(E$52=0,D31="",E31=""),0,IFERROR(IF(AND(INDEX(Arten,MATCH(D31,Codes,0))="Arbeit",INDEX(Arten,MATCH(E31,Codes,0))="Arbeit"),IF(ROUND((1+INDEX(Beginne,MATCH(E31,Codes,0))-INDEX(EndeRel,MATCH(D31,Codes,0)))*1440,0)&lt;660,1,0),0),0))</f>
      </c>
      <c r="F80" s="1">
        <f>IF(OR(F$52=0,E31="",F31=""),0,IFERROR(IF(AND(INDEX(Arten,MATCH(E31,Codes,0))="Arbeit",INDEX(Arten,MATCH(F31,Codes,0))="Arbeit"),IF(ROUND((1+INDEX(Beginne,MATCH(F31,Codes,0))-INDEX(EndeRel,MATCH(E31,Codes,0)))*1440,0)&lt;660,1,0),0),0))</f>
      </c>
      <c r="G80" s="1">
        <f>IF(OR(G$52=0,F31="",G31=""),0,IFERROR(IF(AND(INDEX(Arten,MATCH(F31,Codes,0))="Arbeit",INDEX(Arten,MATCH(G31,Codes,0))="Arbeit"),IF(ROUND((1+INDEX(Beginne,MATCH(G31,Codes,0))-INDEX(EndeRel,MATCH(F31,Codes,0)))*1440,0)&lt;660,1,0),0),0))</f>
      </c>
      <c r="H80" s="1">
        <f>IF(OR(H$52=0,G31="",H31=""),0,IFERROR(IF(AND(INDEX(Arten,MATCH(G31,Codes,0))="Arbeit",INDEX(Arten,MATCH(H31,Codes,0))="Arbeit"),IF(ROUND((1+INDEX(Beginne,MATCH(H31,Codes,0))-INDEX(EndeRel,MATCH(G31,Codes,0)))*1440,0)&lt;660,1,0),0),0))</f>
      </c>
      <c r="I80" s="1">
        <f>IF(OR(I$52=0,H31="",I31=""),0,IFERROR(IF(AND(INDEX(Arten,MATCH(H31,Codes,0))="Arbeit",INDEX(Arten,MATCH(I31,Codes,0))="Arbeit"),IF(ROUND((1+INDEX(Beginne,MATCH(I31,Codes,0))-INDEX(EndeRel,MATCH(H31,Codes,0)))*1440,0)&lt;660,1,0),0),0))</f>
      </c>
      <c r="J80" s="1">
        <f>IF(OR(J$52=0,I31="",J31=""),0,IFERROR(IF(AND(INDEX(Arten,MATCH(I31,Codes,0))="Arbeit",INDEX(Arten,MATCH(J31,Codes,0))="Arbeit"),IF(ROUND((1+INDEX(Beginne,MATCH(J31,Codes,0))-INDEX(EndeRel,MATCH(I31,Codes,0)))*1440,0)&lt;660,1,0),0),0))</f>
      </c>
      <c r="K80" s="1">
        <f>IF(OR(K$52=0,J31="",K31=""),0,IFERROR(IF(AND(INDEX(Arten,MATCH(J31,Codes,0))="Arbeit",INDEX(Arten,MATCH(K31,Codes,0))="Arbeit"),IF(ROUND((1+INDEX(Beginne,MATCH(K31,Codes,0))-INDEX(EndeRel,MATCH(J31,Codes,0)))*1440,0)&lt;660,1,0),0),0))</f>
      </c>
      <c r="L80" s="1">
        <f>IF(OR(L$52=0,K31="",L31=""),0,IFERROR(IF(AND(INDEX(Arten,MATCH(K31,Codes,0))="Arbeit",INDEX(Arten,MATCH(L31,Codes,0))="Arbeit"),IF(ROUND((1+INDEX(Beginne,MATCH(L31,Codes,0))-INDEX(EndeRel,MATCH(K31,Codes,0)))*1440,0)&lt;660,1,0),0),0))</f>
      </c>
      <c r="M80" s="1">
        <f>IF(OR(M$52=0,L31="",M31=""),0,IFERROR(IF(AND(INDEX(Arten,MATCH(L31,Codes,0))="Arbeit",INDEX(Arten,MATCH(M31,Codes,0))="Arbeit"),IF(ROUND((1+INDEX(Beginne,MATCH(M31,Codes,0))-INDEX(EndeRel,MATCH(L31,Codes,0)))*1440,0)&lt;660,1,0),0),0))</f>
      </c>
      <c r="N80" s="1">
        <f>IF(OR(N$52=0,M31="",N31=""),0,IFERROR(IF(AND(INDEX(Arten,MATCH(M31,Codes,0))="Arbeit",INDEX(Arten,MATCH(N31,Codes,0))="Arbeit"),IF(ROUND((1+INDEX(Beginne,MATCH(N31,Codes,0))-INDEX(EndeRel,MATCH(M31,Codes,0)))*1440,0)&lt;660,1,0),0),0))</f>
      </c>
      <c r="O80" s="1">
        <f>IF(OR(O$52=0,N31="",O31=""),0,IFERROR(IF(AND(INDEX(Arten,MATCH(N31,Codes,0))="Arbeit",INDEX(Arten,MATCH(O31,Codes,0))="Arbeit"),IF(ROUND((1+INDEX(Beginne,MATCH(O31,Codes,0))-INDEX(EndeRel,MATCH(N31,Codes,0)))*1440,0)&lt;660,1,0),0),0))</f>
      </c>
      <c r="P80" s="1">
        <f>IF(OR(P$52=0,O31="",P31=""),0,IFERROR(IF(AND(INDEX(Arten,MATCH(O31,Codes,0))="Arbeit",INDEX(Arten,MATCH(P31,Codes,0))="Arbeit"),IF(ROUND((1+INDEX(Beginne,MATCH(P31,Codes,0))-INDEX(EndeRel,MATCH(O31,Codes,0)))*1440,0)&lt;660,1,0),0),0))</f>
      </c>
      <c r="Q80" s="1">
        <f>IF(OR(Q$52=0,P31="",Q31=""),0,IFERROR(IF(AND(INDEX(Arten,MATCH(P31,Codes,0))="Arbeit",INDEX(Arten,MATCH(Q31,Codes,0))="Arbeit"),IF(ROUND((1+INDEX(Beginne,MATCH(Q31,Codes,0))-INDEX(EndeRel,MATCH(P31,Codes,0)))*1440,0)&lt;660,1,0),0),0))</f>
      </c>
      <c r="R80" s="1">
        <f>IF(OR(R$52=0,Q31="",R31=""),0,IFERROR(IF(AND(INDEX(Arten,MATCH(Q31,Codes,0))="Arbeit",INDEX(Arten,MATCH(R31,Codes,0))="Arbeit"),IF(ROUND((1+INDEX(Beginne,MATCH(R31,Codes,0))-INDEX(EndeRel,MATCH(Q31,Codes,0)))*1440,0)&lt;660,1,0),0),0))</f>
      </c>
      <c r="S80" s="1">
        <f>IF(OR(S$52=0,R31="",S31=""),0,IFERROR(IF(AND(INDEX(Arten,MATCH(R31,Codes,0))="Arbeit",INDEX(Arten,MATCH(S31,Codes,0))="Arbeit"),IF(ROUND((1+INDEX(Beginne,MATCH(S31,Codes,0))-INDEX(EndeRel,MATCH(R31,Codes,0)))*1440,0)&lt;660,1,0),0),0))</f>
      </c>
      <c r="T80" s="1">
        <f>IF(OR(T$52=0,S31="",T31=""),0,IFERROR(IF(AND(INDEX(Arten,MATCH(S31,Codes,0))="Arbeit",INDEX(Arten,MATCH(T31,Codes,0))="Arbeit"),IF(ROUND((1+INDEX(Beginne,MATCH(T31,Codes,0))-INDEX(EndeRel,MATCH(S31,Codes,0)))*1440,0)&lt;660,1,0),0),0))</f>
      </c>
      <c r="U80" s="1">
        <f>IF(OR(U$52=0,T31="",U31=""),0,IFERROR(IF(AND(INDEX(Arten,MATCH(T31,Codes,0))="Arbeit",INDEX(Arten,MATCH(U31,Codes,0))="Arbeit"),IF(ROUND((1+INDEX(Beginne,MATCH(U31,Codes,0))-INDEX(EndeRel,MATCH(T31,Codes,0)))*1440,0)&lt;660,1,0),0),0))</f>
      </c>
      <c r="V80" s="1">
        <f>IF(OR(V$52=0,U31="",V31=""),0,IFERROR(IF(AND(INDEX(Arten,MATCH(U31,Codes,0))="Arbeit",INDEX(Arten,MATCH(V31,Codes,0))="Arbeit"),IF(ROUND((1+INDEX(Beginne,MATCH(V31,Codes,0))-INDEX(EndeRel,MATCH(U31,Codes,0)))*1440,0)&lt;660,1,0),0),0))</f>
      </c>
      <c r="W80" s="1">
        <f>IF(OR(W$52=0,V31="",W31=""),0,IFERROR(IF(AND(INDEX(Arten,MATCH(V31,Codes,0))="Arbeit",INDEX(Arten,MATCH(W31,Codes,0))="Arbeit"),IF(ROUND((1+INDEX(Beginne,MATCH(W31,Codes,0))-INDEX(EndeRel,MATCH(V31,Codes,0)))*1440,0)&lt;660,1,0),0),0))</f>
      </c>
      <c r="X80" s="1">
        <f>IF(OR(X$52=0,W31="",X31=""),0,IFERROR(IF(AND(INDEX(Arten,MATCH(W31,Codes,0))="Arbeit",INDEX(Arten,MATCH(X31,Codes,0))="Arbeit"),IF(ROUND((1+INDEX(Beginne,MATCH(X31,Codes,0))-INDEX(EndeRel,MATCH(W31,Codes,0)))*1440,0)&lt;660,1,0),0),0))</f>
      </c>
      <c r="Y80" s="1">
        <f>IF(OR(Y$52=0,X31="",Y31=""),0,IFERROR(IF(AND(INDEX(Arten,MATCH(X31,Codes,0))="Arbeit",INDEX(Arten,MATCH(Y31,Codes,0))="Arbeit"),IF(ROUND((1+INDEX(Beginne,MATCH(Y31,Codes,0))-INDEX(EndeRel,MATCH(X31,Codes,0)))*1440,0)&lt;660,1,0),0),0))</f>
      </c>
      <c r="Z80" s="1">
        <f>IF(OR(Z$52=0,Y31="",Z31=""),0,IFERROR(IF(AND(INDEX(Arten,MATCH(Y31,Codes,0))="Arbeit",INDEX(Arten,MATCH(Z31,Codes,0))="Arbeit"),IF(ROUND((1+INDEX(Beginne,MATCH(Z31,Codes,0))-INDEX(EndeRel,MATCH(Y31,Codes,0)))*1440,0)&lt;660,1,0),0),0))</f>
      </c>
      <c r="AA80" s="1">
        <f>IF(OR(AA$52=0,Z31="",AA31=""),0,IFERROR(IF(AND(INDEX(Arten,MATCH(Z31,Codes,0))="Arbeit",INDEX(Arten,MATCH(AA31,Codes,0))="Arbeit"),IF(ROUND((1+INDEX(Beginne,MATCH(AA31,Codes,0))-INDEX(EndeRel,MATCH(Z31,Codes,0)))*1440,0)&lt;660,1,0),0),0))</f>
      </c>
      <c r="AB80" s="1">
        <f>IF(OR(AB$52=0,AA31="",AB31=""),0,IFERROR(IF(AND(INDEX(Arten,MATCH(AA31,Codes,0))="Arbeit",INDEX(Arten,MATCH(AB31,Codes,0))="Arbeit"),IF(ROUND((1+INDEX(Beginne,MATCH(AB31,Codes,0))-INDEX(EndeRel,MATCH(AA31,Codes,0)))*1440,0)&lt;660,1,0),0),0))</f>
      </c>
      <c r="AC80" s="1">
        <f>IF(OR(AC$52=0,AB31="",AC31=""),0,IFERROR(IF(AND(INDEX(Arten,MATCH(AB31,Codes,0))="Arbeit",INDEX(Arten,MATCH(AC31,Codes,0))="Arbeit"),IF(ROUND((1+INDEX(Beginne,MATCH(AC31,Codes,0))-INDEX(EndeRel,MATCH(AB31,Codes,0)))*1440,0)&lt;660,1,0),0),0))</f>
      </c>
      <c r="AD80" s="1">
        <f>IF(OR(AD$52=0,AC31="",AD31=""),0,IFERROR(IF(AND(INDEX(Arten,MATCH(AC31,Codes,0))="Arbeit",INDEX(Arten,MATCH(AD31,Codes,0))="Arbeit"),IF(ROUND((1+INDEX(Beginne,MATCH(AD31,Codes,0))-INDEX(EndeRel,MATCH(AC31,Codes,0)))*1440,0)&lt;660,1,0),0),0))</f>
      </c>
      <c r="AE80" s="1">
        <f>IF(OR(AE$52=0,AD31="",AE31=""),0,IFERROR(IF(AND(INDEX(Arten,MATCH(AD31,Codes,0))="Arbeit",INDEX(Arten,MATCH(AE31,Codes,0))="Arbeit"),IF(ROUND((1+INDEX(Beginne,MATCH(AE31,Codes,0))-INDEX(EndeRel,MATCH(AD31,Codes,0)))*1440,0)&lt;660,1,0),0),0))</f>
      </c>
      <c r="AF80" s="1">
        <f>IF(OR(AF$52=0,AE31="",AF31=""),0,IFERROR(IF(AND(INDEX(Arten,MATCH(AE31,Codes,0))="Arbeit",INDEX(Arten,MATCH(AF31,Codes,0))="Arbeit"),IF(ROUND((1+INDEX(Beginne,MATCH(AF31,Codes,0))-INDEX(EndeRel,MATCH(AE31,Codes,0)))*1440,0)&lt;660,1,0),0),0))</f>
      </c>
    </row>
    <row r="81" hidden="1" spans="1:32" x14ac:dyDescent="0.25">
      <c r="A81" s="1"/>
      <c r="B81" s="1">
        <f>IF(OR(B$52=0,INDEX('März'!$B$32:$AF$32,DAY(DATE(Jahr,4,0)))="",B32=""),0,IFERROR(IF(AND(INDEX(Arten,MATCH(INDEX('März'!$B$32:$AF$32,DAY(DATE(Jahr,4,0))),Codes,0))="Arbeit",INDEX(Arten,MATCH(B32,Codes,0))="Arbeit"),IF(ROUND((1+INDEX(Beginne,MATCH(B32,Codes,0))-INDEX(EndeRel,MATCH(INDEX('März'!$B$32:$AF$32,DAY(DATE(Jahr,4,0))),Codes,0)))*1440,0)&lt;660,1,0),0),0))</f>
      </c>
      <c r="C81" s="1">
        <f>IF(OR(C$52=0,B32="",C32=""),0,IFERROR(IF(AND(INDEX(Arten,MATCH(B32,Codes,0))="Arbeit",INDEX(Arten,MATCH(C32,Codes,0))="Arbeit"),IF(ROUND((1+INDEX(Beginne,MATCH(C32,Codes,0))-INDEX(EndeRel,MATCH(B32,Codes,0)))*1440,0)&lt;660,1,0),0),0))</f>
      </c>
      <c r="D81" s="1">
        <f>IF(OR(D$52=0,C32="",D32=""),0,IFERROR(IF(AND(INDEX(Arten,MATCH(C32,Codes,0))="Arbeit",INDEX(Arten,MATCH(D32,Codes,0))="Arbeit"),IF(ROUND((1+INDEX(Beginne,MATCH(D32,Codes,0))-INDEX(EndeRel,MATCH(C32,Codes,0)))*1440,0)&lt;660,1,0),0),0))</f>
      </c>
      <c r="E81" s="1">
        <f>IF(OR(E$52=0,D32="",E32=""),0,IFERROR(IF(AND(INDEX(Arten,MATCH(D32,Codes,0))="Arbeit",INDEX(Arten,MATCH(E32,Codes,0))="Arbeit"),IF(ROUND((1+INDEX(Beginne,MATCH(E32,Codes,0))-INDEX(EndeRel,MATCH(D32,Codes,0)))*1440,0)&lt;660,1,0),0),0))</f>
      </c>
      <c r="F81" s="1">
        <f>IF(OR(F$52=0,E32="",F32=""),0,IFERROR(IF(AND(INDEX(Arten,MATCH(E32,Codes,0))="Arbeit",INDEX(Arten,MATCH(F32,Codes,0))="Arbeit"),IF(ROUND((1+INDEX(Beginne,MATCH(F32,Codes,0))-INDEX(EndeRel,MATCH(E32,Codes,0)))*1440,0)&lt;660,1,0),0),0))</f>
      </c>
      <c r="G81" s="1">
        <f>IF(OR(G$52=0,F32="",G32=""),0,IFERROR(IF(AND(INDEX(Arten,MATCH(F32,Codes,0))="Arbeit",INDEX(Arten,MATCH(G32,Codes,0))="Arbeit"),IF(ROUND((1+INDEX(Beginne,MATCH(G32,Codes,0))-INDEX(EndeRel,MATCH(F32,Codes,0)))*1440,0)&lt;660,1,0),0),0))</f>
      </c>
      <c r="H81" s="1">
        <f>IF(OR(H$52=0,G32="",H32=""),0,IFERROR(IF(AND(INDEX(Arten,MATCH(G32,Codes,0))="Arbeit",INDEX(Arten,MATCH(H32,Codes,0))="Arbeit"),IF(ROUND((1+INDEX(Beginne,MATCH(H32,Codes,0))-INDEX(EndeRel,MATCH(G32,Codes,0)))*1440,0)&lt;660,1,0),0),0))</f>
      </c>
      <c r="I81" s="1">
        <f>IF(OR(I$52=0,H32="",I32=""),0,IFERROR(IF(AND(INDEX(Arten,MATCH(H32,Codes,0))="Arbeit",INDEX(Arten,MATCH(I32,Codes,0))="Arbeit"),IF(ROUND((1+INDEX(Beginne,MATCH(I32,Codes,0))-INDEX(EndeRel,MATCH(H32,Codes,0)))*1440,0)&lt;660,1,0),0),0))</f>
      </c>
      <c r="J81" s="1">
        <f>IF(OR(J$52=0,I32="",J32=""),0,IFERROR(IF(AND(INDEX(Arten,MATCH(I32,Codes,0))="Arbeit",INDEX(Arten,MATCH(J32,Codes,0))="Arbeit"),IF(ROUND((1+INDEX(Beginne,MATCH(J32,Codes,0))-INDEX(EndeRel,MATCH(I32,Codes,0)))*1440,0)&lt;660,1,0),0),0))</f>
      </c>
      <c r="K81" s="1">
        <f>IF(OR(K$52=0,J32="",K32=""),0,IFERROR(IF(AND(INDEX(Arten,MATCH(J32,Codes,0))="Arbeit",INDEX(Arten,MATCH(K32,Codes,0))="Arbeit"),IF(ROUND((1+INDEX(Beginne,MATCH(K32,Codes,0))-INDEX(EndeRel,MATCH(J32,Codes,0)))*1440,0)&lt;660,1,0),0),0))</f>
      </c>
      <c r="L81" s="1">
        <f>IF(OR(L$52=0,K32="",L32=""),0,IFERROR(IF(AND(INDEX(Arten,MATCH(K32,Codes,0))="Arbeit",INDEX(Arten,MATCH(L32,Codes,0))="Arbeit"),IF(ROUND((1+INDEX(Beginne,MATCH(L32,Codes,0))-INDEX(EndeRel,MATCH(K32,Codes,0)))*1440,0)&lt;660,1,0),0),0))</f>
      </c>
      <c r="M81" s="1">
        <f>IF(OR(M$52=0,L32="",M32=""),0,IFERROR(IF(AND(INDEX(Arten,MATCH(L32,Codes,0))="Arbeit",INDEX(Arten,MATCH(M32,Codes,0))="Arbeit"),IF(ROUND((1+INDEX(Beginne,MATCH(M32,Codes,0))-INDEX(EndeRel,MATCH(L32,Codes,0)))*1440,0)&lt;660,1,0),0),0))</f>
      </c>
      <c r="N81" s="1">
        <f>IF(OR(N$52=0,M32="",N32=""),0,IFERROR(IF(AND(INDEX(Arten,MATCH(M32,Codes,0))="Arbeit",INDEX(Arten,MATCH(N32,Codes,0))="Arbeit"),IF(ROUND((1+INDEX(Beginne,MATCH(N32,Codes,0))-INDEX(EndeRel,MATCH(M32,Codes,0)))*1440,0)&lt;660,1,0),0),0))</f>
      </c>
      <c r="O81" s="1">
        <f>IF(OR(O$52=0,N32="",O32=""),0,IFERROR(IF(AND(INDEX(Arten,MATCH(N32,Codes,0))="Arbeit",INDEX(Arten,MATCH(O32,Codes,0))="Arbeit"),IF(ROUND((1+INDEX(Beginne,MATCH(O32,Codes,0))-INDEX(EndeRel,MATCH(N32,Codes,0)))*1440,0)&lt;660,1,0),0),0))</f>
      </c>
      <c r="P81" s="1">
        <f>IF(OR(P$52=0,O32="",P32=""),0,IFERROR(IF(AND(INDEX(Arten,MATCH(O32,Codes,0))="Arbeit",INDEX(Arten,MATCH(P32,Codes,0))="Arbeit"),IF(ROUND((1+INDEX(Beginne,MATCH(P32,Codes,0))-INDEX(EndeRel,MATCH(O32,Codes,0)))*1440,0)&lt;660,1,0),0),0))</f>
      </c>
      <c r="Q81" s="1">
        <f>IF(OR(Q$52=0,P32="",Q32=""),0,IFERROR(IF(AND(INDEX(Arten,MATCH(P32,Codes,0))="Arbeit",INDEX(Arten,MATCH(Q32,Codes,0))="Arbeit"),IF(ROUND((1+INDEX(Beginne,MATCH(Q32,Codes,0))-INDEX(EndeRel,MATCH(P32,Codes,0)))*1440,0)&lt;660,1,0),0),0))</f>
      </c>
      <c r="R81" s="1">
        <f>IF(OR(R$52=0,Q32="",R32=""),0,IFERROR(IF(AND(INDEX(Arten,MATCH(Q32,Codes,0))="Arbeit",INDEX(Arten,MATCH(R32,Codes,0))="Arbeit"),IF(ROUND((1+INDEX(Beginne,MATCH(R32,Codes,0))-INDEX(EndeRel,MATCH(Q32,Codes,0)))*1440,0)&lt;660,1,0),0),0))</f>
      </c>
      <c r="S81" s="1">
        <f>IF(OR(S$52=0,R32="",S32=""),0,IFERROR(IF(AND(INDEX(Arten,MATCH(R32,Codes,0))="Arbeit",INDEX(Arten,MATCH(S32,Codes,0))="Arbeit"),IF(ROUND((1+INDEX(Beginne,MATCH(S32,Codes,0))-INDEX(EndeRel,MATCH(R32,Codes,0)))*1440,0)&lt;660,1,0),0),0))</f>
      </c>
      <c r="T81" s="1">
        <f>IF(OR(T$52=0,S32="",T32=""),0,IFERROR(IF(AND(INDEX(Arten,MATCH(S32,Codes,0))="Arbeit",INDEX(Arten,MATCH(T32,Codes,0))="Arbeit"),IF(ROUND((1+INDEX(Beginne,MATCH(T32,Codes,0))-INDEX(EndeRel,MATCH(S32,Codes,0)))*1440,0)&lt;660,1,0),0),0))</f>
      </c>
      <c r="U81" s="1">
        <f>IF(OR(U$52=0,T32="",U32=""),0,IFERROR(IF(AND(INDEX(Arten,MATCH(T32,Codes,0))="Arbeit",INDEX(Arten,MATCH(U32,Codes,0))="Arbeit"),IF(ROUND((1+INDEX(Beginne,MATCH(U32,Codes,0))-INDEX(EndeRel,MATCH(T32,Codes,0)))*1440,0)&lt;660,1,0),0),0))</f>
      </c>
      <c r="V81" s="1">
        <f>IF(OR(V$52=0,U32="",V32=""),0,IFERROR(IF(AND(INDEX(Arten,MATCH(U32,Codes,0))="Arbeit",INDEX(Arten,MATCH(V32,Codes,0))="Arbeit"),IF(ROUND((1+INDEX(Beginne,MATCH(V32,Codes,0))-INDEX(EndeRel,MATCH(U32,Codes,0)))*1440,0)&lt;660,1,0),0),0))</f>
      </c>
      <c r="W81" s="1">
        <f>IF(OR(W$52=0,V32="",W32=""),0,IFERROR(IF(AND(INDEX(Arten,MATCH(V32,Codes,0))="Arbeit",INDEX(Arten,MATCH(W32,Codes,0))="Arbeit"),IF(ROUND((1+INDEX(Beginne,MATCH(W32,Codes,0))-INDEX(EndeRel,MATCH(V32,Codes,0)))*1440,0)&lt;660,1,0),0),0))</f>
      </c>
      <c r="X81" s="1">
        <f>IF(OR(X$52=0,W32="",X32=""),0,IFERROR(IF(AND(INDEX(Arten,MATCH(W32,Codes,0))="Arbeit",INDEX(Arten,MATCH(X32,Codes,0))="Arbeit"),IF(ROUND((1+INDEX(Beginne,MATCH(X32,Codes,0))-INDEX(EndeRel,MATCH(W32,Codes,0)))*1440,0)&lt;660,1,0),0),0))</f>
      </c>
      <c r="Y81" s="1">
        <f>IF(OR(Y$52=0,X32="",Y32=""),0,IFERROR(IF(AND(INDEX(Arten,MATCH(X32,Codes,0))="Arbeit",INDEX(Arten,MATCH(Y32,Codes,0))="Arbeit"),IF(ROUND((1+INDEX(Beginne,MATCH(Y32,Codes,0))-INDEX(EndeRel,MATCH(X32,Codes,0)))*1440,0)&lt;660,1,0),0),0))</f>
      </c>
      <c r="Z81" s="1">
        <f>IF(OR(Z$52=0,Y32="",Z32=""),0,IFERROR(IF(AND(INDEX(Arten,MATCH(Y32,Codes,0))="Arbeit",INDEX(Arten,MATCH(Z32,Codes,0))="Arbeit"),IF(ROUND((1+INDEX(Beginne,MATCH(Z32,Codes,0))-INDEX(EndeRel,MATCH(Y32,Codes,0)))*1440,0)&lt;660,1,0),0),0))</f>
      </c>
      <c r="AA81" s="1">
        <f>IF(OR(AA$52=0,Z32="",AA32=""),0,IFERROR(IF(AND(INDEX(Arten,MATCH(Z32,Codes,0))="Arbeit",INDEX(Arten,MATCH(AA32,Codes,0))="Arbeit"),IF(ROUND((1+INDEX(Beginne,MATCH(AA32,Codes,0))-INDEX(EndeRel,MATCH(Z32,Codes,0)))*1440,0)&lt;660,1,0),0),0))</f>
      </c>
      <c r="AB81" s="1">
        <f>IF(OR(AB$52=0,AA32="",AB32=""),0,IFERROR(IF(AND(INDEX(Arten,MATCH(AA32,Codes,0))="Arbeit",INDEX(Arten,MATCH(AB32,Codes,0))="Arbeit"),IF(ROUND((1+INDEX(Beginne,MATCH(AB32,Codes,0))-INDEX(EndeRel,MATCH(AA32,Codes,0)))*1440,0)&lt;660,1,0),0),0))</f>
      </c>
      <c r="AC81" s="1">
        <f>IF(OR(AC$52=0,AB32="",AC32=""),0,IFERROR(IF(AND(INDEX(Arten,MATCH(AB32,Codes,0))="Arbeit",INDEX(Arten,MATCH(AC32,Codes,0))="Arbeit"),IF(ROUND((1+INDEX(Beginne,MATCH(AC32,Codes,0))-INDEX(EndeRel,MATCH(AB32,Codes,0)))*1440,0)&lt;660,1,0),0),0))</f>
      </c>
      <c r="AD81" s="1">
        <f>IF(OR(AD$52=0,AC32="",AD32=""),0,IFERROR(IF(AND(INDEX(Arten,MATCH(AC32,Codes,0))="Arbeit",INDEX(Arten,MATCH(AD32,Codes,0))="Arbeit"),IF(ROUND((1+INDEX(Beginne,MATCH(AD32,Codes,0))-INDEX(EndeRel,MATCH(AC32,Codes,0)))*1440,0)&lt;660,1,0),0),0))</f>
      </c>
      <c r="AE81" s="1">
        <f>IF(OR(AE$52=0,AD32="",AE32=""),0,IFERROR(IF(AND(INDEX(Arten,MATCH(AD32,Codes,0))="Arbeit",INDEX(Arten,MATCH(AE32,Codes,0))="Arbeit"),IF(ROUND((1+INDEX(Beginne,MATCH(AE32,Codes,0))-INDEX(EndeRel,MATCH(AD32,Codes,0)))*1440,0)&lt;660,1,0),0),0))</f>
      </c>
      <c r="AF81" s="1">
        <f>IF(OR(AF$52=0,AE32="",AF32=""),0,IFERROR(IF(AND(INDEX(Arten,MATCH(AE32,Codes,0))="Arbeit",INDEX(Arten,MATCH(AF32,Codes,0))="Arbeit"),IF(ROUND((1+INDEX(Beginne,MATCH(AF32,Codes,0))-INDEX(EndeRel,MATCH(AE32,Codes,0)))*1440,0)&lt;660,1,0),0),0))</f>
      </c>
    </row>
    <row r="82" hidden="1" spans="1:32" x14ac:dyDescent="0.25">
      <c r="A82" s="1"/>
      <c r="B82" s="1">
        <f>IF(OR(B$52=0,INDEX('März'!$B$33:$AF$33,DAY(DATE(Jahr,4,0)))="",B33=""),0,IFERROR(IF(AND(INDEX(Arten,MATCH(INDEX('März'!$B$33:$AF$33,DAY(DATE(Jahr,4,0))),Codes,0))="Arbeit",INDEX(Arten,MATCH(B33,Codes,0))="Arbeit"),IF(ROUND((1+INDEX(Beginne,MATCH(B33,Codes,0))-INDEX(EndeRel,MATCH(INDEX('März'!$B$33:$AF$33,DAY(DATE(Jahr,4,0))),Codes,0)))*1440,0)&lt;660,1,0),0),0))</f>
      </c>
      <c r="C82" s="1">
        <f>IF(OR(C$52=0,B33="",C33=""),0,IFERROR(IF(AND(INDEX(Arten,MATCH(B33,Codes,0))="Arbeit",INDEX(Arten,MATCH(C33,Codes,0))="Arbeit"),IF(ROUND((1+INDEX(Beginne,MATCH(C33,Codes,0))-INDEX(EndeRel,MATCH(B33,Codes,0)))*1440,0)&lt;660,1,0),0),0))</f>
      </c>
      <c r="D82" s="1">
        <f>IF(OR(D$52=0,C33="",D33=""),0,IFERROR(IF(AND(INDEX(Arten,MATCH(C33,Codes,0))="Arbeit",INDEX(Arten,MATCH(D33,Codes,0))="Arbeit"),IF(ROUND((1+INDEX(Beginne,MATCH(D33,Codes,0))-INDEX(EndeRel,MATCH(C33,Codes,0)))*1440,0)&lt;660,1,0),0),0))</f>
      </c>
      <c r="E82" s="1">
        <f>IF(OR(E$52=0,D33="",E33=""),0,IFERROR(IF(AND(INDEX(Arten,MATCH(D33,Codes,0))="Arbeit",INDEX(Arten,MATCH(E33,Codes,0))="Arbeit"),IF(ROUND((1+INDEX(Beginne,MATCH(E33,Codes,0))-INDEX(EndeRel,MATCH(D33,Codes,0)))*1440,0)&lt;660,1,0),0),0))</f>
      </c>
      <c r="F82" s="1">
        <f>IF(OR(F$52=0,E33="",F33=""),0,IFERROR(IF(AND(INDEX(Arten,MATCH(E33,Codes,0))="Arbeit",INDEX(Arten,MATCH(F33,Codes,0))="Arbeit"),IF(ROUND((1+INDEX(Beginne,MATCH(F33,Codes,0))-INDEX(EndeRel,MATCH(E33,Codes,0)))*1440,0)&lt;660,1,0),0),0))</f>
      </c>
      <c r="G82" s="1">
        <f>IF(OR(G$52=0,F33="",G33=""),0,IFERROR(IF(AND(INDEX(Arten,MATCH(F33,Codes,0))="Arbeit",INDEX(Arten,MATCH(G33,Codes,0))="Arbeit"),IF(ROUND((1+INDEX(Beginne,MATCH(G33,Codes,0))-INDEX(EndeRel,MATCH(F33,Codes,0)))*1440,0)&lt;660,1,0),0),0))</f>
      </c>
      <c r="H82" s="1">
        <f>IF(OR(H$52=0,G33="",H33=""),0,IFERROR(IF(AND(INDEX(Arten,MATCH(G33,Codes,0))="Arbeit",INDEX(Arten,MATCH(H33,Codes,0))="Arbeit"),IF(ROUND((1+INDEX(Beginne,MATCH(H33,Codes,0))-INDEX(EndeRel,MATCH(G33,Codes,0)))*1440,0)&lt;660,1,0),0),0))</f>
      </c>
      <c r="I82" s="1">
        <f>IF(OR(I$52=0,H33="",I33=""),0,IFERROR(IF(AND(INDEX(Arten,MATCH(H33,Codes,0))="Arbeit",INDEX(Arten,MATCH(I33,Codes,0))="Arbeit"),IF(ROUND((1+INDEX(Beginne,MATCH(I33,Codes,0))-INDEX(EndeRel,MATCH(H33,Codes,0)))*1440,0)&lt;660,1,0),0),0))</f>
      </c>
      <c r="J82" s="1">
        <f>IF(OR(J$52=0,I33="",J33=""),0,IFERROR(IF(AND(INDEX(Arten,MATCH(I33,Codes,0))="Arbeit",INDEX(Arten,MATCH(J33,Codes,0))="Arbeit"),IF(ROUND((1+INDEX(Beginne,MATCH(J33,Codes,0))-INDEX(EndeRel,MATCH(I33,Codes,0)))*1440,0)&lt;660,1,0),0),0))</f>
      </c>
      <c r="K82" s="1">
        <f>IF(OR(K$52=0,J33="",K33=""),0,IFERROR(IF(AND(INDEX(Arten,MATCH(J33,Codes,0))="Arbeit",INDEX(Arten,MATCH(K33,Codes,0))="Arbeit"),IF(ROUND((1+INDEX(Beginne,MATCH(K33,Codes,0))-INDEX(EndeRel,MATCH(J33,Codes,0)))*1440,0)&lt;660,1,0),0),0))</f>
      </c>
      <c r="L82" s="1">
        <f>IF(OR(L$52=0,K33="",L33=""),0,IFERROR(IF(AND(INDEX(Arten,MATCH(K33,Codes,0))="Arbeit",INDEX(Arten,MATCH(L33,Codes,0))="Arbeit"),IF(ROUND((1+INDEX(Beginne,MATCH(L33,Codes,0))-INDEX(EndeRel,MATCH(K33,Codes,0)))*1440,0)&lt;660,1,0),0),0))</f>
      </c>
      <c r="M82" s="1">
        <f>IF(OR(M$52=0,L33="",M33=""),0,IFERROR(IF(AND(INDEX(Arten,MATCH(L33,Codes,0))="Arbeit",INDEX(Arten,MATCH(M33,Codes,0))="Arbeit"),IF(ROUND((1+INDEX(Beginne,MATCH(M33,Codes,0))-INDEX(EndeRel,MATCH(L33,Codes,0)))*1440,0)&lt;660,1,0),0),0))</f>
      </c>
      <c r="N82" s="1">
        <f>IF(OR(N$52=0,M33="",N33=""),0,IFERROR(IF(AND(INDEX(Arten,MATCH(M33,Codes,0))="Arbeit",INDEX(Arten,MATCH(N33,Codes,0))="Arbeit"),IF(ROUND((1+INDEX(Beginne,MATCH(N33,Codes,0))-INDEX(EndeRel,MATCH(M33,Codes,0)))*1440,0)&lt;660,1,0),0),0))</f>
      </c>
      <c r="O82" s="1">
        <f>IF(OR(O$52=0,N33="",O33=""),0,IFERROR(IF(AND(INDEX(Arten,MATCH(N33,Codes,0))="Arbeit",INDEX(Arten,MATCH(O33,Codes,0))="Arbeit"),IF(ROUND((1+INDEX(Beginne,MATCH(O33,Codes,0))-INDEX(EndeRel,MATCH(N33,Codes,0)))*1440,0)&lt;660,1,0),0),0))</f>
      </c>
      <c r="P82" s="1">
        <f>IF(OR(P$52=0,O33="",P33=""),0,IFERROR(IF(AND(INDEX(Arten,MATCH(O33,Codes,0))="Arbeit",INDEX(Arten,MATCH(P33,Codes,0))="Arbeit"),IF(ROUND((1+INDEX(Beginne,MATCH(P33,Codes,0))-INDEX(EndeRel,MATCH(O33,Codes,0)))*1440,0)&lt;660,1,0),0),0))</f>
      </c>
      <c r="Q82" s="1">
        <f>IF(OR(Q$52=0,P33="",Q33=""),0,IFERROR(IF(AND(INDEX(Arten,MATCH(P33,Codes,0))="Arbeit",INDEX(Arten,MATCH(Q33,Codes,0))="Arbeit"),IF(ROUND((1+INDEX(Beginne,MATCH(Q33,Codes,0))-INDEX(EndeRel,MATCH(P33,Codes,0)))*1440,0)&lt;660,1,0),0),0))</f>
      </c>
      <c r="R82" s="1">
        <f>IF(OR(R$52=0,Q33="",R33=""),0,IFERROR(IF(AND(INDEX(Arten,MATCH(Q33,Codes,0))="Arbeit",INDEX(Arten,MATCH(R33,Codes,0))="Arbeit"),IF(ROUND((1+INDEX(Beginne,MATCH(R33,Codes,0))-INDEX(EndeRel,MATCH(Q33,Codes,0)))*1440,0)&lt;660,1,0),0),0))</f>
      </c>
      <c r="S82" s="1">
        <f>IF(OR(S$52=0,R33="",S33=""),0,IFERROR(IF(AND(INDEX(Arten,MATCH(R33,Codes,0))="Arbeit",INDEX(Arten,MATCH(S33,Codes,0))="Arbeit"),IF(ROUND((1+INDEX(Beginne,MATCH(S33,Codes,0))-INDEX(EndeRel,MATCH(R33,Codes,0)))*1440,0)&lt;660,1,0),0),0))</f>
      </c>
      <c r="T82" s="1">
        <f>IF(OR(T$52=0,S33="",T33=""),0,IFERROR(IF(AND(INDEX(Arten,MATCH(S33,Codes,0))="Arbeit",INDEX(Arten,MATCH(T33,Codes,0))="Arbeit"),IF(ROUND((1+INDEX(Beginne,MATCH(T33,Codes,0))-INDEX(EndeRel,MATCH(S33,Codes,0)))*1440,0)&lt;660,1,0),0),0))</f>
      </c>
      <c r="U82" s="1">
        <f>IF(OR(U$52=0,T33="",U33=""),0,IFERROR(IF(AND(INDEX(Arten,MATCH(T33,Codes,0))="Arbeit",INDEX(Arten,MATCH(U33,Codes,0))="Arbeit"),IF(ROUND((1+INDEX(Beginne,MATCH(U33,Codes,0))-INDEX(EndeRel,MATCH(T33,Codes,0)))*1440,0)&lt;660,1,0),0),0))</f>
      </c>
      <c r="V82" s="1">
        <f>IF(OR(V$52=0,U33="",V33=""),0,IFERROR(IF(AND(INDEX(Arten,MATCH(U33,Codes,0))="Arbeit",INDEX(Arten,MATCH(V33,Codes,0))="Arbeit"),IF(ROUND((1+INDEX(Beginne,MATCH(V33,Codes,0))-INDEX(EndeRel,MATCH(U33,Codes,0)))*1440,0)&lt;660,1,0),0),0))</f>
      </c>
      <c r="W82" s="1">
        <f>IF(OR(W$52=0,V33="",W33=""),0,IFERROR(IF(AND(INDEX(Arten,MATCH(V33,Codes,0))="Arbeit",INDEX(Arten,MATCH(W33,Codes,0))="Arbeit"),IF(ROUND((1+INDEX(Beginne,MATCH(W33,Codes,0))-INDEX(EndeRel,MATCH(V33,Codes,0)))*1440,0)&lt;660,1,0),0),0))</f>
      </c>
      <c r="X82" s="1">
        <f>IF(OR(X$52=0,W33="",X33=""),0,IFERROR(IF(AND(INDEX(Arten,MATCH(W33,Codes,0))="Arbeit",INDEX(Arten,MATCH(X33,Codes,0))="Arbeit"),IF(ROUND((1+INDEX(Beginne,MATCH(X33,Codes,0))-INDEX(EndeRel,MATCH(W33,Codes,0)))*1440,0)&lt;660,1,0),0),0))</f>
      </c>
      <c r="Y82" s="1">
        <f>IF(OR(Y$52=0,X33="",Y33=""),0,IFERROR(IF(AND(INDEX(Arten,MATCH(X33,Codes,0))="Arbeit",INDEX(Arten,MATCH(Y33,Codes,0))="Arbeit"),IF(ROUND((1+INDEX(Beginne,MATCH(Y33,Codes,0))-INDEX(EndeRel,MATCH(X33,Codes,0)))*1440,0)&lt;660,1,0),0),0))</f>
      </c>
      <c r="Z82" s="1">
        <f>IF(OR(Z$52=0,Y33="",Z33=""),0,IFERROR(IF(AND(INDEX(Arten,MATCH(Y33,Codes,0))="Arbeit",INDEX(Arten,MATCH(Z33,Codes,0))="Arbeit"),IF(ROUND((1+INDEX(Beginne,MATCH(Z33,Codes,0))-INDEX(EndeRel,MATCH(Y33,Codes,0)))*1440,0)&lt;660,1,0),0),0))</f>
      </c>
      <c r="AA82" s="1">
        <f>IF(OR(AA$52=0,Z33="",AA33=""),0,IFERROR(IF(AND(INDEX(Arten,MATCH(Z33,Codes,0))="Arbeit",INDEX(Arten,MATCH(AA33,Codes,0))="Arbeit"),IF(ROUND((1+INDEX(Beginne,MATCH(AA33,Codes,0))-INDEX(EndeRel,MATCH(Z33,Codes,0)))*1440,0)&lt;660,1,0),0),0))</f>
      </c>
      <c r="AB82" s="1">
        <f>IF(OR(AB$52=0,AA33="",AB33=""),0,IFERROR(IF(AND(INDEX(Arten,MATCH(AA33,Codes,0))="Arbeit",INDEX(Arten,MATCH(AB33,Codes,0))="Arbeit"),IF(ROUND((1+INDEX(Beginne,MATCH(AB33,Codes,0))-INDEX(EndeRel,MATCH(AA33,Codes,0)))*1440,0)&lt;660,1,0),0),0))</f>
      </c>
      <c r="AC82" s="1">
        <f>IF(OR(AC$52=0,AB33="",AC33=""),0,IFERROR(IF(AND(INDEX(Arten,MATCH(AB33,Codes,0))="Arbeit",INDEX(Arten,MATCH(AC33,Codes,0))="Arbeit"),IF(ROUND((1+INDEX(Beginne,MATCH(AC33,Codes,0))-INDEX(EndeRel,MATCH(AB33,Codes,0)))*1440,0)&lt;660,1,0),0),0))</f>
      </c>
      <c r="AD82" s="1">
        <f>IF(OR(AD$52=0,AC33="",AD33=""),0,IFERROR(IF(AND(INDEX(Arten,MATCH(AC33,Codes,0))="Arbeit",INDEX(Arten,MATCH(AD33,Codes,0))="Arbeit"),IF(ROUND((1+INDEX(Beginne,MATCH(AD33,Codes,0))-INDEX(EndeRel,MATCH(AC33,Codes,0)))*1440,0)&lt;660,1,0),0),0))</f>
      </c>
      <c r="AE82" s="1">
        <f>IF(OR(AE$52=0,AD33="",AE33=""),0,IFERROR(IF(AND(INDEX(Arten,MATCH(AD33,Codes,0))="Arbeit",INDEX(Arten,MATCH(AE33,Codes,0))="Arbeit"),IF(ROUND((1+INDEX(Beginne,MATCH(AE33,Codes,0))-INDEX(EndeRel,MATCH(AD33,Codes,0)))*1440,0)&lt;660,1,0),0),0))</f>
      </c>
      <c r="AF82" s="1">
        <f>IF(OR(AF$52=0,AE33="",AF33=""),0,IFERROR(IF(AND(INDEX(Arten,MATCH(AE33,Codes,0))="Arbeit",INDEX(Arten,MATCH(AF33,Codes,0))="Arbeit"),IF(ROUND((1+INDEX(Beginne,MATCH(AF33,Codes,0))-INDEX(EndeRel,MATCH(AE33,Codes,0)))*1440,0)&lt;660,1,0),0),0))</f>
      </c>
    </row>
    <row r="83" hidden="1" spans="1:32" x14ac:dyDescent="0.25">
      <c r="A83" s="1"/>
      <c r="B83" s="1">
        <f>IF(OR(B$52=0,INDEX('März'!$B$34:$AF$34,DAY(DATE(Jahr,4,0)))="",B34=""),0,IFERROR(IF(AND(INDEX(Arten,MATCH(INDEX('März'!$B$34:$AF$34,DAY(DATE(Jahr,4,0))),Codes,0))="Arbeit",INDEX(Arten,MATCH(B34,Codes,0))="Arbeit"),IF(ROUND((1+INDEX(Beginne,MATCH(B34,Codes,0))-INDEX(EndeRel,MATCH(INDEX('März'!$B$34:$AF$34,DAY(DATE(Jahr,4,0))),Codes,0)))*1440,0)&lt;660,1,0),0),0))</f>
      </c>
      <c r="C83" s="1">
        <f>IF(OR(C$52=0,B34="",C34=""),0,IFERROR(IF(AND(INDEX(Arten,MATCH(B34,Codes,0))="Arbeit",INDEX(Arten,MATCH(C34,Codes,0))="Arbeit"),IF(ROUND((1+INDEX(Beginne,MATCH(C34,Codes,0))-INDEX(EndeRel,MATCH(B34,Codes,0)))*1440,0)&lt;660,1,0),0),0))</f>
      </c>
      <c r="D83" s="1">
        <f>IF(OR(D$52=0,C34="",D34=""),0,IFERROR(IF(AND(INDEX(Arten,MATCH(C34,Codes,0))="Arbeit",INDEX(Arten,MATCH(D34,Codes,0))="Arbeit"),IF(ROUND((1+INDEX(Beginne,MATCH(D34,Codes,0))-INDEX(EndeRel,MATCH(C34,Codes,0)))*1440,0)&lt;660,1,0),0),0))</f>
      </c>
      <c r="E83" s="1">
        <f>IF(OR(E$52=0,D34="",E34=""),0,IFERROR(IF(AND(INDEX(Arten,MATCH(D34,Codes,0))="Arbeit",INDEX(Arten,MATCH(E34,Codes,0))="Arbeit"),IF(ROUND((1+INDEX(Beginne,MATCH(E34,Codes,0))-INDEX(EndeRel,MATCH(D34,Codes,0)))*1440,0)&lt;660,1,0),0),0))</f>
      </c>
      <c r="F83" s="1">
        <f>IF(OR(F$52=0,E34="",F34=""),0,IFERROR(IF(AND(INDEX(Arten,MATCH(E34,Codes,0))="Arbeit",INDEX(Arten,MATCH(F34,Codes,0))="Arbeit"),IF(ROUND((1+INDEX(Beginne,MATCH(F34,Codes,0))-INDEX(EndeRel,MATCH(E34,Codes,0)))*1440,0)&lt;660,1,0),0),0))</f>
      </c>
      <c r="G83" s="1">
        <f>IF(OR(G$52=0,F34="",G34=""),0,IFERROR(IF(AND(INDEX(Arten,MATCH(F34,Codes,0))="Arbeit",INDEX(Arten,MATCH(G34,Codes,0))="Arbeit"),IF(ROUND((1+INDEX(Beginne,MATCH(G34,Codes,0))-INDEX(EndeRel,MATCH(F34,Codes,0)))*1440,0)&lt;660,1,0),0),0))</f>
      </c>
      <c r="H83" s="1">
        <f>IF(OR(H$52=0,G34="",H34=""),0,IFERROR(IF(AND(INDEX(Arten,MATCH(G34,Codes,0))="Arbeit",INDEX(Arten,MATCH(H34,Codes,0))="Arbeit"),IF(ROUND((1+INDEX(Beginne,MATCH(H34,Codes,0))-INDEX(EndeRel,MATCH(G34,Codes,0)))*1440,0)&lt;660,1,0),0),0))</f>
      </c>
      <c r="I83" s="1">
        <f>IF(OR(I$52=0,H34="",I34=""),0,IFERROR(IF(AND(INDEX(Arten,MATCH(H34,Codes,0))="Arbeit",INDEX(Arten,MATCH(I34,Codes,0))="Arbeit"),IF(ROUND((1+INDEX(Beginne,MATCH(I34,Codes,0))-INDEX(EndeRel,MATCH(H34,Codes,0)))*1440,0)&lt;660,1,0),0),0))</f>
      </c>
      <c r="J83" s="1">
        <f>IF(OR(J$52=0,I34="",J34=""),0,IFERROR(IF(AND(INDEX(Arten,MATCH(I34,Codes,0))="Arbeit",INDEX(Arten,MATCH(J34,Codes,0))="Arbeit"),IF(ROUND((1+INDEX(Beginne,MATCH(J34,Codes,0))-INDEX(EndeRel,MATCH(I34,Codes,0)))*1440,0)&lt;660,1,0),0),0))</f>
      </c>
      <c r="K83" s="1">
        <f>IF(OR(K$52=0,J34="",K34=""),0,IFERROR(IF(AND(INDEX(Arten,MATCH(J34,Codes,0))="Arbeit",INDEX(Arten,MATCH(K34,Codes,0))="Arbeit"),IF(ROUND((1+INDEX(Beginne,MATCH(K34,Codes,0))-INDEX(EndeRel,MATCH(J34,Codes,0)))*1440,0)&lt;660,1,0),0),0))</f>
      </c>
      <c r="L83" s="1">
        <f>IF(OR(L$52=0,K34="",L34=""),0,IFERROR(IF(AND(INDEX(Arten,MATCH(K34,Codes,0))="Arbeit",INDEX(Arten,MATCH(L34,Codes,0))="Arbeit"),IF(ROUND((1+INDEX(Beginne,MATCH(L34,Codes,0))-INDEX(EndeRel,MATCH(K34,Codes,0)))*1440,0)&lt;660,1,0),0),0))</f>
      </c>
      <c r="M83" s="1">
        <f>IF(OR(M$52=0,L34="",M34=""),0,IFERROR(IF(AND(INDEX(Arten,MATCH(L34,Codes,0))="Arbeit",INDEX(Arten,MATCH(M34,Codes,0))="Arbeit"),IF(ROUND((1+INDEX(Beginne,MATCH(M34,Codes,0))-INDEX(EndeRel,MATCH(L34,Codes,0)))*1440,0)&lt;660,1,0),0),0))</f>
      </c>
      <c r="N83" s="1">
        <f>IF(OR(N$52=0,M34="",N34=""),0,IFERROR(IF(AND(INDEX(Arten,MATCH(M34,Codes,0))="Arbeit",INDEX(Arten,MATCH(N34,Codes,0))="Arbeit"),IF(ROUND((1+INDEX(Beginne,MATCH(N34,Codes,0))-INDEX(EndeRel,MATCH(M34,Codes,0)))*1440,0)&lt;660,1,0),0),0))</f>
      </c>
      <c r="O83" s="1">
        <f>IF(OR(O$52=0,N34="",O34=""),0,IFERROR(IF(AND(INDEX(Arten,MATCH(N34,Codes,0))="Arbeit",INDEX(Arten,MATCH(O34,Codes,0))="Arbeit"),IF(ROUND((1+INDEX(Beginne,MATCH(O34,Codes,0))-INDEX(EndeRel,MATCH(N34,Codes,0)))*1440,0)&lt;660,1,0),0),0))</f>
      </c>
      <c r="P83" s="1">
        <f>IF(OR(P$52=0,O34="",P34=""),0,IFERROR(IF(AND(INDEX(Arten,MATCH(O34,Codes,0))="Arbeit",INDEX(Arten,MATCH(P34,Codes,0))="Arbeit"),IF(ROUND((1+INDEX(Beginne,MATCH(P34,Codes,0))-INDEX(EndeRel,MATCH(O34,Codes,0)))*1440,0)&lt;660,1,0),0),0))</f>
      </c>
      <c r="Q83" s="1">
        <f>IF(OR(Q$52=0,P34="",Q34=""),0,IFERROR(IF(AND(INDEX(Arten,MATCH(P34,Codes,0))="Arbeit",INDEX(Arten,MATCH(Q34,Codes,0))="Arbeit"),IF(ROUND((1+INDEX(Beginne,MATCH(Q34,Codes,0))-INDEX(EndeRel,MATCH(P34,Codes,0)))*1440,0)&lt;660,1,0),0),0))</f>
      </c>
      <c r="R83" s="1">
        <f>IF(OR(R$52=0,Q34="",R34=""),0,IFERROR(IF(AND(INDEX(Arten,MATCH(Q34,Codes,0))="Arbeit",INDEX(Arten,MATCH(R34,Codes,0))="Arbeit"),IF(ROUND((1+INDEX(Beginne,MATCH(R34,Codes,0))-INDEX(EndeRel,MATCH(Q34,Codes,0)))*1440,0)&lt;660,1,0),0),0))</f>
      </c>
      <c r="S83" s="1">
        <f>IF(OR(S$52=0,R34="",S34=""),0,IFERROR(IF(AND(INDEX(Arten,MATCH(R34,Codes,0))="Arbeit",INDEX(Arten,MATCH(S34,Codes,0))="Arbeit"),IF(ROUND((1+INDEX(Beginne,MATCH(S34,Codes,0))-INDEX(EndeRel,MATCH(R34,Codes,0)))*1440,0)&lt;660,1,0),0),0))</f>
      </c>
      <c r="T83" s="1">
        <f>IF(OR(T$52=0,S34="",T34=""),0,IFERROR(IF(AND(INDEX(Arten,MATCH(S34,Codes,0))="Arbeit",INDEX(Arten,MATCH(T34,Codes,0))="Arbeit"),IF(ROUND((1+INDEX(Beginne,MATCH(T34,Codes,0))-INDEX(EndeRel,MATCH(S34,Codes,0)))*1440,0)&lt;660,1,0),0),0))</f>
      </c>
      <c r="U83" s="1">
        <f>IF(OR(U$52=0,T34="",U34=""),0,IFERROR(IF(AND(INDEX(Arten,MATCH(T34,Codes,0))="Arbeit",INDEX(Arten,MATCH(U34,Codes,0))="Arbeit"),IF(ROUND((1+INDEX(Beginne,MATCH(U34,Codes,0))-INDEX(EndeRel,MATCH(T34,Codes,0)))*1440,0)&lt;660,1,0),0),0))</f>
      </c>
      <c r="V83" s="1">
        <f>IF(OR(V$52=0,U34="",V34=""),0,IFERROR(IF(AND(INDEX(Arten,MATCH(U34,Codes,0))="Arbeit",INDEX(Arten,MATCH(V34,Codes,0))="Arbeit"),IF(ROUND((1+INDEX(Beginne,MATCH(V34,Codes,0))-INDEX(EndeRel,MATCH(U34,Codes,0)))*1440,0)&lt;660,1,0),0),0))</f>
      </c>
      <c r="W83" s="1">
        <f>IF(OR(W$52=0,V34="",W34=""),0,IFERROR(IF(AND(INDEX(Arten,MATCH(V34,Codes,0))="Arbeit",INDEX(Arten,MATCH(W34,Codes,0))="Arbeit"),IF(ROUND((1+INDEX(Beginne,MATCH(W34,Codes,0))-INDEX(EndeRel,MATCH(V34,Codes,0)))*1440,0)&lt;660,1,0),0),0))</f>
      </c>
      <c r="X83" s="1">
        <f>IF(OR(X$52=0,W34="",X34=""),0,IFERROR(IF(AND(INDEX(Arten,MATCH(W34,Codes,0))="Arbeit",INDEX(Arten,MATCH(X34,Codes,0))="Arbeit"),IF(ROUND((1+INDEX(Beginne,MATCH(X34,Codes,0))-INDEX(EndeRel,MATCH(W34,Codes,0)))*1440,0)&lt;660,1,0),0),0))</f>
      </c>
      <c r="Y83" s="1">
        <f>IF(OR(Y$52=0,X34="",Y34=""),0,IFERROR(IF(AND(INDEX(Arten,MATCH(X34,Codes,0))="Arbeit",INDEX(Arten,MATCH(Y34,Codes,0))="Arbeit"),IF(ROUND((1+INDEX(Beginne,MATCH(Y34,Codes,0))-INDEX(EndeRel,MATCH(X34,Codes,0)))*1440,0)&lt;660,1,0),0),0))</f>
      </c>
      <c r="Z83" s="1">
        <f>IF(OR(Z$52=0,Y34="",Z34=""),0,IFERROR(IF(AND(INDEX(Arten,MATCH(Y34,Codes,0))="Arbeit",INDEX(Arten,MATCH(Z34,Codes,0))="Arbeit"),IF(ROUND((1+INDEX(Beginne,MATCH(Z34,Codes,0))-INDEX(EndeRel,MATCH(Y34,Codes,0)))*1440,0)&lt;660,1,0),0),0))</f>
      </c>
      <c r="AA83" s="1">
        <f>IF(OR(AA$52=0,Z34="",AA34=""),0,IFERROR(IF(AND(INDEX(Arten,MATCH(Z34,Codes,0))="Arbeit",INDEX(Arten,MATCH(AA34,Codes,0))="Arbeit"),IF(ROUND((1+INDEX(Beginne,MATCH(AA34,Codes,0))-INDEX(EndeRel,MATCH(Z34,Codes,0)))*1440,0)&lt;660,1,0),0),0))</f>
      </c>
      <c r="AB83" s="1">
        <f>IF(OR(AB$52=0,AA34="",AB34=""),0,IFERROR(IF(AND(INDEX(Arten,MATCH(AA34,Codes,0))="Arbeit",INDEX(Arten,MATCH(AB34,Codes,0))="Arbeit"),IF(ROUND((1+INDEX(Beginne,MATCH(AB34,Codes,0))-INDEX(EndeRel,MATCH(AA34,Codes,0)))*1440,0)&lt;660,1,0),0),0))</f>
      </c>
      <c r="AC83" s="1">
        <f>IF(OR(AC$52=0,AB34="",AC34=""),0,IFERROR(IF(AND(INDEX(Arten,MATCH(AB34,Codes,0))="Arbeit",INDEX(Arten,MATCH(AC34,Codes,0))="Arbeit"),IF(ROUND((1+INDEX(Beginne,MATCH(AC34,Codes,0))-INDEX(EndeRel,MATCH(AB34,Codes,0)))*1440,0)&lt;660,1,0),0),0))</f>
      </c>
      <c r="AD83" s="1">
        <f>IF(OR(AD$52=0,AC34="",AD34=""),0,IFERROR(IF(AND(INDEX(Arten,MATCH(AC34,Codes,0))="Arbeit",INDEX(Arten,MATCH(AD34,Codes,0))="Arbeit"),IF(ROUND((1+INDEX(Beginne,MATCH(AD34,Codes,0))-INDEX(EndeRel,MATCH(AC34,Codes,0)))*1440,0)&lt;660,1,0),0),0))</f>
      </c>
      <c r="AE83" s="1">
        <f>IF(OR(AE$52=0,AD34="",AE34=""),0,IFERROR(IF(AND(INDEX(Arten,MATCH(AD34,Codes,0))="Arbeit",INDEX(Arten,MATCH(AE34,Codes,0))="Arbeit"),IF(ROUND((1+INDEX(Beginne,MATCH(AE34,Codes,0))-INDEX(EndeRel,MATCH(AD34,Codes,0)))*1440,0)&lt;660,1,0),0),0))</f>
      </c>
      <c r="AF83" s="1">
        <f>IF(OR(AF$52=0,AE34="",AF34=""),0,IFERROR(IF(AND(INDEX(Arten,MATCH(AE34,Codes,0))="Arbeit",INDEX(Arten,MATCH(AF34,Codes,0))="Arbeit"),IF(ROUND((1+INDEX(Beginne,MATCH(AF34,Codes,0))-INDEX(EndeRel,MATCH(AE34,Codes,0)))*1440,0)&lt;660,1,0),0),0))</f>
      </c>
    </row>
    <row r="84" hidden="1" spans="1:32" x14ac:dyDescent="0.25">
      <c r="A84" s="1"/>
      <c r="B84" s="1">
        <f>IF(OR(B$52=0,INDEX('März'!$B$35:$AF$35,DAY(DATE(Jahr,4,0)))="",B35=""),0,IFERROR(IF(AND(INDEX(Arten,MATCH(INDEX('März'!$B$35:$AF$35,DAY(DATE(Jahr,4,0))),Codes,0))="Arbeit",INDEX(Arten,MATCH(B35,Codes,0))="Arbeit"),IF(ROUND((1+INDEX(Beginne,MATCH(B35,Codes,0))-INDEX(EndeRel,MATCH(INDEX('März'!$B$35:$AF$35,DAY(DATE(Jahr,4,0))),Codes,0)))*1440,0)&lt;660,1,0),0),0))</f>
      </c>
      <c r="C84" s="1">
        <f>IF(OR(C$52=0,B35="",C35=""),0,IFERROR(IF(AND(INDEX(Arten,MATCH(B35,Codes,0))="Arbeit",INDEX(Arten,MATCH(C35,Codes,0))="Arbeit"),IF(ROUND((1+INDEX(Beginne,MATCH(C35,Codes,0))-INDEX(EndeRel,MATCH(B35,Codes,0)))*1440,0)&lt;660,1,0),0),0))</f>
      </c>
      <c r="D84" s="1">
        <f>IF(OR(D$52=0,C35="",D35=""),0,IFERROR(IF(AND(INDEX(Arten,MATCH(C35,Codes,0))="Arbeit",INDEX(Arten,MATCH(D35,Codes,0))="Arbeit"),IF(ROUND((1+INDEX(Beginne,MATCH(D35,Codes,0))-INDEX(EndeRel,MATCH(C35,Codes,0)))*1440,0)&lt;660,1,0),0),0))</f>
      </c>
      <c r="E84" s="1">
        <f>IF(OR(E$52=0,D35="",E35=""),0,IFERROR(IF(AND(INDEX(Arten,MATCH(D35,Codes,0))="Arbeit",INDEX(Arten,MATCH(E35,Codes,0))="Arbeit"),IF(ROUND((1+INDEX(Beginne,MATCH(E35,Codes,0))-INDEX(EndeRel,MATCH(D35,Codes,0)))*1440,0)&lt;660,1,0),0),0))</f>
      </c>
      <c r="F84" s="1">
        <f>IF(OR(F$52=0,E35="",F35=""),0,IFERROR(IF(AND(INDEX(Arten,MATCH(E35,Codes,0))="Arbeit",INDEX(Arten,MATCH(F35,Codes,0))="Arbeit"),IF(ROUND((1+INDEX(Beginne,MATCH(F35,Codes,0))-INDEX(EndeRel,MATCH(E35,Codes,0)))*1440,0)&lt;660,1,0),0),0))</f>
      </c>
      <c r="G84" s="1">
        <f>IF(OR(G$52=0,F35="",G35=""),0,IFERROR(IF(AND(INDEX(Arten,MATCH(F35,Codes,0))="Arbeit",INDEX(Arten,MATCH(G35,Codes,0))="Arbeit"),IF(ROUND((1+INDEX(Beginne,MATCH(G35,Codes,0))-INDEX(EndeRel,MATCH(F35,Codes,0)))*1440,0)&lt;660,1,0),0),0))</f>
      </c>
      <c r="H84" s="1">
        <f>IF(OR(H$52=0,G35="",H35=""),0,IFERROR(IF(AND(INDEX(Arten,MATCH(G35,Codes,0))="Arbeit",INDEX(Arten,MATCH(H35,Codes,0))="Arbeit"),IF(ROUND((1+INDEX(Beginne,MATCH(H35,Codes,0))-INDEX(EndeRel,MATCH(G35,Codes,0)))*1440,0)&lt;660,1,0),0),0))</f>
      </c>
      <c r="I84" s="1">
        <f>IF(OR(I$52=0,H35="",I35=""),0,IFERROR(IF(AND(INDEX(Arten,MATCH(H35,Codes,0))="Arbeit",INDEX(Arten,MATCH(I35,Codes,0))="Arbeit"),IF(ROUND((1+INDEX(Beginne,MATCH(I35,Codes,0))-INDEX(EndeRel,MATCH(H35,Codes,0)))*1440,0)&lt;660,1,0),0),0))</f>
      </c>
      <c r="J84" s="1">
        <f>IF(OR(J$52=0,I35="",J35=""),0,IFERROR(IF(AND(INDEX(Arten,MATCH(I35,Codes,0))="Arbeit",INDEX(Arten,MATCH(J35,Codes,0))="Arbeit"),IF(ROUND((1+INDEX(Beginne,MATCH(J35,Codes,0))-INDEX(EndeRel,MATCH(I35,Codes,0)))*1440,0)&lt;660,1,0),0),0))</f>
      </c>
      <c r="K84" s="1">
        <f>IF(OR(K$52=0,J35="",K35=""),0,IFERROR(IF(AND(INDEX(Arten,MATCH(J35,Codes,0))="Arbeit",INDEX(Arten,MATCH(K35,Codes,0))="Arbeit"),IF(ROUND((1+INDEX(Beginne,MATCH(K35,Codes,0))-INDEX(EndeRel,MATCH(J35,Codes,0)))*1440,0)&lt;660,1,0),0),0))</f>
      </c>
      <c r="L84" s="1">
        <f>IF(OR(L$52=0,K35="",L35=""),0,IFERROR(IF(AND(INDEX(Arten,MATCH(K35,Codes,0))="Arbeit",INDEX(Arten,MATCH(L35,Codes,0))="Arbeit"),IF(ROUND((1+INDEX(Beginne,MATCH(L35,Codes,0))-INDEX(EndeRel,MATCH(K35,Codes,0)))*1440,0)&lt;660,1,0),0),0))</f>
      </c>
      <c r="M84" s="1">
        <f>IF(OR(M$52=0,L35="",M35=""),0,IFERROR(IF(AND(INDEX(Arten,MATCH(L35,Codes,0))="Arbeit",INDEX(Arten,MATCH(M35,Codes,0))="Arbeit"),IF(ROUND((1+INDEX(Beginne,MATCH(M35,Codes,0))-INDEX(EndeRel,MATCH(L35,Codes,0)))*1440,0)&lt;660,1,0),0),0))</f>
      </c>
      <c r="N84" s="1">
        <f>IF(OR(N$52=0,M35="",N35=""),0,IFERROR(IF(AND(INDEX(Arten,MATCH(M35,Codes,0))="Arbeit",INDEX(Arten,MATCH(N35,Codes,0))="Arbeit"),IF(ROUND((1+INDEX(Beginne,MATCH(N35,Codes,0))-INDEX(EndeRel,MATCH(M35,Codes,0)))*1440,0)&lt;660,1,0),0),0))</f>
      </c>
      <c r="O84" s="1">
        <f>IF(OR(O$52=0,N35="",O35=""),0,IFERROR(IF(AND(INDEX(Arten,MATCH(N35,Codes,0))="Arbeit",INDEX(Arten,MATCH(O35,Codes,0))="Arbeit"),IF(ROUND((1+INDEX(Beginne,MATCH(O35,Codes,0))-INDEX(EndeRel,MATCH(N35,Codes,0)))*1440,0)&lt;660,1,0),0),0))</f>
      </c>
      <c r="P84" s="1">
        <f>IF(OR(P$52=0,O35="",P35=""),0,IFERROR(IF(AND(INDEX(Arten,MATCH(O35,Codes,0))="Arbeit",INDEX(Arten,MATCH(P35,Codes,0))="Arbeit"),IF(ROUND((1+INDEX(Beginne,MATCH(P35,Codes,0))-INDEX(EndeRel,MATCH(O35,Codes,0)))*1440,0)&lt;660,1,0),0),0))</f>
      </c>
      <c r="Q84" s="1">
        <f>IF(OR(Q$52=0,P35="",Q35=""),0,IFERROR(IF(AND(INDEX(Arten,MATCH(P35,Codes,0))="Arbeit",INDEX(Arten,MATCH(Q35,Codes,0))="Arbeit"),IF(ROUND((1+INDEX(Beginne,MATCH(Q35,Codes,0))-INDEX(EndeRel,MATCH(P35,Codes,0)))*1440,0)&lt;660,1,0),0),0))</f>
      </c>
      <c r="R84" s="1">
        <f>IF(OR(R$52=0,Q35="",R35=""),0,IFERROR(IF(AND(INDEX(Arten,MATCH(Q35,Codes,0))="Arbeit",INDEX(Arten,MATCH(R35,Codes,0))="Arbeit"),IF(ROUND((1+INDEX(Beginne,MATCH(R35,Codes,0))-INDEX(EndeRel,MATCH(Q35,Codes,0)))*1440,0)&lt;660,1,0),0),0))</f>
      </c>
      <c r="S84" s="1">
        <f>IF(OR(S$52=0,R35="",S35=""),0,IFERROR(IF(AND(INDEX(Arten,MATCH(R35,Codes,0))="Arbeit",INDEX(Arten,MATCH(S35,Codes,0))="Arbeit"),IF(ROUND((1+INDEX(Beginne,MATCH(S35,Codes,0))-INDEX(EndeRel,MATCH(R35,Codes,0)))*1440,0)&lt;660,1,0),0),0))</f>
      </c>
      <c r="T84" s="1">
        <f>IF(OR(T$52=0,S35="",T35=""),0,IFERROR(IF(AND(INDEX(Arten,MATCH(S35,Codes,0))="Arbeit",INDEX(Arten,MATCH(T35,Codes,0))="Arbeit"),IF(ROUND((1+INDEX(Beginne,MATCH(T35,Codes,0))-INDEX(EndeRel,MATCH(S35,Codes,0)))*1440,0)&lt;660,1,0),0),0))</f>
      </c>
      <c r="U84" s="1">
        <f>IF(OR(U$52=0,T35="",U35=""),0,IFERROR(IF(AND(INDEX(Arten,MATCH(T35,Codes,0))="Arbeit",INDEX(Arten,MATCH(U35,Codes,0))="Arbeit"),IF(ROUND((1+INDEX(Beginne,MATCH(U35,Codes,0))-INDEX(EndeRel,MATCH(T35,Codes,0)))*1440,0)&lt;660,1,0),0),0))</f>
      </c>
      <c r="V84" s="1">
        <f>IF(OR(V$52=0,U35="",V35=""),0,IFERROR(IF(AND(INDEX(Arten,MATCH(U35,Codes,0))="Arbeit",INDEX(Arten,MATCH(V35,Codes,0))="Arbeit"),IF(ROUND((1+INDEX(Beginne,MATCH(V35,Codes,0))-INDEX(EndeRel,MATCH(U35,Codes,0)))*1440,0)&lt;660,1,0),0),0))</f>
      </c>
      <c r="W84" s="1">
        <f>IF(OR(W$52=0,V35="",W35=""),0,IFERROR(IF(AND(INDEX(Arten,MATCH(V35,Codes,0))="Arbeit",INDEX(Arten,MATCH(W35,Codes,0))="Arbeit"),IF(ROUND((1+INDEX(Beginne,MATCH(W35,Codes,0))-INDEX(EndeRel,MATCH(V35,Codes,0)))*1440,0)&lt;660,1,0),0),0))</f>
      </c>
      <c r="X84" s="1">
        <f>IF(OR(X$52=0,W35="",X35=""),0,IFERROR(IF(AND(INDEX(Arten,MATCH(W35,Codes,0))="Arbeit",INDEX(Arten,MATCH(X35,Codes,0))="Arbeit"),IF(ROUND((1+INDEX(Beginne,MATCH(X35,Codes,0))-INDEX(EndeRel,MATCH(W35,Codes,0)))*1440,0)&lt;660,1,0),0),0))</f>
      </c>
      <c r="Y84" s="1">
        <f>IF(OR(Y$52=0,X35="",Y35=""),0,IFERROR(IF(AND(INDEX(Arten,MATCH(X35,Codes,0))="Arbeit",INDEX(Arten,MATCH(Y35,Codes,0))="Arbeit"),IF(ROUND((1+INDEX(Beginne,MATCH(Y35,Codes,0))-INDEX(EndeRel,MATCH(X35,Codes,0)))*1440,0)&lt;660,1,0),0),0))</f>
      </c>
      <c r="Z84" s="1">
        <f>IF(OR(Z$52=0,Y35="",Z35=""),0,IFERROR(IF(AND(INDEX(Arten,MATCH(Y35,Codes,0))="Arbeit",INDEX(Arten,MATCH(Z35,Codes,0))="Arbeit"),IF(ROUND((1+INDEX(Beginne,MATCH(Z35,Codes,0))-INDEX(EndeRel,MATCH(Y35,Codes,0)))*1440,0)&lt;660,1,0),0),0))</f>
      </c>
      <c r="AA84" s="1">
        <f>IF(OR(AA$52=0,Z35="",AA35=""),0,IFERROR(IF(AND(INDEX(Arten,MATCH(Z35,Codes,0))="Arbeit",INDEX(Arten,MATCH(AA35,Codes,0))="Arbeit"),IF(ROUND((1+INDEX(Beginne,MATCH(AA35,Codes,0))-INDEX(EndeRel,MATCH(Z35,Codes,0)))*1440,0)&lt;660,1,0),0),0))</f>
      </c>
      <c r="AB84" s="1">
        <f>IF(OR(AB$52=0,AA35="",AB35=""),0,IFERROR(IF(AND(INDEX(Arten,MATCH(AA35,Codes,0))="Arbeit",INDEX(Arten,MATCH(AB35,Codes,0))="Arbeit"),IF(ROUND((1+INDEX(Beginne,MATCH(AB35,Codes,0))-INDEX(EndeRel,MATCH(AA35,Codes,0)))*1440,0)&lt;660,1,0),0),0))</f>
      </c>
      <c r="AC84" s="1">
        <f>IF(OR(AC$52=0,AB35="",AC35=""),0,IFERROR(IF(AND(INDEX(Arten,MATCH(AB35,Codes,0))="Arbeit",INDEX(Arten,MATCH(AC35,Codes,0))="Arbeit"),IF(ROUND((1+INDEX(Beginne,MATCH(AC35,Codes,0))-INDEX(EndeRel,MATCH(AB35,Codes,0)))*1440,0)&lt;660,1,0),0),0))</f>
      </c>
      <c r="AD84" s="1">
        <f>IF(OR(AD$52=0,AC35="",AD35=""),0,IFERROR(IF(AND(INDEX(Arten,MATCH(AC35,Codes,0))="Arbeit",INDEX(Arten,MATCH(AD35,Codes,0))="Arbeit"),IF(ROUND((1+INDEX(Beginne,MATCH(AD35,Codes,0))-INDEX(EndeRel,MATCH(AC35,Codes,0)))*1440,0)&lt;660,1,0),0),0))</f>
      </c>
      <c r="AE84" s="1">
        <f>IF(OR(AE$52=0,AD35="",AE35=""),0,IFERROR(IF(AND(INDEX(Arten,MATCH(AD35,Codes,0))="Arbeit",INDEX(Arten,MATCH(AE35,Codes,0))="Arbeit"),IF(ROUND((1+INDEX(Beginne,MATCH(AE35,Codes,0))-INDEX(EndeRel,MATCH(AD35,Codes,0)))*1440,0)&lt;660,1,0),0),0))</f>
      </c>
      <c r="AF84" s="1">
        <f>IF(OR(AF$52=0,AE35="",AF35=""),0,IFERROR(IF(AND(INDEX(Arten,MATCH(AE35,Codes,0))="Arbeit",INDEX(Arten,MATCH(AF35,Codes,0))="Arbeit"),IF(ROUND((1+INDEX(Beginne,MATCH(AF35,Codes,0))-INDEX(EndeRel,MATCH(AE35,Codes,0)))*1440,0)&lt;660,1,0),0),0))</f>
      </c>
    </row>
    <row r="86" hidden="1" spans="1:32" x14ac:dyDescent="0.25">
      <c r="A86" s="1"/>
      <c r="B86" s="1">
        <f>IF($AM38="","",IF(OR(B$51&gt;=6,B$50=1),N(INDEX(MinFrei,MATCH(1,ArbeitNr,0))),N(INDEX(MinWerktag,MATCH(1,ArbeitNr,0)))))</f>
      </c>
      <c r="C86" s="1">
        <f>IF($AM38="","",IF(OR(C$51&gt;=6,C$50=1),N(INDEX(MinFrei,MATCH(1,ArbeitNr,0))),N(INDEX(MinWerktag,MATCH(1,ArbeitNr,0)))))</f>
      </c>
      <c r="D86" s="1">
        <f>IF($AM38="","",IF(OR(D$51&gt;=6,D$50=1),N(INDEX(MinFrei,MATCH(1,ArbeitNr,0))),N(INDEX(MinWerktag,MATCH(1,ArbeitNr,0)))))</f>
      </c>
      <c r="E86" s="1">
        <f>IF($AM38="","",IF(OR(E$51&gt;=6,E$50=1),N(INDEX(MinFrei,MATCH(1,ArbeitNr,0))),N(INDEX(MinWerktag,MATCH(1,ArbeitNr,0)))))</f>
      </c>
      <c r="F86" s="1">
        <f>IF($AM38="","",IF(OR(F$51&gt;=6,F$50=1),N(INDEX(MinFrei,MATCH(1,ArbeitNr,0))),N(INDEX(MinWerktag,MATCH(1,ArbeitNr,0)))))</f>
      </c>
      <c r="G86" s="1">
        <f>IF($AM38="","",IF(OR(G$51&gt;=6,G$50=1),N(INDEX(MinFrei,MATCH(1,ArbeitNr,0))),N(INDEX(MinWerktag,MATCH(1,ArbeitNr,0)))))</f>
      </c>
      <c r="H86" s="1">
        <f>IF($AM38="","",IF(OR(H$51&gt;=6,H$50=1),N(INDEX(MinFrei,MATCH(1,ArbeitNr,0))),N(INDEX(MinWerktag,MATCH(1,ArbeitNr,0)))))</f>
      </c>
      <c r="I86" s="1">
        <f>IF($AM38="","",IF(OR(I$51&gt;=6,I$50=1),N(INDEX(MinFrei,MATCH(1,ArbeitNr,0))),N(INDEX(MinWerktag,MATCH(1,ArbeitNr,0)))))</f>
      </c>
      <c r="J86" s="1">
        <f>IF($AM38="","",IF(OR(J$51&gt;=6,J$50=1),N(INDEX(MinFrei,MATCH(1,ArbeitNr,0))),N(INDEX(MinWerktag,MATCH(1,ArbeitNr,0)))))</f>
      </c>
      <c r="K86" s="1">
        <f>IF($AM38="","",IF(OR(K$51&gt;=6,K$50=1),N(INDEX(MinFrei,MATCH(1,ArbeitNr,0))),N(INDEX(MinWerktag,MATCH(1,ArbeitNr,0)))))</f>
      </c>
      <c r="L86" s="1">
        <f>IF($AM38="","",IF(OR(L$51&gt;=6,L$50=1),N(INDEX(MinFrei,MATCH(1,ArbeitNr,0))),N(INDEX(MinWerktag,MATCH(1,ArbeitNr,0)))))</f>
      </c>
      <c r="M86" s="1">
        <f>IF($AM38="","",IF(OR(M$51&gt;=6,M$50=1),N(INDEX(MinFrei,MATCH(1,ArbeitNr,0))),N(INDEX(MinWerktag,MATCH(1,ArbeitNr,0)))))</f>
      </c>
      <c r="N86" s="1">
        <f>IF($AM38="","",IF(OR(N$51&gt;=6,N$50=1),N(INDEX(MinFrei,MATCH(1,ArbeitNr,0))),N(INDEX(MinWerktag,MATCH(1,ArbeitNr,0)))))</f>
      </c>
      <c r="O86" s="1">
        <f>IF($AM38="","",IF(OR(O$51&gt;=6,O$50=1),N(INDEX(MinFrei,MATCH(1,ArbeitNr,0))),N(INDEX(MinWerktag,MATCH(1,ArbeitNr,0)))))</f>
      </c>
      <c r="P86" s="1">
        <f>IF($AM38="","",IF(OR(P$51&gt;=6,P$50=1),N(INDEX(MinFrei,MATCH(1,ArbeitNr,0))),N(INDEX(MinWerktag,MATCH(1,ArbeitNr,0)))))</f>
      </c>
      <c r="Q86" s="1">
        <f>IF($AM38="","",IF(OR(Q$51&gt;=6,Q$50=1),N(INDEX(MinFrei,MATCH(1,ArbeitNr,0))),N(INDEX(MinWerktag,MATCH(1,ArbeitNr,0)))))</f>
      </c>
      <c r="R86" s="1">
        <f>IF($AM38="","",IF(OR(R$51&gt;=6,R$50=1),N(INDEX(MinFrei,MATCH(1,ArbeitNr,0))),N(INDEX(MinWerktag,MATCH(1,ArbeitNr,0)))))</f>
      </c>
      <c r="S86" s="1">
        <f>IF($AM38="","",IF(OR(S$51&gt;=6,S$50=1),N(INDEX(MinFrei,MATCH(1,ArbeitNr,0))),N(INDEX(MinWerktag,MATCH(1,ArbeitNr,0)))))</f>
      </c>
      <c r="T86" s="1">
        <f>IF($AM38="","",IF(OR(T$51&gt;=6,T$50=1),N(INDEX(MinFrei,MATCH(1,ArbeitNr,0))),N(INDEX(MinWerktag,MATCH(1,ArbeitNr,0)))))</f>
      </c>
      <c r="U86" s="1">
        <f>IF($AM38="","",IF(OR(U$51&gt;=6,U$50=1),N(INDEX(MinFrei,MATCH(1,ArbeitNr,0))),N(INDEX(MinWerktag,MATCH(1,ArbeitNr,0)))))</f>
      </c>
      <c r="V86" s="1">
        <f>IF($AM38="","",IF(OR(V$51&gt;=6,V$50=1),N(INDEX(MinFrei,MATCH(1,ArbeitNr,0))),N(INDEX(MinWerktag,MATCH(1,ArbeitNr,0)))))</f>
      </c>
      <c r="W86" s="1">
        <f>IF($AM38="","",IF(OR(W$51&gt;=6,W$50=1),N(INDEX(MinFrei,MATCH(1,ArbeitNr,0))),N(INDEX(MinWerktag,MATCH(1,ArbeitNr,0)))))</f>
      </c>
      <c r="X86" s="1">
        <f>IF($AM38="","",IF(OR(X$51&gt;=6,X$50=1),N(INDEX(MinFrei,MATCH(1,ArbeitNr,0))),N(INDEX(MinWerktag,MATCH(1,ArbeitNr,0)))))</f>
      </c>
      <c r="Y86" s="1">
        <f>IF($AM38="","",IF(OR(Y$51&gt;=6,Y$50=1),N(INDEX(MinFrei,MATCH(1,ArbeitNr,0))),N(INDEX(MinWerktag,MATCH(1,ArbeitNr,0)))))</f>
      </c>
      <c r="Z86" s="1">
        <f>IF($AM38="","",IF(OR(Z$51&gt;=6,Z$50=1),N(INDEX(MinFrei,MATCH(1,ArbeitNr,0))),N(INDEX(MinWerktag,MATCH(1,ArbeitNr,0)))))</f>
      </c>
      <c r="AA86" s="1">
        <f>IF($AM38="","",IF(OR(AA$51&gt;=6,AA$50=1),N(INDEX(MinFrei,MATCH(1,ArbeitNr,0))),N(INDEX(MinWerktag,MATCH(1,ArbeitNr,0)))))</f>
      </c>
      <c r="AB86" s="1">
        <f>IF($AM38="","",IF(OR(AB$51&gt;=6,AB$50=1),N(INDEX(MinFrei,MATCH(1,ArbeitNr,0))),N(INDEX(MinWerktag,MATCH(1,ArbeitNr,0)))))</f>
      </c>
      <c r="AC86" s="1">
        <f>IF($AM38="","",IF(OR(AC$51&gt;=6,AC$50=1),N(INDEX(MinFrei,MATCH(1,ArbeitNr,0))),N(INDEX(MinWerktag,MATCH(1,ArbeitNr,0)))))</f>
      </c>
      <c r="AD86" s="1">
        <f>IF($AM38="","",IF(OR(AD$51&gt;=6,AD$50=1),N(INDEX(MinFrei,MATCH(1,ArbeitNr,0))),N(INDEX(MinWerktag,MATCH(1,ArbeitNr,0)))))</f>
      </c>
      <c r="AE86" s="1">
        <f>IF($AM38="","",IF(OR(AE$51&gt;=6,AE$50=1),N(INDEX(MinFrei,MATCH(1,ArbeitNr,0))),N(INDEX(MinWerktag,MATCH(1,ArbeitNr,0)))))</f>
      </c>
      <c r="AF86" s="1">
        <f>IF($AM38="","",IF(OR(AF$51&gt;=6,AF$50=1),N(INDEX(MinFrei,MATCH(1,ArbeitNr,0))),N(INDEX(MinWerktag,MATCH(1,ArbeitNr,0)))))</f>
      </c>
    </row>
    <row r="87" hidden="1" spans="1:32" x14ac:dyDescent="0.25">
      <c r="A87" s="1"/>
      <c r="B87" s="1">
        <f>IF($AM39="","",IF(OR(B$51&gt;=6,B$50=1),N(INDEX(MinFrei,MATCH(2,ArbeitNr,0))),N(INDEX(MinWerktag,MATCH(2,ArbeitNr,0)))))</f>
      </c>
      <c r="C87" s="1">
        <f>IF($AM39="","",IF(OR(C$51&gt;=6,C$50=1),N(INDEX(MinFrei,MATCH(2,ArbeitNr,0))),N(INDEX(MinWerktag,MATCH(2,ArbeitNr,0)))))</f>
      </c>
      <c r="D87" s="1">
        <f>IF($AM39="","",IF(OR(D$51&gt;=6,D$50=1),N(INDEX(MinFrei,MATCH(2,ArbeitNr,0))),N(INDEX(MinWerktag,MATCH(2,ArbeitNr,0)))))</f>
      </c>
      <c r="E87" s="1">
        <f>IF($AM39="","",IF(OR(E$51&gt;=6,E$50=1),N(INDEX(MinFrei,MATCH(2,ArbeitNr,0))),N(INDEX(MinWerktag,MATCH(2,ArbeitNr,0)))))</f>
      </c>
      <c r="F87" s="1">
        <f>IF($AM39="","",IF(OR(F$51&gt;=6,F$50=1),N(INDEX(MinFrei,MATCH(2,ArbeitNr,0))),N(INDEX(MinWerktag,MATCH(2,ArbeitNr,0)))))</f>
      </c>
      <c r="G87" s="1">
        <f>IF($AM39="","",IF(OR(G$51&gt;=6,G$50=1),N(INDEX(MinFrei,MATCH(2,ArbeitNr,0))),N(INDEX(MinWerktag,MATCH(2,ArbeitNr,0)))))</f>
      </c>
      <c r="H87" s="1">
        <f>IF($AM39="","",IF(OR(H$51&gt;=6,H$50=1),N(INDEX(MinFrei,MATCH(2,ArbeitNr,0))),N(INDEX(MinWerktag,MATCH(2,ArbeitNr,0)))))</f>
      </c>
      <c r="I87" s="1">
        <f>IF($AM39="","",IF(OR(I$51&gt;=6,I$50=1),N(INDEX(MinFrei,MATCH(2,ArbeitNr,0))),N(INDEX(MinWerktag,MATCH(2,ArbeitNr,0)))))</f>
      </c>
      <c r="J87" s="1">
        <f>IF($AM39="","",IF(OR(J$51&gt;=6,J$50=1),N(INDEX(MinFrei,MATCH(2,ArbeitNr,0))),N(INDEX(MinWerktag,MATCH(2,ArbeitNr,0)))))</f>
      </c>
      <c r="K87" s="1">
        <f>IF($AM39="","",IF(OR(K$51&gt;=6,K$50=1),N(INDEX(MinFrei,MATCH(2,ArbeitNr,0))),N(INDEX(MinWerktag,MATCH(2,ArbeitNr,0)))))</f>
      </c>
      <c r="L87" s="1">
        <f>IF($AM39="","",IF(OR(L$51&gt;=6,L$50=1),N(INDEX(MinFrei,MATCH(2,ArbeitNr,0))),N(INDEX(MinWerktag,MATCH(2,ArbeitNr,0)))))</f>
      </c>
      <c r="M87" s="1">
        <f>IF($AM39="","",IF(OR(M$51&gt;=6,M$50=1),N(INDEX(MinFrei,MATCH(2,ArbeitNr,0))),N(INDEX(MinWerktag,MATCH(2,ArbeitNr,0)))))</f>
      </c>
      <c r="N87" s="1">
        <f>IF($AM39="","",IF(OR(N$51&gt;=6,N$50=1),N(INDEX(MinFrei,MATCH(2,ArbeitNr,0))),N(INDEX(MinWerktag,MATCH(2,ArbeitNr,0)))))</f>
      </c>
      <c r="O87" s="1">
        <f>IF($AM39="","",IF(OR(O$51&gt;=6,O$50=1),N(INDEX(MinFrei,MATCH(2,ArbeitNr,0))),N(INDEX(MinWerktag,MATCH(2,ArbeitNr,0)))))</f>
      </c>
      <c r="P87" s="1">
        <f>IF($AM39="","",IF(OR(P$51&gt;=6,P$50=1),N(INDEX(MinFrei,MATCH(2,ArbeitNr,0))),N(INDEX(MinWerktag,MATCH(2,ArbeitNr,0)))))</f>
      </c>
      <c r="Q87" s="1">
        <f>IF($AM39="","",IF(OR(Q$51&gt;=6,Q$50=1),N(INDEX(MinFrei,MATCH(2,ArbeitNr,0))),N(INDEX(MinWerktag,MATCH(2,ArbeitNr,0)))))</f>
      </c>
      <c r="R87" s="1">
        <f>IF($AM39="","",IF(OR(R$51&gt;=6,R$50=1),N(INDEX(MinFrei,MATCH(2,ArbeitNr,0))),N(INDEX(MinWerktag,MATCH(2,ArbeitNr,0)))))</f>
      </c>
      <c r="S87" s="1">
        <f>IF($AM39="","",IF(OR(S$51&gt;=6,S$50=1),N(INDEX(MinFrei,MATCH(2,ArbeitNr,0))),N(INDEX(MinWerktag,MATCH(2,ArbeitNr,0)))))</f>
      </c>
      <c r="T87" s="1">
        <f>IF($AM39="","",IF(OR(T$51&gt;=6,T$50=1),N(INDEX(MinFrei,MATCH(2,ArbeitNr,0))),N(INDEX(MinWerktag,MATCH(2,ArbeitNr,0)))))</f>
      </c>
      <c r="U87" s="1">
        <f>IF($AM39="","",IF(OR(U$51&gt;=6,U$50=1),N(INDEX(MinFrei,MATCH(2,ArbeitNr,0))),N(INDEX(MinWerktag,MATCH(2,ArbeitNr,0)))))</f>
      </c>
      <c r="V87" s="1">
        <f>IF($AM39="","",IF(OR(V$51&gt;=6,V$50=1),N(INDEX(MinFrei,MATCH(2,ArbeitNr,0))),N(INDEX(MinWerktag,MATCH(2,ArbeitNr,0)))))</f>
      </c>
      <c r="W87" s="1">
        <f>IF($AM39="","",IF(OR(W$51&gt;=6,W$50=1),N(INDEX(MinFrei,MATCH(2,ArbeitNr,0))),N(INDEX(MinWerktag,MATCH(2,ArbeitNr,0)))))</f>
      </c>
      <c r="X87" s="1">
        <f>IF($AM39="","",IF(OR(X$51&gt;=6,X$50=1),N(INDEX(MinFrei,MATCH(2,ArbeitNr,0))),N(INDEX(MinWerktag,MATCH(2,ArbeitNr,0)))))</f>
      </c>
      <c r="Y87" s="1">
        <f>IF($AM39="","",IF(OR(Y$51&gt;=6,Y$50=1),N(INDEX(MinFrei,MATCH(2,ArbeitNr,0))),N(INDEX(MinWerktag,MATCH(2,ArbeitNr,0)))))</f>
      </c>
      <c r="Z87" s="1">
        <f>IF($AM39="","",IF(OR(Z$51&gt;=6,Z$50=1),N(INDEX(MinFrei,MATCH(2,ArbeitNr,0))),N(INDEX(MinWerktag,MATCH(2,ArbeitNr,0)))))</f>
      </c>
      <c r="AA87" s="1">
        <f>IF($AM39="","",IF(OR(AA$51&gt;=6,AA$50=1),N(INDEX(MinFrei,MATCH(2,ArbeitNr,0))),N(INDEX(MinWerktag,MATCH(2,ArbeitNr,0)))))</f>
      </c>
      <c r="AB87" s="1">
        <f>IF($AM39="","",IF(OR(AB$51&gt;=6,AB$50=1),N(INDEX(MinFrei,MATCH(2,ArbeitNr,0))),N(INDEX(MinWerktag,MATCH(2,ArbeitNr,0)))))</f>
      </c>
      <c r="AC87" s="1">
        <f>IF($AM39="","",IF(OR(AC$51&gt;=6,AC$50=1),N(INDEX(MinFrei,MATCH(2,ArbeitNr,0))),N(INDEX(MinWerktag,MATCH(2,ArbeitNr,0)))))</f>
      </c>
      <c r="AD87" s="1">
        <f>IF($AM39="","",IF(OR(AD$51&gt;=6,AD$50=1),N(INDEX(MinFrei,MATCH(2,ArbeitNr,0))),N(INDEX(MinWerktag,MATCH(2,ArbeitNr,0)))))</f>
      </c>
      <c r="AE87" s="1">
        <f>IF($AM39="","",IF(OR(AE$51&gt;=6,AE$50=1),N(INDEX(MinFrei,MATCH(2,ArbeitNr,0))),N(INDEX(MinWerktag,MATCH(2,ArbeitNr,0)))))</f>
      </c>
      <c r="AF87" s="1">
        <f>IF($AM39="","",IF(OR(AF$51&gt;=6,AF$50=1),N(INDEX(MinFrei,MATCH(2,ArbeitNr,0))),N(INDEX(MinWerktag,MATCH(2,ArbeitNr,0)))))</f>
      </c>
    </row>
    <row r="88" hidden="1" spans="1:32" x14ac:dyDescent="0.25">
      <c r="A88" s="1"/>
      <c r="B88" s="1">
        <f>IF($AM40="","",IF(OR(B$51&gt;=6,B$50=1),N(INDEX(MinFrei,MATCH(3,ArbeitNr,0))),N(INDEX(MinWerktag,MATCH(3,ArbeitNr,0)))))</f>
      </c>
      <c r="C88" s="1">
        <f>IF($AM40="","",IF(OR(C$51&gt;=6,C$50=1),N(INDEX(MinFrei,MATCH(3,ArbeitNr,0))),N(INDEX(MinWerktag,MATCH(3,ArbeitNr,0)))))</f>
      </c>
      <c r="D88" s="1">
        <f>IF($AM40="","",IF(OR(D$51&gt;=6,D$50=1),N(INDEX(MinFrei,MATCH(3,ArbeitNr,0))),N(INDEX(MinWerktag,MATCH(3,ArbeitNr,0)))))</f>
      </c>
      <c r="E88" s="1">
        <f>IF($AM40="","",IF(OR(E$51&gt;=6,E$50=1),N(INDEX(MinFrei,MATCH(3,ArbeitNr,0))),N(INDEX(MinWerktag,MATCH(3,ArbeitNr,0)))))</f>
      </c>
      <c r="F88" s="1">
        <f>IF($AM40="","",IF(OR(F$51&gt;=6,F$50=1),N(INDEX(MinFrei,MATCH(3,ArbeitNr,0))),N(INDEX(MinWerktag,MATCH(3,ArbeitNr,0)))))</f>
      </c>
      <c r="G88" s="1">
        <f>IF($AM40="","",IF(OR(G$51&gt;=6,G$50=1),N(INDEX(MinFrei,MATCH(3,ArbeitNr,0))),N(INDEX(MinWerktag,MATCH(3,ArbeitNr,0)))))</f>
      </c>
      <c r="H88" s="1">
        <f>IF($AM40="","",IF(OR(H$51&gt;=6,H$50=1),N(INDEX(MinFrei,MATCH(3,ArbeitNr,0))),N(INDEX(MinWerktag,MATCH(3,ArbeitNr,0)))))</f>
      </c>
      <c r="I88" s="1">
        <f>IF($AM40="","",IF(OR(I$51&gt;=6,I$50=1),N(INDEX(MinFrei,MATCH(3,ArbeitNr,0))),N(INDEX(MinWerktag,MATCH(3,ArbeitNr,0)))))</f>
      </c>
      <c r="J88" s="1">
        <f>IF($AM40="","",IF(OR(J$51&gt;=6,J$50=1),N(INDEX(MinFrei,MATCH(3,ArbeitNr,0))),N(INDEX(MinWerktag,MATCH(3,ArbeitNr,0)))))</f>
      </c>
      <c r="K88" s="1">
        <f>IF($AM40="","",IF(OR(K$51&gt;=6,K$50=1),N(INDEX(MinFrei,MATCH(3,ArbeitNr,0))),N(INDEX(MinWerktag,MATCH(3,ArbeitNr,0)))))</f>
      </c>
      <c r="L88" s="1">
        <f>IF($AM40="","",IF(OR(L$51&gt;=6,L$50=1),N(INDEX(MinFrei,MATCH(3,ArbeitNr,0))),N(INDEX(MinWerktag,MATCH(3,ArbeitNr,0)))))</f>
      </c>
      <c r="M88" s="1">
        <f>IF($AM40="","",IF(OR(M$51&gt;=6,M$50=1),N(INDEX(MinFrei,MATCH(3,ArbeitNr,0))),N(INDEX(MinWerktag,MATCH(3,ArbeitNr,0)))))</f>
      </c>
      <c r="N88" s="1">
        <f>IF($AM40="","",IF(OR(N$51&gt;=6,N$50=1),N(INDEX(MinFrei,MATCH(3,ArbeitNr,0))),N(INDEX(MinWerktag,MATCH(3,ArbeitNr,0)))))</f>
      </c>
      <c r="O88" s="1">
        <f>IF($AM40="","",IF(OR(O$51&gt;=6,O$50=1),N(INDEX(MinFrei,MATCH(3,ArbeitNr,0))),N(INDEX(MinWerktag,MATCH(3,ArbeitNr,0)))))</f>
      </c>
      <c r="P88" s="1">
        <f>IF($AM40="","",IF(OR(P$51&gt;=6,P$50=1),N(INDEX(MinFrei,MATCH(3,ArbeitNr,0))),N(INDEX(MinWerktag,MATCH(3,ArbeitNr,0)))))</f>
      </c>
      <c r="Q88" s="1">
        <f>IF($AM40="","",IF(OR(Q$51&gt;=6,Q$50=1),N(INDEX(MinFrei,MATCH(3,ArbeitNr,0))),N(INDEX(MinWerktag,MATCH(3,ArbeitNr,0)))))</f>
      </c>
      <c r="R88" s="1">
        <f>IF($AM40="","",IF(OR(R$51&gt;=6,R$50=1),N(INDEX(MinFrei,MATCH(3,ArbeitNr,0))),N(INDEX(MinWerktag,MATCH(3,ArbeitNr,0)))))</f>
      </c>
      <c r="S88" s="1">
        <f>IF($AM40="","",IF(OR(S$51&gt;=6,S$50=1),N(INDEX(MinFrei,MATCH(3,ArbeitNr,0))),N(INDEX(MinWerktag,MATCH(3,ArbeitNr,0)))))</f>
      </c>
      <c r="T88" s="1">
        <f>IF($AM40="","",IF(OR(T$51&gt;=6,T$50=1),N(INDEX(MinFrei,MATCH(3,ArbeitNr,0))),N(INDEX(MinWerktag,MATCH(3,ArbeitNr,0)))))</f>
      </c>
      <c r="U88" s="1">
        <f>IF($AM40="","",IF(OR(U$51&gt;=6,U$50=1),N(INDEX(MinFrei,MATCH(3,ArbeitNr,0))),N(INDEX(MinWerktag,MATCH(3,ArbeitNr,0)))))</f>
      </c>
      <c r="V88" s="1">
        <f>IF($AM40="","",IF(OR(V$51&gt;=6,V$50=1),N(INDEX(MinFrei,MATCH(3,ArbeitNr,0))),N(INDEX(MinWerktag,MATCH(3,ArbeitNr,0)))))</f>
      </c>
      <c r="W88" s="1">
        <f>IF($AM40="","",IF(OR(W$51&gt;=6,W$50=1),N(INDEX(MinFrei,MATCH(3,ArbeitNr,0))),N(INDEX(MinWerktag,MATCH(3,ArbeitNr,0)))))</f>
      </c>
      <c r="X88" s="1">
        <f>IF($AM40="","",IF(OR(X$51&gt;=6,X$50=1),N(INDEX(MinFrei,MATCH(3,ArbeitNr,0))),N(INDEX(MinWerktag,MATCH(3,ArbeitNr,0)))))</f>
      </c>
      <c r="Y88" s="1">
        <f>IF($AM40="","",IF(OR(Y$51&gt;=6,Y$50=1),N(INDEX(MinFrei,MATCH(3,ArbeitNr,0))),N(INDEX(MinWerktag,MATCH(3,ArbeitNr,0)))))</f>
      </c>
      <c r="Z88" s="1">
        <f>IF($AM40="","",IF(OR(Z$51&gt;=6,Z$50=1),N(INDEX(MinFrei,MATCH(3,ArbeitNr,0))),N(INDEX(MinWerktag,MATCH(3,ArbeitNr,0)))))</f>
      </c>
      <c r="AA88" s="1">
        <f>IF($AM40="","",IF(OR(AA$51&gt;=6,AA$50=1),N(INDEX(MinFrei,MATCH(3,ArbeitNr,0))),N(INDEX(MinWerktag,MATCH(3,ArbeitNr,0)))))</f>
      </c>
      <c r="AB88" s="1">
        <f>IF($AM40="","",IF(OR(AB$51&gt;=6,AB$50=1),N(INDEX(MinFrei,MATCH(3,ArbeitNr,0))),N(INDEX(MinWerktag,MATCH(3,ArbeitNr,0)))))</f>
      </c>
      <c r="AC88" s="1">
        <f>IF($AM40="","",IF(OR(AC$51&gt;=6,AC$50=1),N(INDEX(MinFrei,MATCH(3,ArbeitNr,0))),N(INDEX(MinWerktag,MATCH(3,ArbeitNr,0)))))</f>
      </c>
      <c r="AD88" s="1">
        <f>IF($AM40="","",IF(OR(AD$51&gt;=6,AD$50=1),N(INDEX(MinFrei,MATCH(3,ArbeitNr,0))),N(INDEX(MinWerktag,MATCH(3,ArbeitNr,0)))))</f>
      </c>
      <c r="AE88" s="1">
        <f>IF($AM40="","",IF(OR(AE$51&gt;=6,AE$50=1),N(INDEX(MinFrei,MATCH(3,ArbeitNr,0))),N(INDEX(MinWerktag,MATCH(3,ArbeitNr,0)))))</f>
      </c>
      <c r="AF88" s="1">
        <f>IF($AM40="","",IF(OR(AF$51&gt;=6,AF$50=1),N(INDEX(MinFrei,MATCH(3,ArbeitNr,0))),N(INDEX(MinWerktag,MATCH(3,ArbeitNr,0)))))</f>
      </c>
    </row>
    <row r="89" hidden="1" spans="1:32" x14ac:dyDescent="0.25">
      <c r="A89" s="1"/>
      <c r="B89" s="1">
        <f>IF($AM41="","",IF(OR(B$51&gt;=6,B$50=1),N(INDEX(MinFrei,MATCH(4,ArbeitNr,0))),N(INDEX(MinWerktag,MATCH(4,ArbeitNr,0)))))</f>
      </c>
      <c r="C89" s="1">
        <f>IF($AM41="","",IF(OR(C$51&gt;=6,C$50=1),N(INDEX(MinFrei,MATCH(4,ArbeitNr,0))),N(INDEX(MinWerktag,MATCH(4,ArbeitNr,0)))))</f>
      </c>
      <c r="D89" s="1">
        <f>IF($AM41="","",IF(OR(D$51&gt;=6,D$50=1),N(INDEX(MinFrei,MATCH(4,ArbeitNr,0))),N(INDEX(MinWerktag,MATCH(4,ArbeitNr,0)))))</f>
      </c>
      <c r="E89" s="1">
        <f>IF($AM41="","",IF(OR(E$51&gt;=6,E$50=1),N(INDEX(MinFrei,MATCH(4,ArbeitNr,0))),N(INDEX(MinWerktag,MATCH(4,ArbeitNr,0)))))</f>
      </c>
      <c r="F89" s="1">
        <f>IF($AM41="","",IF(OR(F$51&gt;=6,F$50=1),N(INDEX(MinFrei,MATCH(4,ArbeitNr,0))),N(INDEX(MinWerktag,MATCH(4,ArbeitNr,0)))))</f>
      </c>
      <c r="G89" s="1">
        <f>IF($AM41="","",IF(OR(G$51&gt;=6,G$50=1),N(INDEX(MinFrei,MATCH(4,ArbeitNr,0))),N(INDEX(MinWerktag,MATCH(4,ArbeitNr,0)))))</f>
      </c>
      <c r="H89" s="1">
        <f>IF($AM41="","",IF(OR(H$51&gt;=6,H$50=1),N(INDEX(MinFrei,MATCH(4,ArbeitNr,0))),N(INDEX(MinWerktag,MATCH(4,ArbeitNr,0)))))</f>
      </c>
      <c r="I89" s="1">
        <f>IF($AM41="","",IF(OR(I$51&gt;=6,I$50=1),N(INDEX(MinFrei,MATCH(4,ArbeitNr,0))),N(INDEX(MinWerktag,MATCH(4,ArbeitNr,0)))))</f>
      </c>
      <c r="J89" s="1">
        <f>IF($AM41="","",IF(OR(J$51&gt;=6,J$50=1),N(INDEX(MinFrei,MATCH(4,ArbeitNr,0))),N(INDEX(MinWerktag,MATCH(4,ArbeitNr,0)))))</f>
      </c>
      <c r="K89" s="1">
        <f>IF($AM41="","",IF(OR(K$51&gt;=6,K$50=1),N(INDEX(MinFrei,MATCH(4,ArbeitNr,0))),N(INDEX(MinWerktag,MATCH(4,ArbeitNr,0)))))</f>
      </c>
      <c r="L89" s="1">
        <f>IF($AM41="","",IF(OR(L$51&gt;=6,L$50=1),N(INDEX(MinFrei,MATCH(4,ArbeitNr,0))),N(INDEX(MinWerktag,MATCH(4,ArbeitNr,0)))))</f>
      </c>
      <c r="M89" s="1">
        <f>IF($AM41="","",IF(OR(M$51&gt;=6,M$50=1),N(INDEX(MinFrei,MATCH(4,ArbeitNr,0))),N(INDEX(MinWerktag,MATCH(4,ArbeitNr,0)))))</f>
      </c>
      <c r="N89" s="1">
        <f>IF($AM41="","",IF(OR(N$51&gt;=6,N$50=1),N(INDEX(MinFrei,MATCH(4,ArbeitNr,0))),N(INDEX(MinWerktag,MATCH(4,ArbeitNr,0)))))</f>
      </c>
      <c r="O89" s="1">
        <f>IF($AM41="","",IF(OR(O$51&gt;=6,O$50=1),N(INDEX(MinFrei,MATCH(4,ArbeitNr,0))),N(INDEX(MinWerktag,MATCH(4,ArbeitNr,0)))))</f>
      </c>
      <c r="P89" s="1">
        <f>IF($AM41="","",IF(OR(P$51&gt;=6,P$50=1),N(INDEX(MinFrei,MATCH(4,ArbeitNr,0))),N(INDEX(MinWerktag,MATCH(4,ArbeitNr,0)))))</f>
      </c>
      <c r="Q89" s="1">
        <f>IF($AM41="","",IF(OR(Q$51&gt;=6,Q$50=1),N(INDEX(MinFrei,MATCH(4,ArbeitNr,0))),N(INDEX(MinWerktag,MATCH(4,ArbeitNr,0)))))</f>
      </c>
      <c r="R89" s="1">
        <f>IF($AM41="","",IF(OR(R$51&gt;=6,R$50=1),N(INDEX(MinFrei,MATCH(4,ArbeitNr,0))),N(INDEX(MinWerktag,MATCH(4,ArbeitNr,0)))))</f>
      </c>
      <c r="S89" s="1">
        <f>IF($AM41="","",IF(OR(S$51&gt;=6,S$50=1),N(INDEX(MinFrei,MATCH(4,ArbeitNr,0))),N(INDEX(MinWerktag,MATCH(4,ArbeitNr,0)))))</f>
      </c>
      <c r="T89" s="1">
        <f>IF($AM41="","",IF(OR(T$51&gt;=6,T$50=1),N(INDEX(MinFrei,MATCH(4,ArbeitNr,0))),N(INDEX(MinWerktag,MATCH(4,ArbeitNr,0)))))</f>
      </c>
      <c r="U89" s="1">
        <f>IF($AM41="","",IF(OR(U$51&gt;=6,U$50=1),N(INDEX(MinFrei,MATCH(4,ArbeitNr,0))),N(INDEX(MinWerktag,MATCH(4,ArbeitNr,0)))))</f>
      </c>
      <c r="V89" s="1">
        <f>IF($AM41="","",IF(OR(V$51&gt;=6,V$50=1),N(INDEX(MinFrei,MATCH(4,ArbeitNr,0))),N(INDEX(MinWerktag,MATCH(4,ArbeitNr,0)))))</f>
      </c>
      <c r="W89" s="1">
        <f>IF($AM41="","",IF(OR(W$51&gt;=6,W$50=1),N(INDEX(MinFrei,MATCH(4,ArbeitNr,0))),N(INDEX(MinWerktag,MATCH(4,ArbeitNr,0)))))</f>
      </c>
      <c r="X89" s="1">
        <f>IF($AM41="","",IF(OR(X$51&gt;=6,X$50=1),N(INDEX(MinFrei,MATCH(4,ArbeitNr,0))),N(INDEX(MinWerktag,MATCH(4,ArbeitNr,0)))))</f>
      </c>
      <c r="Y89" s="1">
        <f>IF($AM41="","",IF(OR(Y$51&gt;=6,Y$50=1),N(INDEX(MinFrei,MATCH(4,ArbeitNr,0))),N(INDEX(MinWerktag,MATCH(4,ArbeitNr,0)))))</f>
      </c>
      <c r="Z89" s="1">
        <f>IF($AM41="","",IF(OR(Z$51&gt;=6,Z$50=1),N(INDEX(MinFrei,MATCH(4,ArbeitNr,0))),N(INDEX(MinWerktag,MATCH(4,ArbeitNr,0)))))</f>
      </c>
      <c r="AA89" s="1">
        <f>IF($AM41="","",IF(OR(AA$51&gt;=6,AA$50=1),N(INDEX(MinFrei,MATCH(4,ArbeitNr,0))),N(INDEX(MinWerktag,MATCH(4,ArbeitNr,0)))))</f>
      </c>
      <c r="AB89" s="1">
        <f>IF($AM41="","",IF(OR(AB$51&gt;=6,AB$50=1),N(INDEX(MinFrei,MATCH(4,ArbeitNr,0))),N(INDEX(MinWerktag,MATCH(4,ArbeitNr,0)))))</f>
      </c>
      <c r="AC89" s="1">
        <f>IF($AM41="","",IF(OR(AC$51&gt;=6,AC$50=1),N(INDEX(MinFrei,MATCH(4,ArbeitNr,0))),N(INDEX(MinWerktag,MATCH(4,ArbeitNr,0)))))</f>
      </c>
      <c r="AD89" s="1">
        <f>IF($AM41="","",IF(OR(AD$51&gt;=6,AD$50=1),N(INDEX(MinFrei,MATCH(4,ArbeitNr,0))),N(INDEX(MinWerktag,MATCH(4,ArbeitNr,0)))))</f>
      </c>
      <c r="AE89" s="1">
        <f>IF($AM41="","",IF(OR(AE$51&gt;=6,AE$50=1),N(INDEX(MinFrei,MATCH(4,ArbeitNr,0))),N(INDEX(MinWerktag,MATCH(4,ArbeitNr,0)))))</f>
      </c>
      <c r="AF89" s="1">
        <f>IF($AM41="","",IF(OR(AF$51&gt;=6,AF$50=1),N(INDEX(MinFrei,MATCH(4,ArbeitNr,0))),N(INDEX(MinWerktag,MATCH(4,ArbeitNr,0)))))</f>
      </c>
    </row>
    <row r="90" hidden="1" spans="1:32" x14ac:dyDescent="0.25">
      <c r="A90" s="1"/>
      <c r="B90" s="1">
        <f>IF($AM42="","",IF(OR(B$51&gt;=6,B$50=1),N(INDEX(MinFrei,MATCH(5,ArbeitNr,0))),N(INDEX(MinWerktag,MATCH(5,ArbeitNr,0)))))</f>
      </c>
      <c r="C90" s="1">
        <f>IF($AM42="","",IF(OR(C$51&gt;=6,C$50=1),N(INDEX(MinFrei,MATCH(5,ArbeitNr,0))),N(INDEX(MinWerktag,MATCH(5,ArbeitNr,0)))))</f>
      </c>
      <c r="D90" s="1">
        <f>IF($AM42="","",IF(OR(D$51&gt;=6,D$50=1),N(INDEX(MinFrei,MATCH(5,ArbeitNr,0))),N(INDEX(MinWerktag,MATCH(5,ArbeitNr,0)))))</f>
      </c>
      <c r="E90" s="1">
        <f>IF($AM42="","",IF(OR(E$51&gt;=6,E$50=1),N(INDEX(MinFrei,MATCH(5,ArbeitNr,0))),N(INDEX(MinWerktag,MATCH(5,ArbeitNr,0)))))</f>
      </c>
      <c r="F90" s="1">
        <f>IF($AM42="","",IF(OR(F$51&gt;=6,F$50=1),N(INDEX(MinFrei,MATCH(5,ArbeitNr,0))),N(INDEX(MinWerktag,MATCH(5,ArbeitNr,0)))))</f>
      </c>
      <c r="G90" s="1">
        <f>IF($AM42="","",IF(OR(G$51&gt;=6,G$50=1),N(INDEX(MinFrei,MATCH(5,ArbeitNr,0))),N(INDEX(MinWerktag,MATCH(5,ArbeitNr,0)))))</f>
      </c>
      <c r="H90" s="1">
        <f>IF($AM42="","",IF(OR(H$51&gt;=6,H$50=1),N(INDEX(MinFrei,MATCH(5,ArbeitNr,0))),N(INDEX(MinWerktag,MATCH(5,ArbeitNr,0)))))</f>
      </c>
      <c r="I90" s="1">
        <f>IF($AM42="","",IF(OR(I$51&gt;=6,I$50=1),N(INDEX(MinFrei,MATCH(5,ArbeitNr,0))),N(INDEX(MinWerktag,MATCH(5,ArbeitNr,0)))))</f>
      </c>
      <c r="J90" s="1">
        <f>IF($AM42="","",IF(OR(J$51&gt;=6,J$50=1),N(INDEX(MinFrei,MATCH(5,ArbeitNr,0))),N(INDEX(MinWerktag,MATCH(5,ArbeitNr,0)))))</f>
      </c>
      <c r="K90" s="1">
        <f>IF($AM42="","",IF(OR(K$51&gt;=6,K$50=1),N(INDEX(MinFrei,MATCH(5,ArbeitNr,0))),N(INDEX(MinWerktag,MATCH(5,ArbeitNr,0)))))</f>
      </c>
      <c r="L90" s="1">
        <f>IF($AM42="","",IF(OR(L$51&gt;=6,L$50=1),N(INDEX(MinFrei,MATCH(5,ArbeitNr,0))),N(INDEX(MinWerktag,MATCH(5,ArbeitNr,0)))))</f>
      </c>
      <c r="M90" s="1">
        <f>IF($AM42="","",IF(OR(M$51&gt;=6,M$50=1),N(INDEX(MinFrei,MATCH(5,ArbeitNr,0))),N(INDEX(MinWerktag,MATCH(5,ArbeitNr,0)))))</f>
      </c>
      <c r="N90" s="1">
        <f>IF($AM42="","",IF(OR(N$51&gt;=6,N$50=1),N(INDEX(MinFrei,MATCH(5,ArbeitNr,0))),N(INDEX(MinWerktag,MATCH(5,ArbeitNr,0)))))</f>
      </c>
      <c r="O90" s="1">
        <f>IF($AM42="","",IF(OR(O$51&gt;=6,O$50=1),N(INDEX(MinFrei,MATCH(5,ArbeitNr,0))),N(INDEX(MinWerktag,MATCH(5,ArbeitNr,0)))))</f>
      </c>
      <c r="P90" s="1">
        <f>IF($AM42="","",IF(OR(P$51&gt;=6,P$50=1),N(INDEX(MinFrei,MATCH(5,ArbeitNr,0))),N(INDEX(MinWerktag,MATCH(5,ArbeitNr,0)))))</f>
      </c>
      <c r="Q90" s="1">
        <f>IF($AM42="","",IF(OR(Q$51&gt;=6,Q$50=1),N(INDEX(MinFrei,MATCH(5,ArbeitNr,0))),N(INDEX(MinWerktag,MATCH(5,ArbeitNr,0)))))</f>
      </c>
      <c r="R90" s="1">
        <f>IF($AM42="","",IF(OR(R$51&gt;=6,R$50=1),N(INDEX(MinFrei,MATCH(5,ArbeitNr,0))),N(INDEX(MinWerktag,MATCH(5,ArbeitNr,0)))))</f>
      </c>
      <c r="S90" s="1">
        <f>IF($AM42="","",IF(OR(S$51&gt;=6,S$50=1),N(INDEX(MinFrei,MATCH(5,ArbeitNr,0))),N(INDEX(MinWerktag,MATCH(5,ArbeitNr,0)))))</f>
      </c>
      <c r="T90" s="1">
        <f>IF($AM42="","",IF(OR(T$51&gt;=6,T$50=1),N(INDEX(MinFrei,MATCH(5,ArbeitNr,0))),N(INDEX(MinWerktag,MATCH(5,ArbeitNr,0)))))</f>
      </c>
      <c r="U90" s="1">
        <f>IF($AM42="","",IF(OR(U$51&gt;=6,U$50=1),N(INDEX(MinFrei,MATCH(5,ArbeitNr,0))),N(INDEX(MinWerktag,MATCH(5,ArbeitNr,0)))))</f>
      </c>
      <c r="V90" s="1">
        <f>IF($AM42="","",IF(OR(V$51&gt;=6,V$50=1),N(INDEX(MinFrei,MATCH(5,ArbeitNr,0))),N(INDEX(MinWerktag,MATCH(5,ArbeitNr,0)))))</f>
      </c>
      <c r="W90" s="1">
        <f>IF($AM42="","",IF(OR(W$51&gt;=6,W$50=1),N(INDEX(MinFrei,MATCH(5,ArbeitNr,0))),N(INDEX(MinWerktag,MATCH(5,ArbeitNr,0)))))</f>
      </c>
      <c r="X90" s="1">
        <f>IF($AM42="","",IF(OR(X$51&gt;=6,X$50=1),N(INDEX(MinFrei,MATCH(5,ArbeitNr,0))),N(INDEX(MinWerktag,MATCH(5,ArbeitNr,0)))))</f>
      </c>
      <c r="Y90" s="1">
        <f>IF($AM42="","",IF(OR(Y$51&gt;=6,Y$50=1),N(INDEX(MinFrei,MATCH(5,ArbeitNr,0))),N(INDEX(MinWerktag,MATCH(5,ArbeitNr,0)))))</f>
      </c>
      <c r="Z90" s="1">
        <f>IF($AM42="","",IF(OR(Z$51&gt;=6,Z$50=1),N(INDEX(MinFrei,MATCH(5,ArbeitNr,0))),N(INDEX(MinWerktag,MATCH(5,ArbeitNr,0)))))</f>
      </c>
      <c r="AA90" s="1">
        <f>IF($AM42="","",IF(OR(AA$51&gt;=6,AA$50=1),N(INDEX(MinFrei,MATCH(5,ArbeitNr,0))),N(INDEX(MinWerktag,MATCH(5,ArbeitNr,0)))))</f>
      </c>
      <c r="AB90" s="1">
        <f>IF($AM42="","",IF(OR(AB$51&gt;=6,AB$50=1),N(INDEX(MinFrei,MATCH(5,ArbeitNr,0))),N(INDEX(MinWerktag,MATCH(5,ArbeitNr,0)))))</f>
      </c>
      <c r="AC90" s="1">
        <f>IF($AM42="","",IF(OR(AC$51&gt;=6,AC$50=1),N(INDEX(MinFrei,MATCH(5,ArbeitNr,0))),N(INDEX(MinWerktag,MATCH(5,ArbeitNr,0)))))</f>
      </c>
      <c r="AD90" s="1">
        <f>IF($AM42="","",IF(OR(AD$51&gt;=6,AD$50=1),N(INDEX(MinFrei,MATCH(5,ArbeitNr,0))),N(INDEX(MinWerktag,MATCH(5,ArbeitNr,0)))))</f>
      </c>
      <c r="AE90" s="1">
        <f>IF($AM42="","",IF(OR(AE$51&gt;=6,AE$50=1),N(INDEX(MinFrei,MATCH(5,ArbeitNr,0))),N(INDEX(MinWerktag,MATCH(5,ArbeitNr,0)))))</f>
      </c>
      <c r="AF90" s="1">
        <f>IF($AM42="","",IF(OR(AF$51&gt;=6,AF$50=1),N(INDEX(MinFrei,MATCH(5,ArbeitNr,0))),N(INDEX(MinWerktag,MATCH(5,ArbeitNr,0)))))</f>
      </c>
    </row>
    <row r="91" hidden="1" spans="1:32" x14ac:dyDescent="0.25">
      <c r="A91" s="1"/>
      <c r="B91" s="1">
        <f>IF($AM43="","",IF(OR(B$51&gt;=6,B$50=1),N(INDEX(MinFrei,MATCH(6,ArbeitNr,0))),N(INDEX(MinWerktag,MATCH(6,ArbeitNr,0)))))</f>
      </c>
      <c r="C91" s="1">
        <f>IF($AM43="","",IF(OR(C$51&gt;=6,C$50=1),N(INDEX(MinFrei,MATCH(6,ArbeitNr,0))),N(INDEX(MinWerktag,MATCH(6,ArbeitNr,0)))))</f>
      </c>
      <c r="D91" s="1">
        <f>IF($AM43="","",IF(OR(D$51&gt;=6,D$50=1),N(INDEX(MinFrei,MATCH(6,ArbeitNr,0))),N(INDEX(MinWerktag,MATCH(6,ArbeitNr,0)))))</f>
      </c>
      <c r="E91" s="1">
        <f>IF($AM43="","",IF(OR(E$51&gt;=6,E$50=1),N(INDEX(MinFrei,MATCH(6,ArbeitNr,0))),N(INDEX(MinWerktag,MATCH(6,ArbeitNr,0)))))</f>
      </c>
      <c r="F91" s="1">
        <f>IF($AM43="","",IF(OR(F$51&gt;=6,F$50=1),N(INDEX(MinFrei,MATCH(6,ArbeitNr,0))),N(INDEX(MinWerktag,MATCH(6,ArbeitNr,0)))))</f>
      </c>
      <c r="G91" s="1">
        <f>IF($AM43="","",IF(OR(G$51&gt;=6,G$50=1),N(INDEX(MinFrei,MATCH(6,ArbeitNr,0))),N(INDEX(MinWerktag,MATCH(6,ArbeitNr,0)))))</f>
      </c>
      <c r="H91" s="1">
        <f>IF($AM43="","",IF(OR(H$51&gt;=6,H$50=1),N(INDEX(MinFrei,MATCH(6,ArbeitNr,0))),N(INDEX(MinWerktag,MATCH(6,ArbeitNr,0)))))</f>
      </c>
      <c r="I91" s="1">
        <f>IF($AM43="","",IF(OR(I$51&gt;=6,I$50=1),N(INDEX(MinFrei,MATCH(6,ArbeitNr,0))),N(INDEX(MinWerktag,MATCH(6,ArbeitNr,0)))))</f>
      </c>
      <c r="J91" s="1">
        <f>IF($AM43="","",IF(OR(J$51&gt;=6,J$50=1),N(INDEX(MinFrei,MATCH(6,ArbeitNr,0))),N(INDEX(MinWerktag,MATCH(6,ArbeitNr,0)))))</f>
      </c>
      <c r="K91" s="1">
        <f>IF($AM43="","",IF(OR(K$51&gt;=6,K$50=1),N(INDEX(MinFrei,MATCH(6,ArbeitNr,0))),N(INDEX(MinWerktag,MATCH(6,ArbeitNr,0)))))</f>
      </c>
      <c r="L91" s="1">
        <f>IF($AM43="","",IF(OR(L$51&gt;=6,L$50=1),N(INDEX(MinFrei,MATCH(6,ArbeitNr,0))),N(INDEX(MinWerktag,MATCH(6,ArbeitNr,0)))))</f>
      </c>
      <c r="M91" s="1">
        <f>IF($AM43="","",IF(OR(M$51&gt;=6,M$50=1),N(INDEX(MinFrei,MATCH(6,ArbeitNr,0))),N(INDEX(MinWerktag,MATCH(6,ArbeitNr,0)))))</f>
      </c>
      <c r="N91" s="1">
        <f>IF($AM43="","",IF(OR(N$51&gt;=6,N$50=1),N(INDEX(MinFrei,MATCH(6,ArbeitNr,0))),N(INDEX(MinWerktag,MATCH(6,ArbeitNr,0)))))</f>
      </c>
      <c r="O91" s="1">
        <f>IF($AM43="","",IF(OR(O$51&gt;=6,O$50=1),N(INDEX(MinFrei,MATCH(6,ArbeitNr,0))),N(INDEX(MinWerktag,MATCH(6,ArbeitNr,0)))))</f>
      </c>
      <c r="P91" s="1">
        <f>IF($AM43="","",IF(OR(P$51&gt;=6,P$50=1),N(INDEX(MinFrei,MATCH(6,ArbeitNr,0))),N(INDEX(MinWerktag,MATCH(6,ArbeitNr,0)))))</f>
      </c>
      <c r="Q91" s="1">
        <f>IF($AM43="","",IF(OR(Q$51&gt;=6,Q$50=1),N(INDEX(MinFrei,MATCH(6,ArbeitNr,0))),N(INDEX(MinWerktag,MATCH(6,ArbeitNr,0)))))</f>
      </c>
      <c r="R91" s="1">
        <f>IF($AM43="","",IF(OR(R$51&gt;=6,R$50=1),N(INDEX(MinFrei,MATCH(6,ArbeitNr,0))),N(INDEX(MinWerktag,MATCH(6,ArbeitNr,0)))))</f>
      </c>
      <c r="S91" s="1">
        <f>IF($AM43="","",IF(OR(S$51&gt;=6,S$50=1),N(INDEX(MinFrei,MATCH(6,ArbeitNr,0))),N(INDEX(MinWerktag,MATCH(6,ArbeitNr,0)))))</f>
      </c>
      <c r="T91" s="1">
        <f>IF($AM43="","",IF(OR(T$51&gt;=6,T$50=1),N(INDEX(MinFrei,MATCH(6,ArbeitNr,0))),N(INDEX(MinWerktag,MATCH(6,ArbeitNr,0)))))</f>
      </c>
      <c r="U91" s="1">
        <f>IF($AM43="","",IF(OR(U$51&gt;=6,U$50=1),N(INDEX(MinFrei,MATCH(6,ArbeitNr,0))),N(INDEX(MinWerktag,MATCH(6,ArbeitNr,0)))))</f>
      </c>
      <c r="V91" s="1">
        <f>IF($AM43="","",IF(OR(V$51&gt;=6,V$50=1),N(INDEX(MinFrei,MATCH(6,ArbeitNr,0))),N(INDEX(MinWerktag,MATCH(6,ArbeitNr,0)))))</f>
      </c>
      <c r="W91" s="1">
        <f>IF($AM43="","",IF(OR(W$51&gt;=6,W$50=1),N(INDEX(MinFrei,MATCH(6,ArbeitNr,0))),N(INDEX(MinWerktag,MATCH(6,ArbeitNr,0)))))</f>
      </c>
      <c r="X91" s="1">
        <f>IF($AM43="","",IF(OR(X$51&gt;=6,X$50=1),N(INDEX(MinFrei,MATCH(6,ArbeitNr,0))),N(INDEX(MinWerktag,MATCH(6,ArbeitNr,0)))))</f>
      </c>
      <c r="Y91" s="1">
        <f>IF($AM43="","",IF(OR(Y$51&gt;=6,Y$50=1),N(INDEX(MinFrei,MATCH(6,ArbeitNr,0))),N(INDEX(MinWerktag,MATCH(6,ArbeitNr,0)))))</f>
      </c>
      <c r="Z91" s="1">
        <f>IF($AM43="","",IF(OR(Z$51&gt;=6,Z$50=1),N(INDEX(MinFrei,MATCH(6,ArbeitNr,0))),N(INDEX(MinWerktag,MATCH(6,ArbeitNr,0)))))</f>
      </c>
      <c r="AA91" s="1">
        <f>IF($AM43="","",IF(OR(AA$51&gt;=6,AA$50=1),N(INDEX(MinFrei,MATCH(6,ArbeitNr,0))),N(INDEX(MinWerktag,MATCH(6,ArbeitNr,0)))))</f>
      </c>
      <c r="AB91" s="1">
        <f>IF($AM43="","",IF(OR(AB$51&gt;=6,AB$50=1),N(INDEX(MinFrei,MATCH(6,ArbeitNr,0))),N(INDEX(MinWerktag,MATCH(6,ArbeitNr,0)))))</f>
      </c>
      <c r="AC91" s="1">
        <f>IF($AM43="","",IF(OR(AC$51&gt;=6,AC$50=1),N(INDEX(MinFrei,MATCH(6,ArbeitNr,0))),N(INDEX(MinWerktag,MATCH(6,ArbeitNr,0)))))</f>
      </c>
      <c r="AD91" s="1">
        <f>IF($AM43="","",IF(OR(AD$51&gt;=6,AD$50=1),N(INDEX(MinFrei,MATCH(6,ArbeitNr,0))),N(INDEX(MinWerktag,MATCH(6,ArbeitNr,0)))))</f>
      </c>
      <c r="AE91" s="1">
        <f>IF($AM43="","",IF(OR(AE$51&gt;=6,AE$50=1),N(INDEX(MinFrei,MATCH(6,ArbeitNr,0))),N(INDEX(MinWerktag,MATCH(6,ArbeitNr,0)))))</f>
      </c>
      <c r="AF91" s="1">
        <f>IF($AM43="","",IF(OR(AF$51&gt;=6,AF$50=1),N(INDEX(MinFrei,MATCH(6,ArbeitNr,0))),N(INDEX(MinWerktag,MATCH(6,ArbeitNr,0)))))</f>
      </c>
    </row>
    <row r="92" hidden="1" spans="1:32" x14ac:dyDescent="0.25">
      <c r="A92" s="1"/>
      <c r="B92" s="1">
        <f>IF($AM44="","",IF(OR(B$51&gt;=6,B$50=1),N(INDEX(MinFrei,MATCH(7,ArbeitNr,0))),N(INDEX(MinWerktag,MATCH(7,ArbeitNr,0)))))</f>
      </c>
      <c r="C92" s="1">
        <f>IF($AM44="","",IF(OR(C$51&gt;=6,C$50=1),N(INDEX(MinFrei,MATCH(7,ArbeitNr,0))),N(INDEX(MinWerktag,MATCH(7,ArbeitNr,0)))))</f>
      </c>
      <c r="D92" s="1">
        <f>IF($AM44="","",IF(OR(D$51&gt;=6,D$50=1),N(INDEX(MinFrei,MATCH(7,ArbeitNr,0))),N(INDEX(MinWerktag,MATCH(7,ArbeitNr,0)))))</f>
      </c>
      <c r="E92" s="1">
        <f>IF($AM44="","",IF(OR(E$51&gt;=6,E$50=1),N(INDEX(MinFrei,MATCH(7,ArbeitNr,0))),N(INDEX(MinWerktag,MATCH(7,ArbeitNr,0)))))</f>
      </c>
      <c r="F92" s="1">
        <f>IF($AM44="","",IF(OR(F$51&gt;=6,F$50=1),N(INDEX(MinFrei,MATCH(7,ArbeitNr,0))),N(INDEX(MinWerktag,MATCH(7,ArbeitNr,0)))))</f>
      </c>
      <c r="G92" s="1">
        <f>IF($AM44="","",IF(OR(G$51&gt;=6,G$50=1),N(INDEX(MinFrei,MATCH(7,ArbeitNr,0))),N(INDEX(MinWerktag,MATCH(7,ArbeitNr,0)))))</f>
      </c>
      <c r="H92" s="1">
        <f>IF($AM44="","",IF(OR(H$51&gt;=6,H$50=1),N(INDEX(MinFrei,MATCH(7,ArbeitNr,0))),N(INDEX(MinWerktag,MATCH(7,ArbeitNr,0)))))</f>
      </c>
      <c r="I92" s="1">
        <f>IF($AM44="","",IF(OR(I$51&gt;=6,I$50=1),N(INDEX(MinFrei,MATCH(7,ArbeitNr,0))),N(INDEX(MinWerktag,MATCH(7,ArbeitNr,0)))))</f>
      </c>
      <c r="J92" s="1">
        <f>IF($AM44="","",IF(OR(J$51&gt;=6,J$50=1),N(INDEX(MinFrei,MATCH(7,ArbeitNr,0))),N(INDEX(MinWerktag,MATCH(7,ArbeitNr,0)))))</f>
      </c>
      <c r="K92" s="1">
        <f>IF($AM44="","",IF(OR(K$51&gt;=6,K$50=1),N(INDEX(MinFrei,MATCH(7,ArbeitNr,0))),N(INDEX(MinWerktag,MATCH(7,ArbeitNr,0)))))</f>
      </c>
      <c r="L92" s="1">
        <f>IF($AM44="","",IF(OR(L$51&gt;=6,L$50=1),N(INDEX(MinFrei,MATCH(7,ArbeitNr,0))),N(INDEX(MinWerktag,MATCH(7,ArbeitNr,0)))))</f>
      </c>
      <c r="M92" s="1">
        <f>IF($AM44="","",IF(OR(M$51&gt;=6,M$50=1),N(INDEX(MinFrei,MATCH(7,ArbeitNr,0))),N(INDEX(MinWerktag,MATCH(7,ArbeitNr,0)))))</f>
      </c>
      <c r="N92" s="1">
        <f>IF($AM44="","",IF(OR(N$51&gt;=6,N$50=1),N(INDEX(MinFrei,MATCH(7,ArbeitNr,0))),N(INDEX(MinWerktag,MATCH(7,ArbeitNr,0)))))</f>
      </c>
      <c r="O92" s="1">
        <f>IF($AM44="","",IF(OR(O$51&gt;=6,O$50=1),N(INDEX(MinFrei,MATCH(7,ArbeitNr,0))),N(INDEX(MinWerktag,MATCH(7,ArbeitNr,0)))))</f>
      </c>
      <c r="P92" s="1">
        <f>IF($AM44="","",IF(OR(P$51&gt;=6,P$50=1),N(INDEX(MinFrei,MATCH(7,ArbeitNr,0))),N(INDEX(MinWerktag,MATCH(7,ArbeitNr,0)))))</f>
      </c>
      <c r="Q92" s="1">
        <f>IF($AM44="","",IF(OR(Q$51&gt;=6,Q$50=1),N(INDEX(MinFrei,MATCH(7,ArbeitNr,0))),N(INDEX(MinWerktag,MATCH(7,ArbeitNr,0)))))</f>
      </c>
      <c r="R92" s="1">
        <f>IF($AM44="","",IF(OR(R$51&gt;=6,R$50=1),N(INDEX(MinFrei,MATCH(7,ArbeitNr,0))),N(INDEX(MinWerktag,MATCH(7,ArbeitNr,0)))))</f>
      </c>
      <c r="S92" s="1">
        <f>IF($AM44="","",IF(OR(S$51&gt;=6,S$50=1),N(INDEX(MinFrei,MATCH(7,ArbeitNr,0))),N(INDEX(MinWerktag,MATCH(7,ArbeitNr,0)))))</f>
      </c>
      <c r="T92" s="1">
        <f>IF($AM44="","",IF(OR(T$51&gt;=6,T$50=1),N(INDEX(MinFrei,MATCH(7,ArbeitNr,0))),N(INDEX(MinWerktag,MATCH(7,ArbeitNr,0)))))</f>
      </c>
      <c r="U92" s="1">
        <f>IF($AM44="","",IF(OR(U$51&gt;=6,U$50=1),N(INDEX(MinFrei,MATCH(7,ArbeitNr,0))),N(INDEX(MinWerktag,MATCH(7,ArbeitNr,0)))))</f>
      </c>
      <c r="V92" s="1">
        <f>IF($AM44="","",IF(OR(V$51&gt;=6,V$50=1),N(INDEX(MinFrei,MATCH(7,ArbeitNr,0))),N(INDEX(MinWerktag,MATCH(7,ArbeitNr,0)))))</f>
      </c>
      <c r="W92" s="1">
        <f>IF($AM44="","",IF(OR(W$51&gt;=6,W$50=1),N(INDEX(MinFrei,MATCH(7,ArbeitNr,0))),N(INDEX(MinWerktag,MATCH(7,ArbeitNr,0)))))</f>
      </c>
      <c r="X92" s="1">
        <f>IF($AM44="","",IF(OR(X$51&gt;=6,X$50=1),N(INDEX(MinFrei,MATCH(7,ArbeitNr,0))),N(INDEX(MinWerktag,MATCH(7,ArbeitNr,0)))))</f>
      </c>
      <c r="Y92" s="1">
        <f>IF($AM44="","",IF(OR(Y$51&gt;=6,Y$50=1),N(INDEX(MinFrei,MATCH(7,ArbeitNr,0))),N(INDEX(MinWerktag,MATCH(7,ArbeitNr,0)))))</f>
      </c>
      <c r="Z92" s="1">
        <f>IF($AM44="","",IF(OR(Z$51&gt;=6,Z$50=1),N(INDEX(MinFrei,MATCH(7,ArbeitNr,0))),N(INDEX(MinWerktag,MATCH(7,ArbeitNr,0)))))</f>
      </c>
      <c r="AA92" s="1">
        <f>IF($AM44="","",IF(OR(AA$51&gt;=6,AA$50=1),N(INDEX(MinFrei,MATCH(7,ArbeitNr,0))),N(INDEX(MinWerktag,MATCH(7,ArbeitNr,0)))))</f>
      </c>
      <c r="AB92" s="1">
        <f>IF($AM44="","",IF(OR(AB$51&gt;=6,AB$50=1),N(INDEX(MinFrei,MATCH(7,ArbeitNr,0))),N(INDEX(MinWerktag,MATCH(7,ArbeitNr,0)))))</f>
      </c>
      <c r="AC92" s="1">
        <f>IF($AM44="","",IF(OR(AC$51&gt;=6,AC$50=1),N(INDEX(MinFrei,MATCH(7,ArbeitNr,0))),N(INDEX(MinWerktag,MATCH(7,ArbeitNr,0)))))</f>
      </c>
      <c r="AD92" s="1">
        <f>IF($AM44="","",IF(OR(AD$51&gt;=6,AD$50=1),N(INDEX(MinFrei,MATCH(7,ArbeitNr,0))),N(INDEX(MinWerktag,MATCH(7,ArbeitNr,0)))))</f>
      </c>
      <c r="AE92" s="1">
        <f>IF($AM44="","",IF(OR(AE$51&gt;=6,AE$50=1),N(INDEX(MinFrei,MATCH(7,ArbeitNr,0))),N(INDEX(MinWerktag,MATCH(7,ArbeitNr,0)))))</f>
      </c>
      <c r="AF92" s="1">
        <f>IF($AM44="","",IF(OR(AF$51&gt;=6,AF$50=1),N(INDEX(MinFrei,MATCH(7,ArbeitNr,0))),N(INDEX(MinWerktag,MATCH(7,ArbeitNr,0)))))</f>
      </c>
    </row>
    <row r="93" hidden="1" spans="1:32" x14ac:dyDescent="0.25">
      <c r="A93" s="1"/>
      <c r="B93" s="1">
        <f>IF($AM45="","",IF(OR(B$51&gt;=6,B$50=1),N(INDEX(MinFrei,MATCH(8,ArbeitNr,0))),N(INDEX(MinWerktag,MATCH(8,ArbeitNr,0)))))</f>
      </c>
      <c r="C93" s="1">
        <f>IF($AM45="","",IF(OR(C$51&gt;=6,C$50=1),N(INDEX(MinFrei,MATCH(8,ArbeitNr,0))),N(INDEX(MinWerktag,MATCH(8,ArbeitNr,0)))))</f>
      </c>
      <c r="D93" s="1">
        <f>IF($AM45="","",IF(OR(D$51&gt;=6,D$50=1),N(INDEX(MinFrei,MATCH(8,ArbeitNr,0))),N(INDEX(MinWerktag,MATCH(8,ArbeitNr,0)))))</f>
      </c>
      <c r="E93" s="1">
        <f>IF($AM45="","",IF(OR(E$51&gt;=6,E$50=1),N(INDEX(MinFrei,MATCH(8,ArbeitNr,0))),N(INDEX(MinWerktag,MATCH(8,ArbeitNr,0)))))</f>
      </c>
      <c r="F93" s="1">
        <f>IF($AM45="","",IF(OR(F$51&gt;=6,F$50=1),N(INDEX(MinFrei,MATCH(8,ArbeitNr,0))),N(INDEX(MinWerktag,MATCH(8,ArbeitNr,0)))))</f>
      </c>
      <c r="G93" s="1">
        <f>IF($AM45="","",IF(OR(G$51&gt;=6,G$50=1),N(INDEX(MinFrei,MATCH(8,ArbeitNr,0))),N(INDEX(MinWerktag,MATCH(8,ArbeitNr,0)))))</f>
      </c>
      <c r="H93" s="1">
        <f>IF($AM45="","",IF(OR(H$51&gt;=6,H$50=1),N(INDEX(MinFrei,MATCH(8,ArbeitNr,0))),N(INDEX(MinWerktag,MATCH(8,ArbeitNr,0)))))</f>
      </c>
      <c r="I93" s="1">
        <f>IF($AM45="","",IF(OR(I$51&gt;=6,I$50=1),N(INDEX(MinFrei,MATCH(8,ArbeitNr,0))),N(INDEX(MinWerktag,MATCH(8,ArbeitNr,0)))))</f>
      </c>
      <c r="J93" s="1">
        <f>IF($AM45="","",IF(OR(J$51&gt;=6,J$50=1),N(INDEX(MinFrei,MATCH(8,ArbeitNr,0))),N(INDEX(MinWerktag,MATCH(8,ArbeitNr,0)))))</f>
      </c>
      <c r="K93" s="1">
        <f>IF($AM45="","",IF(OR(K$51&gt;=6,K$50=1),N(INDEX(MinFrei,MATCH(8,ArbeitNr,0))),N(INDEX(MinWerktag,MATCH(8,ArbeitNr,0)))))</f>
      </c>
      <c r="L93" s="1">
        <f>IF($AM45="","",IF(OR(L$51&gt;=6,L$50=1),N(INDEX(MinFrei,MATCH(8,ArbeitNr,0))),N(INDEX(MinWerktag,MATCH(8,ArbeitNr,0)))))</f>
      </c>
      <c r="M93" s="1">
        <f>IF($AM45="","",IF(OR(M$51&gt;=6,M$50=1),N(INDEX(MinFrei,MATCH(8,ArbeitNr,0))),N(INDEX(MinWerktag,MATCH(8,ArbeitNr,0)))))</f>
      </c>
      <c r="N93" s="1">
        <f>IF($AM45="","",IF(OR(N$51&gt;=6,N$50=1),N(INDEX(MinFrei,MATCH(8,ArbeitNr,0))),N(INDEX(MinWerktag,MATCH(8,ArbeitNr,0)))))</f>
      </c>
      <c r="O93" s="1">
        <f>IF($AM45="","",IF(OR(O$51&gt;=6,O$50=1),N(INDEX(MinFrei,MATCH(8,ArbeitNr,0))),N(INDEX(MinWerktag,MATCH(8,ArbeitNr,0)))))</f>
      </c>
      <c r="P93" s="1">
        <f>IF($AM45="","",IF(OR(P$51&gt;=6,P$50=1),N(INDEX(MinFrei,MATCH(8,ArbeitNr,0))),N(INDEX(MinWerktag,MATCH(8,ArbeitNr,0)))))</f>
      </c>
      <c r="Q93" s="1">
        <f>IF($AM45="","",IF(OR(Q$51&gt;=6,Q$50=1),N(INDEX(MinFrei,MATCH(8,ArbeitNr,0))),N(INDEX(MinWerktag,MATCH(8,ArbeitNr,0)))))</f>
      </c>
      <c r="R93" s="1">
        <f>IF($AM45="","",IF(OR(R$51&gt;=6,R$50=1),N(INDEX(MinFrei,MATCH(8,ArbeitNr,0))),N(INDEX(MinWerktag,MATCH(8,ArbeitNr,0)))))</f>
      </c>
      <c r="S93" s="1">
        <f>IF($AM45="","",IF(OR(S$51&gt;=6,S$50=1),N(INDEX(MinFrei,MATCH(8,ArbeitNr,0))),N(INDEX(MinWerktag,MATCH(8,ArbeitNr,0)))))</f>
      </c>
      <c r="T93" s="1">
        <f>IF($AM45="","",IF(OR(T$51&gt;=6,T$50=1),N(INDEX(MinFrei,MATCH(8,ArbeitNr,0))),N(INDEX(MinWerktag,MATCH(8,ArbeitNr,0)))))</f>
      </c>
      <c r="U93" s="1">
        <f>IF($AM45="","",IF(OR(U$51&gt;=6,U$50=1),N(INDEX(MinFrei,MATCH(8,ArbeitNr,0))),N(INDEX(MinWerktag,MATCH(8,ArbeitNr,0)))))</f>
      </c>
      <c r="V93" s="1">
        <f>IF($AM45="","",IF(OR(V$51&gt;=6,V$50=1),N(INDEX(MinFrei,MATCH(8,ArbeitNr,0))),N(INDEX(MinWerktag,MATCH(8,ArbeitNr,0)))))</f>
      </c>
      <c r="W93" s="1">
        <f>IF($AM45="","",IF(OR(W$51&gt;=6,W$50=1),N(INDEX(MinFrei,MATCH(8,ArbeitNr,0))),N(INDEX(MinWerktag,MATCH(8,ArbeitNr,0)))))</f>
      </c>
      <c r="X93" s="1">
        <f>IF($AM45="","",IF(OR(X$51&gt;=6,X$50=1),N(INDEX(MinFrei,MATCH(8,ArbeitNr,0))),N(INDEX(MinWerktag,MATCH(8,ArbeitNr,0)))))</f>
      </c>
      <c r="Y93" s="1">
        <f>IF($AM45="","",IF(OR(Y$51&gt;=6,Y$50=1),N(INDEX(MinFrei,MATCH(8,ArbeitNr,0))),N(INDEX(MinWerktag,MATCH(8,ArbeitNr,0)))))</f>
      </c>
      <c r="Z93" s="1">
        <f>IF($AM45="","",IF(OR(Z$51&gt;=6,Z$50=1),N(INDEX(MinFrei,MATCH(8,ArbeitNr,0))),N(INDEX(MinWerktag,MATCH(8,ArbeitNr,0)))))</f>
      </c>
      <c r="AA93" s="1">
        <f>IF($AM45="","",IF(OR(AA$51&gt;=6,AA$50=1),N(INDEX(MinFrei,MATCH(8,ArbeitNr,0))),N(INDEX(MinWerktag,MATCH(8,ArbeitNr,0)))))</f>
      </c>
      <c r="AB93" s="1">
        <f>IF($AM45="","",IF(OR(AB$51&gt;=6,AB$50=1),N(INDEX(MinFrei,MATCH(8,ArbeitNr,0))),N(INDEX(MinWerktag,MATCH(8,ArbeitNr,0)))))</f>
      </c>
      <c r="AC93" s="1">
        <f>IF($AM45="","",IF(OR(AC$51&gt;=6,AC$50=1),N(INDEX(MinFrei,MATCH(8,ArbeitNr,0))),N(INDEX(MinWerktag,MATCH(8,ArbeitNr,0)))))</f>
      </c>
      <c r="AD93" s="1">
        <f>IF($AM45="","",IF(OR(AD$51&gt;=6,AD$50=1),N(INDEX(MinFrei,MATCH(8,ArbeitNr,0))),N(INDEX(MinWerktag,MATCH(8,ArbeitNr,0)))))</f>
      </c>
      <c r="AE93" s="1">
        <f>IF($AM45="","",IF(OR(AE$51&gt;=6,AE$50=1),N(INDEX(MinFrei,MATCH(8,ArbeitNr,0))),N(INDEX(MinWerktag,MATCH(8,ArbeitNr,0)))))</f>
      </c>
      <c r="AF93" s="1">
        <f>IF($AM45="","",IF(OR(AF$51&gt;=6,AF$50=1),N(INDEX(MinFrei,MATCH(8,ArbeitNr,0))),N(INDEX(MinWerktag,MATCH(8,ArbeitNr,0)))))</f>
      </c>
    </row>
  </sheetData>
  <sheetProtection sheet="1" formatCells="0" formatColumns="0" formatRows="0"/>
  <mergeCells count="1">
    <mergeCell ref="B48:U48"/>
  </mergeCells>
  <conditionalFormatting sqref="B6:AF35">
    <cfRule type="expression" dxfId="60" priority="1">
      <formula>B$52=0</formula>
    </cfRule>
    <cfRule type="expression" dxfId="61" priority="2">
      <formula>B55=1</formula>
    </cfRule>
    <cfRule type="expression" dxfId="62" priority="3">
      <formula>AND(B6&lt;&gt;"",UPPER(B6)=UPPER(Einstellungen!$A$9))</formula>
    </cfRule>
    <cfRule type="expression" dxfId="63" priority="4">
      <formula>AND(B6&lt;&gt;"",UPPER(B6)=UPPER(Einstellungen!$A$10))</formula>
    </cfRule>
    <cfRule type="expression" dxfId="64" priority="5">
      <formula>AND(B6&lt;&gt;"",UPPER(B6)=UPPER(Einstellungen!$A$11))</formula>
    </cfRule>
    <cfRule type="expression" dxfId="65" priority="6">
      <formula>AND(B6&lt;&gt;"",UPPER(B6)=UPPER(Einstellungen!$A$12))</formula>
    </cfRule>
    <cfRule type="expression" dxfId="66" priority="7">
      <formula>AND(B6&lt;&gt;"",UPPER(B6)=UPPER(Einstellungen!$A$13))</formula>
    </cfRule>
    <cfRule type="expression" dxfId="67" priority="8">
      <formula>AND(B6&lt;&gt;"",UPPER(B6)=UPPER(Einstellungen!$A$14))</formula>
    </cfRule>
    <cfRule type="expression" dxfId="68" priority="9">
      <formula>AND(B6&lt;&gt;"",UPPER(B6)=UPPER(Einstellungen!$A$15))</formula>
    </cfRule>
    <cfRule type="expression" dxfId="69" priority="10">
      <formula>AND(B6&lt;&gt;"",UPPER(B6)=UPPER(Einstellungen!$A$16))</formula>
    </cfRule>
    <cfRule type="expression" dxfId="70" priority="11">
      <formula>AND(B6&lt;&gt;"",UPPER(B6)=UPPER(Einstellungen!$A$17))</formula>
    </cfRule>
    <cfRule type="expression" dxfId="71" priority="12">
      <formula>AND(B6&lt;&gt;"",UPPER(B6)=UPPER(Einstellungen!$A$18))</formula>
    </cfRule>
    <cfRule type="expression" dxfId="72" priority="13">
      <formula>AND(B6&lt;&gt;"",UPPER(B6)=UPPER(Einstellungen!$A$19))</formula>
    </cfRule>
    <cfRule type="expression" dxfId="73" priority="14">
      <formula>AND(B6&lt;&gt;"",UPPER(B6)=UPPER(Einstellungen!$A$20))</formula>
    </cfRule>
    <cfRule type="expression" dxfId="74" priority="20">
      <formula>B$50=1</formula>
    </cfRule>
    <cfRule type="expression" dxfId="75" priority="21">
      <formula>B$51&gt;=6</formula>
    </cfRule>
  </conditionalFormatting>
  <conditionalFormatting sqref="B4:AF5">
    <cfRule type="expression" dxfId="76" priority="22">
      <formula>B$52=0</formula>
    </cfRule>
    <cfRule type="expression" dxfId="77" priority="23">
      <formula>B$50=1</formula>
    </cfRule>
    <cfRule type="expression" dxfId="78" priority="24">
      <formula>B$51&gt;=6</formula>
    </cfRule>
  </conditionalFormatting>
  <conditionalFormatting sqref="B38:AF45">
    <cfRule type="expression" dxfId="79" priority="25">
      <formula>AND(B38&lt;&gt;"",N(B38)&lt;N(B86))</formula>
    </cfRule>
  </conditionalFormatting>
  <dataValidations count="4">
    <dataValidation type="list" allowBlank="1" showErrorMessage="1" errorTitle="Schicht" error="Bitte ein Kürzel aus den Einstellungen wählen (z. B. F, S, N, U, K)." sqref="AA10:AF35">
      <formula1>Codes</formula1>
    </dataValidation>
    <dataValidation type="list" allowBlank="1" showErrorMessage="1" errorTitle="Schicht" error="Bitte ein Kürzel aus den Einstellungen wählen (z. B. F, S, N, U, K)." sqref="AA6:AF35">
      <formula1>Codes</formula1>
    </dataValidation>
    <dataValidation type="list" allowBlank="1" showErrorMessage="1" errorTitle="Schicht" error="Bitte ein Kürzel aus den Einstellungen wählen (z. B. F, S, N, U, K)." sqref="B10:AF35">
      <formula1>Codes</formula1>
    </dataValidation>
    <dataValidation type="list" allowBlank="1" showErrorMessage="1" errorTitle="Schicht" error="Bitte ein Kürzel aus den Einstellungen wählen (z. B. F, S, N, U, K)." sqref="B6:AF35">
      <formula1>Codes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93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32" width="4.2" customWidth="1"/>
    <col min="36" max="37" width="7" customWidth="1"/>
    <col min="38" max="38" width="30" customWidth="1"/>
    <col min="39" max="39" width="9" hidden="1" customWidth="1"/>
  </cols>
  <sheetData>
    <row r="1" spans="1:1" x14ac:dyDescent="0.25">
      <c r="A1" s="5">
        <f>"Dienstplan Mai "&amp;Jahr&amp;IF(Team="",""," · "&amp;Team)</f>
      </c>
    </row>
    <row r="2" spans="1:1" x14ac:dyDescent="0.25">
      <c r="A2" s="7">
        <f>IF(Bundesland="","Bitte in den Einstellungen das Bundesland wählen, damit die Feiertage stimmen.","Feiertage: "&amp;Bundesland)</f>
      </c>
    </row>
    <row r="3" spans="1:1" x14ac:dyDescent="0.25">
      <c r="A3" s="30">
        <f>Legende</f>
      </c>
    </row>
    <row r="4" spans="1:32" x14ac:dyDescent="0.25">
      <c r="A4" s="1"/>
      <c r="B4" s="31">
        <f>IF(B$5="","",CHOOSE(WEEKDAY(B$5,2),"Mo","Di","Mi","Do","Fr","Sa","So"))</f>
      </c>
      <c r="C4" s="31">
        <f>IF(C$5="","",CHOOSE(WEEKDAY(C$5,2),"Mo","Di","Mi","Do","Fr","Sa","So"))</f>
      </c>
      <c r="D4" s="31">
        <f>IF(D$5="","",CHOOSE(WEEKDAY(D$5,2),"Mo","Di","Mi","Do","Fr","Sa","So"))</f>
      </c>
      <c r="E4" s="31">
        <f>IF(E$5="","",CHOOSE(WEEKDAY(E$5,2),"Mo","Di","Mi","Do","Fr","Sa","So"))</f>
      </c>
      <c r="F4" s="31">
        <f>IF(F$5="","",CHOOSE(WEEKDAY(F$5,2),"Mo","Di","Mi","Do","Fr","Sa","So"))</f>
      </c>
      <c r="G4" s="31">
        <f>IF(G$5="","",CHOOSE(WEEKDAY(G$5,2),"Mo","Di","Mi","Do","Fr","Sa","So"))</f>
      </c>
      <c r="H4" s="31">
        <f>IF(H$5="","",CHOOSE(WEEKDAY(H$5,2),"Mo","Di","Mi","Do","Fr","Sa","So"))</f>
      </c>
      <c r="I4" s="31">
        <f>IF(I$5="","",CHOOSE(WEEKDAY(I$5,2),"Mo","Di","Mi","Do","Fr","Sa","So"))</f>
      </c>
      <c r="J4" s="31">
        <f>IF(J$5="","",CHOOSE(WEEKDAY(J$5,2),"Mo","Di","Mi","Do","Fr","Sa","So"))</f>
      </c>
      <c r="K4" s="31">
        <f>IF(K$5="","",CHOOSE(WEEKDAY(K$5,2),"Mo","Di","Mi","Do","Fr","Sa","So"))</f>
      </c>
      <c r="L4" s="31">
        <f>IF(L$5="","",CHOOSE(WEEKDAY(L$5,2),"Mo","Di","Mi","Do","Fr","Sa","So"))</f>
      </c>
      <c r="M4" s="31">
        <f>IF(M$5="","",CHOOSE(WEEKDAY(M$5,2),"Mo","Di","Mi","Do","Fr","Sa","So"))</f>
      </c>
      <c r="N4" s="31">
        <f>IF(N$5="","",CHOOSE(WEEKDAY(N$5,2),"Mo","Di","Mi","Do","Fr","Sa","So"))</f>
      </c>
      <c r="O4" s="31">
        <f>IF(O$5="","",CHOOSE(WEEKDAY(O$5,2),"Mo","Di","Mi","Do","Fr","Sa","So"))</f>
      </c>
      <c r="P4" s="31">
        <f>IF(P$5="","",CHOOSE(WEEKDAY(P$5,2),"Mo","Di","Mi","Do","Fr","Sa","So"))</f>
      </c>
      <c r="Q4" s="31">
        <f>IF(Q$5="","",CHOOSE(WEEKDAY(Q$5,2),"Mo","Di","Mi","Do","Fr","Sa","So"))</f>
      </c>
      <c r="R4" s="31">
        <f>IF(R$5="","",CHOOSE(WEEKDAY(R$5,2),"Mo","Di","Mi","Do","Fr","Sa","So"))</f>
      </c>
      <c r="S4" s="31">
        <f>IF(S$5="","",CHOOSE(WEEKDAY(S$5,2),"Mo","Di","Mi","Do","Fr","Sa","So"))</f>
      </c>
      <c r="T4" s="31">
        <f>IF(T$5="","",CHOOSE(WEEKDAY(T$5,2),"Mo","Di","Mi","Do","Fr","Sa","So"))</f>
      </c>
      <c r="U4" s="31">
        <f>IF(U$5="","",CHOOSE(WEEKDAY(U$5,2),"Mo","Di","Mi","Do","Fr","Sa","So"))</f>
      </c>
      <c r="V4" s="31">
        <f>IF(V$5="","",CHOOSE(WEEKDAY(V$5,2),"Mo","Di","Mi","Do","Fr","Sa","So"))</f>
      </c>
      <c r="W4" s="31">
        <f>IF(W$5="","",CHOOSE(WEEKDAY(W$5,2),"Mo","Di","Mi","Do","Fr","Sa","So"))</f>
      </c>
      <c r="X4" s="31">
        <f>IF(X$5="","",CHOOSE(WEEKDAY(X$5,2),"Mo","Di","Mi","Do","Fr","Sa","So"))</f>
      </c>
      <c r="Y4" s="31">
        <f>IF(Y$5="","",CHOOSE(WEEKDAY(Y$5,2),"Mo","Di","Mi","Do","Fr","Sa","So"))</f>
      </c>
      <c r="Z4" s="31">
        <f>IF(Z$5="","",CHOOSE(WEEKDAY(Z$5,2),"Mo","Di","Mi","Do","Fr","Sa","So"))</f>
      </c>
      <c r="AA4" s="31">
        <f>IF(AA$5="","",CHOOSE(WEEKDAY(AA$5,2),"Mo","Di","Mi","Do","Fr","Sa","So"))</f>
      </c>
      <c r="AB4" s="31">
        <f>IF(AB$5="","",CHOOSE(WEEKDAY(AB$5,2),"Mo","Di","Mi","Do","Fr","Sa","So"))</f>
      </c>
      <c r="AC4" s="31">
        <f>IF(AC$5="","",CHOOSE(WEEKDAY(AC$5,2),"Mo","Di","Mi","Do","Fr","Sa","So"))</f>
      </c>
      <c r="AD4" s="31">
        <f>IF(AD$5="","",CHOOSE(WEEKDAY(AD$5,2),"Mo","Di","Mi","Do","Fr","Sa","So"))</f>
      </c>
      <c r="AE4" s="31">
        <f>IF(AE$5="","",CHOOSE(WEEKDAY(AE$5,2),"Mo","Di","Mi","Do","Fr","Sa","So"))</f>
      </c>
      <c r="AF4" s="31">
        <f>IF(AF$5="","",CHOOSE(WEEKDAY(AF$5,2),"Mo","Di","Mi","Do","Fr","Sa","So"))</f>
      </c>
    </row>
    <row r="5" ht="18" customHeight="1" spans="1:38" x14ac:dyDescent="0.25">
      <c r="A5" s="10" t="s">
        <v>52</v>
      </c>
      <c r="B5" s="32">
        <f>IF(MONTH(DATE(Jahr,5,1))=5,DATE(Jahr,5,1),"")</f>
      </c>
      <c r="C5" s="32">
        <f>IF(MONTH(DATE(Jahr,5,2))=5,DATE(Jahr,5,2),"")</f>
      </c>
      <c r="D5" s="32">
        <f>IF(MONTH(DATE(Jahr,5,3))=5,DATE(Jahr,5,3),"")</f>
      </c>
      <c r="E5" s="32">
        <f>IF(MONTH(DATE(Jahr,5,4))=5,DATE(Jahr,5,4),"")</f>
      </c>
      <c r="F5" s="32">
        <f>IF(MONTH(DATE(Jahr,5,5))=5,DATE(Jahr,5,5),"")</f>
      </c>
      <c r="G5" s="32">
        <f>IF(MONTH(DATE(Jahr,5,6))=5,DATE(Jahr,5,6),"")</f>
      </c>
      <c r="H5" s="32">
        <f>IF(MONTH(DATE(Jahr,5,7))=5,DATE(Jahr,5,7),"")</f>
      </c>
      <c r="I5" s="32">
        <f>IF(MONTH(DATE(Jahr,5,8))=5,DATE(Jahr,5,8),"")</f>
      </c>
      <c r="J5" s="32">
        <f>IF(MONTH(DATE(Jahr,5,9))=5,DATE(Jahr,5,9),"")</f>
      </c>
      <c r="K5" s="32">
        <f>IF(MONTH(DATE(Jahr,5,10))=5,DATE(Jahr,5,10),"")</f>
      </c>
      <c r="L5" s="32">
        <f>IF(MONTH(DATE(Jahr,5,11))=5,DATE(Jahr,5,11),"")</f>
      </c>
      <c r="M5" s="32">
        <f>IF(MONTH(DATE(Jahr,5,12))=5,DATE(Jahr,5,12),"")</f>
      </c>
      <c r="N5" s="32">
        <f>IF(MONTH(DATE(Jahr,5,13))=5,DATE(Jahr,5,13),"")</f>
      </c>
      <c r="O5" s="32">
        <f>IF(MONTH(DATE(Jahr,5,14))=5,DATE(Jahr,5,14),"")</f>
      </c>
      <c r="P5" s="32">
        <f>IF(MONTH(DATE(Jahr,5,15))=5,DATE(Jahr,5,15),"")</f>
      </c>
      <c r="Q5" s="32">
        <f>IF(MONTH(DATE(Jahr,5,16))=5,DATE(Jahr,5,16),"")</f>
      </c>
      <c r="R5" s="32">
        <f>IF(MONTH(DATE(Jahr,5,17))=5,DATE(Jahr,5,17),"")</f>
      </c>
      <c r="S5" s="32">
        <f>IF(MONTH(DATE(Jahr,5,18))=5,DATE(Jahr,5,18),"")</f>
      </c>
      <c r="T5" s="32">
        <f>IF(MONTH(DATE(Jahr,5,19))=5,DATE(Jahr,5,19),"")</f>
      </c>
      <c r="U5" s="32">
        <f>IF(MONTH(DATE(Jahr,5,20))=5,DATE(Jahr,5,20),"")</f>
      </c>
      <c r="V5" s="32">
        <f>IF(MONTH(DATE(Jahr,5,21))=5,DATE(Jahr,5,21),"")</f>
      </c>
      <c r="W5" s="32">
        <f>IF(MONTH(DATE(Jahr,5,22))=5,DATE(Jahr,5,22),"")</f>
      </c>
      <c r="X5" s="32">
        <f>IF(MONTH(DATE(Jahr,5,23))=5,DATE(Jahr,5,23),"")</f>
      </c>
      <c r="Y5" s="32">
        <f>IF(MONTH(DATE(Jahr,5,24))=5,DATE(Jahr,5,24),"")</f>
      </c>
      <c r="Z5" s="32">
        <f>IF(MONTH(DATE(Jahr,5,25))=5,DATE(Jahr,5,25),"")</f>
      </c>
      <c r="AA5" s="32">
        <f>IF(MONTH(DATE(Jahr,5,26))=5,DATE(Jahr,5,26),"")</f>
      </c>
      <c r="AB5" s="32">
        <f>IF(MONTH(DATE(Jahr,5,27))=5,DATE(Jahr,5,27),"")</f>
      </c>
      <c r="AC5" s="32">
        <f>IF(MONTH(DATE(Jahr,5,28))=5,DATE(Jahr,5,28),"")</f>
      </c>
      <c r="AD5" s="32">
        <f>IF(MONTH(DATE(Jahr,5,29))=5,DATE(Jahr,5,29),"")</f>
      </c>
      <c r="AE5" s="32">
        <f>IF(MONTH(DATE(Jahr,5,30))=5,DATE(Jahr,5,30),"")</f>
      </c>
      <c r="AF5" s="32">
        <f>IF(MONTH(DATE(Jahr,5,31))=5,DATE(Jahr,5,31),"")</f>
      </c>
      <c r="AG5" s="10" t="s">
        <v>60</v>
      </c>
      <c r="AH5" s="10" t="s">
        <v>61</v>
      </c>
      <c r="AI5" s="10" t="s">
        <v>62</v>
      </c>
      <c r="AJ5" s="10" t="s">
        <v>44</v>
      </c>
      <c r="AK5" s="10" t="s">
        <v>46</v>
      </c>
      <c r="AL5" s="10" t="s">
        <v>33</v>
      </c>
    </row>
    <row r="6" spans="1:38" x14ac:dyDescent="0.25">
      <c r="A6" s="33">
        <f>Mitarbeiter!$A$5&amp;""</f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5">
        <f>IF($A6="","",SUMPRODUCT(COUNTIFS(B6:AF6,Codes,$B$52:$AF$52,1)*(Arten="Arbeit")*Erste*NettoTage)+SUMPRODUCT(COUNTIFS(B6:AF6,Codes,$B$53:$AF$53,1)*((Arten="Urlaub")+(Arten="Krank")+(Arten="Bezahlt abwesend"))*Erste)*N(Mitarbeiter!$B$5)/5/24)</f>
      </c>
      <c r="AH6" s="35">
        <f>IF($A6="","",N(Mitarbeiter!$B$5)/5/24*SUM($B$53:$AF$53))</f>
      </c>
      <c r="AI6" s="36">
        <f>IF($A6="","",IF((AG6-AH6)&lt;0,"-","+")&amp;TEXT(ABS((AG6-AH6)),"[h]:mm"))</f>
      </c>
      <c r="AJ6" s="37">
        <f>IF($A6="","",SUMPRODUCT(COUNTIFS(B6:AF6,Codes,$B$53:$AF$53,1)*(Arten="Urlaub")*Erste))</f>
      </c>
      <c r="AK6" s="37">
        <f>IF($A6="","",SUMPRODUCT(COUNTIFS(B6:AF6,Codes,$B$53:$AF$53,1)*(Arten="Krank")*Erste))</f>
      </c>
      <c r="AL6" s="38">
        <f>IF($A6="","",IF(COUNTIF(B55:AF55,1)&gt;0,COUNTIF(B55:AF55,1)&amp;"× Ruhezeit unter 11 Std. (§ 5)","")&amp;IF((COUNTIFS(B6:AF6,"?*",$B$52:$AF$52,1)-SUMPRODUCT(COUNTIFS(B6:AF6,Codes,$B$52:$AF$52,1)*(Codes&lt;&gt;"")*Erste))&gt;0,IF(COUNTIF(B55:AF55,1)&gt;0,"; ","")&amp;(COUNTIFS(B6:AF6,"?*",$B$52:$AF$52,1)-SUMPRODUCT(COUNTIFS(B6:AF6,Codes,$B$52:$AF$52,1)*(Codes&lt;&gt;"")*Erste))&amp;"× unbekanntes Kürzel",""))</f>
      </c>
    </row>
    <row r="7" spans="1:38" x14ac:dyDescent="0.25">
      <c r="A7" s="33">
        <f>Mitarbeiter!$A$6&amp;""</f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5">
        <f>IF($A7="","",SUMPRODUCT(COUNTIFS(B7:AF7,Codes,$B$52:$AF$52,1)*(Arten="Arbeit")*Erste*NettoTage)+SUMPRODUCT(COUNTIFS(B7:AF7,Codes,$B$53:$AF$53,1)*((Arten="Urlaub")+(Arten="Krank")+(Arten="Bezahlt abwesend"))*Erste)*N(Mitarbeiter!$B$6)/5/24)</f>
      </c>
      <c r="AH7" s="35">
        <f>IF($A7="","",N(Mitarbeiter!$B$6)/5/24*SUM($B$53:$AF$53))</f>
      </c>
      <c r="AI7" s="36">
        <f>IF($A7="","",IF((AG7-AH7)&lt;0,"-","+")&amp;TEXT(ABS((AG7-AH7)),"[h]:mm"))</f>
      </c>
      <c r="AJ7" s="37">
        <f>IF($A7="","",SUMPRODUCT(COUNTIFS(B7:AF7,Codes,$B$53:$AF$53,1)*(Arten="Urlaub")*Erste))</f>
      </c>
      <c r="AK7" s="37">
        <f>IF($A7="","",SUMPRODUCT(COUNTIFS(B7:AF7,Codes,$B$53:$AF$53,1)*(Arten="Krank")*Erste))</f>
      </c>
      <c r="AL7" s="38">
        <f>IF($A7="","",IF(COUNTIF(B56:AF56,1)&gt;0,COUNTIF(B56:AF56,1)&amp;"× Ruhezeit unter 11 Std. (§ 5)","")&amp;IF((COUNTIFS(B7:AF7,"?*",$B$52:$AF$52,1)-SUMPRODUCT(COUNTIFS(B7:AF7,Codes,$B$52:$AF$52,1)*(Codes&lt;&gt;"")*Erste))&gt;0,IF(COUNTIF(B56:AF56,1)&gt;0,"; ","")&amp;(COUNTIFS(B7:AF7,"?*",$B$52:$AF$52,1)-SUMPRODUCT(COUNTIFS(B7:AF7,Codes,$B$52:$AF$52,1)*(Codes&lt;&gt;"")*Erste))&amp;"× unbekanntes Kürzel",""))</f>
      </c>
    </row>
    <row r="8" spans="1:38" x14ac:dyDescent="0.25">
      <c r="A8" s="33">
        <f>Mitarbeiter!$A$7&amp;""</f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5">
        <f>IF($A8="","",SUMPRODUCT(COUNTIFS(B8:AF8,Codes,$B$52:$AF$52,1)*(Arten="Arbeit")*Erste*NettoTage)+SUMPRODUCT(COUNTIFS(B8:AF8,Codes,$B$53:$AF$53,1)*((Arten="Urlaub")+(Arten="Krank")+(Arten="Bezahlt abwesend"))*Erste)*N(Mitarbeiter!$B$7)/5/24)</f>
      </c>
      <c r="AH8" s="35">
        <f>IF($A8="","",N(Mitarbeiter!$B$7)/5/24*SUM($B$53:$AF$53))</f>
      </c>
      <c r="AI8" s="36">
        <f>IF($A8="","",IF((AG8-AH8)&lt;0,"-","+")&amp;TEXT(ABS((AG8-AH8)),"[h]:mm"))</f>
      </c>
      <c r="AJ8" s="37">
        <f>IF($A8="","",SUMPRODUCT(COUNTIFS(B8:AF8,Codes,$B$53:$AF$53,1)*(Arten="Urlaub")*Erste))</f>
      </c>
      <c r="AK8" s="37">
        <f>IF($A8="","",SUMPRODUCT(COUNTIFS(B8:AF8,Codes,$B$53:$AF$53,1)*(Arten="Krank")*Erste))</f>
      </c>
      <c r="AL8" s="38">
        <f>IF($A8="","",IF(COUNTIF(B57:AF57,1)&gt;0,COUNTIF(B57:AF57,1)&amp;"× Ruhezeit unter 11 Std. (§ 5)","")&amp;IF((COUNTIFS(B8:AF8,"?*",$B$52:$AF$52,1)-SUMPRODUCT(COUNTIFS(B8:AF8,Codes,$B$52:$AF$52,1)*(Codes&lt;&gt;"")*Erste))&gt;0,IF(COUNTIF(B57:AF57,1)&gt;0,"; ","")&amp;(COUNTIFS(B8:AF8,"?*",$B$52:$AF$52,1)-SUMPRODUCT(COUNTIFS(B8:AF8,Codes,$B$52:$AF$52,1)*(Codes&lt;&gt;"")*Erste))&amp;"× unbekanntes Kürzel",""))</f>
      </c>
    </row>
    <row r="9" spans="1:38" x14ac:dyDescent="0.25">
      <c r="A9" s="33">
        <f>Mitarbeiter!$A$8&amp;""</f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5">
        <f>IF($A9="","",SUMPRODUCT(COUNTIFS(B9:AF9,Codes,$B$52:$AF$52,1)*(Arten="Arbeit")*Erste*NettoTage)+SUMPRODUCT(COUNTIFS(B9:AF9,Codes,$B$53:$AF$53,1)*((Arten="Urlaub")+(Arten="Krank")+(Arten="Bezahlt abwesend"))*Erste)*N(Mitarbeiter!$B$8)/5/24)</f>
      </c>
      <c r="AH9" s="35">
        <f>IF($A9="","",N(Mitarbeiter!$B$8)/5/24*SUM($B$53:$AF$53))</f>
      </c>
      <c r="AI9" s="36">
        <f>IF($A9="","",IF((AG9-AH9)&lt;0,"-","+")&amp;TEXT(ABS((AG9-AH9)),"[h]:mm"))</f>
      </c>
      <c r="AJ9" s="37">
        <f>IF($A9="","",SUMPRODUCT(COUNTIFS(B9:AF9,Codes,$B$53:$AF$53,1)*(Arten="Urlaub")*Erste))</f>
      </c>
      <c r="AK9" s="37">
        <f>IF($A9="","",SUMPRODUCT(COUNTIFS(B9:AF9,Codes,$B$53:$AF$53,1)*(Arten="Krank")*Erste))</f>
      </c>
      <c r="AL9" s="38">
        <f>IF($A9="","",IF(COUNTIF(B58:AF58,1)&gt;0,COUNTIF(B58:AF58,1)&amp;"× Ruhezeit unter 11 Std. (§ 5)","")&amp;IF((COUNTIFS(B9:AF9,"?*",$B$52:$AF$52,1)-SUMPRODUCT(COUNTIFS(B9:AF9,Codes,$B$52:$AF$52,1)*(Codes&lt;&gt;"")*Erste))&gt;0,IF(COUNTIF(B58:AF58,1)&gt;0,"; ","")&amp;(COUNTIFS(B9:AF9,"?*",$B$52:$AF$52,1)-SUMPRODUCT(COUNTIFS(B9:AF9,Codes,$B$52:$AF$52,1)*(Codes&lt;&gt;"")*Erste))&amp;"× unbekanntes Kürzel",""))</f>
      </c>
    </row>
    <row r="10" spans="1:38" x14ac:dyDescent="0.25">
      <c r="A10" s="33">
        <f>Mitarbeiter!$A$9&amp;""</f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5">
        <f>IF($A10="","",SUMPRODUCT(COUNTIFS(B10:AF10,Codes,$B$52:$AF$52,1)*(Arten="Arbeit")*Erste*NettoTage)+SUMPRODUCT(COUNTIFS(B10:AF10,Codes,$B$53:$AF$53,1)*((Arten="Urlaub")+(Arten="Krank")+(Arten="Bezahlt abwesend"))*Erste)*N(Mitarbeiter!$B$9)/5/24)</f>
      </c>
      <c r="AH10" s="35">
        <f>IF($A10="","",N(Mitarbeiter!$B$9)/5/24*SUM($B$53:$AF$53))</f>
      </c>
      <c r="AI10" s="36">
        <f>IF($A10="","",IF((AG10-AH10)&lt;0,"-","+")&amp;TEXT(ABS((AG10-AH10)),"[h]:mm"))</f>
      </c>
      <c r="AJ10" s="37">
        <f>IF($A10="","",SUMPRODUCT(COUNTIFS(B10:AF10,Codes,$B$53:$AF$53,1)*(Arten="Urlaub")*Erste))</f>
      </c>
      <c r="AK10" s="37">
        <f>IF($A10="","",SUMPRODUCT(COUNTIFS(B10:AF10,Codes,$B$53:$AF$53,1)*(Arten="Krank")*Erste))</f>
      </c>
      <c r="AL10" s="38">
        <f>IF($A10="","",IF(COUNTIF(B59:AF59,1)&gt;0,COUNTIF(B59:AF59,1)&amp;"× Ruhezeit unter 11 Std. (§ 5)","")&amp;IF((COUNTIFS(B10:AF10,"?*",$B$52:$AF$52,1)-SUMPRODUCT(COUNTIFS(B10:AF10,Codes,$B$52:$AF$52,1)*(Codes&lt;&gt;"")*Erste))&gt;0,IF(COUNTIF(B59:AF59,1)&gt;0,"; ","")&amp;(COUNTIFS(B10:AF10,"?*",$B$52:$AF$52,1)-SUMPRODUCT(COUNTIFS(B10:AF10,Codes,$B$52:$AF$52,1)*(Codes&lt;&gt;"")*Erste))&amp;"× unbekanntes Kürzel",""))</f>
      </c>
    </row>
    <row r="11" spans="1:38" x14ac:dyDescent="0.25">
      <c r="A11" s="33">
        <f>Mitarbeiter!$A$10&amp;""</f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5">
        <f>IF($A11="","",SUMPRODUCT(COUNTIFS(B11:AF11,Codes,$B$52:$AF$52,1)*(Arten="Arbeit")*Erste*NettoTage)+SUMPRODUCT(COUNTIFS(B11:AF11,Codes,$B$53:$AF$53,1)*((Arten="Urlaub")+(Arten="Krank")+(Arten="Bezahlt abwesend"))*Erste)*N(Mitarbeiter!$B$10)/5/24)</f>
      </c>
      <c r="AH11" s="35">
        <f>IF($A11="","",N(Mitarbeiter!$B$10)/5/24*SUM($B$53:$AF$53))</f>
      </c>
      <c r="AI11" s="36">
        <f>IF($A11="","",IF((AG11-AH11)&lt;0,"-","+")&amp;TEXT(ABS((AG11-AH11)),"[h]:mm"))</f>
      </c>
      <c r="AJ11" s="37">
        <f>IF($A11="","",SUMPRODUCT(COUNTIFS(B11:AF11,Codes,$B$53:$AF$53,1)*(Arten="Urlaub")*Erste))</f>
      </c>
      <c r="AK11" s="37">
        <f>IF($A11="","",SUMPRODUCT(COUNTIFS(B11:AF11,Codes,$B$53:$AF$53,1)*(Arten="Krank")*Erste))</f>
      </c>
      <c r="AL11" s="38">
        <f>IF($A11="","",IF(COUNTIF(B60:AF60,1)&gt;0,COUNTIF(B60:AF60,1)&amp;"× Ruhezeit unter 11 Std. (§ 5)","")&amp;IF((COUNTIFS(B11:AF11,"?*",$B$52:$AF$52,1)-SUMPRODUCT(COUNTIFS(B11:AF11,Codes,$B$52:$AF$52,1)*(Codes&lt;&gt;"")*Erste))&gt;0,IF(COUNTIF(B60:AF60,1)&gt;0,"; ","")&amp;(COUNTIFS(B11:AF11,"?*",$B$52:$AF$52,1)-SUMPRODUCT(COUNTIFS(B11:AF11,Codes,$B$52:$AF$52,1)*(Codes&lt;&gt;"")*Erste))&amp;"× unbekanntes Kürzel",""))</f>
      </c>
    </row>
    <row r="12" spans="1:38" x14ac:dyDescent="0.25">
      <c r="A12" s="33">
        <f>Mitarbeiter!$A$11&amp;""</f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5">
        <f>IF($A12="","",SUMPRODUCT(COUNTIFS(B12:AF12,Codes,$B$52:$AF$52,1)*(Arten="Arbeit")*Erste*NettoTage)+SUMPRODUCT(COUNTIFS(B12:AF12,Codes,$B$53:$AF$53,1)*((Arten="Urlaub")+(Arten="Krank")+(Arten="Bezahlt abwesend"))*Erste)*N(Mitarbeiter!$B$11)/5/24)</f>
      </c>
      <c r="AH12" s="35">
        <f>IF($A12="","",N(Mitarbeiter!$B$11)/5/24*SUM($B$53:$AF$53))</f>
      </c>
      <c r="AI12" s="36">
        <f>IF($A12="","",IF((AG12-AH12)&lt;0,"-","+")&amp;TEXT(ABS((AG12-AH12)),"[h]:mm"))</f>
      </c>
      <c r="AJ12" s="37">
        <f>IF($A12="","",SUMPRODUCT(COUNTIFS(B12:AF12,Codes,$B$53:$AF$53,1)*(Arten="Urlaub")*Erste))</f>
      </c>
      <c r="AK12" s="37">
        <f>IF($A12="","",SUMPRODUCT(COUNTIFS(B12:AF12,Codes,$B$53:$AF$53,1)*(Arten="Krank")*Erste))</f>
      </c>
      <c r="AL12" s="38">
        <f>IF($A12="","",IF(COUNTIF(B61:AF61,1)&gt;0,COUNTIF(B61:AF61,1)&amp;"× Ruhezeit unter 11 Std. (§ 5)","")&amp;IF((COUNTIFS(B12:AF12,"?*",$B$52:$AF$52,1)-SUMPRODUCT(COUNTIFS(B12:AF12,Codes,$B$52:$AF$52,1)*(Codes&lt;&gt;"")*Erste))&gt;0,IF(COUNTIF(B61:AF61,1)&gt;0,"; ","")&amp;(COUNTIFS(B12:AF12,"?*",$B$52:$AF$52,1)-SUMPRODUCT(COUNTIFS(B12:AF12,Codes,$B$52:$AF$52,1)*(Codes&lt;&gt;"")*Erste))&amp;"× unbekanntes Kürzel",""))</f>
      </c>
    </row>
    <row r="13" spans="1:38" x14ac:dyDescent="0.25">
      <c r="A13" s="33">
        <f>Mitarbeiter!$A$12&amp;""</f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5">
        <f>IF($A13="","",SUMPRODUCT(COUNTIFS(B13:AF13,Codes,$B$52:$AF$52,1)*(Arten="Arbeit")*Erste*NettoTage)+SUMPRODUCT(COUNTIFS(B13:AF13,Codes,$B$53:$AF$53,1)*((Arten="Urlaub")+(Arten="Krank")+(Arten="Bezahlt abwesend"))*Erste)*N(Mitarbeiter!$B$12)/5/24)</f>
      </c>
      <c r="AH13" s="35">
        <f>IF($A13="","",N(Mitarbeiter!$B$12)/5/24*SUM($B$53:$AF$53))</f>
      </c>
      <c r="AI13" s="36">
        <f>IF($A13="","",IF((AG13-AH13)&lt;0,"-","+")&amp;TEXT(ABS((AG13-AH13)),"[h]:mm"))</f>
      </c>
      <c r="AJ13" s="37">
        <f>IF($A13="","",SUMPRODUCT(COUNTIFS(B13:AF13,Codes,$B$53:$AF$53,1)*(Arten="Urlaub")*Erste))</f>
      </c>
      <c r="AK13" s="37">
        <f>IF($A13="","",SUMPRODUCT(COUNTIFS(B13:AF13,Codes,$B$53:$AF$53,1)*(Arten="Krank")*Erste))</f>
      </c>
      <c r="AL13" s="38">
        <f>IF($A13="","",IF(COUNTIF(B62:AF62,1)&gt;0,COUNTIF(B62:AF62,1)&amp;"× Ruhezeit unter 11 Std. (§ 5)","")&amp;IF((COUNTIFS(B13:AF13,"?*",$B$52:$AF$52,1)-SUMPRODUCT(COUNTIFS(B13:AF13,Codes,$B$52:$AF$52,1)*(Codes&lt;&gt;"")*Erste))&gt;0,IF(COUNTIF(B62:AF62,1)&gt;0,"; ","")&amp;(COUNTIFS(B13:AF13,"?*",$B$52:$AF$52,1)-SUMPRODUCT(COUNTIFS(B13:AF13,Codes,$B$52:$AF$52,1)*(Codes&lt;&gt;"")*Erste))&amp;"× unbekanntes Kürzel",""))</f>
      </c>
    </row>
    <row r="14" spans="1:38" x14ac:dyDescent="0.25">
      <c r="A14" s="33">
        <f>Mitarbeiter!$A$13&amp;""</f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5">
        <f>IF($A14="","",SUMPRODUCT(COUNTIFS(B14:AF14,Codes,$B$52:$AF$52,1)*(Arten="Arbeit")*Erste*NettoTage)+SUMPRODUCT(COUNTIFS(B14:AF14,Codes,$B$53:$AF$53,1)*((Arten="Urlaub")+(Arten="Krank")+(Arten="Bezahlt abwesend"))*Erste)*N(Mitarbeiter!$B$13)/5/24)</f>
      </c>
      <c r="AH14" s="35">
        <f>IF($A14="","",N(Mitarbeiter!$B$13)/5/24*SUM($B$53:$AF$53))</f>
      </c>
      <c r="AI14" s="36">
        <f>IF($A14="","",IF((AG14-AH14)&lt;0,"-","+")&amp;TEXT(ABS((AG14-AH14)),"[h]:mm"))</f>
      </c>
      <c r="AJ14" s="37">
        <f>IF($A14="","",SUMPRODUCT(COUNTIFS(B14:AF14,Codes,$B$53:$AF$53,1)*(Arten="Urlaub")*Erste))</f>
      </c>
      <c r="AK14" s="37">
        <f>IF($A14="","",SUMPRODUCT(COUNTIFS(B14:AF14,Codes,$B$53:$AF$53,1)*(Arten="Krank")*Erste))</f>
      </c>
      <c r="AL14" s="38">
        <f>IF($A14="","",IF(COUNTIF(B63:AF63,1)&gt;0,COUNTIF(B63:AF63,1)&amp;"× Ruhezeit unter 11 Std. (§ 5)","")&amp;IF((COUNTIFS(B14:AF14,"?*",$B$52:$AF$52,1)-SUMPRODUCT(COUNTIFS(B14:AF14,Codes,$B$52:$AF$52,1)*(Codes&lt;&gt;"")*Erste))&gt;0,IF(COUNTIF(B63:AF63,1)&gt;0,"; ","")&amp;(COUNTIFS(B14:AF14,"?*",$B$52:$AF$52,1)-SUMPRODUCT(COUNTIFS(B14:AF14,Codes,$B$52:$AF$52,1)*(Codes&lt;&gt;"")*Erste))&amp;"× unbekanntes Kürzel",""))</f>
      </c>
    </row>
    <row r="15" spans="1:38" x14ac:dyDescent="0.25">
      <c r="A15" s="33">
        <f>Mitarbeiter!$A$14&amp;""</f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5">
        <f>IF($A15="","",SUMPRODUCT(COUNTIFS(B15:AF15,Codes,$B$52:$AF$52,1)*(Arten="Arbeit")*Erste*NettoTage)+SUMPRODUCT(COUNTIFS(B15:AF15,Codes,$B$53:$AF$53,1)*((Arten="Urlaub")+(Arten="Krank")+(Arten="Bezahlt abwesend"))*Erste)*N(Mitarbeiter!$B$14)/5/24)</f>
      </c>
      <c r="AH15" s="35">
        <f>IF($A15="","",N(Mitarbeiter!$B$14)/5/24*SUM($B$53:$AF$53))</f>
      </c>
      <c r="AI15" s="36">
        <f>IF($A15="","",IF((AG15-AH15)&lt;0,"-","+")&amp;TEXT(ABS((AG15-AH15)),"[h]:mm"))</f>
      </c>
      <c r="AJ15" s="37">
        <f>IF($A15="","",SUMPRODUCT(COUNTIFS(B15:AF15,Codes,$B$53:$AF$53,1)*(Arten="Urlaub")*Erste))</f>
      </c>
      <c r="AK15" s="37">
        <f>IF($A15="","",SUMPRODUCT(COUNTIFS(B15:AF15,Codes,$B$53:$AF$53,1)*(Arten="Krank")*Erste))</f>
      </c>
      <c r="AL15" s="38">
        <f>IF($A15="","",IF(COUNTIF(B64:AF64,1)&gt;0,COUNTIF(B64:AF64,1)&amp;"× Ruhezeit unter 11 Std. (§ 5)","")&amp;IF((COUNTIFS(B15:AF15,"?*",$B$52:$AF$52,1)-SUMPRODUCT(COUNTIFS(B15:AF15,Codes,$B$52:$AF$52,1)*(Codes&lt;&gt;"")*Erste))&gt;0,IF(COUNTIF(B64:AF64,1)&gt;0,"; ","")&amp;(COUNTIFS(B15:AF15,"?*",$B$52:$AF$52,1)-SUMPRODUCT(COUNTIFS(B15:AF15,Codes,$B$52:$AF$52,1)*(Codes&lt;&gt;"")*Erste))&amp;"× unbekanntes Kürzel",""))</f>
      </c>
    </row>
    <row r="16" spans="1:38" x14ac:dyDescent="0.25">
      <c r="A16" s="33">
        <f>Mitarbeiter!$A$15&amp;""</f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5">
        <f>IF($A16="","",SUMPRODUCT(COUNTIFS(B16:AF16,Codes,$B$52:$AF$52,1)*(Arten="Arbeit")*Erste*NettoTage)+SUMPRODUCT(COUNTIFS(B16:AF16,Codes,$B$53:$AF$53,1)*((Arten="Urlaub")+(Arten="Krank")+(Arten="Bezahlt abwesend"))*Erste)*N(Mitarbeiter!$B$15)/5/24)</f>
      </c>
      <c r="AH16" s="35">
        <f>IF($A16="","",N(Mitarbeiter!$B$15)/5/24*SUM($B$53:$AF$53))</f>
      </c>
      <c r="AI16" s="36">
        <f>IF($A16="","",IF((AG16-AH16)&lt;0,"-","+")&amp;TEXT(ABS((AG16-AH16)),"[h]:mm"))</f>
      </c>
      <c r="AJ16" s="37">
        <f>IF($A16="","",SUMPRODUCT(COUNTIFS(B16:AF16,Codes,$B$53:$AF$53,1)*(Arten="Urlaub")*Erste))</f>
      </c>
      <c r="AK16" s="37">
        <f>IF($A16="","",SUMPRODUCT(COUNTIFS(B16:AF16,Codes,$B$53:$AF$53,1)*(Arten="Krank")*Erste))</f>
      </c>
      <c r="AL16" s="38">
        <f>IF($A16="","",IF(COUNTIF(B65:AF65,1)&gt;0,COUNTIF(B65:AF65,1)&amp;"× Ruhezeit unter 11 Std. (§ 5)","")&amp;IF((COUNTIFS(B16:AF16,"?*",$B$52:$AF$52,1)-SUMPRODUCT(COUNTIFS(B16:AF16,Codes,$B$52:$AF$52,1)*(Codes&lt;&gt;"")*Erste))&gt;0,IF(COUNTIF(B65:AF65,1)&gt;0,"; ","")&amp;(COUNTIFS(B16:AF16,"?*",$B$52:$AF$52,1)-SUMPRODUCT(COUNTIFS(B16:AF16,Codes,$B$52:$AF$52,1)*(Codes&lt;&gt;"")*Erste))&amp;"× unbekanntes Kürzel",""))</f>
      </c>
    </row>
    <row r="17" spans="1:38" x14ac:dyDescent="0.25">
      <c r="A17" s="33">
        <f>Mitarbeiter!$A$16&amp;""</f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5">
        <f>IF($A17="","",SUMPRODUCT(COUNTIFS(B17:AF17,Codes,$B$52:$AF$52,1)*(Arten="Arbeit")*Erste*NettoTage)+SUMPRODUCT(COUNTIFS(B17:AF17,Codes,$B$53:$AF$53,1)*((Arten="Urlaub")+(Arten="Krank")+(Arten="Bezahlt abwesend"))*Erste)*N(Mitarbeiter!$B$16)/5/24)</f>
      </c>
      <c r="AH17" s="35">
        <f>IF($A17="","",N(Mitarbeiter!$B$16)/5/24*SUM($B$53:$AF$53))</f>
      </c>
      <c r="AI17" s="36">
        <f>IF($A17="","",IF((AG17-AH17)&lt;0,"-","+")&amp;TEXT(ABS((AG17-AH17)),"[h]:mm"))</f>
      </c>
      <c r="AJ17" s="37">
        <f>IF($A17="","",SUMPRODUCT(COUNTIFS(B17:AF17,Codes,$B$53:$AF$53,1)*(Arten="Urlaub")*Erste))</f>
      </c>
      <c r="AK17" s="37">
        <f>IF($A17="","",SUMPRODUCT(COUNTIFS(B17:AF17,Codes,$B$53:$AF$53,1)*(Arten="Krank")*Erste))</f>
      </c>
      <c r="AL17" s="38">
        <f>IF($A17="","",IF(COUNTIF(B66:AF66,1)&gt;0,COUNTIF(B66:AF66,1)&amp;"× Ruhezeit unter 11 Std. (§ 5)","")&amp;IF((COUNTIFS(B17:AF17,"?*",$B$52:$AF$52,1)-SUMPRODUCT(COUNTIFS(B17:AF17,Codes,$B$52:$AF$52,1)*(Codes&lt;&gt;"")*Erste))&gt;0,IF(COUNTIF(B66:AF66,1)&gt;0,"; ","")&amp;(COUNTIFS(B17:AF17,"?*",$B$52:$AF$52,1)-SUMPRODUCT(COUNTIFS(B17:AF17,Codes,$B$52:$AF$52,1)*(Codes&lt;&gt;"")*Erste))&amp;"× unbekanntes Kürzel",""))</f>
      </c>
    </row>
    <row r="18" spans="1:38" x14ac:dyDescent="0.25">
      <c r="A18" s="33">
        <f>Mitarbeiter!$A$17&amp;""</f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5">
        <f>IF($A18="","",SUMPRODUCT(COUNTIFS(B18:AF18,Codes,$B$52:$AF$52,1)*(Arten="Arbeit")*Erste*NettoTage)+SUMPRODUCT(COUNTIFS(B18:AF18,Codes,$B$53:$AF$53,1)*((Arten="Urlaub")+(Arten="Krank")+(Arten="Bezahlt abwesend"))*Erste)*N(Mitarbeiter!$B$17)/5/24)</f>
      </c>
      <c r="AH18" s="35">
        <f>IF($A18="","",N(Mitarbeiter!$B$17)/5/24*SUM($B$53:$AF$53))</f>
      </c>
      <c r="AI18" s="36">
        <f>IF($A18="","",IF((AG18-AH18)&lt;0,"-","+")&amp;TEXT(ABS((AG18-AH18)),"[h]:mm"))</f>
      </c>
      <c r="AJ18" s="37">
        <f>IF($A18="","",SUMPRODUCT(COUNTIFS(B18:AF18,Codes,$B$53:$AF$53,1)*(Arten="Urlaub")*Erste))</f>
      </c>
      <c r="AK18" s="37">
        <f>IF($A18="","",SUMPRODUCT(COUNTIFS(B18:AF18,Codes,$B$53:$AF$53,1)*(Arten="Krank")*Erste))</f>
      </c>
      <c r="AL18" s="38">
        <f>IF($A18="","",IF(COUNTIF(B67:AF67,1)&gt;0,COUNTIF(B67:AF67,1)&amp;"× Ruhezeit unter 11 Std. (§ 5)","")&amp;IF((COUNTIFS(B18:AF18,"?*",$B$52:$AF$52,1)-SUMPRODUCT(COUNTIFS(B18:AF18,Codes,$B$52:$AF$52,1)*(Codes&lt;&gt;"")*Erste))&gt;0,IF(COUNTIF(B67:AF67,1)&gt;0,"; ","")&amp;(COUNTIFS(B18:AF18,"?*",$B$52:$AF$52,1)-SUMPRODUCT(COUNTIFS(B18:AF18,Codes,$B$52:$AF$52,1)*(Codes&lt;&gt;"")*Erste))&amp;"× unbekanntes Kürzel",""))</f>
      </c>
    </row>
    <row r="19" spans="1:38" x14ac:dyDescent="0.25">
      <c r="A19" s="33">
        <f>Mitarbeiter!$A$18&amp;""</f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5">
        <f>IF($A19="","",SUMPRODUCT(COUNTIFS(B19:AF19,Codes,$B$52:$AF$52,1)*(Arten="Arbeit")*Erste*NettoTage)+SUMPRODUCT(COUNTIFS(B19:AF19,Codes,$B$53:$AF$53,1)*((Arten="Urlaub")+(Arten="Krank")+(Arten="Bezahlt abwesend"))*Erste)*N(Mitarbeiter!$B$18)/5/24)</f>
      </c>
      <c r="AH19" s="35">
        <f>IF($A19="","",N(Mitarbeiter!$B$18)/5/24*SUM($B$53:$AF$53))</f>
      </c>
      <c r="AI19" s="36">
        <f>IF($A19="","",IF((AG19-AH19)&lt;0,"-","+")&amp;TEXT(ABS((AG19-AH19)),"[h]:mm"))</f>
      </c>
      <c r="AJ19" s="37">
        <f>IF($A19="","",SUMPRODUCT(COUNTIFS(B19:AF19,Codes,$B$53:$AF$53,1)*(Arten="Urlaub")*Erste))</f>
      </c>
      <c r="AK19" s="37">
        <f>IF($A19="","",SUMPRODUCT(COUNTIFS(B19:AF19,Codes,$B$53:$AF$53,1)*(Arten="Krank")*Erste))</f>
      </c>
      <c r="AL19" s="38">
        <f>IF($A19="","",IF(COUNTIF(B68:AF68,1)&gt;0,COUNTIF(B68:AF68,1)&amp;"× Ruhezeit unter 11 Std. (§ 5)","")&amp;IF((COUNTIFS(B19:AF19,"?*",$B$52:$AF$52,1)-SUMPRODUCT(COUNTIFS(B19:AF19,Codes,$B$52:$AF$52,1)*(Codes&lt;&gt;"")*Erste))&gt;0,IF(COUNTIF(B68:AF68,1)&gt;0,"; ","")&amp;(COUNTIFS(B19:AF19,"?*",$B$52:$AF$52,1)-SUMPRODUCT(COUNTIFS(B19:AF19,Codes,$B$52:$AF$52,1)*(Codes&lt;&gt;"")*Erste))&amp;"× unbekanntes Kürzel",""))</f>
      </c>
    </row>
    <row r="20" spans="1:38" x14ac:dyDescent="0.25">
      <c r="A20" s="33">
        <f>Mitarbeiter!$A$19&amp;""</f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5">
        <f>IF($A20="","",SUMPRODUCT(COUNTIFS(B20:AF20,Codes,$B$52:$AF$52,1)*(Arten="Arbeit")*Erste*NettoTage)+SUMPRODUCT(COUNTIFS(B20:AF20,Codes,$B$53:$AF$53,1)*((Arten="Urlaub")+(Arten="Krank")+(Arten="Bezahlt abwesend"))*Erste)*N(Mitarbeiter!$B$19)/5/24)</f>
      </c>
      <c r="AH20" s="35">
        <f>IF($A20="","",N(Mitarbeiter!$B$19)/5/24*SUM($B$53:$AF$53))</f>
      </c>
      <c r="AI20" s="36">
        <f>IF($A20="","",IF((AG20-AH20)&lt;0,"-","+")&amp;TEXT(ABS((AG20-AH20)),"[h]:mm"))</f>
      </c>
      <c r="AJ20" s="37">
        <f>IF($A20="","",SUMPRODUCT(COUNTIFS(B20:AF20,Codes,$B$53:$AF$53,1)*(Arten="Urlaub")*Erste))</f>
      </c>
      <c r="AK20" s="37">
        <f>IF($A20="","",SUMPRODUCT(COUNTIFS(B20:AF20,Codes,$B$53:$AF$53,1)*(Arten="Krank")*Erste))</f>
      </c>
      <c r="AL20" s="38">
        <f>IF($A20="","",IF(COUNTIF(B69:AF69,1)&gt;0,COUNTIF(B69:AF69,1)&amp;"× Ruhezeit unter 11 Std. (§ 5)","")&amp;IF((COUNTIFS(B20:AF20,"?*",$B$52:$AF$52,1)-SUMPRODUCT(COUNTIFS(B20:AF20,Codes,$B$52:$AF$52,1)*(Codes&lt;&gt;"")*Erste))&gt;0,IF(COUNTIF(B69:AF69,1)&gt;0,"; ","")&amp;(COUNTIFS(B20:AF20,"?*",$B$52:$AF$52,1)-SUMPRODUCT(COUNTIFS(B20:AF20,Codes,$B$52:$AF$52,1)*(Codes&lt;&gt;"")*Erste))&amp;"× unbekanntes Kürzel",""))</f>
      </c>
    </row>
    <row r="21" spans="1:38" x14ac:dyDescent="0.25">
      <c r="A21" s="33">
        <f>Mitarbeiter!$A$20&amp;""</f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5">
        <f>IF($A21="","",SUMPRODUCT(COUNTIFS(B21:AF21,Codes,$B$52:$AF$52,1)*(Arten="Arbeit")*Erste*NettoTage)+SUMPRODUCT(COUNTIFS(B21:AF21,Codes,$B$53:$AF$53,1)*((Arten="Urlaub")+(Arten="Krank")+(Arten="Bezahlt abwesend"))*Erste)*N(Mitarbeiter!$B$20)/5/24)</f>
      </c>
      <c r="AH21" s="35">
        <f>IF($A21="","",N(Mitarbeiter!$B$20)/5/24*SUM($B$53:$AF$53))</f>
      </c>
      <c r="AI21" s="36">
        <f>IF($A21="","",IF((AG21-AH21)&lt;0,"-","+")&amp;TEXT(ABS((AG21-AH21)),"[h]:mm"))</f>
      </c>
      <c r="AJ21" s="37">
        <f>IF($A21="","",SUMPRODUCT(COUNTIFS(B21:AF21,Codes,$B$53:$AF$53,1)*(Arten="Urlaub")*Erste))</f>
      </c>
      <c r="AK21" s="37">
        <f>IF($A21="","",SUMPRODUCT(COUNTIFS(B21:AF21,Codes,$B$53:$AF$53,1)*(Arten="Krank")*Erste))</f>
      </c>
      <c r="AL21" s="38">
        <f>IF($A21="","",IF(COUNTIF(B70:AF70,1)&gt;0,COUNTIF(B70:AF70,1)&amp;"× Ruhezeit unter 11 Std. (§ 5)","")&amp;IF((COUNTIFS(B21:AF21,"?*",$B$52:$AF$52,1)-SUMPRODUCT(COUNTIFS(B21:AF21,Codes,$B$52:$AF$52,1)*(Codes&lt;&gt;"")*Erste))&gt;0,IF(COUNTIF(B70:AF70,1)&gt;0,"; ","")&amp;(COUNTIFS(B21:AF21,"?*",$B$52:$AF$52,1)-SUMPRODUCT(COUNTIFS(B21:AF21,Codes,$B$52:$AF$52,1)*(Codes&lt;&gt;"")*Erste))&amp;"× unbekanntes Kürzel",""))</f>
      </c>
    </row>
    <row r="22" spans="1:38" x14ac:dyDescent="0.25">
      <c r="A22" s="33">
        <f>Mitarbeiter!$A$21&amp;""</f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5">
        <f>IF($A22="","",SUMPRODUCT(COUNTIFS(B22:AF22,Codes,$B$52:$AF$52,1)*(Arten="Arbeit")*Erste*NettoTage)+SUMPRODUCT(COUNTIFS(B22:AF22,Codes,$B$53:$AF$53,1)*((Arten="Urlaub")+(Arten="Krank")+(Arten="Bezahlt abwesend"))*Erste)*N(Mitarbeiter!$B$21)/5/24)</f>
      </c>
      <c r="AH22" s="35">
        <f>IF($A22="","",N(Mitarbeiter!$B$21)/5/24*SUM($B$53:$AF$53))</f>
      </c>
      <c r="AI22" s="36">
        <f>IF($A22="","",IF((AG22-AH22)&lt;0,"-","+")&amp;TEXT(ABS((AG22-AH22)),"[h]:mm"))</f>
      </c>
      <c r="AJ22" s="37">
        <f>IF($A22="","",SUMPRODUCT(COUNTIFS(B22:AF22,Codes,$B$53:$AF$53,1)*(Arten="Urlaub")*Erste))</f>
      </c>
      <c r="AK22" s="37">
        <f>IF($A22="","",SUMPRODUCT(COUNTIFS(B22:AF22,Codes,$B$53:$AF$53,1)*(Arten="Krank")*Erste))</f>
      </c>
      <c r="AL22" s="38">
        <f>IF($A22="","",IF(COUNTIF(B71:AF71,1)&gt;0,COUNTIF(B71:AF71,1)&amp;"× Ruhezeit unter 11 Std. (§ 5)","")&amp;IF((COUNTIFS(B22:AF22,"?*",$B$52:$AF$52,1)-SUMPRODUCT(COUNTIFS(B22:AF22,Codes,$B$52:$AF$52,1)*(Codes&lt;&gt;"")*Erste))&gt;0,IF(COUNTIF(B71:AF71,1)&gt;0,"; ","")&amp;(COUNTIFS(B22:AF22,"?*",$B$52:$AF$52,1)-SUMPRODUCT(COUNTIFS(B22:AF22,Codes,$B$52:$AF$52,1)*(Codes&lt;&gt;"")*Erste))&amp;"× unbekanntes Kürzel",""))</f>
      </c>
    </row>
    <row r="23" spans="1:38" x14ac:dyDescent="0.25">
      <c r="A23" s="33">
        <f>Mitarbeiter!$A$22&amp;""</f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5">
        <f>IF($A23="","",SUMPRODUCT(COUNTIFS(B23:AF23,Codes,$B$52:$AF$52,1)*(Arten="Arbeit")*Erste*NettoTage)+SUMPRODUCT(COUNTIFS(B23:AF23,Codes,$B$53:$AF$53,1)*((Arten="Urlaub")+(Arten="Krank")+(Arten="Bezahlt abwesend"))*Erste)*N(Mitarbeiter!$B$22)/5/24)</f>
      </c>
      <c r="AH23" s="35">
        <f>IF($A23="","",N(Mitarbeiter!$B$22)/5/24*SUM($B$53:$AF$53))</f>
      </c>
      <c r="AI23" s="36">
        <f>IF($A23="","",IF((AG23-AH23)&lt;0,"-","+")&amp;TEXT(ABS((AG23-AH23)),"[h]:mm"))</f>
      </c>
      <c r="AJ23" s="37">
        <f>IF($A23="","",SUMPRODUCT(COUNTIFS(B23:AF23,Codes,$B$53:$AF$53,1)*(Arten="Urlaub")*Erste))</f>
      </c>
      <c r="AK23" s="37">
        <f>IF($A23="","",SUMPRODUCT(COUNTIFS(B23:AF23,Codes,$B$53:$AF$53,1)*(Arten="Krank")*Erste))</f>
      </c>
      <c r="AL23" s="38">
        <f>IF($A23="","",IF(COUNTIF(B72:AF72,1)&gt;0,COUNTIF(B72:AF72,1)&amp;"× Ruhezeit unter 11 Std. (§ 5)","")&amp;IF((COUNTIFS(B23:AF23,"?*",$B$52:$AF$52,1)-SUMPRODUCT(COUNTIFS(B23:AF23,Codes,$B$52:$AF$52,1)*(Codes&lt;&gt;"")*Erste))&gt;0,IF(COUNTIF(B72:AF72,1)&gt;0,"; ","")&amp;(COUNTIFS(B23:AF23,"?*",$B$52:$AF$52,1)-SUMPRODUCT(COUNTIFS(B23:AF23,Codes,$B$52:$AF$52,1)*(Codes&lt;&gt;"")*Erste))&amp;"× unbekanntes Kürzel",""))</f>
      </c>
    </row>
    <row r="24" spans="1:38" x14ac:dyDescent="0.25">
      <c r="A24" s="33">
        <f>Mitarbeiter!$A$23&amp;""</f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5">
        <f>IF($A24="","",SUMPRODUCT(COUNTIFS(B24:AF24,Codes,$B$52:$AF$52,1)*(Arten="Arbeit")*Erste*NettoTage)+SUMPRODUCT(COUNTIFS(B24:AF24,Codes,$B$53:$AF$53,1)*((Arten="Urlaub")+(Arten="Krank")+(Arten="Bezahlt abwesend"))*Erste)*N(Mitarbeiter!$B$23)/5/24)</f>
      </c>
      <c r="AH24" s="35">
        <f>IF($A24="","",N(Mitarbeiter!$B$23)/5/24*SUM($B$53:$AF$53))</f>
      </c>
      <c r="AI24" s="36">
        <f>IF($A24="","",IF((AG24-AH24)&lt;0,"-","+")&amp;TEXT(ABS((AG24-AH24)),"[h]:mm"))</f>
      </c>
      <c r="AJ24" s="37">
        <f>IF($A24="","",SUMPRODUCT(COUNTIFS(B24:AF24,Codes,$B$53:$AF$53,1)*(Arten="Urlaub")*Erste))</f>
      </c>
      <c r="AK24" s="37">
        <f>IF($A24="","",SUMPRODUCT(COUNTIFS(B24:AF24,Codes,$B$53:$AF$53,1)*(Arten="Krank")*Erste))</f>
      </c>
      <c r="AL24" s="38">
        <f>IF($A24="","",IF(COUNTIF(B73:AF73,1)&gt;0,COUNTIF(B73:AF73,1)&amp;"× Ruhezeit unter 11 Std. (§ 5)","")&amp;IF((COUNTIFS(B24:AF24,"?*",$B$52:$AF$52,1)-SUMPRODUCT(COUNTIFS(B24:AF24,Codes,$B$52:$AF$52,1)*(Codes&lt;&gt;"")*Erste))&gt;0,IF(COUNTIF(B73:AF73,1)&gt;0,"; ","")&amp;(COUNTIFS(B24:AF24,"?*",$B$52:$AF$52,1)-SUMPRODUCT(COUNTIFS(B24:AF24,Codes,$B$52:$AF$52,1)*(Codes&lt;&gt;"")*Erste))&amp;"× unbekanntes Kürzel",""))</f>
      </c>
    </row>
    <row r="25" spans="1:38" x14ac:dyDescent="0.25">
      <c r="A25" s="33">
        <f>Mitarbeiter!$A$24&amp;""</f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5">
        <f>IF($A25="","",SUMPRODUCT(COUNTIFS(B25:AF25,Codes,$B$52:$AF$52,1)*(Arten="Arbeit")*Erste*NettoTage)+SUMPRODUCT(COUNTIFS(B25:AF25,Codes,$B$53:$AF$53,1)*((Arten="Urlaub")+(Arten="Krank")+(Arten="Bezahlt abwesend"))*Erste)*N(Mitarbeiter!$B$24)/5/24)</f>
      </c>
      <c r="AH25" s="35">
        <f>IF($A25="","",N(Mitarbeiter!$B$24)/5/24*SUM($B$53:$AF$53))</f>
      </c>
      <c r="AI25" s="36">
        <f>IF($A25="","",IF((AG25-AH25)&lt;0,"-","+")&amp;TEXT(ABS((AG25-AH25)),"[h]:mm"))</f>
      </c>
      <c r="AJ25" s="37">
        <f>IF($A25="","",SUMPRODUCT(COUNTIFS(B25:AF25,Codes,$B$53:$AF$53,1)*(Arten="Urlaub")*Erste))</f>
      </c>
      <c r="AK25" s="37">
        <f>IF($A25="","",SUMPRODUCT(COUNTIFS(B25:AF25,Codes,$B$53:$AF$53,1)*(Arten="Krank")*Erste))</f>
      </c>
      <c r="AL25" s="38">
        <f>IF($A25="","",IF(COUNTIF(B74:AF74,1)&gt;0,COUNTIF(B74:AF74,1)&amp;"× Ruhezeit unter 11 Std. (§ 5)","")&amp;IF((COUNTIFS(B25:AF25,"?*",$B$52:$AF$52,1)-SUMPRODUCT(COUNTIFS(B25:AF25,Codes,$B$52:$AF$52,1)*(Codes&lt;&gt;"")*Erste))&gt;0,IF(COUNTIF(B74:AF74,1)&gt;0,"; ","")&amp;(COUNTIFS(B25:AF25,"?*",$B$52:$AF$52,1)-SUMPRODUCT(COUNTIFS(B25:AF25,Codes,$B$52:$AF$52,1)*(Codes&lt;&gt;"")*Erste))&amp;"× unbekanntes Kürzel",""))</f>
      </c>
    </row>
    <row r="26" spans="1:38" x14ac:dyDescent="0.25">
      <c r="A26" s="33">
        <f>Mitarbeiter!$A$25&amp;""</f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5">
        <f>IF($A26="","",SUMPRODUCT(COUNTIFS(B26:AF26,Codes,$B$52:$AF$52,1)*(Arten="Arbeit")*Erste*NettoTage)+SUMPRODUCT(COUNTIFS(B26:AF26,Codes,$B$53:$AF$53,1)*((Arten="Urlaub")+(Arten="Krank")+(Arten="Bezahlt abwesend"))*Erste)*N(Mitarbeiter!$B$25)/5/24)</f>
      </c>
      <c r="AH26" s="35">
        <f>IF($A26="","",N(Mitarbeiter!$B$25)/5/24*SUM($B$53:$AF$53))</f>
      </c>
      <c r="AI26" s="36">
        <f>IF($A26="","",IF((AG26-AH26)&lt;0,"-","+")&amp;TEXT(ABS((AG26-AH26)),"[h]:mm"))</f>
      </c>
      <c r="AJ26" s="37">
        <f>IF($A26="","",SUMPRODUCT(COUNTIFS(B26:AF26,Codes,$B$53:$AF$53,1)*(Arten="Urlaub")*Erste))</f>
      </c>
      <c r="AK26" s="37">
        <f>IF($A26="","",SUMPRODUCT(COUNTIFS(B26:AF26,Codes,$B$53:$AF$53,1)*(Arten="Krank")*Erste))</f>
      </c>
      <c r="AL26" s="38">
        <f>IF($A26="","",IF(COUNTIF(B75:AF75,1)&gt;0,COUNTIF(B75:AF75,1)&amp;"× Ruhezeit unter 11 Std. (§ 5)","")&amp;IF((COUNTIFS(B26:AF26,"?*",$B$52:$AF$52,1)-SUMPRODUCT(COUNTIFS(B26:AF26,Codes,$B$52:$AF$52,1)*(Codes&lt;&gt;"")*Erste))&gt;0,IF(COUNTIF(B75:AF75,1)&gt;0,"; ","")&amp;(COUNTIFS(B26:AF26,"?*",$B$52:$AF$52,1)-SUMPRODUCT(COUNTIFS(B26:AF26,Codes,$B$52:$AF$52,1)*(Codes&lt;&gt;"")*Erste))&amp;"× unbekanntes Kürzel",""))</f>
      </c>
    </row>
    <row r="27" spans="1:38" x14ac:dyDescent="0.25">
      <c r="A27" s="33">
        <f>Mitarbeiter!$A$26&amp;""</f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5">
        <f>IF($A27="","",SUMPRODUCT(COUNTIFS(B27:AF27,Codes,$B$52:$AF$52,1)*(Arten="Arbeit")*Erste*NettoTage)+SUMPRODUCT(COUNTIFS(B27:AF27,Codes,$B$53:$AF$53,1)*((Arten="Urlaub")+(Arten="Krank")+(Arten="Bezahlt abwesend"))*Erste)*N(Mitarbeiter!$B$26)/5/24)</f>
      </c>
      <c r="AH27" s="35">
        <f>IF($A27="","",N(Mitarbeiter!$B$26)/5/24*SUM($B$53:$AF$53))</f>
      </c>
      <c r="AI27" s="36">
        <f>IF($A27="","",IF((AG27-AH27)&lt;0,"-","+")&amp;TEXT(ABS((AG27-AH27)),"[h]:mm"))</f>
      </c>
      <c r="AJ27" s="37">
        <f>IF($A27="","",SUMPRODUCT(COUNTIFS(B27:AF27,Codes,$B$53:$AF$53,1)*(Arten="Urlaub")*Erste))</f>
      </c>
      <c r="AK27" s="37">
        <f>IF($A27="","",SUMPRODUCT(COUNTIFS(B27:AF27,Codes,$B$53:$AF$53,1)*(Arten="Krank")*Erste))</f>
      </c>
      <c r="AL27" s="38">
        <f>IF($A27="","",IF(COUNTIF(B76:AF76,1)&gt;0,COUNTIF(B76:AF76,1)&amp;"× Ruhezeit unter 11 Std. (§ 5)","")&amp;IF((COUNTIFS(B27:AF27,"?*",$B$52:$AF$52,1)-SUMPRODUCT(COUNTIFS(B27:AF27,Codes,$B$52:$AF$52,1)*(Codes&lt;&gt;"")*Erste))&gt;0,IF(COUNTIF(B76:AF76,1)&gt;0,"; ","")&amp;(COUNTIFS(B27:AF27,"?*",$B$52:$AF$52,1)-SUMPRODUCT(COUNTIFS(B27:AF27,Codes,$B$52:$AF$52,1)*(Codes&lt;&gt;"")*Erste))&amp;"× unbekanntes Kürzel",""))</f>
      </c>
    </row>
    <row r="28" spans="1:38" x14ac:dyDescent="0.25">
      <c r="A28" s="33">
        <f>Mitarbeiter!$A$27&amp;""</f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5">
        <f>IF($A28="","",SUMPRODUCT(COUNTIFS(B28:AF28,Codes,$B$52:$AF$52,1)*(Arten="Arbeit")*Erste*NettoTage)+SUMPRODUCT(COUNTIFS(B28:AF28,Codes,$B$53:$AF$53,1)*((Arten="Urlaub")+(Arten="Krank")+(Arten="Bezahlt abwesend"))*Erste)*N(Mitarbeiter!$B$27)/5/24)</f>
      </c>
      <c r="AH28" s="35">
        <f>IF($A28="","",N(Mitarbeiter!$B$27)/5/24*SUM($B$53:$AF$53))</f>
      </c>
      <c r="AI28" s="36">
        <f>IF($A28="","",IF((AG28-AH28)&lt;0,"-","+")&amp;TEXT(ABS((AG28-AH28)),"[h]:mm"))</f>
      </c>
      <c r="AJ28" s="37">
        <f>IF($A28="","",SUMPRODUCT(COUNTIFS(B28:AF28,Codes,$B$53:$AF$53,1)*(Arten="Urlaub")*Erste))</f>
      </c>
      <c r="AK28" s="37">
        <f>IF($A28="","",SUMPRODUCT(COUNTIFS(B28:AF28,Codes,$B$53:$AF$53,1)*(Arten="Krank")*Erste))</f>
      </c>
      <c r="AL28" s="38">
        <f>IF($A28="","",IF(COUNTIF(B77:AF77,1)&gt;0,COUNTIF(B77:AF77,1)&amp;"× Ruhezeit unter 11 Std. (§ 5)","")&amp;IF((COUNTIFS(B28:AF28,"?*",$B$52:$AF$52,1)-SUMPRODUCT(COUNTIFS(B28:AF28,Codes,$B$52:$AF$52,1)*(Codes&lt;&gt;"")*Erste))&gt;0,IF(COUNTIF(B77:AF77,1)&gt;0,"; ","")&amp;(COUNTIFS(B28:AF28,"?*",$B$52:$AF$52,1)-SUMPRODUCT(COUNTIFS(B28:AF28,Codes,$B$52:$AF$52,1)*(Codes&lt;&gt;"")*Erste))&amp;"× unbekanntes Kürzel",""))</f>
      </c>
    </row>
    <row r="29" spans="1:38" x14ac:dyDescent="0.25">
      <c r="A29" s="33">
        <f>Mitarbeiter!$A$28&amp;""</f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5">
        <f>IF($A29="","",SUMPRODUCT(COUNTIFS(B29:AF29,Codes,$B$52:$AF$52,1)*(Arten="Arbeit")*Erste*NettoTage)+SUMPRODUCT(COUNTIFS(B29:AF29,Codes,$B$53:$AF$53,1)*((Arten="Urlaub")+(Arten="Krank")+(Arten="Bezahlt abwesend"))*Erste)*N(Mitarbeiter!$B$28)/5/24)</f>
      </c>
      <c r="AH29" s="35">
        <f>IF($A29="","",N(Mitarbeiter!$B$28)/5/24*SUM($B$53:$AF$53))</f>
      </c>
      <c r="AI29" s="36">
        <f>IF($A29="","",IF((AG29-AH29)&lt;0,"-","+")&amp;TEXT(ABS((AG29-AH29)),"[h]:mm"))</f>
      </c>
      <c r="AJ29" s="37">
        <f>IF($A29="","",SUMPRODUCT(COUNTIFS(B29:AF29,Codes,$B$53:$AF$53,1)*(Arten="Urlaub")*Erste))</f>
      </c>
      <c r="AK29" s="37">
        <f>IF($A29="","",SUMPRODUCT(COUNTIFS(B29:AF29,Codes,$B$53:$AF$53,1)*(Arten="Krank")*Erste))</f>
      </c>
      <c r="AL29" s="38">
        <f>IF($A29="","",IF(COUNTIF(B78:AF78,1)&gt;0,COUNTIF(B78:AF78,1)&amp;"× Ruhezeit unter 11 Std. (§ 5)","")&amp;IF((COUNTIFS(B29:AF29,"?*",$B$52:$AF$52,1)-SUMPRODUCT(COUNTIFS(B29:AF29,Codes,$B$52:$AF$52,1)*(Codes&lt;&gt;"")*Erste))&gt;0,IF(COUNTIF(B78:AF78,1)&gt;0,"; ","")&amp;(COUNTIFS(B29:AF29,"?*",$B$52:$AF$52,1)-SUMPRODUCT(COUNTIFS(B29:AF29,Codes,$B$52:$AF$52,1)*(Codes&lt;&gt;"")*Erste))&amp;"× unbekanntes Kürzel",""))</f>
      </c>
    </row>
    <row r="30" spans="1:38" x14ac:dyDescent="0.25">
      <c r="A30" s="33">
        <f>Mitarbeiter!$A$29&amp;""</f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5">
        <f>IF($A30="","",SUMPRODUCT(COUNTIFS(B30:AF30,Codes,$B$52:$AF$52,1)*(Arten="Arbeit")*Erste*NettoTage)+SUMPRODUCT(COUNTIFS(B30:AF30,Codes,$B$53:$AF$53,1)*((Arten="Urlaub")+(Arten="Krank")+(Arten="Bezahlt abwesend"))*Erste)*N(Mitarbeiter!$B$29)/5/24)</f>
      </c>
      <c r="AH30" s="35">
        <f>IF($A30="","",N(Mitarbeiter!$B$29)/5/24*SUM($B$53:$AF$53))</f>
      </c>
      <c r="AI30" s="36">
        <f>IF($A30="","",IF((AG30-AH30)&lt;0,"-","+")&amp;TEXT(ABS((AG30-AH30)),"[h]:mm"))</f>
      </c>
      <c r="AJ30" s="37">
        <f>IF($A30="","",SUMPRODUCT(COUNTIFS(B30:AF30,Codes,$B$53:$AF$53,1)*(Arten="Urlaub")*Erste))</f>
      </c>
      <c r="AK30" s="37">
        <f>IF($A30="","",SUMPRODUCT(COUNTIFS(B30:AF30,Codes,$B$53:$AF$53,1)*(Arten="Krank")*Erste))</f>
      </c>
      <c r="AL30" s="38">
        <f>IF($A30="","",IF(COUNTIF(B79:AF79,1)&gt;0,COUNTIF(B79:AF79,1)&amp;"× Ruhezeit unter 11 Std. (§ 5)","")&amp;IF((COUNTIFS(B30:AF30,"?*",$B$52:$AF$52,1)-SUMPRODUCT(COUNTIFS(B30:AF30,Codes,$B$52:$AF$52,1)*(Codes&lt;&gt;"")*Erste))&gt;0,IF(COUNTIF(B79:AF79,1)&gt;0,"; ","")&amp;(COUNTIFS(B30:AF30,"?*",$B$52:$AF$52,1)-SUMPRODUCT(COUNTIFS(B30:AF30,Codes,$B$52:$AF$52,1)*(Codes&lt;&gt;"")*Erste))&amp;"× unbekanntes Kürzel",""))</f>
      </c>
    </row>
    <row r="31" spans="1:38" x14ac:dyDescent="0.25">
      <c r="A31" s="33">
        <f>Mitarbeiter!$A$30&amp;""</f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5">
        <f>IF($A31="","",SUMPRODUCT(COUNTIFS(B31:AF31,Codes,$B$52:$AF$52,1)*(Arten="Arbeit")*Erste*NettoTage)+SUMPRODUCT(COUNTIFS(B31:AF31,Codes,$B$53:$AF$53,1)*((Arten="Urlaub")+(Arten="Krank")+(Arten="Bezahlt abwesend"))*Erste)*N(Mitarbeiter!$B$30)/5/24)</f>
      </c>
      <c r="AH31" s="35">
        <f>IF($A31="","",N(Mitarbeiter!$B$30)/5/24*SUM($B$53:$AF$53))</f>
      </c>
      <c r="AI31" s="36">
        <f>IF($A31="","",IF((AG31-AH31)&lt;0,"-","+")&amp;TEXT(ABS((AG31-AH31)),"[h]:mm"))</f>
      </c>
      <c r="AJ31" s="37">
        <f>IF($A31="","",SUMPRODUCT(COUNTIFS(B31:AF31,Codes,$B$53:$AF$53,1)*(Arten="Urlaub")*Erste))</f>
      </c>
      <c r="AK31" s="37">
        <f>IF($A31="","",SUMPRODUCT(COUNTIFS(B31:AF31,Codes,$B$53:$AF$53,1)*(Arten="Krank")*Erste))</f>
      </c>
      <c r="AL31" s="38">
        <f>IF($A31="","",IF(COUNTIF(B80:AF80,1)&gt;0,COUNTIF(B80:AF80,1)&amp;"× Ruhezeit unter 11 Std. (§ 5)","")&amp;IF((COUNTIFS(B31:AF31,"?*",$B$52:$AF$52,1)-SUMPRODUCT(COUNTIFS(B31:AF31,Codes,$B$52:$AF$52,1)*(Codes&lt;&gt;"")*Erste))&gt;0,IF(COUNTIF(B80:AF80,1)&gt;0,"; ","")&amp;(COUNTIFS(B31:AF31,"?*",$B$52:$AF$52,1)-SUMPRODUCT(COUNTIFS(B31:AF31,Codes,$B$52:$AF$52,1)*(Codes&lt;&gt;"")*Erste))&amp;"× unbekanntes Kürzel",""))</f>
      </c>
    </row>
    <row r="32" spans="1:38" x14ac:dyDescent="0.25">
      <c r="A32" s="33">
        <f>Mitarbeiter!$A$31&amp;""</f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5">
        <f>IF($A32="","",SUMPRODUCT(COUNTIFS(B32:AF32,Codes,$B$52:$AF$52,1)*(Arten="Arbeit")*Erste*NettoTage)+SUMPRODUCT(COUNTIFS(B32:AF32,Codes,$B$53:$AF$53,1)*((Arten="Urlaub")+(Arten="Krank")+(Arten="Bezahlt abwesend"))*Erste)*N(Mitarbeiter!$B$31)/5/24)</f>
      </c>
      <c r="AH32" s="35">
        <f>IF($A32="","",N(Mitarbeiter!$B$31)/5/24*SUM($B$53:$AF$53))</f>
      </c>
      <c r="AI32" s="36">
        <f>IF($A32="","",IF((AG32-AH32)&lt;0,"-","+")&amp;TEXT(ABS((AG32-AH32)),"[h]:mm"))</f>
      </c>
      <c r="AJ32" s="37">
        <f>IF($A32="","",SUMPRODUCT(COUNTIFS(B32:AF32,Codes,$B$53:$AF$53,1)*(Arten="Urlaub")*Erste))</f>
      </c>
      <c r="AK32" s="37">
        <f>IF($A32="","",SUMPRODUCT(COUNTIFS(B32:AF32,Codes,$B$53:$AF$53,1)*(Arten="Krank")*Erste))</f>
      </c>
      <c r="AL32" s="38">
        <f>IF($A32="","",IF(COUNTIF(B81:AF81,1)&gt;0,COUNTIF(B81:AF81,1)&amp;"× Ruhezeit unter 11 Std. (§ 5)","")&amp;IF((COUNTIFS(B32:AF32,"?*",$B$52:$AF$52,1)-SUMPRODUCT(COUNTIFS(B32:AF32,Codes,$B$52:$AF$52,1)*(Codes&lt;&gt;"")*Erste))&gt;0,IF(COUNTIF(B81:AF81,1)&gt;0,"; ","")&amp;(COUNTIFS(B32:AF32,"?*",$B$52:$AF$52,1)-SUMPRODUCT(COUNTIFS(B32:AF32,Codes,$B$52:$AF$52,1)*(Codes&lt;&gt;"")*Erste))&amp;"× unbekanntes Kürzel",""))</f>
      </c>
    </row>
    <row r="33" spans="1:38" x14ac:dyDescent="0.25">
      <c r="A33" s="33">
        <f>Mitarbeiter!$A$32&amp;""</f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5">
        <f>IF($A33="","",SUMPRODUCT(COUNTIFS(B33:AF33,Codes,$B$52:$AF$52,1)*(Arten="Arbeit")*Erste*NettoTage)+SUMPRODUCT(COUNTIFS(B33:AF33,Codes,$B$53:$AF$53,1)*((Arten="Urlaub")+(Arten="Krank")+(Arten="Bezahlt abwesend"))*Erste)*N(Mitarbeiter!$B$32)/5/24)</f>
      </c>
      <c r="AH33" s="35">
        <f>IF($A33="","",N(Mitarbeiter!$B$32)/5/24*SUM($B$53:$AF$53))</f>
      </c>
      <c r="AI33" s="36">
        <f>IF($A33="","",IF((AG33-AH33)&lt;0,"-","+")&amp;TEXT(ABS((AG33-AH33)),"[h]:mm"))</f>
      </c>
      <c r="AJ33" s="37">
        <f>IF($A33="","",SUMPRODUCT(COUNTIFS(B33:AF33,Codes,$B$53:$AF$53,1)*(Arten="Urlaub")*Erste))</f>
      </c>
      <c r="AK33" s="37">
        <f>IF($A33="","",SUMPRODUCT(COUNTIFS(B33:AF33,Codes,$B$53:$AF$53,1)*(Arten="Krank")*Erste))</f>
      </c>
      <c r="AL33" s="38">
        <f>IF($A33="","",IF(COUNTIF(B82:AF82,1)&gt;0,COUNTIF(B82:AF82,1)&amp;"× Ruhezeit unter 11 Std. (§ 5)","")&amp;IF((COUNTIFS(B33:AF33,"?*",$B$52:$AF$52,1)-SUMPRODUCT(COUNTIFS(B33:AF33,Codes,$B$52:$AF$52,1)*(Codes&lt;&gt;"")*Erste))&gt;0,IF(COUNTIF(B82:AF82,1)&gt;0,"; ","")&amp;(COUNTIFS(B33:AF33,"?*",$B$52:$AF$52,1)-SUMPRODUCT(COUNTIFS(B33:AF33,Codes,$B$52:$AF$52,1)*(Codes&lt;&gt;"")*Erste))&amp;"× unbekanntes Kürzel",""))</f>
      </c>
    </row>
    <row r="34" spans="1:38" x14ac:dyDescent="0.25">
      <c r="A34" s="33">
        <f>Mitarbeiter!$A$33&amp;""</f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5">
        <f>IF($A34="","",SUMPRODUCT(COUNTIFS(B34:AF34,Codes,$B$52:$AF$52,1)*(Arten="Arbeit")*Erste*NettoTage)+SUMPRODUCT(COUNTIFS(B34:AF34,Codes,$B$53:$AF$53,1)*((Arten="Urlaub")+(Arten="Krank")+(Arten="Bezahlt abwesend"))*Erste)*N(Mitarbeiter!$B$33)/5/24)</f>
      </c>
      <c r="AH34" s="35">
        <f>IF($A34="","",N(Mitarbeiter!$B$33)/5/24*SUM($B$53:$AF$53))</f>
      </c>
      <c r="AI34" s="36">
        <f>IF($A34="","",IF((AG34-AH34)&lt;0,"-","+")&amp;TEXT(ABS((AG34-AH34)),"[h]:mm"))</f>
      </c>
      <c r="AJ34" s="37">
        <f>IF($A34="","",SUMPRODUCT(COUNTIFS(B34:AF34,Codes,$B$53:$AF$53,1)*(Arten="Urlaub")*Erste))</f>
      </c>
      <c r="AK34" s="37">
        <f>IF($A34="","",SUMPRODUCT(COUNTIFS(B34:AF34,Codes,$B$53:$AF$53,1)*(Arten="Krank")*Erste))</f>
      </c>
      <c r="AL34" s="38">
        <f>IF($A34="","",IF(COUNTIF(B83:AF83,1)&gt;0,COUNTIF(B83:AF83,1)&amp;"× Ruhezeit unter 11 Std. (§ 5)","")&amp;IF((COUNTIFS(B34:AF34,"?*",$B$52:$AF$52,1)-SUMPRODUCT(COUNTIFS(B34:AF34,Codes,$B$52:$AF$52,1)*(Codes&lt;&gt;"")*Erste))&gt;0,IF(COUNTIF(B83:AF83,1)&gt;0,"; ","")&amp;(COUNTIFS(B34:AF34,"?*",$B$52:$AF$52,1)-SUMPRODUCT(COUNTIFS(B34:AF34,Codes,$B$52:$AF$52,1)*(Codes&lt;&gt;"")*Erste))&amp;"× unbekanntes Kürzel",""))</f>
      </c>
    </row>
    <row r="35" spans="1:38" x14ac:dyDescent="0.25">
      <c r="A35" s="33">
        <f>Mitarbeiter!$A$34&amp;""</f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5">
        <f>IF($A35="","",SUMPRODUCT(COUNTIFS(B35:AF35,Codes,$B$52:$AF$52,1)*(Arten="Arbeit")*Erste*NettoTage)+SUMPRODUCT(COUNTIFS(B35:AF35,Codes,$B$53:$AF$53,1)*((Arten="Urlaub")+(Arten="Krank")+(Arten="Bezahlt abwesend"))*Erste)*N(Mitarbeiter!$B$34)/5/24)</f>
      </c>
      <c r="AH35" s="35">
        <f>IF($A35="","",N(Mitarbeiter!$B$34)/5/24*SUM($B$53:$AF$53))</f>
      </c>
      <c r="AI35" s="36">
        <f>IF($A35="","",IF((AG35-AH35)&lt;0,"-","+")&amp;TEXT(ABS((AG35-AH35)),"[h]:mm"))</f>
      </c>
      <c r="AJ35" s="37">
        <f>IF($A35="","",SUMPRODUCT(COUNTIFS(B35:AF35,Codes,$B$53:$AF$53,1)*(Arten="Urlaub")*Erste))</f>
      </c>
      <c r="AK35" s="37">
        <f>IF($A35="","",SUMPRODUCT(COUNTIFS(B35:AF35,Codes,$B$53:$AF$53,1)*(Arten="Krank")*Erste))</f>
      </c>
      <c r="AL35" s="38">
        <f>IF($A35="","",IF(COUNTIF(B84:AF84,1)&gt;0,COUNTIF(B84:AF84,1)&amp;"× Ruhezeit unter 11 Std. (§ 5)","")&amp;IF((COUNTIFS(B35:AF35,"?*",$B$52:$AF$52,1)-SUMPRODUCT(COUNTIFS(B35:AF35,Codes,$B$52:$AF$52,1)*(Codes&lt;&gt;"")*Erste))&gt;0,IF(COUNTIF(B84:AF84,1)&gt;0,"; ","")&amp;(COUNTIFS(B35:AF35,"?*",$B$52:$AF$52,1)-SUMPRODUCT(COUNTIFS(B35:AF35,Codes,$B$52:$AF$52,1)*(Codes&lt;&gt;"")*Erste))&amp;"× unbekanntes Kürzel",""))</f>
      </c>
    </row>
    <row r="37" spans="1:1" x14ac:dyDescent="0.25">
      <c r="A37" s="39" t="s">
        <v>63</v>
      </c>
    </row>
    <row r="38" spans="1:39" x14ac:dyDescent="0.25">
      <c r="A38" s="40">
        <f>IFERROR(INDEX(Codes,MATCH(1,ArbeitNr,0))&amp;" "&amp;INDEX(Bezeichnungen,MATCH(1,ArbeitNr,0)),"")</f>
      </c>
      <c r="B38" s="41">
        <f>IF(OR($AM38="",B$52=0),"",COUNTIF(B$6:B$35,$AM38))</f>
      </c>
      <c r="C38" s="41">
        <f>IF(OR($AM38="",C$52=0),"",COUNTIF(C$6:C$35,$AM38))</f>
      </c>
      <c r="D38" s="41">
        <f>IF(OR($AM38="",D$52=0),"",COUNTIF(D$6:D$35,$AM38))</f>
      </c>
      <c r="E38" s="41">
        <f>IF(OR($AM38="",E$52=0),"",COUNTIF(E$6:E$35,$AM38))</f>
      </c>
      <c r="F38" s="41">
        <f>IF(OR($AM38="",F$52=0),"",COUNTIF(F$6:F$35,$AM38))</f>
      </c>
      <c r="G38" s="41">
        <f>IF(OR($AM38="",G$52=0),"",COUNTIF(G$6:G$35,$AM38))</f>
      </c>
      <c r="H38" s="41">
        <f>IF(OR($AM38="",H$52=0),"",COUNTIF(H$6:H$35,$AM38))</f>
      </c>
      <c r="I38" s="41">
        <f>IF(OR($AM38="",I$52=0),"",COUNTIF(I$6:I$35,$AM38))</f>
      </c>
      <c r="J38" s="41">
        <f>IF(OR($AM38="",J$52=0),"",COUNTIF(J$6:J$35,$AM38))</f>
      </c>
      <c r="K38" s="41">
        <f>IF(OR($AM38="",K$52=0),"",COUNTIF(K$6:K$35,$AM38))</f>
      </c>
      <c r="L38" s="41">
        <f>IF(OR($AM38="",L$52=0),"",COUNTIF(L$6:L$35,$AM38))</f>
      </c>
      <c r="M38" s="41">
        <f>IF(OR($AM38="",M$52=0),"",COUNTIF(M$6:M$35,$AM38))</f>
      </c>
      <c r="N38" s="41">
        <f>IF(OR($AM38="",N$52=0),"",COUNTIF(N$6:N$35,$AM38))</f>
      </c>
      <c r="O38" s="41">
        <f>IF(OR($AM38="",O$52=0),"",COUNTIF(O$6:O$35,$AM38))</f>
      </c>
      <c r="P38" s="41">
        <f>IF(OR($AM38="",P$52=0),"",COUNTIF(P$6:P$35,$AM38))</f>
      </c>
      <c r="Q38" s="41">
        <f>IF(OR($AM38="",Q$52=0),"",COUNTIF(Q$6:Q$35,$AM38))</f>
      </c>
      <c r="R38" s="41">
        <f>IF(OR($AM38="",R$52=0),"",COUNTIF(R$6:R$35,$AM38))</f>
      </c>
      <c r="S38" s="41">
        <f>IF(OR($AM38="",S$52=0),"",COUNTIF(S$6:S$35,$AM38))</f>
      </c>
      <c r="T38" s="41">
        <f>IF(OR($AM38="",T$52=0),"",COUNTIF(T$6:T$35,$AM38))</f>
      </c>
      <c r="U38" s="41">
        <f>IF(OR($AM38="",U$52=0),"",COUNTIF(U$6:U$35,$AM38))</f>
      </c>
      <c r="V38" s="41">
        <f>IF(OR($AM38="",V$52=0),"",COUNTIF(V$6:V$35,$AM38))</f>
      </c>
      <c r="W38" s="41">
        <f>IF(OR($AM38="",W$52=0),"",COUNTIF(W$6:W$35,$AM38))</f>
      </c>
      <c r="X38" s="41">
        <f>IF(OR($AM38="",X$52=0),"",COUNTIF(X$6:X$35,$AM38))</f>
      </c>
      <c r="Y38" s="41">
        <f>IF(OR($AM38="",Y$52=0),"",COUNTIF(Y$6:Y$35,$AM38))</f>
      </c>
      <c r="Z38" s="41">
        <f>IF(OR($AM38="",Z$52=0),"",COUNTIF(Z$6:Z$35,$AM38))</f>
      </c>
      <c r="AA38" s="41">
        <f>IF(OR($AM38="",AA$52=0),"",COUNTIF(AA$6:AA$35,$AM38))</f>
      </c>
      <c r="AB38" s="41">
        <f>IF(OR($AM38="",AB$52=0),"",COUNTIF(AB$6:AB$35,$AM38))</f>
      </c>
      <c r="AC38" s="41">
        <f>IF(OR($AM38="",AC$52=0),"",COUNTIF(AC$6:AC$35,$AM38))</f>
      </c>
      <c r="AD38" s="41">
        <f>IF(OR($AM38="",AD$52=0),"",COUNTIF(AD$6:AD$35,$AM38))</f>
      </c>
      <c r="AE38" s="41">
        <f>IF(OR($AM38="",AE$52=0),"",COUNTIF(AE$6:AE$35,$AM38))</f>
      </c>
      <c r="AF38" s="41">
        <f>IF(OR($AM38="",AF$52=0),"",COUNTIF(AF$6:AF$35,$AM38))</f>
      </c>
      <c r="AG38" s="1"/>
      <c r="AH38" s="1"/>
      <c r="AI38" s="1"/>
      <c r="AJ38" s="1"/>
      <c r="AK38" s="1"/>
      <c r="AL38" s="1"/>
      <c r="AM38" s="1">
        <f>IFERROR(INDEX(Codes,MATCH(1,ArbeitNr,0)),"")</f>
      </c>
    </row>
    <row r="39" spans="1:39" x14ac:dyDescent="0.25">
      <c r="A39" s="40">
        <f>IFERROR(INDEX(Codes,MATCH(2,ArbeitNr,0))&amp;" "&amp;INDEX(Bezeichnungen,MATCH(2,ArbeitNr,0)),"")</f>
      </c>
      <c r="B39" s="41">
        <f>IF(OR($AM39="",B$52=0),"",COUNTIF(B$6:B$35,$AM39))</f>
      </c>
      <c r="C39" s="41">
        <f>IF(OR($AM39="",C$52=0),"",COUNTIF(C$6:C$35,$AM39))</f>
      </c>
      <c r="D39" s="41">
        <f>IF(OR($AM39="",D$52=0),"",COUNTIF(D$6:D$35,$AM39))</f>
      </c>
      <c r="E39" s="41">
        <f>IF(OR($AM39="",E$52=0),"",COUNTIF(E$6:E$35,$AM39))</f>
      </c>
      <c r="F39" s="41">
        <f>IF(OR($AM39="",F$52=0),"",COUNTIF(F$6:F$35,$AM39))</f>
      </c>
      <c r="G39" s="41">
        <f>IF(OR($AM39="",G$52=0),"",COUNTIF(G$6:G$35,$AM39))</f>
      </c>
      <c r="H39" s="41">
        <f>IF(OR($AM39="",H$52=0),"",COUNTIF(H$6:H$35,$AM39))</f>
      </c>
      <c r="I39" s="41">
        <f>IF(OR($AM39="",I$52=0),"",COUNTIF(I$6:I$35,$AM39))</f>
      </c>
      <c r="J39" s="41">
        <f>IF(OR($AM39="",J$52=0),"",COUNTIF(J$6:J$35,$AM39))</f>
      </c>
      <c r="K39" s="41">
        <f>IF(OR($AM39="",K$52=0),"",COUNTIF(K$6:K$35,$AM39))</f>
      </c>
      <c r="L39" s="41">
        <f>IF(OR($AM39="",L$52=0),"",COUNTIF(L$6:L$35,$AM39))</f>
      </c>
      <c r="M39" s="41">
        <f>IF(OR($AM39="",M$52=0),"",COUNTIF(M$6:M$35,$AM39))</f>
      </c>
      <c r="N39" s="41">
        <f>IF(OR($AM39="",N$52=0),"",COUNTIF(N$6:N$35,$AM39))</f>
      </c>
      <c r="O39" s="41">
        <f>IF(OR($AM39="",O$52=0),"",COUNTIF(O$6:O$35,$AM39))</f>
      </c>
      <c r="P39" s="41">
        <f>IF(OR($AM39="",P$52=0),"",COUNTIF(P$6:P$35,$AM39))</f>
      </c>
      <c r="Q39" s="41">
        <f>IF(OR($AM39="",Q$52=0),"",COUNTIF(Q$6:Q$35,$AM39))</f>
      </c>
      <c r="R39" s="41">
        <f>IF(OR($AM39="",R$52=0),"",COUNTIF(R$6:R$35,$AM39))</f>
      </c>
      <c r="S39" s="41">
        <f>IF(OR($AM39="",S$52=0),"",COUNTIF(S$6:S$35,$AM39))</f>
      </c>
      <c r="T39" s="41">
        <f>IF(OR($AM39="",T$52=0),"",COUNTIF(T$6:T$35,$AM39))</f>
      </c>
      <c r="U39" s="41">
        <f>IF(OR($AM39="",U$52=0),"",COUNTIF(U$6:U$35,$AM39))</f>
      </c>
      <c r="V39" s="41">
        <f>IF(OR($AM39="",V$52=0),"",COUNTIF(V$6:V$35,$AM39))</f>
      </c>
      <c r="W39" s="41">
        <f>IF(OR($AM39="",W$52=0),"",COUNTIF(W$6:W$35,$AM39))</f>
      </c>
      <c r="X39" s="41">
        <f>IF(OR($AM39="",X$52=0),"",COUNTIF(X$6:X$35,$AM39))</f>
      </c>
      <c r="Y39" s="41">
        <f>IF(OR($AM39="",Y$52=0),"",COUNTIF(Y$6:Y$35,$AM39))</f>
      </c>
      <c r="Z39" s="41">
        <f>IF(OR($AM39="",Z$52=0),"",COUNTIF(Z$6:Z$35,$AM39))</f>
      </c>
      <c r="AA39" s="41">
        <f>IF(OR($AM39="",AA$52=0),"",COUNTIF(AA$6:AA$35,$AM39))</f>
      </c>
      <c r="AB39" s="41">
        <f>IF(OR($AM39="",AB$52=0),"",COUNTIF(AB$6:AB$35,$AM39))</f>
      </c>
      <c r="AC39" s="41">
        <f>IF(OR($AM39="",AC$52=0),"",COUNTIF(AC$6:AC$35,$AM39))</f>
      </c>
      <c r="AD39" s="41">
        <f>IF(OR($AM39="",AD$52=0),"",COUNTIF(AD$6:AD$35,$AM39))</f>
      </c>
      <c r="AE39" s="41">
        <f>IF(OR($AM39="",AE$52=0),"",COUNTIF(AE$6:AE$35,$AM39))</f>
      </c>
      <c r="AF39" s="41">
        <f>IF(OR($AM39="",AF$52=0),"",COUNTIF(AF$6:AF$35,$AM39))</f>
      </c>
      <c r="AG39" s="1"/>
      <c r="AH39" s="1"/>
      <c r="AI39" s="1"/>
      <c r="AJ39" s="1"/>
      <c r="AK39" s="1"/>
      <c r="AL39" s="1"/>
      <c r="AM39" s="1">
        <f>IFERROR(INDEX(Codes,MATCH(2,ArbeitNr,0)),"")</f>
      </c>
    </row>
    <row r="40" spans="1:39" x14ac:dyDescent="0.25">
      <c r="A40" s="40">
        <f>IFERROR(INDEX(Codes,MATCH(3,ArbeitNr,0))&amp;" "&amp;INDEX(Bezeichnungen,MATCH(3,ArbeitNr,0)),"")</f>
      </c>
      <c r="B40" s="41">
        <f>IF(OR($AM40="",B$52=0),"",COUNTIF(B$6:B$35,$AM40))</f>
      </c>
      <c r="C40" s="41">
        <f>IF(OR($AM40="",C$52=0),"",COUNTIF(C$6:C$35,$AM40))</f>
      </c>
      <c r="D40" s="41">
        <f>IF(OR($AM40="",D$52=0),"",COUNTIF(D$6:D$35,$AM40))</f>
      </c>
      <c r="E40" s="41">
        <f>IF(OR($AM40="",E$52=0),"",COUNTIF(E$6:E$35,$AM40))</f>
      </c>
      <c r="F40" s="41">
        <f>IF(OR($AM40="",F$52=0),"",COUNTIF(F$6:F$35,$AM40))</f>
      </c>
      <c r="G40" s="41">
        <f>IF(OR($AM40="",G$52=0),"",COUNTIF(G$6:G$35,$AM40))</f>
      </c>
      <c r="H40" s="41">
        <f>IF(OR($AM40="",H$52=0),"",COUNTIF(H$6:H$35,$AM40))</f>
      </c>
      <c r="I40" s="41">
        <f>IF(OR($AM40="",I$52=0),"",COUNTIF(I$6:I$35,$AM40))</f>
      </c>
      <c r="J40" s="41">
        <f>IF(OR($AM40="",J$52=0),"",COUNTIF(J$6:J$35,$AM40))</f>
      </c>
      <c r="K40" s="41">
        <f>IF(OR($AM40="",K$52=0),"",COUNTIF(K$6:K$35,$AM40))</f>
      </c>
      <c r="L40" s="41">
        <f>IF(OR($AM40="",L$52=0),"",COUNTIF(L$6:L$35,$AM40))</f>
      </c>
      <c r="M40" s="41">
        <f>IF(OR($AM40="",M$52=0),"",COUNTIF(M$6:M$35,$AM40))</f>
      </c>
      <c r="N40" s="41">
        <f>IF(OR($AM40="",N$52=0),"",COUNTIF(N$6:N$35,$AM40))</f>
      </c>
      <c r="O40" s="41">
        <f>IF(OR($AM40="",O$52=0),"",COUNTIF(O$6:O$35,$AM40))</f>
      </c>
      <c r="P40" s="41">
        <f>IF(OR($AM40="",P$52=0),"",COUNTIF(P$6:P$35,$AM40))</f>
      </c>
      <c r="Q40" s="41">
        <f>IF(OR($AM40="",Q$52=0),"",COUNTIF(Q$6:Q$35,$AM40))</f>
      </c>
      <c r="R40" s="41">
        <f>IF(OR($AM40="",R$52=0),"",COUNTIF(R$6:R$35,$AM40))</f>
      </c>
      <c r="S40" s="41">
        <f>IF(OR($AM40="",S$52=0),"",COUNTIF(S$6:S$35,$AM40))</f>
      </c>
      <c r="T40" s="41">
        <f>IF(OR($AM40="",T$52=0),"",COUNTIF(T$6:T$35,$AM40))</f>
      </c>
      <c r="U40" s="41">
        <f>IF(OR($AM40="",U$52=0),"",COUNTIF(U$6:U$35,$AM40))</f>
      </c>
      <c r="V40" s="41">
        <f>IF(OR($AM40="",V$52=0),"",COUNTIF(V$6:V$35,$AM40))</f>
      </c>
      <c r="W40" s="41">
        <f>IF(OR($AM40="",W$52=0),"",COUNTIF(W$6:W$35,$AM40))</f>
      </c>
      <c r="X40" s="41">
        <f>IF(OR($AM40="",X$52=0),"",COUNTIF(X$6:X$35,$AM40))</f>
      </c>
      <c r="Y40" s="41">
        <f>IF(OR($AM40="",Y$52=0),"",COUNTIF(Y$6:Y$35,$AM40))</f>
      </c>
      <c r="Z40" s="41">
        <f>IF(OR($AM40="",Z$52=0),"",COUNTIF(Z$6:Z$35,$AM40))</f>
      </c>
      <c r="AA40" s="41">
        <f>IF(OR($AM40="",AA$52=0),"",COUNTIF(AA$6:AA$35,$AM40))</f>
      </c>
      <c r="AB40" s="41">
        <f>IF(OR($AM40="",AB$52=0),"",COUNTIF(AB$6:AB$35,$AM40))</f>
      </c>
      <c r="AC40" s="41">
        <f>IF(OR($AM40="",AC$52=0),"",COUNTIF(AC$6:AC$35,$AM40))</f>
      </c>
      <c r="AD40" s="41">
        <f>IF(OR($AM40="",AD$52=0),"",COUNTIF(AD$6:AD$35,$AM40))</f>
      </c>
      <c r="AE40" s="41">
        <f>IF(OR($AM40="",AE$52=0),"",COUNTIF(AE$6:AE$35,$AM40))</f>
      </c>
      <c r="AF40" s="41">
        <f>IF(OR($AM40="",AF$52=0),"",COUNTIF(AF$6:AF$35,$AM40))</f>
      </c>
      <c r="AG40" s="1"/>
      <c r="AH40" s="1"/>
      <c r="AI40" s="1"/>
      <c r="AJ40" s="1"/>
      <c r="AK40" s="1"/>
      <c r="AL40" s="1"/>
      <c r="AM40" s="1">
        <f>IFERROR(INDEX(Codes,MATCH(3,ArbeitNr,0)),"")</f>
      </c>
    </row>
    <row r="41" spans="1:39" x14ac:dyDescent="0.25">
      <c r="A41" s="40">
        <f>IFERROR(INDEX(Codes,MATCH(4,ArbeitNr,0))&amp;" "&amp;INDEX(Bezeichnungen,MATCH(4,ArbeitNr,0)),"")</f>
      </c>
      <c r="B41" s="41">
        <f>IF(OR($AM41="",B$52=0),"",COUNTIF(B$6:B$35,$AM41))</f>
      </c>
      <c r="C41" s="41">
        <f>IF(OR($AM41="",C$52=0),"",COUNTIF(C$6:C$35,$AM41))</f>
      </c>
      <c r="D41" s="41">
        <f>IF(OR($AM41="",D$52=0),"",COUNTIF(D$6:D$35,$AM41))</f>
      </c>
      <c r="E41" s="41">
        <f>IF(OR($AM41="",E$52=0),"",COUNTIF(E$6:E$35,$AM41))</f>
      </c>
      <c r="F41" s="41">
        <f>IF(OR($AM41="",F$52=0),"",COUNTIF(F$6:F$35,$AM41))</f>
      </c>
      <c r="G41" s="41">
        <f>IF(OR($AM41="",G$52=0),"",COUNTIF(G$6:G$35,$AM41))</f>
      </c>
      <c r="H41" s="41">
        <f>IF(OR($AM41="",H$52=0),"",COUNTIF(H$6:H$35,$AM41))</f>
      </c>
      <c r="I41" s="41">
        <f>IF(OR($AM41="",I$52=0),"",COUNTIF(I$6:I$35,$AM41))</f>
      </c>
      <c r="J41" s="41">
        <f>IF(OR($AM41="",J$52=0),"",COUNTIF(J$6:J$35,$AM41))</f>
      </c>
      <c r="K41" s="41">
        <f>IF(OR($AM41="",K$52=0),"",COUNTIF(K$6:K$35,$AM41))</f>
      </c>
      <c r="L41" s="41">
        <f>IF(OR($AM41="",L$52=0),"",COUNTIF(L$6:L$35,$AM41))</f>
      </c>
      <c r="M41" s="41">
        <f>IF(OR($AM41="",M$52=0),"",COUNTIF(M$6:M$35,$AM41))</f>
      </c>
      <c r="N41" s="41">
        <f>IF(OR($AM41="",N$52=0),"",COUNTIF(N$6:N$35,$AM41))</f>
      </c>
      <c r="O41" s="41">
        <f>IF(OR($AM41="",O$52=0),"",COUNTIF(O$6:O$35,$AM41))</f>
      </c>
      <c r="P41" s="41">
        <f>IF(OR($AM41="",P$52=0),"",COUNTIF(P$6:P$35,$AM41))</f>
      </c>
      <c r="Q41" s="41">
        <f>IF(OR($AM41="",Q$52=0),"",COUNTIF(Q$6:Q$35,$AM41))</f>
      </c>
      <c r="R41" s="41">
        <f>IF(OR($AM41="",R$52=0),"",COUNTIF(R$6:R$35,$AM41))</f>
      </c>
      <c r="S41" s="41">
        <f>IF(OR($AM41="",S$52=0),"",COUNTIF(S$6:S$35,$AM41))</f>
      </c>
      <c r="T41" s="41">
        <f>IF(OR($AM41="",T$52=0),"",COUNTIF(T$6:T$35,$AM41))</f>
      </c>
      <c r="U41" s="41">
        <f>IF(OR($AM41="",U$52=0),"",COUNTIF(U$6:U$35,$AM41))</f>
      </c>
      <c r="V41" s="41">
        <f>IF(OR($AM41="",V$52=0),"",COUNTIF(V$6:V$35,$AM41))</f>
      </c>
      <c r="W41" s="41">
        <f>IF(OR($AM41="",W$52=0),"",COUNTIF(W$6:W$35,$AM41))</f>
      </c>
      <c r="X41" s="41">
        <f>IF(OR($AM41="",X$52=0),"",COUNTIF(X$6:X$35,$AM41))</f>
      </c>
      <c r="Y41" s="41">
        <f>IF(OR($AM41="",Y$52=0),"",COUNTIF(Y$6:Y$35,$AM41))</f>
      </c>
      <c r="Z41" s="41">
        <f>IF(OR($AM41="",Z$52=0),"",COUNTIF(Z$6:Z$35,$AM41))</f>
      </c>
      <c r="AA41" s="41">
        <f>IF(OR($AM41="",AA$52=0),"",COUNTIF(AA$6:AA$35,$AM41))</f>
      </c>
      <c r="AB41" s="41">
        <f>IF(OR($AM41="",AB$52=0),"",COUNTIF(AB$6:AB$35,$AM41))</f>
      </c>
      <c r="AC41" s="41">
        <f>IF(OR($AM41="",AC$52=0),"",COUNTIF(AC$6:AC$35,$AM41))</f>
      </c>
      <c r="AD41" s="41">
        <f>IF(OR($AM41="",AD$52=0),"",COUNTIF(AD$6:AD$35,$AM41))</f>
      </c>
      <c r="AE41" s="41">
        <f>IF(OR($AM41="",AE$52=0),"",COUNTIF(AE$6:AE$35,$AM41))</f>
      </c>
      <c r="AF41" s="41">
        <f>IF(OR($AM41="",AF$52=0),"",COUNTIF(AF$6:AF$35,$AM41))</f>
      </c>
      <c r="AG41" s="1"/>
      <c r="AH41" s="1"/>
      <c r="AI41" s="1"/>
      <c r="AJ41" s="1"/>
      <c r="AK41" s="1"/>
      <c r="AL41" s="1"/>
      <c r="AM41" s="1">
        <f>IFERROR(INDEX(Codes,MATCH(4,ArbeitNr,0)),"")</f>
      </c>
    </row>
    <row r="42" spans="1:39" x14ac:dyDescent="0.25">
      <c r="A42" s="40">
        <f>IFERROR(INDEX(Codes,MATCH(5,ArbeitNr,0))&amp;" "&amp;INDEX(Bezeichnungen,MATCH(5,ArbeitNr,0)),"")</f>
      </c>
      <c r="B42" s="41">
        <f>IF(OR($AM42="",B$52=0),"",COUNTIF(B$6:B$35,$AM42))</f>
      </c>
      <c r="C42" s="41">
        <f>IF(OR($AM42="",C$52=0),"",COUNTIF(C$6:C$35,$AM42))</f>
      </c>
      <c r="D42" s="41">
        <f>IF(OR($AM42="",D$52=0),"",COUNTIF(D$6:D$35,$AM42))</f>
      </c>
      <c r="E42" s="41">
        <f>IF(OR($AM42="",E$52=0),"",COUNTIF(E$6:E$35,$AM42))</f>
      </c>
      <c r="F42" s="41">
        <f>IF(OR($AM42="",F$52=0),"",COUNTIF(F$6:F$35,$AM42))</f>
      </c>
      <c r="G42" s="41">
        <f>IF(OR($AM42="",G$52=0),"",COUNTIF(G$6:G$35,$AM42))</f>
      </c>
      <c r="H42" s="41">
        <f>IF(OR($AM42="",H$52=0),"",COUNTIF(H$6:H$35,$AM42))</f>
      </c>
      <c r="I42" s="41">
        <f>IF(OR($AM42="",I$52=0),"",COUNTIF(I$6:I$35,$AM42))</f>
      </c>
      <c r="J42" s="41">
        <f>IF(OR($AM42="",J$52=0),"",COUNTIF(J$6:J$35,$AM42))</f>
      </c>
      <c r="K42" s="41">
        <f>IF(OR($AM42="",K$52=0),"",COUNTIF(K$6:K$35,$AM42))</f>
      </c>
      <c r="L42" s="41">
        <f>IF(OR($AM42="",L$52=0),"",COUNTIF(L$6:L$35,$AM42))</f>
      </c>
      <c r="M42" s="41">
        <f>IF(OR($AM42="",M$52=0),"",COUNTIF(M$6:M$35,$AM42))</f>
      </c>
      <c r="N42" s="41">
        <f>IF(OR($AM42="",N$52=0),"",COUNTIF(N$6:N$35,$AM42))</f>
      </c>
      <c r="O42" s="41">
        <f>IF(OR($AM42="",O$52=0),"",COUNTIF(O$6:O$35,$AM42))</f>
      </c>
      <c r="P42" s="41">
        <f>IF(OR($AM42="",P$52=0),"",COUNTIF(P$6:P$35,$AM42))</f>
      </c>
      <c r="Q42" s="41">
        <f>IF(OR($AM42="",Q$52=0),"",COUNTIF(Q$6:Q$35,$AM42))</f>
      </c>
      <c r="R42" s="41">
        <f>IF(OR($AM42="",R$52=0),"",COUNTIF(R$6:R$35,$AM42))</f>
      </c>
      <c r="S42" s="41">
        <f>IF(OR($AM42="",S$52=0),"",COUNTIF(S$6:S$35,$AM42))</f>
      </c>
      <c r="T42" s="41">
        <f>IF(OR($AM42="",T$52=0),"",COUNTIF(T$6:T$35,$AM42))</f>
      </c>
      <c r="U42" s="41">
        <f>IF(OR($AM42="",U$52=0),"",COUNTIF(U$6:U$35,$AM42))</f>
      </c>
      <c r="V42" s="41">
        <f>IF(OR($AM42="",V$52=0),"",COUNTIF(V$6:V$35,$AM42))</f>
      </c>
      <c r="W42" s="41">
        <f>IF(OR($AM42="",W$52=0),"",COUNTIF(W$6:W$35,$AM42))</f>
      </c>
      <c r="X42" s="41">
        <f>IF(OR($AM42="",X$52=0),"",COUNTIF(X$6:X$35,$AM42))</f>
      </c>
      <c r="Y42" s="41">
        <f>IF(OR($AM42="",Y$52=0),"",COUNTIF(Y$6:Y$35,$AM42))</f>
      </c>
      <c r="Z42" s="41">
        <f>IF(OR($AM42="",Z$52=0),"",COUNTIF(Z$6:Z$35,$AM42))</f>
      </c>
      <c r="AA42" s="41">
        <f>IF(OR($AM42="",AA$52=0),"",COUNTIF(AA$6:AA$35,$AM42))</f>
      </c>
      <c r="AB42" s="41">
        <f>IF(OR($AM42="",AB$52=0),"",COUNTIF(AB$6:AB$35,$AM42))</f>
      </c>
      <c r="AC42" s="41">
        <f>IF(OR($AM42="",AC$52=0),"",COUNTIF(AC$6:AC$35,$AM42))</f>
      </c>
      <c r="AD42" s="41">
        <f>IF(OR($AM42="",AD$52=0),"",COUNTIF(AD$6:AD$35,$AM42))</f>
      </c>
      <c r="AE42" s="41">
        <f>IF(OR($AM42="",AE$52=0),"",COUNTIF(AE$6:AE$35,$AM42))</f>
      </c>
      <c r="AF42" s="41">
        <f>IF(OR($AM42="",AF$52=0),"",COUNTIF(AF$6:AF$35,$AM42))</f>
      </c>
      <c r="AG42" s="1"/>
      <c r="AH42" s="1"/>
      <c r="AI42" s="1"/>
      <c r="AJ42" s="1"/>
      <c r="AK42" s="1"/>
      <c r="AL42" s="1"/>
      <c r="AM42" s="1">
        <f>IFERROR(INDEX(Codes,MATCH(5,ArbeitNr,0)),"")</f>
      </c>
    </row>
    <row r="43" spans="1:39" x14ac:dyDescent="0.25">
      <c r="A43" s="40">
        <f>IFERROR(INDEX(Codes,MATCH(6,ArbeitNr,0))&amp;" "&amp;INDEX(Bezeichnungen,MATCH(6,ArbeitNr,0)),"")</f>
      </c>
      <c r="B43" s="41">
        <f>IF(OR($AM43="",B$52=0),"",COUNTIF(B$6:B$35,$AM43))</f>
      </c>
      <c r="C43" s="41">
        <f>IF(OR($AM43="",C$52=0),"",COUNTIF(C$6:C$35,$AM43))</f>
      </c>
      <c r="D43" s="41">
        <f>IF(OR($AM43="",D$52=0),"",COUNTIF(D$6:D$35,$AM43))</f>
      </c>
      <c r="E43" s="41">
        <f>IF(OR($AM43="",E$52=0),"",COUNTIF(E$6:E$35,$AM43))</f>
      </c>
      <c r="F43" s="41">
        <f>IF(OR($AM43="",F$52=0),"",COUNTIF(F$6:F$35,$AM43))</f>
      </c>
      <c r="G43" s="41">
        <f>IF(OR($AM43="",G$52=0),"",COUNTIF(G$6:G$35,$AM43))</f>
      </c>
      <c r="H43" s="41">
        <f>IF(OR($AM43="",H$52=0),"",COUNTIF(H$6:H$35,$AM43))</f>
      </c>
      <c r="I43" s="41">
        <f>IF(OR($AM43="",I$52=0),"",COUNTIF(I$6:I$35,$AM43))</f>
      </c>
      <c r="J43" s="41">
        <f>IF(OR($AM43="",J$52=0),"",COUNTIF(J$6:J$35,$AM43))</f>
      </c>
      <c r="K43" s="41">
        <f>IF(OR($AM43="",K$52=0),"",COUNTIF(K$6:K$35,$AM43))</f>
      </c>
      <c r="L43" s="41">
        <f>IF(OR($AM43="",L$52=0),"",COUNTIF(L$6:L$35,$AM43))</f>
      </c>
      <c r="M43" s="41">
        <f>IF(OR($AM43="",M$52=0),"",COUNTIF(M$6:M$35,$AM43))</f>
      </c>
      <c r="N43" s="41">
        <f>IF(OR($AM43="",N$52=0),"",COUNTIF(N$6:N$35,$AM43))</f>
      </c>
      <c r="O43" s="41">
        <f>IF(OR($AM43="",O$52=0),"",COUNTIF(O$6:O$35,$AM43))</f>
      </c>
      <c r="P43" s="41">
        <f>IF(OR($AM43="",P$52=0),"",COUNTIF(P$6:P$35,$AM43))</f>
      </c>
      <c r="Q43" s="41">
        <f>IF(OR($AM43="",Q$52=0),"",COUNTIF(Q$6:Q$35,$AM43))</f>
      </c>
      <c r="R43" s="41">
        <f>IF(OR($AM43="",R$52=0),"",COUNTIF(R$6:R$35,$AM43))</f>
      </c>
      <c r="S43" s="41">
        <f>IF(OR($AM43="",S$52=0),"",COUNTIF(S$6:S$35,$AM43))</f>
      </c>
      <c r="T43" s="41">
        <f>IF(OR($AM43="",T$52=0),"",COUNTIF(T$6:T$35,$AM43))</f>
      </c>
      <c r="U43" s="41">
        <f>IF(OR($AM43="",U$52=0),"",COUNTIF(U$6:U$35,$AM43))</f>
      </c>
      <c r="V43" s="41">
        <f>IF(OR($AM43="",V$52=0),"",COUNTIF(V$6:V$35,$AM43))</f>
      </c>
      <c r="W43" s="41">
        <f>IF(OR($AM43="",W$52=0),"",COUNTIF(W$6:W$35,$AM43))</f>
      </c>
      <c r="X43" s="41">
        <f>IF(OR($AM43="",X$52=0),"",COUNTIF(X$6:X$35,$AM43))</f>
      </c>
      <c r="Y43" s="41">
        <f>IF(OR($AM43="",Y$52=0),"",COUNTIF(Y$6:Y$35,$AM43))</f>
      </c>
      <c r="Z43" s="41">
        <f>IF(OR($AM43="",Z$52=0),"",COUNTIF(Z$6:Z$35,$AM43))</f>
      </c>
      <c r="AA43" s="41">
        <f>IF(OR($AM43="",AA$52=0),"",COUNTIF(AA$6:AA$35,$AM43))</f>
      </c>
      <c r="AB43" s="41">
        <f>IF(OR($AM43="",AB$52=0),"",COUNTIF(AB$6:AB$35,$AM43))</f>
      </c>
      <c r="AC43" s="41">
        <f>IF(OR($AM43="",AC$52=0),"",COUNTIF(AC$6:AC$35,$AM43))</f>
      </c>
      <c r="AD43" s="41">
        <f>IF(OR($AM43="",AD$52=0),"",COUNTIF(AD$6:AD$35,$AM43))</f>
      </c>
      <c r="AE43" s="41">
        <f>IF(OR($AM43="",AE$52=0),"",COUNTIF(AE$6:AE$35,$AM43))</f>
      </c>
      <c r="AF43" s="41">
        <f>IF(OR($AM43="",AF$52=0),"",COUNTIF(AF$6:AF$35,$AM43))</f>
      </c>
      <c r="AG43" s="1"/>
      <c r="AH43" s="1"/>
      <c r="AI43" s="1"/>
      <c r="AJ43" s="1"/>
      <c r="AK43" s="1"/>
      <c r="AL43" s="1"/>
      <c r="AM43" s="1">
        <f>IFERROR(INDEX(Codes,MATCH(6,ArbeitNr,0)),"")</f>
      </c>
    </row>
    <row r="44" spans="1:39" x14ac:dyDescent="0.25">
      <c r="A44" s="40">
        <f>IFERROR(INDEX(Codes,MATCH(7,ArbeitNr,0))&amp;" "&amp;INDEX(Bezeichnungen,MATCH(7,ArbeitNr,0)),"")</f>
      </c>
      <c r="B44" s="41">
        <f>IF(OR($AM44="",B$52=0),"",COUNTIF(B$6:B$35,$AM44))</f>
      </c>
      <c r="C44" s="41">
        <f>IF(OR($AM44="",C$52=0),"",COUNTIF(C$6:C$35,$AM44))</f>
      </c>
      <c r="D44" s="41">
        <f>IF(OR($AM44="",D$52=0),"",COUNTIF(D$6:D$35,$AM44))</f>
      </c>
      <c r="E44" s="41">
        <f>IF(OR($AM44="",E$52=0),"",COUNTIF(E$6:E$35,$AM44))</f>
      </c>
      <c r="F44" s="41">
        <f>IF(OR($AM44="",F$52=0),"",COUNTIF(F$6:F$35,$AM44))</f>
      </c>
      <c r="G44" s="41">
        <f>IF(OR($AM44="",G$52=0),"",COUNTIF(G$6:G$35,$AM44))</f>
      </c>
      <c r="H44" s="41">
        <f>IF(OR($AM44="",H$52=0),"",COUNTIF(H$6:H$35,$AM44))</f>
      </c>
      <c r="I44" s="41">
        <f>IF(OR($AM44="",I$52=0),"",COUNTIF(I$6:I$35,$AM44))</f>
      </c>
      <c r="J44" s="41">
        <f>IF(OR($AM44="",J$52=0),"",COUNTIF(J$6:J$35,$AM44))</f>
      </c>
      <c r="K44" s="41">
        <f>IF(OR($AM44="",K$52=0),"",COUNTIF(K$6:K$35,$AM44))</f>
      </c>
      <c r="L44" s="41">
        <f>IF(OR($AM44="",L$52=0),"",COUNTIF(L$6:L$35,$AM44))</f>
      </c>
      <c r="M44" s="41">
        <f>IF(OR($AM44="",M$52=0),"",COUNTIF(M$6:M$35,$AM44))</f>
      </c>
      <c r="N44" s="41">
        <f>IF(OR($AM44="",N$52=0),"",COUNTIF(N$6:N$35,$AM44))</f>
      </c>
      <c r="O44" s="41">
        <f>IF(OR($AM44="",O$52=0),"",COUNTIF(O$6:O$35,$AM44))</f>
      </c>
      <c r="P44" s="41">
        <f>IF(OR($AM44="",P$52=0),"",COUNTIF(P$6:P$35,$AM44))</f>
      </c>
      <c r="Q44" s="41">
        <f>IF(OR($AM44="",Q$52=0),"",COUNTIF(Q$6:Q$35,$AM44))</f>
      </c>
      <c r="R44" s="41">
        <f>IF(OR($AM44="",R$52=0),"",COUNTIF(R$6:R$35,$AM44))</f>
      </c>
      <c r="S44" s="41">
        <f>IF(OR($AM44="",S$52=0),"",COUNTIF(S$6:S$35,$AM44))</f>
      </c>
      <c r="T44" s="41">
        <f>IF(OR($AM44="",T$52=0),"",COUNTIF(T$6:T$35,$AM44))</f>
      </c>
      <c r="U44" s="41">
        <f>IF(OR($AM44="",U$52=0),"",COUNTIF(U$6:U$35,$AM44))</f>
      </c>
      <c r="V44" s="41">
        <f>IF(OR($AM44="",V$52=0),"",COUNTIF(V$6:V$35,$AM44))</f>
      </c>
      <c r="W44" s="41">
        <f>IF(OR($AM44="",W$52=0),"",COUNTIF(W$6:W$35,$AM44))</f>
      </c>
      <c r="X44" s="41">
        <f>IF(OR($AM44="",X$52=0),"",COUNTIF(X$6:X$35,$AM44))</f>
      </c>
      <c r="Y44" s="41">
        <f>IF(OR($AM44="",Y$52=0),"",COUNTIF(Y$6:Y$35,$AM44))</f>
      </c>
      <c r="Z44" s="41">
        <f>IF(OR($AM44="",Z$52=0),"",COUNTIF(Z$6:Z$35,$AM44))</f>
      </c>
      <c r="AA44" s="41">
        <f>IF(OR($AM44="",AA$52=0),"",COUNTIF(AA$6:AA$35,$AM44))</f>
      </c>
      <c r="AB44" s="41">
        <f>IF(OR($AM44="",AB$52=0),"",COUNTIF(AB$6:AB$35,$AM44))</f>
      </c>
      <c r="AC44" s="41">
        <f>IF(OR($AM44="",AC$52=0),"",COUNTIF(AC$6:AC$35,$AM44))</f>
      </c>
      <c r="AD44" s="41">
        <f>IF(OR($AM44="",AD$52=0),"",COUNTIF(AD$6:AD$35,$AM44))</f>
      </c>
      <c r="AE44" s="41">
        <f>IF(OR($AM44="",AE$52=0),"",COUNTIF(AE$6:AE$35,$AM44))</f>
      </c>
      <c r="AF44" s="41">
        <f>IF(OR($AM44="",AF$52=0),"",COUNTIF(AF$6:AF$35,$AM44))</f>
      </c>
      <c r="AG44" s="1"/>
      <c r="AH44" s="1"/>
      <c r="AI44" s="1"/>
      <c r="AJ44" s="1"/>
      <c r="AK44" s="1"/>
      <c r="AL44" s="1"/>
      <c r="AM44" s="1">
        <f>IFERROR(INDEX(Codes,MATCH(7,ArbeitNr,0)),"")</f>
      </c>
    </row>
    <row r="45" spans="1:39" x14ac:dyDescent="0.25">
      <c r="A45" s="40">
        <f>IFERROR(INDEX(Codes,MATCH(8,ArbeitNr,0))&amp;" "&amp;INDEX(Bezeichnungen,MATCH(8,ArbeitNr,0)),"")</f>
      </c>
      <c r="B45" s="41">
        <f>IF(OR($AM45="",B$52=0),"",COUNTIF(B$6:B$35,$AM45))</f>
      </c>
      <c r="C45" s="41">
        <f>IF(OR($AM45="",C$52=0),"",COUNTIF(C$6:C$35,$AM45))</f>
      </c>
      <c r="D45" s="41">
        <f>IF(OR($AM45="",D$52=0),"",COUNTIF(D$6:D$35,$AM45))</f>
      </c>
      <c r="E45" s="41">
        <f>IF(OR($AM45="",E$52=0),"",COUNTIF(E$6:E$35,$AM45))</f>
      </c>
      <c r="F45" s="41">
        <f>IF(OR($AM45="",F$52=0),"",COUNTIF(F$6:F$35,$AM45))</f>
      </c>
      <c r="G45" s="41">
        <f>IF(OR($AM45="",G$52=0),"",COUNTIF(G$6:G$35,$AM45))</f>
      </c>
      <c r="H45" s="41">
        <f>IF(OR($AM45="",H$52=0),"",COUNTIF(H$6:H$35,$AM45))</f>
      </c>
      <c r="I45" s="41">
        <f>IF(OR($AM45="",I$52=0),"",COUNTIF(I$6:I$35,$AM45))</f>
      </c>
      <c r="J45" s="41">
        <f>IF(OR($AM45="",J$52=0),"",COUNTIF(J$6:J$35,$AM45))</f>
      </c>
      <c r="K45" s="41">
        <f>IF(OR($AM45="",K$52=0),"",COUNTIF(K$6:K$35,$AM45))</f>
      </c>
      <c r="L45" s="41">
        <f>IF(OR($AM45="",L$52=0),"",COUNTIF(L$6:L$35,$AM45))</f>
      </c>
      <c r="M45" s="41">
        <f>IF(OR($AM45="",M$52=0),"",COUNTIF(M$6:M$35,$AM45))</f>
      </c>
      <c r="N45" s="41">
        <f>IF(OR($AM45="",N$52=0),"",COUNTIF(N$6:N$35,$AM45))</f>
      </c>
      <c r="O45" s="41">
        <f>IF(OR($AM45="",O$52=0),"",COUNTIF(O$6:O$35,$AM45))</f>
      </c>
      <c r="P45" s="41">
        <f>IF(OR($AM45="",P$52=0),"",COUNTIF(P$6:P$35,$AM45))</f>
      </c>
      <c r="Q45" s="41">
        <f>IF(OR($AM45="",Q$52=0),"",COUNTIF(Q$6:Q$35,$AM45))</f>
      </c>
      <c r="R45" s="41">
        <f>IF(OR($AM45="",R$52=0),"",COUNTIF(R$6:R$35,$AM45))</f>
      </c>
      <c r="S45" s="41">
        <f>IF(OR($AM45="",S$52=0),"",COUNTIF(S$6:S$35,$AM45))</f>
      </c>
      <c r="T45" s="41">
        <f>IF(OR($AM45="",T$52=0),"",COUNTIF(T$6:T$35,$AM45))</f>
      </c>
      <c r="U45" s="41">
        <f>IF(OR($AM45="",U$52=0),"",COUNTIF(U$6:U$35,$AM45))</f>
      </c>
      <c r="V45" s="41">
        <f>IF(OR($AM45="",V$52=0),"",COUNTIF(V$6:V$35,$AM45))</f>
      </c>
      <c r="W45" s="41">
        <f>IF(OR($AM45="",W$52=0),"",COUNTIF(W$6:W$35,$AM45))</f>
      </c>
      <c r="X45" s="41">
        <f>IF(OR($AM45="",X$52=0),"",COUNTIF(X$6:X$35,$AM45))</f>
      </c>
      <c r="Y45" s="41">
        <f>IF(OR($AM45="",Y$52=0),"",COUNTIF(Y$6:Y$35,$AM45))</f>
      </c>
      <c r="Z45" s="41">
        <f>IF(OR($AM45="",Z$52=0),"",COUNTIF(Z$6:Z$35,$AM45))</f>
      </c>
      <c r="AA45" s="41">
        <f>IF(OR($AM45="",AA$52=0),"",COUNTIF(AA$6:AA$35,$AM45))</f>
      </c>
      <c r="AB45" s="41">
        <f>IF(OR($AM45="",AB$52=0),"",COUNTIF(AB$6:AB$35,$AM45))</f>
      </c>
      <c r="AC45" s="41">
        <f>IF(OR($AM45="",AC$52=0),"",COUNTIF(AC$6:AC$35,$AM45))</f>
      </c>
      <c r="AD45" s="41">
        <f>IF(OR($AM45="",AD$52=0),"",COUNTIF(AD$6:AD$35,$AM45))</f>
      </c>
      <c r="AE45" s="41">
        <f>IF(OR($AM45="",AE$52=0),"",COUNTIF(AE$6:AE$35,$AM45))</f>
      </c>
      <c r="AF45" s="41">
        <f>IF(OR($AM45="",AF$52=0),"",COUNTIF(AF$6:AF$35,$AM45))</f>
      </c>
      <c r="AG45" s="1"/>
      <c r="AH45" s="1"/>
      <c r="AI45" s="1"/>
      <c r="AJ45" s="1"/>
      <c r="AK45" s="1"/>
      <c r="AL45" s="1"/>
      <c r="AM45" s="1">
        <f>IFERROR(INDEX(Codes,MATCH(8,ArbeitNr,0)),"")</f>
      </c>
    </row>
    <row r="46" ht="22" customHeight="1" spans="1:32" x14ac:dyDescent="0.25">
      <c r="A46" s="42" t="s">
        <v>64</v>
      </c>
      <c r="B46" s="43">
        <f>TRIM(IF(AND(B38&lt;&gt;"",N(B38)&lt;N(B86)),$AM38&amp;" ","")&amp;IF(AND(B39&lt;&gt;"",N(B39)&lt;N(B87)),$AM39&amp;" ","")&amp;IF(AND(B40&lt;&gt;"",N(B40)&lt;N(B88)),$AM40&amp;" ","")&amp;IF(AND(B41&lt;&gt;"",N(B41)&lt;N(B89)),$AM41&amp;" ","")&amp;IF(AND(B42&lt;&gt;"",N(B42)&lt;N(B90)),$AM42&amp;" ","")&amp;IF(AND(B43&lt;&gt;"",N(B43)&lt;N(B91)),$AM43&amp;" ","")&amp;IF(AND(B44&lt;&gt;"",N(B44)&lt;N(B92)),$AM44&amp;" ","")&amp;IF(AND(B45&lt;&gt;"",N(B45)&lt;N(B93)),$AM45&amp;" ",""))</f>
      </c>
      <c r="C46" s="43">
        <f>TRIM(IF(AND(C38&lt;&gt;"",N(C38)&lt;N(C86)),$AM38&amp;" ","")&amp;IF(AND(C39&lt;&gt;"",N(C39)&lt;N(C87)),$AM39&amp;" ","")&amp;IF(AND(C40&lt;&gt;"",N(C40)&lt;N(C88)),$AM40&amp;" ","")&amp;IF(AND(C41&lt;&gt;"",N(C41)&lt;N(C89)),$AM41&amp;" ","")&amp;IF(AND(C42&lt;&gt;"",N(C42)&lt;N(C90)),$AM42&amp;" ","")&amp;IF(AND(C43&lt;&gt;"",N(C43)&lt;N(C91)),$AM43&amp;" ","")&amp;IF(AND(C44&lt;&gt;"",N(C44)&lt;N(C92)),$AM44&amp;" ","")&amp;IF(AND(C45&lt;&gt;"",N(C45)&lt;N(C93)),$AM45&amp;" ",""))</f>
      </c>
      <c r="D46" s="43">
        <f>TRIM(IF(AND(D38&lt;&gt;"",N(D38)&lt;N(D86)),$AM38&amp;" ","")&amp;IF(AND(D39&lt;&gt;"",N(D39)&lt;N(D87)),$AM39&amp;" ","")&amp;IF(AND(D40&lt;&gt;"",N(D40)&lt;N(D88)),$AM40&amp;" ","")&amp;IF(AND(D41&lt;&gt;"",N(D41)&lt;N(D89)),$AM41&amp;" ","")&amp;IF(AND(D42&lt;&gt;"",N(D42)&lt;N(D90)),$AM42&amp;" ","")&amp;IF(AND(D43&lt;&gt;"",N(D43)&lt;N(D91)),$AM43&amp;" ","")&amp;IF(AND(D44&lt;&gt;"",N(D44)&lt;N(D92)),$AM44&amp;" ","")&amp;IF(AND(D45&lt;&gt;"",N(D45)&lt;N(D93)),$AM45&amp;" ",""))</f>
      </c>
      <c r="E46" s="43">
        <f>TRIM(IF(AND(E38&lt;&gt;"",N(E38)&lt;N(E86)),$AM38&amp;" ","")&amp;IF(AND(E39&lt;&gt;"",N(E39)&lt;N(E87)),$AM39&amp;" ","")&amp;IF(AND(E40&lt;&gt;"",N(E40)&lt;N(E88)),$AM40&amp;" ","")&amp;IF(AND(E41&lt;&gt;"",N(E41)&lt;N(E89)),$AM41&amp;" ","")&amp;IF(AND(E42&lt;&gt;"",N(E42)&lt;N(E90)),$AM42&amp;" ","")&amp;IF(AND(E43&lt;&gt;"",N(E43)&lt;N(E91)),$AM43&amp;" ","")&amp;IF(AND(E44&lt;&gt;"",N(E44)&lt;N(E92)),$AM44&amp;" ","")&amp;IF(AND(E45&lt;&gt;"",N(E45)&lt;N(E93)),$AM45&amp;" ",""))</f>
      </c>
      <c r="F46" s="43">
        <f>TRIM(IF(AND(F38&lt;&gt;"",N(F38)&lt;N(F86)),$AM38&amp;" ","")&amp;IF(AND(F39&lt;&gt;"",N(F39)&lt;N(F87)),$AM39&amp;" ","")&amp;IF(AND(F40&lt;&gt;"",N(F40)&lt;N(F88)),$AM40&amp;" ","")&amp;IF(AND(F41&lt;&gt;"",N(F41)&lt;N(F89)),$AM41&amp;" ","")&amp;IF(AND(F42&lt;&gt;"",N(F42)&lt;N(F90)),$AM42&amp;" ","")&amp;IF(AND(F43&lt;&gt;"",N(F43)&lt;N(F91)),$AM43&amp;" ","")&amp;IF(AND(F44&lt;&gt;"",N(F44)&lt;N(F92)),$AM44&amp;" ","")&amp;IF(AND(F45&lt;&gt;"",N(F45)&lt;N(F93)),$AM45&amp;" ",""))</f>
      </c>
      <c r="G46" s="43">
        <f>TRIM(IF(AND(G38&lt;&gt;"",N(G38)&lt;N(G86)),$AM38&amp;" ","")&amp;IF(AND(G39&lt;&gt;"",N(G39)&lt;N(G87)),$AM39&amp;" ","")&amp;IF(AND(G40&lt;&gt;"",N(G40)&lt;N(G88)),$AM40&amp;" ","")&amp;IF(AND(G41&lt;&gt;"",N(G41)&lt;N(G89)),$AM41&amp;" ","")&amp;IF(AND(G42&lt;&gt;"",N(G42)&lt;N(G90)),$AM42&amp;" ","")&amp;IF(AND(G43&lt;&gt;"",N(G43)&lt;N(G91)),$AM43&amp;" ","")&amp;IF(AND(G44&lt;&gt;"",N(G44)&lt;N(G92)),$AM44&amp;" ","")&amp;IF(AND(G45&lt;&gt;"",N(G45)&lt;N(G93)),$AM45&amp;" ",""))</f>
      </c>
      <c r="H46" s="43">
        <f>TRIM(IF(AND(H38&lt;&gt;"",N(H38)&lt;N(H86)),$AM38&amp;" ","")&amp;IF(AND(H39&lt;&gt;"",N(H39)&lt;N(H87)),$AM39&amp;" ","")&amp;IF(AND(H40&lt;&gt;"",N(H40)&lt;N(H88)),$AM40&amp;" ","")&amp;IF(AND(H41&lt;&gt;"",N(H41)&lt;N(H89)),$AM41&amp;" ","")&amp;IF(AND(H42&lt;&gt;"",N(H42)&lt;N(H90)),$AM42&amp;" ","")&amp;IF(AND(H43&lt;&gt;"",N(H43)&lt;N(H91)),$AM43&amp;" ","")&amp;IF(AND(H44&lt;&gt;"",N(H44)&lt;N(H92)),$AM44&amp;" ","")&amp;IF(AND(H45&lt;&gt;"",N(H45)&lt;N(H93)),$AM45&amp;" ",""))</f>
      </c>
      <c r="I46" s="43">
        <f>TRIM(IF(AND(I38&lt;&gt;"",N(I38)&lt;N(I86)),$AM38&amp;" ","")&amp;IF(AND(I39&lt;&gt;"",N(I39)&lt;N(I87)),$AM39&amp;" ","")&amp;IF(AND(I40&lt;&gt;"",N(I40)&lt;N(I88)),$AM40&amp;" ","")&amp;IF(AND(I41&lt;&gt;"",N(I41)&lt;N(I89)),$AM41&amp;" ","")&amp;IF(AND(I42&lt;&gt;"",N(I42)&lt;N(I90)),$AM42&amp;" ","")&amp;IF(AND(I43&lt;&gt;"",N(I43)&lt;N(I91)),$AM43&amp;" ","")&amp;IF(AND(I44&lt;&gt;"",N(I44)&lt;N(I92)),$AM44&amp;" ","")&amp;IF(AND(I45&lt;&gt;"",N(I45)&lt;N(I93)),$AM45&amp;" ",""))</f>
      </c>
      <c r="J46" s="43">
        <f>TRIM(IF(AND(J38&lt;&gt;"",N(J38)&lt;N(J86)),$AM38&amp;" ","")&amp;IF(AND(J39&lt;&gt;"",N(J39)&lt;N(J87)),$AM39&amp;" ","")&amp;IF(AND(J40&lt;&gt;"",N(J40)&lt;N(J88)),$AM40&amp;" ","")&amp;IF(AND(J41&lt;&gt;"",N(J41)&lt;N(J89)),$AM41&amp;" ","")&amp;IF(AND(J42&lt;&gt;"",N(J42)&lt;N(J90)),$AM42&amp;" ","")&amp;IF(AND(J43&lt;&gt;"",N(J43)&lt;N(J91)),$AM43&amp;" ","")&amp;IF(AND(J44&lt;&gt;"",N(J44)&lt;N(J92)),$AM44&amp;" ","")&amp;IF(AND(J45&lt;&gt;"",N(J45)&lt;N(J93)),$AM45&amp;" ",""))</f>
      </c>
      <c r="K46" s="43">
        <f>TRIM(IF(AND(K38&lt;&gt;"",N(K38)&lt;N(K86)),$AM38&amp;" ","")&amp;IF(AND(K39&lt;&gt;"",N(K39)&lt;N(K87)),$AM39&amp;" ","")&amp;IF(AND(K40&lt;&gt;"",N(K40)&lt;N(K88)),$AM40&amp;" ","")&amp;IF(AND(K41&lt;&gt;"",N(K41)&lt;N(K89)),$AM41&amp;" ","")&amp;IF(AND(K42&lt;&gt;"",N(K42)&lt;N(K90)),$AM42&amp;" ","")&amp;IF(AND(K43&lt;&gt;"",N(K43)&lt;N(K91)),$AM43&amp;" ","")&amp;IF(AND(K44&lt;&gt;"",N(K44)&lt;N(K92)),$AM44&amp;" ","")&amp;IF(AND(K45&lt;&gt;"",N(K45)&lt;N(K93)),$AM45&amp;" ",""))</f>
      </c>
      <c r="L46" s="43">
        <f>TRIM(IF(AND(L38&lt;&gt;"",N(L38)&lt;N(L86)),$AM38&amp;" ","")&amp;IF(AND(L39&lt;&gt;"",N(L39)&lt;N(L87)),$AM39&amp;" ","")&amp;IF(AND(L40&lt;&gt;"",N(L40)&lt;N(L88)),$AM40&amp;" ","")&amp;IF(AND(L41&lt;&gt;"",N(L41)&lt;N(L89)),$AM41&amp;" ","")&amp;IF(AND(L42&lt;&gt;"",N(L42)&lt;N(L90)),$AM42&amp;" ","")&amp;IF(AND(L43&lt;&gt;"",N(L43)&lt;N(L91)),$AM43&amp;" ","")&amp;IF(AND(L44&lt;&gt;"",N(L44)&lt;N(L92)),$AM44&amp;" ","")&amp;IF(AND(L45&lt;&gt;"",N(L45)&lt;N(L93)),$AM45&amp;" ",""))</f>
      </c>
      <c r="M46" s="43">
        <f>TRIM(IF(AND(M38&lt;&gt;"",N(M38)&lt;N(M86)),$AM38&amp;" ","")&amp;IF(AND(M39&lt;&gt;"",N(M39)&lt;N(M87)),$AM39&amp;" ","")&amp;IF(AND(M40&lt;&gt;"",N(M40)&lt;N(M88)),$AM40&amp;" ","")&amp;IF(AND(M41&lt;&gt;"",N(M41)&lt;N(M89)),$AM41&amp;" ","")&amp;IF(AND(M42&lt;&gt;"",N(M42)&lt;N(M90)),$AM42&amp;" ","")&amp;IF(AND(M43&lt;&gt;"",N(M43)&lt;N(M91)),$AM43&amp;" ","")&amp;IF(AND(M44&lt;&gt;"",N(M44)&lt;N(M92)),$AM44&amp;" ","")&amp;IF(AND(M45&lt;&gt;"",N(M45)&lt;N(M93)),$AM45&amp;" ",""))</f>
      </c>
      <c r="N46" s="43">
        <f>TRIM(IF(AND(N38&lt;&gt;"",N(N38)&lt;N(N86)),$AM38&amp;" ","")&amp;IF(AND(N39&lt;&gt;"",N(N39)&lt;N(N87)),$AM39&amp;" ","")&amp;IF(AND(N40&lt;&gt;"",N(N40)&lt;N(N88)),$AM40&amp;" ","")&amp;IF(AND(N41&lt;&gt;"",N(N41)&lt;N(N89)),$AM41&amp;" ","")&amp;IF(AND(N42&lt;&gt;"",N(N42)&lt;N(N90)),$AM42&amp;" ","")&amp;IF(AND(N43&lt;&gt;"",N(N43)&lt;N(N91)),$AM43&amp;" ","")&amp;IF(AND(N44&lt;&gt;"",N(N44)&lt;N(N92)),$AM44&amp;" ","")&amp;IF(AND(N45&lt;&gt;"",N(N45)&lt;N(N93)),$AM45&amp;" ",""))</f>
      </c>
      <c r="O46" s="43">
        <f>TRIM(IF(AND(O38&lt;&gt;"",N(O38)&lt;N(O86)),$AM38&amp;" ","")&amp;IF(AND(O39&lt;&gt;"",N(O39)&lt;N(O87)),$AM39&amp;" ","")&amp;IF(AND(O40&lt;&gt;"",N(O40)&lt;N(O88)),$AM40&amp;" ","")&amp;IF(AND(O41&lt;&gt;"",N(O41)&lt;N(O89)),$AM41&amp;" ","")&amp;IF(AND(O42&lt;&gt;"",N(O42)&lt;N(O90)),$AM42&amp;" ","")&amp;IF(AND(O43&lt;&gt;"",N(O43)&lt;N(O91)),$AM43&amp;" ","")&amp;IF(AND(O44&lt;&gt;"",N(O44)&lt;N(O92)),$AM44&amp;" ","")&amp;IF(AND(O45&lt;&gt;"",N(O45)&lt;N(O93)),$AM45&amp;" ",""))</f>
      </c>
      <c r="P46" s="43">
        <f>TRIM(IF(AND(P38&lt;&gt;"",N(P38)&lt;N(P86)),$AM38&amp;" ","")&amp;IF(AND(P39&lt;&gt;"",N(P39)&lt;N(P87)),$AM39&amp;" ","")&amp;IF(AND(P40&lt;&gt;"",N(P40)&lt;N(P88)),$AM40&amp;" ","")&amp;IF(AND(P41&lt;&gt;"",N(P41)&lt;N(P89)),$AM41&amp;" ","")&amp;IF(AND(P42&lt;&gt;"",N(P42)&lt;N(P90)),$AM42&amp;" ","")&amp;IF(AND(P43&lt;&gt;"",N(P43)&lt;N(P91)),$AM43&amp;" ","")&amp;IF(AND(P44&lt;&gt;"",N(P44)&lt;N(P92)),$AM44&amp;" ","")&amp;IF(AND(P45&lt;&gt;"",N(P45)&lt;N(P93)),$AM45&amp;" ",""))</f>
      </c>
      <c r="Q46" s="43">
        <f>TRIM(IF(AND(Q38&lt;&gt;"",N(Q38)&lt;N(Q86)),$AM38&amp;" ","")&amp;IF(AND(Q39&lt;&gt;"",N(Q39)&lt;N(Q87)),$AM39&amp;" ","")&amp;IF(AND(Q40&lt;&gt;"",N(Q40)&lt;N(Q88)),$AM40&amp;" ","")&amp;IF(AND(Q41&lt;&gt;"",N(Q41)&lt;N(Q89)),$AM41&amp;" ","")&amp;IF(AND(Q42&lt;&gt;"",N(Q42)&lt;N(Q90)),$AM42&amp;" ","")&amp;IF(AND(Q43&lt;&gt;"",N(Q43)&lt;N(Q91)),$AM43&amp;" ","")&amp;IF(AND(Q44&lt;&gt;"",N(Q44)&lt;N(Q92)),$AM44&amp;" ","")&amp;IF(AND(Q45&lt;&gt;"",N(Q45)&lt;N(Q93)),$AM45&amp;" ",""))</f>
      </c>
      <c r="R46" s="43">
        <f>TRIM(IF(AND(R38&lt;&gt;"",N(R38)&lt;N(R86)),$AM38&amp;" ","")&amp;IF(AND(R39&lt;&gt;"",N(R39)&lt;N(R87)),$AM39&amp;" ","")&amp;IF(AND(R40&lt;&gt;"",N(R40)&lt;N(R88)),$AM40&amp;" ","")&amp;IF(AND(R41&lt;&gt;"",N(R41)&lt;N(R89)),$AM41&amp;" ","")&amp;IF(AND(R42&lt;&gt;"",N(R42)&lt;N(R90)),$AM42&amp;" ","")&amp;IF(AND(R43&lt;&gt;"",N(R43)&lt;N(R91)),$AM43&amp;" ","")&amp;IF(AND(R44&lt;&gt;"",N(R44)&lt;N(R92)),$AM44&amp;" ","")&amp;IF(AND(R45&lt;&gt;"",N(R45)&lt;N(R93)),$AM45&amp;" ",""))</f>
      </c>
      <c r="S46" s="43">
        <f>TRIM(IF(AND(S38&lt;&gt;"",N(S38)&lt;N(S86)),$AM38&amp;" ","")&amp;IF(AND(S39&lt;&gt;"",N(S39)&lt;N(S87)),$AM39&amp;" ","")&amp;IF(AND(S40&lt;&gt;"",N(S40)&lt;N(S88)),$AM40&amp;" ","")&amp;IF(AND(S41&lt;&gt;"",N(S41)&lt;N(S89)),$AM41&amp;" ","")&amp;IF(AND(S42&lt;&gt;"",N(S42)&lt;N(S90)),$AM42&amp;" ","")&amp;IF(AND(S43&lt;&gt;"",N(S43)&lt;N(S91)),$AM43&amp;" ","")&amp;IF(AND(S44&lt;&gt;"",N(S44)&lt;N(S92)),$AM44&amp;" ","")&amp;IF(AND(S45&lt;&gt;"",N(S45)&lt;N(S93)),$AM45&amp;" ",""))</f>
      </c>
      <c r="T46" s="43">
        <f>TRIM(IF(AND(T38&lt;&gt;"",N(T38)&lt;N(T86)),$AM38&amp;" ","")&amp;IF(AND(T39&lt;&gt;"",N(T39)&lt;N(T87)),$AM39&amp;" ","")&amp;IF(AND(T40&lt;&gt;"",N(T40)&lt;N(T88)),$AM40&amp;" ","")&amp;IF(AND(T41&lt;&gt;"",N(T41)&lt;N(T89)),$AM41&amp;" ","")&amp;IF(AND(T42&lt;&gt;"",N(T42)&lt;N(T90)),$AM42&amp;" ","")&amp;IF(AND(T43&lt;&gt;"",N(T43)&lt;N(T91)),$AM43&amp;" ","")&amp;IF(AND(T44&lt;&gt;"",N(T44)&lt;N(T92)),$AM44&amp;" ","")&amp;IF(AND(T45&lt;&gt;"",N(T45)&lt;N(T93)),$AM45&amp;" ",""))</f>
      </c>
      <c r="U46" s="43">
        <f>TRIM(IF(AND(U38&lt;&gt;"",N(U38)&lt;N(U86)),$AM38&amp;" ","")&amp;IF(AND(U39&lt;&gt;"",N(U39)&lt;N(U87)),$AM39&amp;" ","")&amp;IF(AND(U40&lt;&gt;"",N(U40)&lt;N(U88)),$AM40&amp;" ","")&amp;IF(AND(U41&lt;&gt;"",N(U41)&lt;N(U89)),$AM41&amp;" ","")&amp;IF(AND(U42&lt;&gt;"",N(U42)&lt;N(U90)),$AM42&amp;" ","")&amp;IF(AND(U43&lt;&gt;"",N(U43)&lt;N(U91)),$AM43&amp;" ","")&amp;IF(AND(U44&lt;&gt;"",N(U44)&lt;N(U92)),$AM44&amp;" ","")&amp;IF(AND(U45&lt;&gt;"",N(U45)&lt;N(U93)),$AM45&amp;" ",""))</f>
      </c>
      <c r="V46" s="43">
        <f>TRIM(IF(AND(V38&lt;&gt;"",N(V38)&lt;N(V86)),$AM38&amp;" ","")&amp;IF(AND(V39&lt;&gt;"",N(V39)&lt;N(V87)),$AM39&amp;" ","")&amp;IF(AND(V40&lt;&gt;"",N(V40)&lt;N(V88)),$AM40&amp;" ","")&amp;IF(AND(V41&lt;&gt;"",N(V41)&lt;N(V89)),$AM41&amp;" ","")&amp;IF(AND(V42&lt;&gt;"",N(V42)&lt;N(V90)),$AM42&amp;" ","")&amp;IF(AND(V43&lt;&gt;"",N(V43)&lt;N(V91)),$AM43&amp;" ","")&amp;IF(AND(V44&lt;&gt;"",N(V44)&lt;N(V92)),$AM44&amp;" ","")&amp;IF(AND(V45&lt;&gt;"",N(V45)&lt;N(V93)),$AM45&amp;" ",""))</f>
      </c>
      <c r="W46" s="43">
        <f>TRIM(IF(AND(W38&lt;&gt;"",N(W38)&lt;N(W86)),$AM38&amp;" ","")&amp;IF(AND(W39&lt;&gt;"",N(W39)&lt;N(W87)),$AM39&amp;" ","")&amp;IF(AND(W40&lt;&gt;"",N(W40)&lt;N(W88)),$AM40&amp;" ","")&amp;IF(AND(W41&lt;&gt;"",N(W41)&lt;N(W89)),$AM41&amp;" ","")&amp;IF(AND(W42&lt;&gt;"",N(W42)&lt;N(W90)),$AM42&amp;" ","")&amp;IF(AND(W43&lt;&gt;"",N(W43)&lt;N(W91)),$AM43&amp;" ","")&amp;IF(AND(W44&lt;&gt;"",N(W44)&lt;N(W92)),$AM44&amp;" ","")&amp;IF(AND(W45&lt;&gt;"",N(W45)&lt;N(W93)),$AM45&amp;" ",""))</f>
      </c>
      <c r="X46" s="43">
        <f>TRIM(IF(AND(X38&lt;&gt;"",N(X38)&lt;N(X86)),$AM38&amp;" ","")&amp;IF(AND(X39&lt;&gt;"",N(X39)&lt;N(X87)),$AM39&amp;" ","")&amp;IF(AND(X40&lt;&gt;"",N(X40)&lt;N(X88)),$AM40&amp;" ","")&amp;IF(AND(X41&lt;&gt;"",N(X41)&lt;N(X89)),$AM41&amp;" ","")&amp;IF(AND(X42&lt;&gt;"",N(X42)&lt;N(X90)),$AM42&amp;" ","")&amp;IF(AND(X43&lt;&gt;"",N(X43)&lt;N(X91)),$AM43&amp;" ","")&amp;IF(AND(X44&lt;&gt;"",N(X44)&lt;N(X92)),$AM44&amp;" ","")&amp;IF(AND(X45&lt;&gt;"",N(X45)&lt;N(X93)),$AM45&amp;" ",""))</f>
      </c>
      <c r="Y46" s="43">
        <f>TRIM(IF(AND(Y38&lt;&gt;"",N(Y38)&lt;N(Y86)),$AM38&amp;" ","")&amp;IF(AND(Y39&lt;&gt;"",N(Y39)&lt;N(Y87)),$AM39&amp;" ","")&amp;IF(AND(Y40&lt;&gt;"",N(Y40)&lt;N(Y88)),$AM40&amp;" ","")&amp;IF(AND(Y41&lt;&gt;"",N(Y41)&lt;N(Y89)),$AM41&amp;" ","")&amp;IF(AND(Y42&lt;&gt;"",N(Y42)&lt;N(Y90)),$AM42&amp;" ","")&amp;IF(AND(Y43&lt;&gt;"",N(Y43)&lt;N(Y91)),$AM43&amp;" ","")&amp;IF(AND(Y44&lt;&gt;"",N(Y44)&lt;N(Y92)),$AM44&amp;" ","")&amp;IF(AND(Y45&lt;&gt;"",N(Y45)&lt;N(Y93)),$AM45&amp;" ",""))</f>
      </c>
      <c r="Z46" s="43">
        <f>TRIM(IF(AND(Z38&lt;&gt;"",N(Z38)&lt;N(Z86)),$AM38&amp;" ","")&amp;IF(AND(Z39&lt;&gt;"",N(Z39)&lt;N(Z87)),$AM39&amp;" ","")&amp;IF(AND(Z40&lt;&gt;"",N(Z40)&lt;N(Z88)),$AM40&amp;" ","")&amp;IF(AND(Z41&lt;&gt;"",N(Z41)&lt;N(Z89)),$AM41&amp;" ","")&amp;IF(AND(Z42&lt;&gt;"",N(Z42)&lt;N(Z90)),$AM42&amp;" ","")&amp;IF(AND(Z43&lt;&gt;"",N(Z43)&lt;N(Z91)),$AM43&amp;" ","")&amp;IF(AND(Z44&lt;&gt;"",N(Z44)&lt;N(Z92)),$AM44&amp;" ","")&amp;IF(AND(Z45&lt;&gt;"",N(Z45)&lt;N(Z93)),$AM45&amp;" ",""))</f>
      </c>
      <c r="AA46" s="43">
        <f>TRIM(IF(AND(AA38&lt;&gt;"",N(AA38)&lt;N(AA86)),$AM38&amp;" ","")&amp;IF(AND(AA39&lt;&gt;"",N(AA39)&lt;N(AA87)),$AM39&amp;" ","")&amp;IF(AND(AA40&lt;&gt;"",N(AA40)&lt;N(AA88)),$AM40&amp;" ","")&amp;IF(AND(AA41&lt;&gt;"",N(AA41)&lt;N(AA89)),$AM41&amp;" ","")&amp;IF(AND(AA42&lt;&gt;"",N(AA42)&lt;N(AA90)),$AM42&amp;" ","")&amp;IF(AND(AA43&lt;&gt;"",N(AA43)&lt;N(AA91)),$AM43&amp;" ","")&amp;IF(AND(AA44&lt;&gt;"",N(AA44)&lt;N(AA92)),$AM44&amp;" ","")&amp;IF(AND(AA45&lt;&gt;"",N(AA45)&lt;N(AA93)),$AM45&amp;" ",""))</f>
      </c>
      <c r="AB46" s="43">
        <f>TRIM(IF(AND(AB38&lt;&gt;"",N(AB38)&lt;N(AB86)),$AM38&amp;" ","")&amp;IF(AND(AB39&lt;&gt;"",N(AB39)&lt;N(AB87)),$AM39&amp;" ","")&amp;IF(AND(AB40&lt;&gt;"",N(AB40)&lt;N(AB88)),$AM40&amp;" ","")&amp;IF(AND(AB41&lt;&gt;"",N(AB41)&lt;N(AB89)),$AM41&amp;" ","")&amp;IF(AND(AB42&lt;&gt;"",N(AB42)&lt;N(AB90)),$AM42&amp;" ","")&amp;IF(AND(AB43&lt;&gt;"",N(AB43)&lt;N(AB91)),$AM43&amp;" ","")&amp;IF(AND(AB44&lt;&gt;"",N(AB44)&lt;N(AB92)),$AM44&amp;" ","")&amp;IF(AND(AB45&lt;&gt;"",N(AB45)&lt;N(AB93)),$AM45&amp;" ",""))</f>
      </c>
      <c r="AC46" s="43">
        <f>TRIM(IF(AND(AC38&lt;&gt;"",N(AC38)&lt;N(AC86)),$AM38&amp;" ","")&amp;IF(AND(AC39&lt;&gt;"",N(AC39)&lt;N(AC87)),$AM39&amp;" ","")&amp;IF(AND(AC40&lt;&gt;"",N(AC40)&lt;N(AC88)),$AM40&amp;" ","")&amp;IF(AND(AC41&lt;&gt;"",N(AC41)&lt;N(AC89)),$AM41&amp;" ","")&amp;IF(AND(AC42&lt;&gt;"",N(AC42)&lt;N(AC90)),$AM42&amp;" ","")&amp;IF(AND(AC43&lt;&gt;"",N(AC43)&lt;N(AC91)),$AM43&amp;" ","")&amp;IF(AND(AC44&lt;&gt;"",N(AC44)&lt;N(AC92)),$AM44&amp;" ","")&amp;IF(AND(AC45&lt;&gt;"",N(AC45)&lt;N(AC93)),$AM45&amp;" ",""))</f>
      </c>
      <c r="AD46" s="43">
        <f>TRIM(IF(AND(AD38&lt;&gt;"",N(AD38)&lt;N(AD86)),$AM38&amp;" ","")&amp;IF(AND(AD39&lt;&gt;"",N(AD39)&lt;N(AD87)),$AM39&amp;" ","")&amp;IF(AND(AD40&lt;&gt;"",N(AD40)&lt;N(AD88)),$AM40&amp;" ","")&amp;IF(AND(AD41&lt;&gt;"",N(AD41)&lt;N(AD89)),$AM41&amp;" ","")&amp;IF(AND(AD42&lt;&gt;"",N(AD42)&lt;N(AD90)),$AM42&amp;" ","")&amp;IF(AND(AD43&lt;&gt;"",N(AD43)&lt;N(AD91)),$AM43&amp;" ","")&amp;IF(AND(AD44&lt;&gt;"",N(AD44)&lt;N(AD92)),$AM44&amp;" ","")&amp;IF(AND(AD45&lt;&gt;"",N(AD45)&lt;N(AD93)),$AM45&amp;" ",""))</f>
      </c>
      <c r="AE46" s="43">
        <f>TRIM(IF(AND(AE38&lt;&gt;"",N(AE38)&lt;N(AE86)),$AM38&amp;" ","")&amp;IF(AND(AE39&lt;&gt;"",N(AE39)&lt;N(AE87)),$AM39&amp;" ","")&amp;IF(AND(AE40&lt;&gt;"",N(AE40)&lt;N(AE88)),$AM40&amp;" ","")&amp;IF(AND(AE41&lt;&gt;"",N(AE41)&lt;N(AE89)),$AM41&amp;" ","")&amp;IF(AND(AE42&lt;&gt;"",N(AE42)&lt;N(AE90)),$AM42&amp;" ","")&amp;IF(AND(AE43&lt;&gt;"",N(AE43)&lt;N(AE91)),$AM43&amp;" ","")&amp;IF(AND(AE44&lt;&gt;"",N(AE44)&lt;N(AE92)),$AM44&amp;" ","")&amp;IF(AND(AE45&lt;&gt;"",N(AE45)&lt;N(AE93)),$AM45&amp;" ",""))</f>
      </c>
      <c r="AF46" s="43">
        <f>TRIM(IF(AND(AF38&lt;&gt;"",N(AF38)&lt;N(AF86)),$AM38&amp;" ","")&amp;IF(AND(AF39&lt;&gt;"",N(AF39)&lt;N(AF87)),$AM39&amp;" ","")&amp;IF(AND(AF40&lt;&gt;"",N(AF40)&lt;N(AF88)),$AM40&amp;" ","")&amp;IF(AND(AF41&lt;&gt;"",N(AF41)&lt;N(AF89)),$AM41&amp;" ","")&amp;IF(AND(AF42&lt;&gt;"",N(AF42)&lt;N(AF90)),$AM42&amp;" ","")&amp;IF(AND(AF43&lt;&gt;"",N(AF43)&lt;N(AF91)),$AM43&amp;" ","")&amp;IF(AND(AF44&lt;&gt;"",N(AF44)&lt;N(AF92)),$AM44&amp;" ","")&amp;IF(AND(AF45&lt;&gt;"",N(AF45)&lt;N(AF93)),$AM45&amp;" ",""))</f>
      </c>
    </row>
    <row r="48" spans="1:38" x14ac:dyDescent="0.25">
      <c r="A48" s="7" t="s">
        <v>65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1"/>
      <c r="W48" s="1"/>
      <c r="X48" s="7" t="s">
        <v>66</v>
      </c>
      <c r="Y48" s="1"/>
      <c r="Z48" s="1"/>
      <c r="AA48" s="1"/>
      <c r="AB48" s="1"/>
      <c r="AC48" s="1"/>
      <c r="AD48" s="1"/>
      <c r="AE48" s="1"/>
      <c r="AF48" s="1"/>
      <c r="AG48" s="44"/>
      <c r="AH48" s="44"/>
      <c r="AI48" s="44"/>
      <c r="AJ48" s="44"/>
      <c r="AK48" s="44"/>
      <c r="AL48" s="44"/>
    </row>
    <row r="50" hidden="1" spans="1:32" x14ac:dyDescent="0.25">
      <c r="A50" s="1"/>
      <c r="B50" s="1">
        <f>IF(B$5="",0,IF(ISNUMBER(MATCH(B$5,FeiertagDaten,0)),1,0))</f>
      </c>
      <c r="C50" s="1">
        <f>IF(C$5="",0,IF(ISNUMBER(MATCH(C$5,FeiertagDaten,0)),1,0))</f>
      </c>
      <c r="D50" s="1">
        <f>IF(D$5="",0,IF(ISNUMBER(MATCH(D$5,FeiertagDaten,0)),1,0))</f>
      </c>
      <c r="E50" s="1">
        <f>IF(E$5="",0,IF(ISNUMBER(MATCH(E$5,FeiertagDaten,0)),1,0))</f>
      </c>
      <c r="F50" s="1">
        <f>IF(F$5="",0,IF(ISNUMBER(MATCH(F$5,FeiertagDaten,0)),1,0))</f>
      </c>
      <c r="G50" s="1">
        <f>IF(G$5="",0,IF(ISNUMBER(MATCH(G$5,FeiertagDaten,0)),1,0))</f>
      </c>
      <c r="H50" s="1">
        <f>IF(H$5="",0,IF(ISNUMBER(MATCH(H$5,FeiertagDaten,0)),1,0))</f>
      </c>
      <c r="I50" s="1">
        <f>IF(I$5="",0,IF(ISNUMBER(MATCH(I$5,FeiertagDaten,0)),1,0))</f>
      </c>
      <c r="J50" s="1">
        <f>IF(J$5="",0,IF(ISNUMBER(MATCH(J$5,FeiertagDaten,0)),1,0))</f>
      </c>
      <c r="K50" s="1">
        <f>IF(K$5="",0,IF(ISNUMBER(MATCH(K$5,FeiertagDaten,0)),1,0))</f>
      </c>
      <c r="L50" s="1">
        <f>IF(L$5="",0,IF(ISNUMBER(MATCH(L$5,FeiertagDaten,0)),1,0))</f>
      </c>
      <c r="M50" s="1">
        <f>IF(M$5="",0,IF(ISNUMBER(MATCH(M$5,FeiertagDaten,0)),1,0))</f>
      </c>
      <c r="N50" s="1">
        <f>IF(N$5="",0,IF(ISNUMBER(MATCH(N$5,FeiertagDaten,0)),1,0))</f>
      </c>
      <c r="O50" s="1">
        <f>IF(O$5="",0,IF(ISNUMBER(MATCH(O$5,FeiertagDaten,0)),1,0))</f>
      </c>
      <c r="P50" s="1">
        <f>IF(P$5="",0,IF(ISNUMBER(MATCH(P$5,FeiertagDaten,0)),1,0))</f>
      </c>
      <c r="Q50" s="1">
        <f>IF(Q$5="",0,IF(ISNUMBER(MATCH(Q$5,FeiertagDaten,0)),1,0))</f>
      </c>
      <c r="R50" s="1">
        <f>IF(R$5="",0,IF(ISNUMBER(MATCH(R$5,FeiertagDaten,0)),1,0))</f>
      </c>
      <c r="S50" s="1">
        <f>IF(S$5="",0,IF(ISNUMBER(MATCH(S$5,FeiertagDaten,0)),1,0))</f>
      </c>
      <c r="T50" s="1">
        <f>IF(T$5="",0,IF(ISNUMBER(MATCH(T$5,FeiertagDaten,0)),1,0))</f>
      </c>
      <c r="U50" s="1">
        <f>IF(U$5="",0,IF(ISNUMBER(MATCH(U$5,FeiertagDaten,0)),1,0))</f>
      </c>
      <c r="V50" s="1">
        <f>IF(V$5="",0,IF(ISNUMBER(MATCH(V$5,FeiertagDaten,0)),1,0))</f>
      </c>
      <c r="W50" s="1">
        <f>IF(W$5="",0,IF(ISNUMBER(MATCH(W$5,FeiertagDaten,0)),1,0))</f>
      </c>
      <c r="X50" s="1">
        <f>IF(X$5="",0,IF(ISNUMBER(MATCH(X$5,FeiertagDaten,0)),1,0))</f>
      </c>
      <c r="Y50" s="1">
        <f>IF(Y$5="",0,IF(ISNUMBER(MATCH(Y$5,FeiertagDaten,0)),1,0))</f>
      </c>
      <c r="Z50" s="1">
        <f>IF(Z$5="",0,IF(ISNUMBER(MATCH(Z$5,FeiertagDaten,0)),1,0))</f>
      </c>
      <c r="AA50" s="1">
        <f>IF(AA$5="",0,IF(ISNUMBER(MATCH(AA$5,FeiertagDaten,0)),1,0))</f>
      </c>
      <c r="AB50" s="1">
        <f>IF(AB$5="",0,IF(ISNUMBER(MATCH(AB$5,FeiertagDaten,0)),1,0))</f>
      </c>
      <c r="AC50" s="1">
        <f>IF(AC$5="",0,IF(ISNUMBER(MATCH(AC$5,FeiertagDaten,0)),1,0))</f>
      </c>
      <c r="AD50" s="1">
        <f>IF(AD$5="",0,IF(ISNUMBER(MATCH(AD$5,FeiertagDaten,0)),1,0))</f>
      </c>
      <c r="AE50" s="1">
        <f>IF(AE$5="",0,IF(ISNUMBER(MATCH(AE$5,FeiertagDaten,0)),1,0))</f>
      </c>
      <c r="AF50" s="1">
        <f>IF(AF$5="",0,IF(ISNUMBER(MATCH(AF$5,FeiertagDaten,0)),1,0))</f>
      </c>
    </row>
    <row r="51" hidden="1" spans="1:32" x14ac:dyDescent="0.25">
      <c r="A51" s="1"/>
      <c r="B51" s="1">
        <f>IF(B$5="",0,WEEKDAY(B$5,2))</f>
      </c>
      <c r="C51" s="1">
        <f>IF(C$5="",0,WEEKDAY(C$5,2))</f>
      </c>
      <c r="D51" s="1">
        <f>IF(D$5="",0,WEEKDAY(D$5,2))</f>
      </c>
      <c r="E51" s="1">
        <f>IF(E$5="",0,WEEKDAY(E$5,2))</f>
      </c>
      <c r="F51" s="1">
        <f>IF(F$5="",0,WEEKDAY(F$5,2))</f>
      </c>
      <c r="G51" s="1">
        <f>IF(G$5="",0,WEEKDAY(G$5,2))</f>
      </c>
      <c r="H51" s="1">
        <f>IF(H$5="",0,WEEKDAY(H$5,2))</f>
      </c>
      <c r="I51" s="1">
        <f>IF(I$5="",0,WEEKDAY(I$5,2))</f>
      </c>
      <c r="J51" s="1">
        <f>IF(J$5="",0,WEEKDAY(J$5,2))</f>
      </c>
      <c r="K51" s="1">
        <f>IF(K$5="",0,WEEKDAY(K$5,2))</f>
      </c>
      <c r="L51" s="1">
        <f>IF(L$5="",0,WEEKDAY(L$5,2))</f>
      </c>
      <c r="M51" s="1">
        <f>IF(M$5="",0,WEEKDAY(M$5,2))</f>
      </c>
      <c r="N51" s="1">
        <f>IF(N$5="",0,WEEKDAY(N$5,2))</f>
      </c>
      <c r="O51" s="1">
        <f>IF(O$5="",0,WEEKDAY(O$5,2))</f>
      </c>
      <c r="P51" s="1">
        <f>IF(P$5="",0,WEEKDAY(P$5,2))</f>
      </c>
      <c r="Q51" s="1">
        <f>IF(Q$5="",0,WEEKDAY(Q$5,2))</f>
      </c>
      <c r="R51" s="1">
        <f>IF(R$5="",0,WEEKDAY(R$5,2))</f>
      </c>
      <c r="S51" s="1">
        <f>IF(S$5="",0,WEEKDAY(S$5,2))</f>
      </c>
      <c r="T51" s="1">
        <f>IF(T$5="",0,WEEKDAY(T$5,2))</f>
      </c>
      <c r="U51" s="1">
        <f>IF(U$5="",0,WEEKDAY(U$5,2))</f>
      </c>
      <c r="V51" s="1">
        <f>IF(V$5="",0,WEEKDAY(V$5,2))</f>
      </c>
      <c r="W51" s="1">
        <f>IF(W$5="",0,WEEKDAY(W$5,2))</f>
      </c>
      <c r="X51" s="1">
        <f>IF(X$5="",0,WEEKDAY(X$5,2))</f>
      </c>
      <c r="Y51" s="1">
        <f>IF(Y$5="",0,WEEKDAY(Y$5,2))</f>
      </c>
      <c r="Z51" s="1">
        <f>IF(Z$5="",0,WEEKDAY(Z$5,2))</f>
      </c>
      <c r="AA51" s="1">
        <f>IF(AA$5="",0,WEEKDAY(AA$5,2))</f>
      </c>
      <c r="AB51" s="1">
        <f>IF(AB$5="",0,WEEKDAY(AB$5,2))</f>
      </c>
      <c r="AC51" s="1">
        <f>IF(AC$5="",0,WEEKDAY(AC$5,2))</f>
      </c>
      <c r="AD51" s="1">
        <f>IF(AD$5="",0,WEEKDAY(AD$5,2))</f>
      </c>
      <c r="AE51" s="1">
        <f>IF(AE$5="",0,WEEKDAY(AE$5,2))</f>
      </c>
      <c r="AF51" s="1">
        <f>IF(AF$5="",0,WEEKDAY(AF$5,2))</f>
      </c>
    </row>
    <row r="52" hidden="1" spans="1:32" x14ac:dyDescent="0.25">
      <c r="A52" s="1"/>
      <c r="B52" s="1">
        <f>IF(B$5="",0,1)</f>
      </c>
      <c r="C52" s="1">
        <f>IF(C$5="",0,1)</f>
      </c>
      <c r="D52" s="1">
        <f>IF(D$5="",0,1)</f>
      </c>
      <c r="E52" s="1">
        <f>IF(E$5="",0,1)</f>
      </c>
      <c r="F52" s="1">
        <f>IF(F$5="",0,1)</f>
      </c>
      <c r="G52" s="1">
        <f>IF(G$5="",0,1)</f>
      </c>
      <c r="H52" s="1">
        <f>IF(H$5="",0,1)</f>
      </c>
      <c r="I52" s="1">
        <f>IF(I$5="",0,1)</f>
      </c>
      <c r="J52" s="1">
        <f>IF(J$5="",0,1)</f>
      </c>
      <c r="K52" s="1">
        <f>IF(K$5="",0,1)</f>
      </c>
      <c r="L52" s="1">
        <f>IF(L$5="",0,1)</f>
      </c>
      <c r="M52" s="1">
        <f>IF(M$5="",0,1)</f>
      </c>
      <c r="N52" s="1">
        <f>IF(N$5="",0,1)</f>
      </c>
      <c r="O52" s="1">
        <f>IF(O$5="",0,1)</f>
      </c>
      <c r="P52" s="1">
        <f>IF(P$5="",0,1)</f>
      </c>
      <c r="Q52" s="1">
        <f>IF(Q$5="",0,1)</f>
      </c>
      <c r="R52" s="1">
        <f>IF(R$5="",0,1)</f>
      </c>
      <c r="S52" s="1">
        <f>IF(S$5="",0,1)</f>
      </c>
      <c r="T52" s="1">
        <f>IF(T$5="",0,1)</f>
      </c>
      <c r="U52" s="1">
        <f>IF(U$5="",0,1)</f>
      </c>
      <c r="V52" s="1">
        <f>IF(V$5="",0,1)</f>
      </c>
      <c r="W52" s="1">
        <f>IF(W$5="",0,1)</f>
      </c>
      <c r="X52" s="1">
        <f>IF(X$5="",0,1)</f>
      </c>
      <c r="Y52" s="1">
        <f>IF(Y$5="",0,1)</f>
      </c>
      <c r="Z52" s="1">
        <f>IF(Z$5="",0,1)</f>
      </c>
      <c r="AA52" s="1">
        <f>IF(AA$5="",0,1)</f>
      </c>
      <c r="AB52" s="1">
        <f>IF(AB$5="",0,1)</f>
      </c>
      <c r="AC52" s="1">
        <f>IF(AC$5="",0,1)</f>
      </c>
      <c r="AD52" s="1">
        <f>IF(AD$5="",0,1)</f>
      </c>
      <c r="AE52" s="1">
        <f>IF(AE$5="",0,1)</f>
      </c>
      <c r="AF52" s="1">
        <f>IF(AF$5="",0,1)</f>
      </c>
    </row>
    <row r="53" hidden="1" spans="1:32" x14ac:dyDescent="0.25">
      <c r="A53" s="1"/>
      <c r="B53" s="1">
        <f>IF(AND(B51&gt;=1,B51&lt;=5,B50=0),1,0)</f>
      </c>
      <c r="C53" s="1">
        <f>IF(AND(C51&gt;=1,C51&lt;=5,C50=0),1,0)</f>
      </c>
      <c r="D53" s="1">
        <f>IF(AND(D51&gt;=1,D51&lt;=5,D50=0),1,0)</f>
      </c>
      <c r="E53" s="1">
        <f>IF(AND(E51&gt;=1,E51&lt;=5,E50=0),1,0)</f>
      </c>
      <c r="F53" s="1">
        <f>IF(AND(F51&gt;=1,F51&lt;=5,F50=0),1,0)</f>
      </c>
      <c r="G53" s="1">
        <f>IF(AND(G51&gt;=1,G51&lt;=5,G50=0),1,0)</f>
      </c>
      <c r="H53" s="1">
        <f>IF(AND(H51&gt;=1,H51&lt;=5,H50=0),1,0)</f>
      </c>
      <c r="I53" s="1">
        <f>IF(AND(I51&gt;=1,I51&lt;=5,I50=0),1,0)</f>
      </c>
      <c r="J53" s="1">
        <f>IF(AND(J51&gt;=1,J51&lt;=5,J50=0),1,0)</f>
      </c>
      <c r="K53" s="1">
        <f>IF(AND(K51&gt;=1,K51&lt;=5,K50=0),1,0)</f>
      </c>
      <c r="L53" s="1">
        <f>IF(AND(L51&gt;=1,L51&lt;=5,L50=0),1,0)</f>
      </c>
      <c r="M53" s="1">
        <f>IF(AND(M51&gt;=1,M51&lt;=5,M50=0),1,0)</f>
      </c>
      <c r="N53" s="1">
        <f>IF(AND(N51&gt;=1,N51&lt;=5,N50=0),1,0)</f>
      </c>
      <c r="O53" s="1">
        <f>IF(AND(O51&gt;=1,O51&lt;=5,O50=0),1,0)</f>
      </c>
      <c r="P53" s="1">
        <f>IF(AND(P51&gt;=1,P51&lt;=5,P50=0),1,0)</f>
      </c>
      <c r="Q53" s="1">
        <f>IF(AND(Q51&gt;=1,Q51&lt;=5,Q50=0),1,0)</f>
      </c>
      <c r="R53" s="1">
        <f>IF(AND(R51&gt;=1,R51&lt;=5,R50=0),1,0)</f>
      </c>
      <c r="S53" s="1">
        <f>IF(AND(S51&gt;=1,S51&lt;=5,S50=0),1,0)</f>
      </c>
      <c r="T53" s="1">
        <f>IF(AND(T51&gt;=1,T51&lt;=5,T50=0),1,0)</f>
      </c>
      <c r="U53" s="1">
        <f>IF(AND(U51&gt;=1,U51&lt;=5,U50=0),1,0)</f>
      </c>
      <c r="V53" s="1">
        <f>IF(AND(V51&gt;=1,V51&lt;=5,V50=0),1,0)</f>
      </c>
      <c r="W53" s="1">
        <f>IF(AND(W51&gt;=1,W51&lt;=5,W50=0),1,0)</f>
      </c>
      <c r="X53" s="1">
        <f>IF(AND(X51&gt;=1,X51&lt;=5,X50=0),1,0)</f>
      </c>
      <c r="Y53" s="1">
        <f>IF(AND(Y51&gt;=1,Y51&lt;=5,Y50=0),1,0)</f>
      </c>
      <c r="Z53" s="1">
        <f>IF(AND(Z51&gt;=1,Z51&lt;=5,Z50=0),1,0)</f>
      </c>
      <c r="AA53" s="1">
        <f>IF(AND(AA51&gt;=1,AA51&lt;=5,AA50=0),1,0)</f>
      </c>
      <c r="AB53" s="1">
        <f>IF(AND(AB51&gt;=1,AB51&lt;=5,AB50=0),1,0)</f>
      </c>
      <c r="AC53" s="1">
        <f>IF(AND(AC51&gt;=1,AC51&lt;=5,AC50=0),1,0)</f>
      </c>
      <c r="AD53" s="1">
        <f>IF(AND(AD51&gt;=1,AD51&lt;=5,AD50=0),1,0)</f>
      </c>
      <c r="AE53" s="1">
        <f>IF(AND(AE51&gt;=1,AE51&lt;=5,AE50=0),1,0)</f>
      </c>
      <c r="AF53" s="1">
        <f>IF(AND(AF51&gt;=1,AF51&lt;=5,AF50=0),1,0)</f>
      </c>
    </row>
    <row r="55" hidden="1" spans="1:32" x14ac:dyDescent="0.25">
      <c r="A55" s="1"/>
      <c r="B55" s="1">
        <f>IF(OR(B$52=0,INDEX('April'!$B$6:$AF$6,DAY(DATE(Jahr,5,0)))="",B6=""),0,IFERROR(IF(AND(INDEX(Arten,MATCH(INDEX('April'!$B$6:$AF$6,DAY(DATE(Jahr,5,0))),Codes,0))="Arbeit",INDEX(Arten,MATCH(B6,Codes,0))="Arbeit"),IF(ROUND((1+INDEX(Beginne,MATCH(B6,Codes,0))-INDEX(EndeRel,MATCH(INDEX('April'!$B$6:$AF$6,DAY(DATE(Jahr,5,0))),Codes,0)))*1440,0)&lt;660,1,0),0),0))</f>
      </c>
      <c r="C55" s="1">
        <f>IF(OR(C$52=0,B6="",C6=""),0,IFERROR(IF(AND(INDEX(Arten,MATCH(B6,Codes,0))="Arbeit",INDEX(Arten,MATCH(C6,Codes,0))="Arbeit"),IF(ROUND((1+INDEX(Beginne,MATCH(C6,Codes,0))-INDEX(EndeRel,MATCH(B6,Codes,0)))*1440,0)&lt;660,1,0),0),0))</f>
      </c>
      <c r="D55" s="1">
        <f>IF(OR(D$52=0,C6="",D6=""),0,IFERROR(IF(AND(INDEX(Arten,MATCH(C6,Codes,0))="Arbeit",INDEX(Arten,MATCH(D6,Codes,0))="Arbeit"),IF(ROUND((1+INDEX(Beginne,MATCH(D6,Codes,0))-INDEX(EndeRel,MATCH(C6,Codes,0)))*1440,0)&lt;660,1,0),0),0))</f>
      </c>
      <c r="E55" s="1">
        <f>IF(OR(E$52=0,D6="",E6=""),0,IFERROR(IF(AND(INDEX(Arten,MATCH(D6,Codes,0))="Arbeit",INDEX(Arten,MATCH(E6,Codes,0))="Arbeit"),IF(ROUND((1+INDEX(Beginne,MATCH(E6,Codes,0))-INDEX(EndeRel,MATCH(D6,Codes,0)))*1440,0)&lt;660,1,0),0),0))</f>
      </c>
      <c r="F55" s="1">
        <f>IF(OR(F$52=0,E6="",F6=""),0,IFERROR(IF(AND(INDEX(Arten,MATCH(E6,Codes,0))="Arbeit",INDEX(Arten,MATCH(F6,Codes,0))="Arbeit"),IF(ROUND((1+INDEX(Beginne,MATCH(F6,Codes,0))-INDEX(EndeRel,MATCH(E6,Codes,0)))*1440,0)&lt;660,1,0),0),0))</f>
      </c>
      <c r="G55" s="1">
        <f>IF(OR(G$52=0,F6="",G6=""),0,IFERROR(IF(AND(INDEX(Arten,MATCH(F6,Codes,0))="Arbeit",INDEX(Arten,MATCH(G6,Codes,0))="Arbeit"),IF(ROUND((1+INDEX(Beginne,MATCH(G6,Codes,0))-INDEX(EndeRel,MATCH(F6,Codes,0)))*1440,0)&lt;660,1,0),0),0))</f>
      </c>
      <c r="H55" s="1">
        <f>IF(OR(H$52=0,G6="",H6=""),0,IFERROR(IF(AND(INDEX(Arten,MATCH(G6,Codes,0))="Arbeit",INDEX(Arten,MATCH(H6,Codes,0))="Arbeit"),IF(ROUND((1+INDEX(Beginne,MATCH(H6,Codes,0))-INDEX(EndeRel,MATCH(G6,Codes,0)))*1440,0)&lt;660,1,0),0),0))</f>
      </c>
      <c r="I55" s="1">
        <f>IF(OR(I$52=0,H6="",I6=""),0,IFERROR(IF(AND(INDEX(Arten,MATCH(H6,Codes,0))="Arbeit",INDEX(Arten,MATCH(I6,Codes,0))="Arbeit"),IF(ROUND((1+INDEX(Beginne,MATCH(I6,Codes,0))-INDEX(EndeRel,MATCH(H6,Codes,0)))*1440,0)&lt;660,1,0),0),0))</f>
      </c>
      <c r="J55" s="1">
        <f>IF(OR(J$52=0,I6="",J6=""),0,IFERROR(IF(AND(INDEX(Arten,MATCH(I6,Codes,0))="Arbeit",INDEX(Arten,MATCH(J6,Codes,0))="Arbeit"),IF(ROUND((1+INDEX(Beginne,MATCH(J6,Codes,0))-INDEX(EndeRel,MATCH(I6,Codes,0)))*1440,0)&lt;660,1,0),0),0))</f>
      </c>
      <c r="K55" s="1">
        <f>IF(OR(K$52=0,J6="",K6=""),0,IFERROR(IF(AND(INDEX(Arten,MATCH(J6,Codes,0))="Arbeit",INDEX(Arten,MATCH(K6,Codes,0))="Arbeit"),IF(ROUND((1+INDEX(Beginne,MATCH(K6,Codes,0))-INDEX(EndeRel,MATCH(J6,Codes,0)))*1440,0)&lt;660,1,0),0),0))</f>
      </c>
      <c r="L55" s="1">
        <f>IF(OR(L$52=0,K6="",L6=""),0,IFERROR(IF(AND(INDEX(Arten,MATCH(K6,Codes,0))="Arbeit",INDEX(Arten,MATCH(L6,Codes,0))="Arbeit"),IF(ROUND((1+INDEX(Beginne,MATCH(L6,Codes,0))-INDEX(EndeRel,MATCH(K6,Codes,0)))*1440,0)&lt;660,1,0),0),0))</f>
      </c>
      <c r="M55" s="1">
        <f>IF(OR(M$52=0,L6="",M6=""),0,IFERROR(IF(AND(INDEX(Arten,MATCH(L6,Codes,0))="Arbeit",INDEX(Arten,MATCH(M6,Codes,0))="Arbeit"),IF(ROUND((1+INDEX(Beginne,MATCH(M6,Codes,0))-INDEX(EndeRel,MATCH(L6,Codes,0)))*1440,0)&lt;660,1,0),0),0))</f>
      </c>
      <c r="N55" s="1">
        <f>IF(OR(N$52=0,M6="",N6=""),0,IFERROR(IF(AND(INDEX(Arten,MATCH(M6,Codes,0))="Arbeit",INDEX(Arten,MATCH(N6,Codes,0))="Arbeit"),IF(ROUND((1+INDEX(Beginne,MATCH(N6,Codes,0))-INDEX(EndeRel,MATCH(M6,Codes,0)))*1440,0)&lt;660,1,0),0),0))</f>
      </c>
      <c r="O55" s="1">
        <f>IF(OR(O$52=0,N6="",O6=""),0,IFERROR(IF(AND(INDEX(Arten,MATCH(N6,Codes,0))="Arbeit",INDEX(Arten,MATCH(O6,Codes,0))="Arbeit"),IF(ROUND((1+INDEX(Beginne,MATCH(O6,Codes,0))-INDEX(EndeRel,MATCH(N6,Codes,0)))*1440,0)&lt;660,1,0),0),0))</f>
      </c>
      <c r="P55" s="1">
        <f>IF(OR(P$52=0,O6="",P6=""),0,IFERROR(IF(AND(INDEX(Arten,MATCH(O6,Codes,0))="Arbeit",INDEX(Arten,MATCH(P6,Codes,0))="Arbeit"),IF(ROUND((1+INDEX(Beginne,MATCH(P6,Codes,0))-INDEX(EndeRel,MATCH(O6,Codes,0)))*1440,0)&lt;660,1,0),0),0))</f>
      </c>
      <c r="Q55" s="1">
        <f>IF(OR(Q$52=0,P6="",Q6=""),0,IFERROR(IF(AND(INDEX(Arten,MATCH(P6,Codes,0))="Arbeit",INDEX(Arten,MATCH(Q6,Codes,0))="Arbeit"),IF(ROUND((1+INDEX(Beginne,MATCH(Q6,Codes,0))-INDEX(EndeRel,MATCH(P6,Codes,0)))*1440,0)&lt;660,1,0),0),0))</f>
      </c>
      <c r="R55" s="1">
        <f>IF(OR(R$52=0,Q6="",R6=""),0,IFERROR(IF(AND(INDEX(Arten,MATCH(Q6,Codes,0))="Arbeit",INDEX(Arten,MATCH(R6,Codes,0))="Arbeit"),IF(ROUND((1+INDEX(Beginne,MATCH(R6,Codes,0))-INDEX(EndeRel,MATCH(Q6,Codes,0)))*1440,0)&lt;660,1,0),0),0))</f>
      </c>
      <c r="S55" s="1">
        <f>IF(OR(S$52=0,R6="",S6=""),0,IFERROR(IF(AND(INDEX(Arten,MATCH(R6,Codes,0))="Arbeit",INDEX(Arten,MATCH(S6,Codes,0))="Arbeit"),IF(ROUND((1+INDEX(Beginne,MATCH(S6,Codes,0))-INDEX(EndeRel,MATCH(R6,Codes,0)))*1440,0)&lt;660,1,0),0),0))</f>
      </c>
      <c r="T55" s="1">
        <f>IF(OR(T$52=0,S6="",T6=""),0,IFERROR(IF(AND(INDEX(Arten,MATCH(S6,Codes,0))="Arbeit",INDEX(Arten,MATCH(T6,Codes,0))="Arbeit"),IF(ROUND((1+INDEX(Beginne,MATCH(T6,Codes,0))-INDEX(EndeRel,MATCH(S6,Codes,0)))*1440,0)&lt;660,1,0),0),0))</f>
      </c>
      <c r="U55" s="1">
        <f>IF(OR(U$52=0,T6="",U6=""),0,IFERROR(IF(AND(INDEX(Arten,MATCH(T6,Codes,0))="Arbeit",INDEX(Arten,MATCH(U6,Codes,0))="Arbeit"),IF(ROUND((1+INDEX(Beginne,MATCH(U6,Codes,0))-INDEX(EndeRel,MATCH(T6,Codes,0)))*1440,0)&lt;660,1,0),0),0))</f>
      </c>
      <c r="V55" s="1">
        <f>IF(OR(V$52=0,U6="",V6=""),0,IFERROR(IF(AND(INDEX(Arten,MATCH(U6,Codes,0))="Arbeit",INDEX(Arten,MATCH(V6,Codes,0))="Arbeit"),IF(ROUND((1+INDEX(Beginne,MATCH(V6,Codes,0))-INDEX(EndeRel,MATCH(U6,Codes,0)))*1440,0)&lt;660,1,0),0),0))</f>
      </c>
      <c r="W55" s="1">
        <f>IF(OR(W$52=0,V6="",W6=""),0,IFERROR(IF(AND(INDEX(Arten,MATCH(V6,Codes,0))="Arbeit",INDEX(Arten,MATCH(W6,Codes,0))="Arbeit"),IF(ROUND((1+INDEX(Beginne,MATCH(W6,Codes,0))-INDEX(EndeRel,MATCH(V6,Codes,0)))*1440,0)&lt;660,1,0),0),0))</f>
      </c>
      <c r="X55" s="1">
        <f>IF(OR(X$52=0,W6="",X6=""),0,IFERROR(IF(AND(INDEX(Arten,MATCH(W6,Codes,0))="Arbeit",INDEX(Arten,MATCH(X6,Codes,0))="Arbeit"),IF(ROUND((1+INDEX(Beginne,MATCH(X6,Codes,0))-INDEX(EndeRel,MATCH(W6,Codes,0)))*1440,0)&lt;660,1,0),0),0))</f>
      </c>
      <c r="Y55" s="1">
        <f>IF(OR(Y$52=0,X6="",Y6=""),0,IFERROR(IF(AND(INDEX(Arten,MATCH(X6,Codes,0))="Arbeit",INDEX(Arten,MATCH(Y6,Codes,0))="Arbeit"),IF(ROUND((1+INDEX(Beginne,MATCH(Y6,Codes,0))-INDEX(EndeRel,MATCH(X6,Codes,0)))*1440,0)&lt;660,1,0),0),0))</f>
      </c>
      <c r="Z55" s="1">
        <f>IF(OR(Z$52=0,Y6="",Z6=""),0,IFERROR(IF(AND(INDEX(Arten,MATCH(Y6,Codes,0))="Arbeit",INDEX(Arten,MATCH(Z6,Codes,0))="Arbeit"),IF(ROUND((1+INDEX(Beginne,MATCH(Z6,Codes,0))-INDEX(EndeRel,MATCH(Y6,Codes,0)))*1440,0)&lt;660,1,0),0),0))</f>
      </c>
      <c r="AA55" s="1">
        <f>IF(OR(AA$52=0,Z6="",AA6=""),0,IFERROR(IF(AND(INDEX(Arten,MATCH(Z6,Codes,0))="Arbeit",INDEX(Arten,MATCH(AA6,Codes,0))="Arbeit"),IF(ROUND((1+INDEX(Beginne,MATCH(AA6,Codes,0))-INDEX(EndeRel,MATCH(Z6,Codes,0)))*1440,0)&lt;660,1,0),0),0))</f>
      </c>
      <c r="AB55" s="1">
        <f>IF(OR(AB$52=0,AA6="",AB6=""),0,IFERROR(IF(AND(INDEX(Arten,MATCH(AA6,Codes,0))="Arbeit",INDEX(Arten,MATCH(AB6,Codes,0))="Arbeit"),IF(ROUND((1+INDEX(Beginne,MATCH(AB6,Codes,0))-INDEX(EndeRel,MATCH(AA6,Codes,0)))*1440,0)&lt;660,1,0),0),0))</f>
      </c>
      <c r="AC55" s="1">
        <f>IF(OR(AC$52=0,AB6="",AC6=""),0,IFERROR(IF(AND(INDEX(Arten,MATCH(AB6,Codes,0))="Arbeit",INDEX(Arten,MATCH(AC6,Codes,0))="Arbeit"),IF(ROUND((1+INDEX(Beginne,MATCH(AC6,Codes,0))-INDEX(EndeRel,MATCH(AB6,Codes,0)))*1440,0)&lt;660,1,0),0),0))</f>
      </c>
      <c r="AD55" s="1">
        <f>IF(OR(AD$52=0,AC6="",AD6=""),0,IFERROR(IF(AND(INDEX(Arten,MATCH(AC6,Codes,0))="Arbeit",INDEX(Arten,MATCH(AD6,Codes,0))="Arbeit"),IF(ROUND((1+INDEX(Beginne,MATCH(AD6,Codes,0))-INDEX(EndeRel,MATCH(AC6,Codes,0)))*1440,0)&lt;660,1,0),0),0))</f>
      </c>
      <c r="AE55" s="1">
        <f>IF(OR(AE$52=0,AD6="",AE6=""),0,IFERROR(IF(AND(INDEX(Arten,MATCH(AD6,Codes,0))="Arbeit",INDEX(Arten,MATCH(AE6,Codes,0))="Arbeit"),IF(ROUND((1+INDEX(Beginne,MATCH(AE6,Codes,0))-INDEX(EndeRel,MATCH(AD6,Codes,0)))*1440,0)&lt;660,1,0),0),0))</f>
      </c>
      <c r="AF55" s="1">
        <f>IF(OR(AF$52=0,AE6="",AF6=""),0,IFERROR(IF(AND(INDEX(Arten,MATCH(AE6,Codes,0))="Arbeit",INDEX(Arten,MATCH(AF6,Codes,0))="Arbeit"),IF(ROUND((1+INDEX(Beginne,MATCH(AF6,Codes,0))-INDEX(EndeRel,MATCH(AE6,Codes,0)))*1440,0)&lt;660,1,0),0),0))</f>
      </c>
    </row>
    <row r="56" hidden="1" spans="1:32" x14ac:dyDescent="0.25">
      <c r="A56" s="1"/>
      <c r="B56" s="1">
        <f>IF(OR(B$52=0,INDEX('April'!$B$7:$AF$7,DAY(DATE(Jahr,5,0)))="",B7=""),0,IFERROR(IF(AND(INDEX(Arten,MATCH(INDEX('April'!$B$7:$AF$7,DAY(DATE(Jahr,5,0))),Codes,0))="Arbeit",INDEX(Arten,MATCH(B7,Codes,0))="Arbeit"),IF(ROUND((1+INDEX(Beginne,MATCH(B7,Codes,0))-INDEX(EndeRel,MATCH(INDEX('April'!$B$7:$AF$7,DAY(DATE(Jahr,5,0))),Codes,0)))*1440,0)&lt;660,1,0),0),0))</f>
      </c>
      <c r="C56" s="1">
        <f>IF(OR(C$52=0,B7="",C7=""),0,IFERROR(IF(AND(INDEX(Arten,MATCH(B7,Codes,0))="Arbeit",INDEX(Arten,MATCH(C7,Codes,0))="Arbeit"),IF(ROUND((1+INDEX(Beginne,MATCH(C7,Codes,0))-INDEX(EndeRel,MATCH(B7,Codes,0)))*1440,0)&lt;660,1,0),0),0))</f>
      </c>
      <c r="D56" s="1">
        <f>IF(OR(D$52=0,C7="",D7=""),0,IFERROR(IF(AND(INDEX(Arten,MATCH(C7,Codes,0))="Arbeit",INDEX(Arten,MATCH(D7,Codes,0))="Arbeit"),IF(ROUND((1+INDEX(Beginne,MATCH(D7,Codes,0))-INDEX(EndeRel,MATCH(C7,Codes,0)))*1440,0)&lt;660,1,0),0),0))</f>
      </c>
      <c r="E56" s="1">
        <f>IF(OR(E$52=0,D7="",E7=""),0,IFERROR(IF(AND(INDEX(Arten,MATCH(D7,Codes,0))="Arbeit",INDEX(Arten,MATCH(E7,Codes,0))="Arbeit"),IF(ROUND((1+INDEX(Beginne,MATCH(E7,Codes,0))-INDEX(EndeRel,MATCH(D7,Codes,0)))*1440,0)&lt;660,1,0),0),0))</f>
      </c>
      <c r="F56" s="1">
        <f>IF(OR(F$52=0,E7="",F7=""),0,IFERROR(IF(AND(INDEX(Arten,MATCH(E7,Codes,0))="Arbeit",INDEX(Arten,MATCH(F7,Codes,0))="Arbeit"),IF(ROUND((1+INDEX(Beginne,MATCH(F7,Codes,0))-INDEX(EndeRel,MATCH(E7,Codes,0)))*1440,0)&lt;660,1,0),0),0))</f>
      </c>
      <c r="G56" s="1">
        <f>IF(OR(G$52=0,F7="",G7=""),0,IFERROR(IF(AND(INDEX(Arten,MATCH(F7,Codes,0))="Arbeit",INDEX(Arten,MATCH(G7,Codes,0))="Arbeit"),IF(ROUND((1+INDEX(Beginne,MATCH(G7,Codes,0))-INDEX(EndeRel,MATCH(F7,Codes,0)))*1440,0)&lt;660,1,0),0),0))</f>
      </c>
      <c r="H56" s="1">
        <f>IF(OR(H$52=0,G7="",H7=""),0,IFERROR(IF(AND(INDEX(Arten,MATCH(G7,Codes,0))="Arbeit",INDEX(Arten,MATCH(H7,Codes,0))="Arbeit"),IF(ROUND((1+INDEX(Beginne,MATCH(H7,Codes,0))-INDEX(EndeRel,MATCH(G7,Codes,0)))*1440,0)&lt;660,1,0),0),0))</f>
      </c>
      <c r="I56" s="1">
        <f>IF(OR(I$52=0,H7="",I7=""),0,IFERROR(IF(AND(INDEX(Arten,MATCH(H7,Codes,0))="Arbeit",INDEX(Arten,MATCH(I7,Codes,0))="Arbeit"),IF(ROUND((1+INDEX(Beginne,MATCH(I7,Codes,0))-INDEX(EndeRel,MATCH(H7,Codes,0)))*1440,0)&lt;660,1,0),0),0))</f>
      </c>
      <c r="J56" s="1">
        <f>IF(OR(J$52=0,I7="",J7=""),0,IFERROR(IF(AND(INDEX(Arten,MATCH(I7,Codes,0))="Arbeit",INDEX(Arten,MATCH(J7,Codes,0))="Arbeit"),IF(ROUND((1+INDEX(Beginne,MATCH(J7,Codes,0))-INDEX(EndeRel,MATCH(I7,Codes,0)))*1440,0)&lt;660,1,0),0),0))</f>
      </c>
      <c r="K56" s="1">
        <f>IF(OR(K$52=0,J7="",K7=""),0,IFERROR(IF(AND(INDEX(Arten,MATCH(J7,Codes,0))="Arbeit",INDEX(Arten,MATCH(K7,Codes,0))="Arbeit"),IF(ROUND((1+INDEX(Beginne,MATCH(K7,Codes,0))-INDEX(EndeRel,MATCH(J7,Codes,0)))*1440,0)&lt;660,1,0),0),0))</f>
      </c>
      <c r="L56" s="1">
        <f>IF(OR(L$52=0,K7="",L7=""),0,IFERROR(IF(AND(INDEX(Arten,MATCH(K7,Codes,0))="Arbeit",INDEX(Arten,MATCH(L7,Codes,0))="Arbeit"),IF(ROUND((1+INDEX(Beginne,MATCH(L7,Codes,0))-INDEX(EndeRel,MATCH(K7,Codes,0)))*1440,0)&lt;660,1,0),0),0))</f>
      </c>
      <c r="M56" s="1">
        <f>IF(OR(M$52=0,L7="",M7=""),0,IFERROR(IF(AND(INDEX(Arten,MATCH(L7,Codes,0))="Arbeit",INDEX(Arten,MATCH(M7,Codes,0))="Arbeit"),IF(ROUND((1+INDEX(Beginne,MATCH(M7,Codes,0))-INDEX(EndeRel,MATCH(L7,Codes,0)))*1440,0)&lt;660,1,0),0),0))</f>
      </c>
      <c r="N56" s="1">
        <f>IF(OR(N$52=0,M7="",N7=""),0,IFERROR(IF(AND(INDEX(Arten,MATCH(M7,Codes,0))="Arbeit",INDEX(Arten,MATCH(N7,Codes,0))="Arbeit"),IF(ROUND((1+INDEX(Beginne,MATCH(N7,Codes,0))-INDEX(EndeRel,MATCH(M7,Codes,0)))*1440,0)&lt;660,1,0),0),0))</f>
      </c>
      <c r="O56" s="1">
        <f>IF(OR(O$52=0,N7="",O7=""),0,IFERROR(IF(AND(INDEX(Arten,MATCH(N7,Codes,0))="Arbeit",INDEX(Arten,MATCH(O7,Codes,0))="Arbeit"),IF(ROUND((1+INDEX(Beginne,MATCH(O7,Codes,0))-INDEX(EndeRel,MATCH(N7,Codes,0)))*1440,0)&lt;660,1,0),0),0))</f>
      </c>
      <c r="P56" s="1">
        <f>IF(OR(P$52=0,O7="",P7=""),0,IFERROR(IF(AND(INDEX(Arten,MATCH(O7,Codes,0))="Arbeit",INDEX(Arten,MATCH(P7,Codes,0))="Arbeit"),IF(ROUND((1+INDEX(Beginne,MATCH(P7,Codes,0))-INDEX(EndeRel,MATCH(O7,Codes,0)))*1440,0)&lt;660,1,0),0),0))</f>
      </c>
      <c r="Q56" s="1">
        <f>IF(OR(Q$52=0,P7="",Q7=""),0,IFERROR(IF(AND(INDEX(Arten,MATCH(P7,Codes,0))="Arbeit",INDEX(Arten,MATCH(Q7,Codes,0))="Arbeit"),IF(ROUND((1+INDEX(Beginne,MATCH(Q7,Codes,0))-INDEX(EndeRel,MATCH(P7,Codes,0)))*1440,0)&lt;660,1,0),0),0))</f>
      </c>
      <c r="R56" s="1">
        <f>IF(OR(R$52=0,Q7="",R7=""),0,IFERROR(IF(AND(INDEX(Arten,MATCH(Q7,Codes,0))="Arbeit",INDEX(Arten,MATCH(R7,Codes,0))="Arbeit"),IF(ROUND((1+INDEX(Beginne,MATCH(R7,Codes,0))-INDEX(EndeRel,MATCH(Q7,Codes,0)))*1440,0)&lt;660,1,0),0),0))</f>
      </c>
      <c r="S56" s="1">
        <f>IF(OR(S$52=0,R7="",S7=""),0,IFERROR(IF(AND(INDEX(Arten,MATCH(R7,Codes,0))="Arbeit",INDEX(Arten,MATCH(S7,Codes,0))="Arbeit"),IF(ROUND((1+INDEX(Beginne,MATCH(S7,Codes,0))-INDEX(EndeRel,MATCH(R7,Codes,0)))*1440,0)&lt;660,1,0),0),0))</f>
      </c>
      <c r="T56" s="1">
        <f>IF(OR(T$52=0,S7="",T7=""),0,IFERROR(IF(AND(INDEX(Arten,MATCH(S7,Codes,0))="Arbeit",INDEX(Arten,MATCH(T7,Codes,0))="Arbeit"),IF(ROUND((1+INDEX(Beginne,MATCH(T7,Codes,0))-INDEX(EndeRel,MATCH(S7,Codes,0)))*1440,0)&lt;660,1,0),0),0))</f>
      </c>
      <c r="U56" s="1">
        <f>IF(OR(U$52=0,T7="",U7=""),0,IFERROR(IF(AND(INDEX(Arten,MATCH(T7,Codes,0))="Arbeit",INDEX(Arten,MATCH(U7,Codes,0))="Arbeit"),IF(ROUND((1+INDEX(Beginne,MATCH(U7,Codes,0))-INDEX(EndeRel,MATCH(T7,Codes,0)))*1440,0)&lt;660,1,0),0),0))</f>
      </c>
      <c r="V56" s="1">
        <f>IF(OR(V$52=0,U7="",V7=""),0,IFERROR(IF(AND(INDEX(Arten,MATCH(U7,Codes,0))="Arbeit",INDEX(Arten,MATCH(V7,Codes,0))="Arbeit"),IF(ROUND((1+INDEX(Beginne,MATCH(V7,Codes,0))-INDEX(EndeRel,MATCH(U7,Codes,0)))*1440,0)&lt;660,1,0),0),0))</f>
      </c>
      <c r="W56" s="1">
        <f>IF(OR(W$52=0,V7="",W7=""),0,IFERROR(IF(AND(INDEX(Arten,MATCH(V7,Codes,0))="Arbeit",INDEX(Arten,MATCH(W7,Codes,0))="Arbeit"),IF(ROUND((1+INDEX(Beginne,MATCH(W7,Codes,0))-INDEX(EndeRel,MATCH(V7,Codes,0)))*1440,0)&lt;660,1,0),0),0))</f>
      </c>
      <c r="X56" s="1">
        <f>IF(OR(X$52=0,W7="",X7=""),0,IFERROR(IF(AND(INDEX(Arten,MATCH(W7,Codes,0))="Arbeit",INDEX(Arten,MATCH(X7,Codes,0))="Arbeit"),IF(ROUND((1+INDEX(Beginne,MATCH(X7,Codes,0))-INDEX(EndeRel,MATCH(W7,Codes,0)))*1440,0)&lt;660,1,0),0),0))</f>
      </c>
      <c r="Y56" s="1">
        <f>IF(OR(Y$52=0,X7="",Y7=""),0,IFERROR(IF(AND(INDEX(Arten,MATCH(X7,Codes,0))="Arbeit",INDEX(Arten,MATCH(Y7,Codes,0))="Arbeit"),IF(ROUND((1+INDEX(Beginne,MATCH(Y7,Codes,0))-INDEX(EndeRel,MATCH(X7,Codes,0)))*1440,0)&lt;660,1,0),0),0))</f>
      </c>
      <c r="Z56" s="1">
        <f>IF(OR(Z$52=0,Y7="",Z7=""),0,IFERROR(IF(AND(INDEX(Arten,MATCH(Y7,Codes,0))="Arbeit",INDEX(Arten,MATCH(Z7,Codes,0))="Arbeit"),IF(ROUND((1+INDEX(Beginne,MATCH(Z7,Codes,0))-INDEX(EndeRel,MATCH(Y7,Codes,0)))*1440,0)&lt;660,1,0),0),0))</f>
      </c>
      <c r="AA56" s="1">
        <f>IF(OR(AA$52=0,Z7="",AA7=""),0,IFERROR(IF(AND(INDEX(Arten,MATCH(Z7,Codes,0))="Arbeit",INDEX(Arten,MATCH(AA7,Codes,0))="Arbeit"),IF(ROUND((1+INDEX(Beginne,MATCH(AA7,Codes,0))-INDEX(EndeRel,MATCH(Z7,Codes,0)))*1440,0)&lt;660,1,0),0),0))</f>
      </c>
      <c r="AB56" s="1">
        <f>IF(OR(AB$52=0,AA7="",AB7=""),0,IFERROR(IF(AND(INDEX(Arten,MATCH(AA7,Codes,0))="Arbeit",INDEX(Arten,MATCH(AB7,Codes,0))="Arbeit"),IF(ROUND((1+INDEX(Beginne,MATCH(AB7,Codes,0))-INDEX(EndeRel,MATCH(AA7,Codes,0)))*1440,0)&lt;660,1,0),0),0))</f>
      </c>
      <c r="AC56" s="1">
        <f>IF(OR(AC$52=0,AB7="",AC7=""),0,IFERROR(IF(AND(INDEX(Arten,MATCH(AB7,Codes,0))="Arbeit",INDEX(Arten,MATCH(AC7,Codes,0))="Arbeit"),IF(ROUND((1+INDEX(Beginne,MATCH(AC7,Codes,0))-INDEX(EndeRel,MATCH(AB7,Codes,0)))*1440,0)&lt;660,1,0),0),0))</f>
      </c>
      <c r="AD56" s="1">
        <f>IF(OR(AD$52=0,AC7="",AD7=""),0,IFERROR(IF(AND(INDEX(Arten,MATCH(AC7,Codes,0))="Arbeit",INDEX(Arten,MATCH(AD7,Codes,0))="Arbeit"),IF(ROUND((1+INDEX(Beginne,MATCH(AD7,Codes,0))-INDEX(EndeRel,MATCH(AC7,Codes,0)))*1440,0)&lt;660,1,0),0),0))</f>
      </c>
      <c r="AE56" s="1">
        <f>IF(OR(AE$52=0,AD7="",AE7=""),0,IFERROR(IF(AND(INDEX(Arten,MATCH(AD7,Codes,0))="Arbeit",INDEX(Arten,MATCH(AE7,Codes,0))="Arbeit"),IF(ROUND((1+INDEX(Beginne,MATCH(AE7,Codes,0))-INDEX(EndeRel,MATCH(AD7,Codes,0)))*1440,0)&lt;660,1,0),0),0))</f>
      </c>
      <c r="AF56" s="1">
        <f>IF(OR(AF$52=0,AE7="",AF7=""),0,IFERROR(IF(AND(INDEX(Arten,MATCH(AE7,Codes,0))="Arbeit",INDEX(Arten,MATCH(AF7,Codes,0))="Arbeit"),IF(ROUND((1+INDEX(Beginne,MATCH(AF7,Codes,0))-INDEX(EndeRel,MATCH(AE7,Codes,0)))*1440,0)&lt;660,1,0),0),0))</f>
      </c>
    </row>
    <row r="57" hidden="1" spans="1:32" x14ac:dyDescent="0.25">
      <c r="A57" s="1"/>
      <c r="B57" s="1">
        <f>IF(OR(B$52=0,INDEX('April'!$B$8:$AF$8,DAY(DATE(Jahr,5,0)))="",B8=""),0,IFERROR(IF(AND(INDEX(Arten,MATCH(INDEX('April'!$B$8:$AF$8,DAY(DATE(Jahr,5,0))),Codes,0))="Arbeit",INDEX(Arten,MATCH(B8,Codes,0))="Arbeit"),IF(ROUND((1+INDEX(Beginne,MATCH(B8,Codes,0))-INDEX(EndeRel,MATCH(INDEX('April'!$B$8:$AF$8,DAY(DATE(Jahr,5,0))),Codes,0)))*1440,0)&lt;660,1,0),0),0))</f>
      </c>
      <c r="C57" s="1">
        <f>IF(OR(C$52=0,B8="",C8=""),0,IFERROR(IF(AND(INDEX(Arten,MATCH(B8,Codes,0))="Arbeit",INDEX(Arten,MATCH(C8,Codes,0))="Arbeit"),IF(ROUND((1+INDEX(Beginne,MATCH(C8,Codes,0))-INDEX(EndeRel,MATCH(B8,Codes,0)))*1440,0)&lt;660,1,0),0),0))</f>
      </c>
      <c r="D57" s="1">
        <f>IF(OR(D$52=0,C8="",D8=""),0,IFERROR(IF(AND(INDEX(Arten,MATCH(C8,Codes,0))="Arbeit",INDEX(Arten,MATCH(D8,Codes,0))="Arbeit"),IF(ROUND((1+INDEX(Beginne,MATCH(D8,Codes,0))-INDEX(EndeRel,MATCH(C8,Codes,0)))*1440,0)&lt;660,1,0),0),0))</f>
      </c>
      <c r="E57" s="1">
        <f>IF(OR(E$52=0,D8="",E8=""),0,IFERROR(IF(AND(INDEX(Arten,MATCH(D8,Codes,0))="Arbeit",INDEX(Arten,MATCH(E8,Codes,0))="Arbeit"),IF(ROUND((1+INDEX(Beginne,MATCH(E8,Codes,0))-INDEX(EndeRel,MATCH(D8,Codes,0)))*1440,0)&lt;660,1,0),0),0))</f>
      </c>
      <c r="F57" s="1">
        <f>IF(OR(F$52=0,E8="",F8=""),0,IFERROR(IF(AND(INDEX(Arten,MATCH(E8,Codes,0))="Arbeit",INDEX(Arten,MATCH(F8,Codes,0))="Arbeit"),IF(ROUND((1+INDEX(Beginne,MATCH(F8,Codes,0))-INDEX(EndeRel,MATCH(E8,Codes,0)))*1440,0)&lt;660,1,0),0),0))</f>
      </c>
      <c r="G57" s="1">
        <f>IF(OR(G$52=0,F8="",G8=""),0,IFERROR(IF(AND(INDEX(Arten,MATCH(F8,Codes,0))="Arbeit",INDEX(Arten,MATCH(G8,Codes,0))="Arbeit"),IF(ROUND((1+INDEX(Beginne,MATCH(G8,Codes,0))-INDEX(EndeRel,MATCH(F8,Codes,0)))*1440,0)&lt;660,1,0),0),0))</f>
      </c>
      <c r="H57" s="1">
        <f>IF(OR(H$52=0,G8="",H8=""),0,IFERROR(IF(AND(INDEX(Arten,MATCH(G8,Codes,0))="Arbeit",INDEX(Arten,MATCH(H8,Codes,0))="Arbeit"),IF(ROUND((1+INDEX(Beginne,MATCH(H8,Codes,0))-INDEX(EndeRel,MATCH(G8,Codes,0)))*1440,0)&lt;660,1,0),0),0))</f>
      </c>
      <c r="I57" s="1">
        <f>IF(OR(I$52=0,H8="",I8=""),0,IFERROR(IF(AND(INDEX(Arten,MATCH(H8,Codes,0))="Arbeit",INDEX(Arten,MATCH(I8,Codes,0))="Arbeit"),IF(ROUND((1+INDEX(Beginne,MATCH(I8,Codes,0))-INDEX(EndeRel,MATCH(H8,Codes,0)))*1440,0)&lt;660,1,0),0),0))</f>
      </c>
      <c r="J57" s="1">
        <f>IF(OR(J$52=0,I8="",J8=""),0,IFERROR(IF(AND(INDEX(Arten,MATCH(I8,Codes,0))="Arbeit",INDEX(Arten,MATCH(J8,Codes,0))="Arbeit"),IF(ROUND((1+INDEX(Beginne,MATCH(J8,Codes,0))-INDEX(EndeRel,MATCH(I8,Codes,0)))*1440,0)&lt;660,1,0),0),0))</f>
      </c>
      <c r="K57" s="1">
        <f>IF(OR(K$52=0,J8="",K8=""),0,IFERROR(IF(AND(INDEX(Arten,MATCH(J8,Codes,0))="Arbeit",INDEX(Arten,MATCH(K8,Codes,0))="Arbeit"),IF(ROUND((1+INDEX(Beginne,MATCH(K8,Codes,0))-INDEX(EndeRel,MATCH(J8,Codes,0)))*1440,0)&lt;660,1,0),0),0))</f>
      </c>
      <c r="L57" s="1">
        <f>IF(OR(L$52=0,K8="",L8=""),0,IFERROR(IF(AND(INDEX(Arten,MATCH(K8,Codes,0))="Arbeit",INDEX(Arten,MATCH(L8,Codes,0))="Arbeit"),IF(ROUND((1+INDEX(Beginne,MATCH(L8,Codes,0))-INDEX(EndeRel,MATCH(K8,Codes,0)))*1440,0)&lt;660,1,0),0),0))</f>
      </c>
      <c r="M57" s="1">
        <f>IF(OR(M$52=0,L8="",M8=""),0,IFERROR(IF(AND(INDEX(Arten,MATCH(L8,Codes,0))="Arbeit",INDEX(Arten,MATCH(M8,Codes,0))="Arbeit"),IF(ROUND((1+INDEX(Beginne,MATCH(M8,Codes,0))-INDEX(EndeRel,MATCH(L8,Codes,0)))*1440,0)&lt;660,1,0),0),0))</f>
      </c>
      <c r="N57" s="1">
        <f>IF(OR(N$52=0,M8="",N8=""),0,IFERROR(IF(AND(INDEX(Arten,MATCH(M8,Codes,0))="Arbeit",INDEX(Arten,MATCH(N8,Codes,0))="Arbeit"),IF(ROUND((1+INDEX(Beginne,MATCH(N8,Codes,0))-INDEX(EndeRel,MATCH(M8,Codes,0)))*1440,0)&lt;660,1,0),0),0))</f>
      </c>
      <c r="O57" s="1">
        <f>IF(OR(O$52=0,N8="",O8=""),0,IFERROR(IF(AND(INDEX(Arten,MATCH(N8,Codes,0))="Arbeit",INDEX(Arten,MATCH(O8,Codes,0))="Arbeit"),IF(ROUND((1+INDEX(Beginne,MATCH(O8,Codes,0))-INDEX(EndeRel,MATCH(N8,Codes,0)))*1440,0)&lt;660,1,0),0),0))</f>
      </c>
      <c r="P57" s="1">
        <f>IF(OR(P$52=0,O8="",P8=""),0,IFERROR(IF(AND(INDEX(Arten,MATCH(O8,Codes,0))="Arbeit",INDEX(Arten,MATCH(P8,Codes,0))="Arbeit"),IF(ROUND((1+INDEX(Beginne,MATCH(P8,Codes,0))-INDEX(EndeRel,MATCH(O8,Codes,0)))*1440,0)&lt;660,1,0),0),0))</f>
      </c>
      <c r="Q57" s="1">
        <f>IF(OR(Q$52=0,P8="",Q8=""),0,IFERROR(IF(AND(INDEX(Arten,MATCH(P8,Codes,0))="Arbeit",INDEX(Arten,MATCH(Q8,Codes,0))="Arbeit"),IF(ROUND((1+INDEX(Beginne,MATCH(Q8,Codes,0))-INDEX(EndeRel,MATCH(P8,Codes,0)))*1440,0)&lt;660,1,0),0),0))</f>
      </c>
      <c r="R57" s="1">
        <f>IF(OR(R$52=0,Q8="",R8=""),0,IFERROR(IF(AND(INDEX(Arten,MATCH(Q8,Codes,0))="Arbeit",INDEX(Arten,MATCH(R8,Codes,0))="Arbeit"),IF(ROUND((1+INDEX(Beginne,MATCH(R8,Codes,0))-INDEX(EndeRel,MATCH(Q8,Codes,0)))*1440,0)&lt;660,1,0),0),0))</f>
      </c>
      <c r="S57" s="1">
        <f>IF(OR(S$52=0,R8="",S8=""),0,IFERROR(IF(AND(INDEX(Arten,MATCH(R8,Codes,0))="Arbeit",INDEX(Arten,MATCH(S8,Codes,0))="Arbeit"),IF(ROUND((1+INDEX(Beginne,MATCH(S8,Codes,0))-INDEX(EndeRel,MATCH(R8,Codes,0)))*1440,0)&lt;660,1,0),0),0))</f>
      </c>
      <c r="T57" s="1">
        <f>IF(OR(T$52=0,S8="",T8=""),0,IFERROR(IF(AND(INDEX(Arten,MATCH(S8,Codes,0))="Arbeit",INDEX(Arten,MATCH(T8,Codes,0))="Arbeit"),IF(ROUND((1+INDEX(Beginne,MATCH(T8,Codes,0))-INDEX(EndeRel,MATCH(S8,Codes,0)))*1440,0)&lt;660,1,0),0),0))</f>
      </c>
      <c r="U57" s="1">
        <f>IF(OR(U$52=0,T8="",U8=""),0,IFERROR(IF(AND(INDEX(Arten,MATCH(T8,Codes,0))="Arbeit",INDEX(Arten,MATCH(U8,Codes,0))="Arbeit"),IF(ROUND((1+INDEX(Beginne,MATCH(U8,Codes,0))-INDEX(EndeRel,MATCH(T8,Codes,0)))*1440,0)&lt;660,1,0),0),0))</f>
      </c>
      <c r="V57" s="1">
        <f>IF(OR(V$52=0,U8="",V8=""),0,IFERROR(IF(AND(INDEX(Arten,MATCH(U8,Codes,0))="Arbeit",INDEX(Arten,MATCH(V8,Codes,0))="Arbeit"),IF(ROUND((1+INDEX(Beginne,MATCH(V8,Codes,0))-INDEX(EndeRel,MATCH(U8,Codes,0)))*1440,0)&lt;660,1,0),0),0))</f>
      </c>
      <c r="W57" s="1">
        <f>IF(OR(W$52=0,V8="",W8=""),0,IFERROR(IF(AND(INDEX(Arten,MATCH(V8,Codes,0))="Arbeit",INDEX(Arten,MATCH(W8,Codes,0))="Arbeit"),IF(ROUND((1+INDEX(Beginne,MATCH(W8,Codes,0))-INDEX(EndeRel,MATCH(V8,Codes,0)))*1440,0)&lt;660,1,0),0),0))</f>
      </c>
      <c r="X57" s="1">
        <f>IF(OR(X$52=0,W8="",X8=""),0,IFERROR(IF(AND(INDEX(Arten,MATCH(W8,Codes,0))="Arbeit",INDEX(Arten,MATCH(X8,Codes,0))="Arbeit"),IF(ROUND((1+INDEX(Beginne,MATCH(X8,Codes,0))-INDEX(EndeRel,MATCH(W8,Codes,0)))*1440,0)&lt;660,1,0),0),0))</f>
      </c>
      <c r="Y57" s="1">
        <f>IF(OR(Y$52=0,X8="",Y8=""),0,IFERROR(IF(AND(INDEX(Arten,MATCH(X8,Codes,0))="Arbeit",INDEX(Arten,MATCH(Y8,Codes,0))="Arbeit"),IF(ROUND((1+INDEX(Beginne,MATCH(Y8,Codes,0))-INDEX(EndeRel,MATCH(X8,Codes,0)))*1440,0)&lt;660,1,0),0),0))</f>
      </c>
      <c r="Z57" s="1">
        <f>IF(OR(Z$52=0,Y8="",Z8=""),0,IFERROR(IF(AND(INDEX(Arten,MATCH(Y8,Codes,0))="Arbeit",INDEX(Arten,MATCH(Z8,Codes,0))="Arbeit"),IF(ROUND((1+INDEX(Beginne,MATCH(Z8,Codes,0))-INDEX(EndeRel,MATCH(Y8,Codes,0)))*1440,0)&lt;660,1,0),0),0))</f>
      </c>
      <c r="AA57" s="1">
        <f>IF(OR(AA$52=0,Z8="",AA8=""),0,IFERROR(IF(AND(INDEX(Arten,MATCH(Z8,Codes,0))="Arbeit",INDEX(Arten,MATCH(AA8,Codes,0))="Arbeit"),IF(ROUND((1+INDEX(Beginne,MATCH(AA8,Codes,0))-INDEX(EndeRel,MATCH(Z8,Codes,0)))*1440,0)&lt;660,1,0),0),0))</f>
      </c>
      <c r="AB57" s="1">
        <f>IF(OR(AB$52=0,AA8="",AB8=""),0,IFERROR(IF(AND(INDEX(Arten,MATCH(AA8,Codes,0))="Arbeit",INDEX(Arten,MATCH(AB8,Codes,0))="Arbeit"),IF(ROUND((1+INDEX(Beginne,MATCH(AB8,Codes,0))-INDEX(EndeRel,MATCH(AA8,Codes,0)))*1440,0)&lt;660,1,0),0),0))</f>
      </c>
      <c r="AC57" s="1">
        <f>IF(OR(AC$52=0,AB8="",AC8=""),0,IFERROR(IF(AND(INDEX(Arten,MATCH(AB8,Codes,0))="Arbeit",INDEX(Arten,MATCH(AC8,Codes,0))="Arbeit"),IF(ROUND((1+INDEX(Beginne,MATCH(AC8,Codes,0))-INDEX(EndeRel,MATCH(AB8,Codes,0)))*1440,0)&lt;660,1,0),0),0))</f>
      </c>
      <c r="AD57" s="1">
        <f>IF(OR(AD$52=0,AC8="",AD8=""),0,IFERROR(IF(AND(INDEX(Arten,MATCH(AC8,Codes,0))="Arbeit",INDEX(Arten,MATCH(AD8,Codes,0))="Arbeit"),IF(ROUND((1+INDEX(Beginne,MATCH(AD8,Codes,0))-INDEX(EndeRel,MATCH(AC8,Codes,0)))*1440,0)&lt;660,1,0),0),0))</f>
      </c>
      <c r="AE57" s="1">
        <f>IF(OR(AE$52=0,AD8="",AE8=""),0,IFERROR(IF(AND(INDEX(Arten,MATCH(AD8,Codes,0))="Arbeit",INDEX(Arten,MATCH(AE8,Codes,0))="Arbeit"),IF(ROUND((1+INDEX(Beginne,MATCH(AE8,Codes,0))-INDEX(EndeRel,MATCH(AD8,Codes,0)))*1440,0)&lt;660,1,0),0),0))</f>
      </c>
      <c r="AF57" s="1">
        <f>IF(OR(AF$52=0,AE8="",AF8=""),0,IFERROR(IF(AND(INDEX(Arten,MATCH(AE8,Codes,0))="Arbeit",INDEX(Arten,MATCH(AF8,Codes,0))="Arbeit"),IF(ROUND((1+INDEX(Beginne,MATCH(AF8,Codes,0))-INDEX(EndeRel,MATCH(AE8,Codes,0)))*1440,0)&lt;660,1,0),0),0))</f>
      </c>
    </row>
    <row r="58" hidden="1" spans="1:32" x14ac:dyDescent="0.25">
      <c r="A58" s="1"/>
      <c r="B58" s="1">
        <f>IF(OR(B$52=0,INDEX('April'!$B$9:$AF$9,DAY(DATE(Jahr,5,0)))="",B9=""),0,IFERROR(IF(AND(INDEX(Arten,MATCH(INDEX('April'!$B$9:$AF$9,DAY(DATE(Jahr,5,0))),Codes,0))="Arbeit",INDEX(Arten,MATCH(B9,Codes,0))="Arbeit"),IF(ROUND((1+INDEX(Beginne,MATCH(B9,Codes,0))-INDEX(EndeRel,MATCH(INDEX('April'!$B$9:$AF$9,DAY(DATE(Jahr,5,0))),Codes,0)))*1440,0)&lt;660,1,0),0),0))</f>
      </c>
      <c r="C58" s="1">
        <f>IF(OR(C$52=0,B9="",C9=""),0,IFERROR(IF(AND(INDEX(Arten,MATCH(B9,Codes,0))="Arbeit",INDEX(Arten,MATCH(C9,Codes,0))="Arbeit"),IF(ROUND((1+INDEX(Beginne,MATCH(C9,Codes,0))-INDEX(EndeRel,MATCH(B9,Codes,0)))*1440,0)&lt;660,1,0),0),0))</f>
      </c>
      <c r="D58" s="1">
        <f>IF(OR(D$52=0,C9="",D9=""),0,IFERROR(IF(AND(INDEX(Arten,MATCH(C9,Codes,0))="Arbeit",INDEX(Arten,MATCH(D9,Codes,0))="Arbeit"),IF(ROUND((1+INDEX(Beginne,MATCH(D9,Codes,0))-INDEX(EndeRel,MATCH(C9,Codes,0)))*1440,0)&lt;660,1,0),0),0))</f>
      </c>
      <c r="E58" s="1">
        <f>IF(OR(E$52=0,D9="",E9=""),0,IFERROR(IF(AND(INDEX(Arten,MATCH(D9,Codes,0))="Arbeit",INDEX(Arten,MATCH(E9,Codes,0))="Arbeit"),IF(ROUND((1+INDEX(Beginne,MATCH(E9,Codes,0))-INDEX(EndeRel,MATCH(D9,Codes,0)))*1440,0)&lt;660,1,0),0),0))</f>
      </c>
      <c r="F58" s="1">
        <f>IF(OR(F$52=0,E9="",F9=""),0,IFERROR(IF(AND(INDEX(Arten,MATCH(E9,Codes,0))="Arbeit",INDEX(Arten,MATCH(F9,Codes,0))="Arbeit"),IF(ROUND((1+INDEX(Beginne,MATCH(F9,Codes,0))-INDEX(EndeRel,MATCH(E9,Codes,0)))*1440,0)&lt;660,1,0),0),0))</f>
      </c>
      <c r="G58" s="1">
        <f>IF(OR(G$52=0,F9="",G9=""),0,IFERROR(IF(AND(INDEX(Arten,MATCH(F9,Codes,0))="Arbeit",INDEX(Arten,MATCH(G9,Codes,0))="Arbeit"),IF(ROUND((1+INDEX(Beginne,MATCH(G9,Codes,0))-INDEX(EndeRel,MATCH(F9,Codes,0)))*1440,0)&lt;660,1,0),0),0))</f>
      </c>
      <c r="H58" s="1">
        <f>IF(OR(H$52=0,G9="",H9=""),0,IFERROR(IF(AND(INDEX(Arten,MATCH(G9,Codes,0))="Arbeit",INDEX(Arten,MATCH(H9,Codes,0))="Arbeit"),IF(ROUND((1+INDEX(Beginne,MATCH(H9,Codes,0))-INDEX(EndeRel,MATCH(G9,Codes,0)))*1440,0)&lt;660,1,0),0),0))</f>
      </c>
      <c r="I58" s="1">
        <f>IF(OR(I$52=0,H9="",I9=""),0,IFERROR(IF(AND(INDEX(Arten,MATCH(H9,Codes,0))="Arbeit",INDEX(Arten,MATCH(I9,Codes,0))="Arbeit"),IF(ROUND((1+INDEX(Beginne,MATCH(I9,Codes,0))-INDEX(EndeRel,MATCH(H9,Codes,0)))*1440,0)&lt;660,1,0),0),0))</f>
      </c>
      <c r="J58" s="1">
        <f>IF(OR(J$52=0,I9="",J9=""),0,IFERROR(IF(AND(INDEX(Arten,MATCH(I9,Codes,0))="Arbeit",INDEX(Arten,MATCH(J9,Codes,0))="Arbeit"),IF(ROUND((1+INDEX(Beginne,MATCH(J9,Codes,0))-INDEX(EndeRel,MATCH(I9,Codes,0)))*1440,0)&lt;660,1,0),0),0))</f>
      </c>
      <c r="K58" s="1">
        <f>IF(OR(K$52=0,J9="",K9=""),0,IFERROR(IF(AND(INDEX(Arten,MATCH(J9,Codes,0))="Arbeit",INDEX(Arten,MATCH(K9,Codes,0))="Arbeit"),IF(ROUND((1+INDEX(Beginne,MATCH(K9,Codes,0))-INDEX(EndeRel,MATCH(J9,Codes,0)))*1440,0)&lt;660,1,0),0),0))</f>
      </c>
      <c r="L58" s="1">
        <f>IF(OR(L$52=0,K9="",L9=""),0,IFERROR(IF(AND(INDEX(Arten,MATCH(K9,Codes,0))="Arbeit",INDEX(Arten,MATCH(L9,Codes,0))="Arbeit"),IF(ROUND((1+INDEX(Beginne,MATCH(L9,Codes,0))-INDEX(EndeRel,MATCH(K9,Codes,0)))*1440,0)&lt;660,1,0),0),0))</f>
      </c>
      <c r="M58" s="1">
        <f>IF(OR(M$52=0,L9="",M9=""),0,IFERROR(IF(AND(INDEX(Arten,MATCH(L9,Codes,0))="Arbeit",INDEX(Arten,MATCH(M9,Codes,0))="Arbeit"),IF(ROUND((1+INDEX(Beginne,MATCH(M9,Codes,0))-INDEX(EndeRel,MATCH(L9,Codes,0)))*1440,0)&lt;660,1,0),0),0))</f>
      </c>
      <c r="N58" s="1">
        <f>IF(OR(N$52=0,M9="",N9=""),0,IFERROR(IF(AND(INDEX(Arten,MATCH(M9,Codes,0))="Arbeit",INDEX(Arten,MATCH(N9,Codes,0))="Arbeit"),IF(ROUND((1+INDEX(Beginne,MATCH(N9,Codes,0))-INDEX(EndeRel,MATCH(M9,Codes,0)))*1440,0)&lt;660,1,0),0),0))</f>
      </c>
      <c r="O58" s="1">
        <f>IF(OR(O$52=0,N9="",O9=""),0,IFERROR(IF(AND(INDEX(Arten,MATCH(N9,Codes,0))="Arbeit",INDEX(Arten,MATCH(O9,Codes,0))="Arbeit"),IF(ROUND((1+INDEX(Beginne,MATCH(O9,Codes,0))-INDEX(EndeRel,MATCH(N9,Codes,0)))*1440,0)&lt;660,1,0),0),0))</f>
      </c>
      <c r="P58" s="1">
        <f>IF(OR(P$52=0,O9="",P9=""),0,IFERROR(IF(AND(INDEX(Arten,MATCH(O9,Codes,0))="Arbeit",INDEX(Arten,MATCH(P9,Codes,0))="Arbeit"),IF(ROUND((1+INDEX(Beginne,MATCH(P9,Codes,0))-INDEX(EndeRel,MATCH(O9,Codes,0)))*1440,0)&lt;660,1,0),0),0))</f>
      </c>
      <c r="Q58" s="1">
        <f>IF(OR(Q$52=0,P9="",Q9=""),0,IFERROR(IF(AND(INDEX(Arten,MATCH(P9,Codes,0))="Arbeit",INDEX(Arten,MATCH(Q9,Codes,0))="Arbeit"),IF(ROUND((1+INDEX(Beginne,MATCH(Q9,Codes,0))-INDEX(EndeRel,MATCH(P9,Codes,0)))*1440,0)&lt;660,1,0),0),0))</f>
      </c>
      <c r="R58" s="1">
        <f>IF(OR(R$52=0,Q9="",R9=""),0,IFERROR(IF(AND(INDEX(Arten,MATCH(Q9,Codes,0))="Arbeit",INDEX(Arten,MATCH(R9,Codes,0))="Arbeit"),IF(ROUND((1+INDEX(Beginne,MATCH(R9,Codes,0))-INDEX(EndeRel,MATCH(Q9,Codes,0)))*1440,0)&lt;660,1,0),0),0))</f>
      </c>
      <c r="S58" s="1">
        <f>IF(OR(S$52=0,R9="",S9=""),0,IFERROR(IF(AND(INDEX(Arten,MATCH(R9,Codes,0))="Arbeit",INDEX(Arten,MATCH(S9,Codes,0))="Arbeit"),IF(ROUND((1+INDEX(Beginne,MATCH(S9,Codes,0))-INDEX(EndeRel,MATCH(R9,Codes,0)))*1440,0)&lt;660,1,0),0),0))</f>
      </c>
      <c r="T58" s="1">
        <f>IF(OR(T$52=0,S9="",T9=""),0,IFERROR(IF(AND(INDEX(Arten,MATCH(S9,Codes,0))="Arbeit",INDEX(Arten,MATCH(T9,Codes,0))="Arbeit"),IF(ROUND((1+INDEX(Beginne,MATCH(T9,Codes,0))-INDEX(EndeRel,MATCH(S9,Codes,0)))*1440,0)&lt;660,1,0),0),0))</f>
      </c>
      <c r="U58" s="1">
        <f>IF(OR(U$52=0,T9="",U9=""),0,IFERROR(IF(AND(INDEX(Arten,MATCH(T9,Codes,0))="Arbeit",INDEX(Arten,MATCH(U9,Codes,0))="Arbeit"),IF(ROUND((1+INDEX(Beginne,MATCH(U9,Codes,0))-INDEX(EndeRel,MATCH(T9,Codes,0)))*1440,0)&lt;660,1,0),0),0))</f>
      </c>
      <c r="V58" s="1">
        <f>IF(OR(V$52=0,U9="",V9=""),0,IFERROR(IF(AND(INDEX(Arten,MATCH(U9,Codes,0))="Arbeit",INDEX(Arten,MATCH(V9,Codes,0))="Arbeit"),IF(ROUND((1+INDEX(Beginne,MATCH(V9,Codes,0))-INDEX(EndeRel,MATCH(U9,Codes,0)))*1440,0)&lt;660,1,0),0),0))</f>
      </c>
      <c r="W58" s="1">
        <f>IF(OR(W$52=0,V9="",W9=""),0,IFERROR(IF(AND(INDEX(Arten,MATCH(V9,Codes,0))="Arbeit",INDEX(Arten,MATCH(W9,Codes,0))="Arbeit"),IF(ROUND((1+INDEX(Beginne,MATCH(W9,Codes,0))-INDEX(EndeRel,MATCH(V9,Codes,0)))*1440,0)&lt;660,1,0),0),0))</f>
      </c>
      <c r="X58" s="1">
        <f>IF(OR(X$52=0,W9="",X9=""),0,IFERROR(IF(AND(INDEX(Arten,MATCH(W9,Codes,0))="Arbeit",INDEX(Arten,MATCH(X9,Codes,0))="Arbeit"),IF(ROUND((1+INDEX(Beginne,MATCH(X9,Codes,0))-INDEX(EndeRel,MATCH(W9,Codes,0)))*1440,0)&lt;660,1,0),0),0))</f>
      </c>
      <c r="Y58" s="1">
        <f>IF(OR(Y$52=0,X9="",Y9=""),0,IFERROR(IF(AND(INDEX(Arten,MATCH(X9,Codes,0))="Arbeit",INDEX(Arten,MATCH(Y9,Codes,0))="Arbeit"),IF(ROUND((1+INDEX(Beginne,MATCH(Y9,Codes,0))-INDEX(EndeRel,MATCH(X9,Codes,0)))*1440,0)&lt;660,1,0),0),0))</f>
      </c>
      <c r="Z58" s="1">
        <f>IF(OR(Z$52=0,Y9="",Z9=""),0,IFERROR(IF(AND(INDEX(Arten,MATCH(Y9,Codes,0))="Arbeit",INDEX(Arten,MATCH(Z9,Codes,0))="Arbeit"),IF(ROUND((1+INDEX(Beginne,MATCH(Z9,Codes,0))-INDEX(EndeRel,MATCH(Y9,Codes,0)))*1440,0)&lt;660,1,0),0),0))</f>
      </c>
      <c r="AA58" s="1">
        <f>IF(OR(AA$52=0,Z9="",AA9=""),0,IFERROR(IF(AND(INDEX(Arten,MATCH(Z9,Codes,0))="Arbeit",INDEX(Arten,MATCH(AA9,Codes,0))="Arbeit"),IF(ROUND((1+INDEX(Beginne,MATCH(AA9,Codes,0))-INDEX(EndeRel,MATCH(Z9,Codes,0)))*1440,0)&lt;660,1,0),0),0))</f>
      </c>
      <c r="AB58" s="1">
        <f>IF(OR(AB$52=0,AA9="",AB9=""),0,IFERROR(IF(AND(INDEX(Arten,MATCH(AA9,Codes,0))="Arbeit",INDEX(Arten,MATCH(AB9,Codes,0))="Arbeit"),IF(ROUND((1+INDEX(Beginne,MATCH(AB9,Codes,0))-INDEX(EndeRel,MATCH(AA9,Codes,0)))*1440,0)&lt;660,1,0),0),0))</f>
      </c>
      <c r="AC58" s="1">
        <f>IF(OR(AC$52=0,AB9="",AC9=""),0,IFERROR(IF(AND(INDEX(Arten,MATCH(AB9,Codes,0))="Arbeit",INDEX(Arten,MATCH(AC9,Codes,0))="Arbeit"),IF(ROUND((1+INDEX(Beginne,MATCH(AC9,Codes,0))-INDEX(EndeRel,MATCH(AB9,Codes,0)))*1440,0)&lt;660,1,0),0),0))</f>
      </c>
      <c r="AD58" s="1">
        <f>IF(OR(AD$52=0,AC9="",AD9=""),0,IFERROR(IF(AND(INDEX(Arten,MATCH(AC9,Codes,0))="Arbeit",INDEX(Arten,MATCH(AD9,Codes,0))="Arbeit"),IF(ROUND((1+INDEX(Beginne,MATCH(AD9,Codes,0))-INDEX(EndeRel,MATCH(AC9,Codes,0)))*1440,0)&lt;660,1,0),0),0))</f>
      </c>
      <c r="AE58" s="1">
        <f>IF(OR(AE$52=0,AD9="",AE9=""),0,IFERROR(IF(AND(INDEX(Arten,MATCH(AD9,Codes,0))="Arbeit",INDEX(Arten,MATCH(AE9,Codes,0))="Arbeit"),IF(ROUND((1+INDEX(Beginne,MATCH(AE9,Codes,0))-INDEX(EndeRel,MATCH(AD9,Codes,0)))*1440,0)&lt;660,1,0),0),0))</f>
      </c>
      <c r="AF58" s="1">
        <f>IF(OR(AF$52=0,AE9="",AF9=""),0,IFERROR(IF(AND(INDEX(Arten,MATCH(AE9,Codes,0))="Arbeit",INDEX(Arten,MATCH(AF9,Codes,0))="Arbeit"),IF(ROUND((1+INDEX(Beginne,MATCH(AF9,Codes,0))-INDEX(EndeRel,MATCH(AE9,Codes,0)))*1440,0)&lt;660,1,0),0),0))</f>
      </c>
    </row>
    <row r="59" hidden="1" spans="1:32" x14ac:dyDescent="0.25">
      <c r="A59" s="1"/>
      <c r="B59" s="1">
        <f>IF(OR(B$52=0,INDEX('April'!$B$10:$AF$10,DAY(DATE(Jahr,5,0)))="",B10=""),0,IFERROR(IF(AND(INDEX(Arten,MATCH(INDEX('April'!$B$10:$AF$10,DAY(DATE(Jahr,5,0))),Codes,0))="Arbeit",INDEX(Arten,MATCH(B10,Codes,0))="Arbeit"),IF(ROUND((1+INDEX(Beginne,MATCH(B10,Codes,0))-INDEX(EndeRel,MATCH(INDEX('April'!$B$10:$AF$10,DAY(DATE(Jahr,5,0))),Codes,0)))*1440,0)&lt;660,1,0),0),0))</f>
      </c>
      <c r="C59" s="1">
        <f>IF(OR(C$52=0,B10="",C10=""),0,IFERROR(IF(AND(INDEX(Arten,MATCH(B10,Codes,0))="Arbeit",INDEX(Arten,MATCH(C10,Codes,0))="Arbeit"),IF(ROUND((1+INDEX(Beginne,MATCH(C10,Codes,0))-INDEX(EndeRel,MATCH(B10,Codes,0)))*1440,0)&lt;660,1,0),0),0))</f>
      </c>
      <c r="D59" s="1">
        <f>IF(OR(D$52=0,C10="",D10=""),0,IFERROR(IF(AND(INDEX(Arten,MATCH(C10,Codes,0))="Arbeit",INDEX(Arten,MATCH(D10,Codes,0))="Arbeit"),IF(ROUND((1+INDEX(Beginne,MATCH(D10,Codes,0))-INDEX(EndeRel,MATCH(C10,Codes,0)))*1440,0)&lt;660,1,0),0),0))</f>
      </c>
      <c r="E59" s="1">
        <f>IF(OR(E$52=0,D10="",E10=""),0,IFERROR(IF(AND(INDEX(Arten,MATCH(D10,Codes,0))="Arbeit",INDEX(Arten,MATCH(E10,Codes,0))="Arbeit"),IF(ROUND((1+INDEX(Beginne,MATCH(E10,Codes,0))-INDEX(EndeRel,MATCH(D10,Codes,0)))*1440,0)&lt;660,1,0),0),0))</f>
      </c>
      <c r="F59" s="1">
        <f>IF(OR(F$52=0,E10="",F10=""),0,IFERROR(IF(AND(INDEX(Arten,MATCH(E10,Codes,0))="Arbeit",INDEX(Arten,MATCH(F10,Codes,0))="Arbeit"),IF(ROUND((1+INDEX(Beginne,MATCH(F10,Codes,0))-INDEX(EndeRel,MATCH(E10,Codes,0)))*1440,0)&lt;660,1,0),0),0))</f>
      </c>
      <c r="G59" s="1">
        <f>IF(OR(G$52=0,F10="",G10=""),0,IFERROR(IF(AND(INDEX(Arten,MATCH(F10,Codes,0))="Arbeit",INDEX(Arten,MATCH(G10,Codes,0))="Arbeit"),IF(ROUND((1+INDEX(Beginne,MATCH(G10,Codes,0))-INDEX(EndeRel,MATCH(F10,Codes,0)))*1440,0)&lt;660,1,0),0),0))</f>
      </c>
      <c r="H59" s="1">
        <f>IF(OR(H$52=0,G10="",H10=""),0,IFERROR(IF(AND(INDEX(Arten,MATCH(G10,Codes,0))="Arbeit",INDEX(Arten,MATCH(H10,Codes,0))="Arbeit"),IF(ROUND((1+INDEX(Beginne,MATCH(H10,Codes,0))-INDEX(EndeRel,MATCH(G10,Codes,0)))*1440,0)&lt;660,1,0),0),0))</f>
      </c>
      <c r="I59" s="1">
        <f>IF(OR(I$52=0,H10="",I10=""),0,IFERROR(IF(AND(INDEX(Arten,MATCH(H10,Codes,0))="Arbeit",INDEX(Arten,MATCH(I10,Codes,0))="Arbeit"),IF(ROUND((1+INDEX(Beginne,MATCH(I10,Codes,0))-INDEX(EndeRel,MATCH(H10,Codes,0)))*1440,0)&lt;660,1,0),0),0))</f>
      </c>
      <c r="J59" s="1">
        <f>IF(OR(J$52=0,I10="",J10=""),0,IFERROR(IF(AND(INDEX(Arten,MATCH(I10,Codes,0))="Arbeit",INDEX(Arten,MATCH(J10,Codes,0))="Arbeit"),IF(ROUND((1+INDEX(Beginne,MATCH(J10,Codes,0))-INDEX(EndeRel,MATCH(I10,Codes,0)))*1440,0)&lt;660,1,0),0),0))</f>
      </c>
      <c r="K59" s="1">
        <f>IF(OR(K$52=0,J10="",K10=""),0,IFERROR(IF(AND(INDEX(Arten,MATCH(J10,Codes,0))="Arbeit",INDEX(Arten,MATCH(K10,Codes,0))="Arbeit"),IF(ROUND((1+INDEX(Beginne,MATCH(K10,Codes,0))-INDEX(EndeRel,MATCH(J10,Codes,0)))*1440,0)&lt;660,1,0),0),0))</f>
      </c>
      <c r="L59" s="1">
        <f>IF(OR(L$52=0,K10="",L10=""),0,IFERROR(IF(AND(INDEX(Arten,MATCH(K10,Codes,0))="Arbeit",INDEX(Arten,MATCH(L10,Codes,0))="Arbeit"),IF(ROUND((1+INDEX(Beginne,MATCH(L10,Codes,0))-INDEX(EndeRel,MATCH(K10,Codes,0)))*1440,0)&lt;660,1,0),0),0))</f>
      </c>
      <c r="M59" s="1">
        <f>IF(OR(M$52=0,L10="",M10=""),0,IFERROR(IF(AND(INDEX(Arten,MATCH(L10,Codes,0))="Arbeit",INDEX(Arten,MATCH(M10,Codes,0))="Arbeit"),IF(ROUND((1+INDEX(Beginne,MATCH(M10,Codes,0))-INDEX(EndeRel,MATCH(L10,Codes,0)))*1440,0)&lt;660,1,0),0),0))</f>
      </c>
      <c r="N59" s="1">
        <f>IF(OR(N$52=0,M10="",N10=""),0,IFERROR(IF(AND(INDEX(Arten,MATCH(M10,Codes,0))="Arbeit",INDEX(Arten,MATCH(N10,Codes,0))="Arbeit"),IF(ROUND((1+INDEX(Beginne,MATCH(N10,Codes,0))-INDEX(EndeRel,MATCH(M10,Codes,0)))*1440,0)&lt;660,1,0),0),0))</f>
      </c>
      <c r="O59" s="1">
        <f>IF(OR(O$52=0,N10="",O10=""),0,IFERROR(IF(AND(INDEX(Arten,MATCH(N10,Codes,0))="Arbeit",INDEX(Arten,MATCH(O10,Codes,0))="Arbeit"),IF(ROUND((1+INDEX(Beginne,MATCH(O10,Codes,0))-INDEX(EndeRel,MATCH(N10,Codes,0)))*1440,0)&lt;660,1,0),0),0))</f>
      </c>
      <c r="P59" s="1">
        <f>IF(OR(P$52=0,O10="",P10=""),0,IFERROR(IF(AND(INDEX(Arten,MATCH(O10,Codes,0))="Arbeit",INDEX(Arten,MATCH(P10,Codes,0))="Arbeit"),IF(ROUND((1+INDEX(Beginne,MATCH(P10,Codes,0))-INDEX(EndeRel,MATCH(O10,Codes,0)))*1440,0)&lt;660,1,0),0),0))</f>
      </c>
      <c r="Q59" s="1">
        <f>IF(OR(Q$52=0,P10="",Q10=""),0,IFERROR(IF(AND(INDEX(Arten,MATCH(P10,Codes,0))="Arbeit",INDEX(Arten,MATCH(Q10,Codes,0))="Arbeit"),IF(ROUND((1+INDEX(Beginne,MATCH(Q10,Codes,0))-INDEX(EndeRel,MATCH(P10,Codes,0)))*1440,0)&lt;660,1,0),0),0))</f>
      </c>
      <c r="R59" s="1">
        <f>IF(OR(R$52=0,Q10="",R10=""),0,IFERROR(IF(AND(INDEX(Arten,MATCH(Q10,Codes,0))="Arbeit",INDEX(Arten,MATCH(R10,Codes,0))="Arbeit"),IF(ROUND((1+INDEX(Beginne,MATCH(R10,Codes,0))-INDEX(EndeRel,MATCH(Q10,Codes,0)))*1440,0)&lt;660,1,0),0),0))</f>
      </c>
      <c r="S59" s="1">
        <f>IF(OR(S$52=0,R10="",S10=""),0,IFERROR(IF(AND(INDEX(Arten,MATCH(R10,Codes,0))="Arbeit",INDEX(Arten,MATCH(S10,Codes,0))="Arbeit"),IF(ROUND((1+INDEX(Beginne,MATCH(S10,Codes,0))-INDEX(EndeRel,MATCH(R10,Codes,0)))*1440,0)&lt;660,1,0),0),0))</f>
      </c>
      <c r="T59" s="1">
        <f>IF(OR(T$52=0,S10="",T10=""),0,IFERROR(IF(AND(INDEX(Arten,MATCH(S10,Codes,0))="Arbeit",INDEX(Arten,MATCH(T10,Codes,0))="Arbeit"),IF(ROUND((1+INDEX(Beginne,MATCH(T10,Codes,0))-INDEX(EndeRel,MATCH(S10,Codes,0)))*1440,0)&lt;660,1,0),0),0))</f>
      </c>
      <c r="U59" s="1">
        <f>IF(OR(U$52=0,T10="",U10=""),0,IFERROR(IF(AND(INDEX(Arten,MATCH(T10,Codes,0))="Arbeit",INDEX(Arten,MATCH(U10,Codes,0))="Arbeit"),IF(ROUND((1+INDEX(Beginne,MATCH(U10,Codes,0))-INDEX(EndeRel,MATCH(T10,Codes,0)))*1440,0)&lt;660,1,0),0),0))</f>
      </c>
      <c r="V59" s="1">
        <f>IF(OR(V$52=0,U10="",V10=""),0,IFERROR(IF(AND(INDEX(Arten,MATCH(U10,Codes,0))="Arbeit",INDEX(Arten,MATCH(V10,Codes,0))="Arbeit"),IF(ROUND((1+INDEX(Beginne,MATCH(V10,Codes,0))-INDEX(EndeRel,MATCH(U10,Codes,0)))*1440,0)&lt;660,1,0),0),0))</f>
      </c>
      <c r="W59" s="1">
        <f>IF(OR(W$52=0,V10="",W10=""),0,IFERROR(IF(AND(INDEX(Arten,MATCH(V10,Codes,0))="Arbeit",INDEX(Arten,MATCH(W10,Codes,0))="Arbeit"),IF(ROUND((1+INDEX(Beginne,MATCH(W10,Codes,0))-INDEX(EndeRel,MATCH(V10,Codes,0)))*1440,0)&lt;660,1,0),0),0))</f>
      </c>
      <c r="X59" s="1">
        <f>IF(OR(X$52=0,W10="",X10=""),0,IFERROR(IF(AND(INDEX(Arten,MATCH(W10,Codes,0))="Arbeit",INDEX(Arten,MATCH(X10,Codes,0))="Arbeit"),IF(ROUND((1+INDEX(Beginne,MATCH(X10,Codes,0))-INDEX(EndeRel,MATCH(W10,Codes,0)))*1440,0)&lt;660,1,0),0),0))</f>
      </c>
      <c r="Y59" s="1">
        <f>IF(OR(Y$52=0,X10="",Y10=""),0,IFERROR(IF(AND(INDEX(Arten,MATCH(X10,Codes,0))="Arbeit",INDEX(Arten,MATCH(Y10,Codes,0))="Arbeit"),IF(ROUND((1+INDEX(Beginne,MATCH(Y10,Codes,0))-INDEX(EndeRel,MATCH(X10,Codes,0)))*1440,0)&lt;660,1,0),0),0))</f>
      </c>
      <c r="Z59" s="1">
        <f>IF(OR(Z$52=0,Y10="",Z10=""),0,IFERROR(IF(AND(INDEX(Arten,MATCH(Y10,Codes,0))="Arbeit",INDEX(Arten,MATCH(Z10,Codes,0))="Arbeit"),IF(ROUND((1+INDEX(Beginne,MATCH(Z10,Codes,0))-INDEX(EndeRel,MATCH(Y10,Codes,0)))*1440,0)&lt;660,1,0),0),0))</f>
      </c>
      <c r="AA59" s="1">
        <f>IF(OR(AA$52=0,Z10="",AA10=""),0,IFERROR(IF(AND(INDEX(Arten,MATCH(Z10,Codes,0))="Arbeit",INDEX(Arten,MATCH(AA10,Codes,0))="Arbeit"),IF(ROUND((1+INDEX(Beginne,MATCH(AA10,Codes,0))-INDEX(EndeRel,MATCH(Z10,Codes,0)))*1440,0)&lt;660,1,0),0),0))</f>
      </c>
      <c r="AB59" s="1">
        <f>IF(OR(AB$52=0,AA10="",AB10=""),0,IFERROR(IF(AND(INDEX(Arten,MATCH(AA10,Codes,0))="Arbeit",INDEX(Arten,MATCH(AB10,Codes,0))="Arbeit"),IF(ROUND((1+INDEX(Beginne,MATCH(AB10,Codes,0))-INDEX(EndeRel,MATCH(AA10,Codes,0)))*1440,0)&lt;660,1,0),0),0))</f>
      </c>
      <c r="AC59" s="1">
        <f>IF(OR(AC$52=0,AB10="",AC10=""),0,IFERROR(IF(AND(INDEX(Arten,MATCH(AB10,Codes,0))="Arbeit",INDEX(Arten,MATCH(AC10,Codes,0))="Arbeit"),IF(ROUND((1+INDEX(Beginne,MATCH(AC10,Codes,0))-INDEX(EndeRel,MATCH(AB10,Codes,0)))*1440,0)&lt;660,1,0),0),0))</f>
      </c>
      <c r="AD59" s="1">
        <f>IF(OR(AD$52=0,AC10="",AD10=""),0,IFERROR(IF(AND(INDEX(Arten,MATCH(AC10,Codes,0))="Arbeit",INDEX(Arten,MATCH(AD10,Codes,0))="Arbeit"),IF(ROUND((1+INDEX(Beginne,MATCH(AD10,Codes,0))-INDEX(EndeRel,MATCH(AC10,Codes,0)))*1440,0)&lt;660,1,0),0),0))</f>
      </c>
      <c r="AE59" s="1">
        <f>IF(OR(AE$52=0,AD10="",AE10=""),0,IFERROR(IF(AND(INDEX(Arten,MATCH(AD10,Codes,0))="Arbeit",INDEX(Arten,MATCH(AE10,Codes,0))="Arbeit"),IF(ROUND((1+INDEX(Beginne,MATCH(AE10,Codes,0))-INDEX(EndeRel,MATCH(AD10,Codes,0)))*1440,0)&lt;660,1,0),0),0))</f>
      </c>
      <c r="AF59" s="1">
        <f>IF(OR(AF$52=0,AE10="",AF10=""),0,IFERROR(IF(AND(INDEX(Arten,MATCH(AE10,Codes,0))="Arbeit",INDEX(Arten,MATCH(AF10,Codes,0))="Arbeit"),IF(ROUND((1+INDEX(Beginne,MATCH(AF10,Codes,0))-INDEX(EndeRel,MATCH(AE10,Codes,0)))*1440,0)&lt;660,1,0),0),0))</f>
      </c>
    </row>
    <row r="60" hidden="1" spans="1:32" x14ac:dyDescent="0.25">
      <c r="A60" s="1"/>
      <c r="B60" s="1">
        <f>IF(OR(B$52=0,INDEX('April'!$B$11:$AF$11,DAY(DATE(Jahr,5,0)))="",B11=""),0,IFERROR(IF(AND(INDEX(Arten,MATCH(INDEX('April'!$B$11:$AF$11,DAY(DATE(Jahr,5,0))),Codes,0))="Arbeit",INDEX(Arten,MATCH(B11,Codes,0))="Arbeit"),IF(ROUND((1+INDEX(Beginne,MATCH(B11,Codes,0))-INDEX(EndeRel,MATCH(INDEX('April'!$B$11:$AF$11,DAY(DATE(Jahr,5,0))),Codes,0)))*1440,0)&lt;660,1,0),0),0))</f>
      </c>
      <c r="C60" s="1">
        <f>IF(OR(C$52=0,B11="",C11=""),0,IFERROR(IF(AND(INDEX(Arten,MATCH(B11,Codes,0))="Arbeit",INDEX(Arten,MATCH(C11,Codes,0))="Arbeit"),IF(ROUND((1+INDEX(Beginne,MATCH(C11,Codes,0))-INDEX(EndeRel,MATCH(B11,Codes,0)))*1440,0)&lt;660,1,0),0),0))</f>
      </c>
      <c r="D60" s="1">
        <f>IF(OR(D$52=0,C11="",D11=""),0,IFERROR(IF(AND(INDEX(Arten,MATCH(C11,Codes,0))="Arbeit",INDEX(Arten,MATCH(D11,Codes,0))="Arbeit"),IF(ROUND((1+INDEX(Beginne,MATCH(D11,Codes,0))-INDEX(EndeRel,MATCH(C11,Codes,0)))*1440,0)&lt;660,1,0),0),0))</f>
      </c>
      <c r="E60" s="1">
        <f>IF(OR(E$52=0,D11="",E11=""),0,IFERROR(IF(AND(INDEX(Arten,MATCH(D11,Codes,0))="Arbeit",INDEX(Arten,MATCH(E11,Codes,0))="Arbeit"),IF(ROUND((1+INDEX(Beginne,MATCH(E11,Codes,0))-INDEX(EndeRel,MATCH(D11,Codes,0)))*1440,0)&lt;660,1,0),0),0))</f>
      </c>
      <c r="F60" s="1">
        <f>IF(OR(F$52=0,E11="",F11=""),0,IFERROR(IF(AND(INDEX(Arten,MATCH(E11,Codes,0))="Arbeit",INDEX(Arten,MATCH(F11,Codes,0))="Arbeit"),IF(ROUND((1+INDEX(Beginne,MATCH(F11,Codes,0))-INDEX(EndeRel,MATCH(E11,Codes,0)))*1440,0)&lt;660,1,0),0),0))</f>
      </c>
      <c r="G60" s="1">
        <f>IF(OR(G$52=0,F11="",G11=""),0,IFERROR(IF(AND(INDEX(Arten,MATCH(F11,Codes,0))="Arbeit",INDEX(Arten,MATCH(G11,Codes,0))="Arbeit"),IF(ROUND((1+INDEX(Beginne,MATCH(G11,Codes,0))-INDEX(EndeRel,MATCH(F11,Codes,0)))*1440,0)&lt;660,1,0),0),0))</f>
      </c>
      <c r="H60" s="1">
        <f>IF(OR(H$52=0,G11="",H11=""),0,IFERROR(IF(AND(INDEX(Arten,MATCH(G11,Codes,0))="Arbeit",INDEX(Arten,MATCH(H11,Codes,0))="Arbeit"),IF(ROUND((1+INDEX(Beginne,MATCH(H11,Codes,0))-INDEX(EndeRel,MATCH(G11,Codes,0)))*1440,0)&lt;660,1,0),0),0))</f>
      </c>
      <c r="I60" s="1">
        <f>IF(OR(I$52=0,H11="",I11=""),0,IFERROR(IF(AND(INDEX(Arten,MATCH(H11,Codes,0))="Arbeit",INDEX(Arten,MATCH(I11,Codes,0))="Arbeit"),IF(ROUND((1+INDEX(Beginne,MATCH(I11,Codes,0))-INDEX(EndeRel,MATCH(H11,Codes,0)))*1440,0)&lt;660,1,0),0),0))</f>
      </c>
      <c r="J60" s="1">
        <f>IF(OR(J$52=0,I11="",J11=""),0,IFERROR(IF(AND(INDEX(Arten,MATCH(I11,Codes,0))="Arbeit",INDEX(Arten,MATCH(J11,Codes,0))="Arbeit"),IF(ROUND((1+INDEX(Beginne,MATCH(J11,Codes,0))-INDEX(EndeRel,MATCH(I11,Codes,0)))*1440,0)&lt;660,1,0),0),0))</f>
      </c>
      <c r="K60" s="1">
        <f>IF(OR(K$52=0,J11="",K11=""),0,IFERROR(IF(AND(INDEX(Arten,MATCH(J11,Codes,0))="Arbeit",INDEX(Arten,MATCH(K11,Codes,0))="Arbeit"),IF(ROUND((1+INDEX(Beginne,MATCH(K11,Codes,0))-INDEX(EndeRel,MATCH(J11,Codes,0)))*1440,0)&lt;660,1,0),0),0))</f>
      </c>
      <c r="L60" s="1">
        <f>IF(OR(L$52=0,K11="",L11=""),0,IFERROR(IF(AND(INDEX(Arten,MATCH(K11,Codes,0))="Arbeit",INDEX(Arten,MATCH(L11,Codes,0))="Arbeit"),IF(ROUND((1+INDEX(Beginne,MATCH(L11,Codes,0))-INDEX(EndeRel,MATCH(K11,Codes,0)))*1440,0)&lt;660,1,0),0),0))</f>
      </c>
      <c r="M60" s="1">
        <f>IF(OR(M$52=0,L11="",M11=""),0,IFERROR(IF(AND(INDEX(Arten,MATCH(L11,Codes,0))="Arbeit",INDEX(Arten,MATCH(M11,Codes,0))="Arbeit"),IF(ROUND((1+INDEX(Beginne,MATCH(M11,Codes,0))-INDEX(EndeRel,MATCH(L11,Codes,0)))*1440,0)&lt;660,1,0),0),0))</f>
      </c>
      <c r="N60" s="1">
        <f>IF(OR(N$52=0,M11="",N11=""),0,IFERROR(IF(AND(INDEX(Arten,MATCH(M11,Codes,0))="Arbeit",INDEX(Arten,MATCH(N11,Codes,0))="Arbeit"),IF(ROUND((1+INDEX(Beginne,MATCH(N11,Codes,0))-INDEX(EndeRel,MATCH(M11,Codes,0)))*1440,0)&lt;660,1,0),0),0))</f>
      </c>
      <c r="O60" s="1">
        <f>IF(OR(O$52=0,N11="",O11=""),0,IFERROR(IF(AND(INDEX(Arten,MATCH(N11,Codes,0))="Arbeit",INDEX(Arten,MATCH(O11,Codes,0))="Arbeit"),IF(ROUND((1+INDEX(Beginne,MATCH(O11,Codes,0))-INDEX(EndeRel,MATCH(N11,Codes,0)))*1440,0)&lt;660,1,0),0),0))</f>
      </c>
      <c r="P60" s="1">
        <f>IF(OR(P$52=0,O11="",P11=""),0,IFERROR(IF(AND(INDEX(Arten,MATCH(O11,Codes,0))="Arbeit",INDEX(Arten,MATCH(P11,Codes,0))="Arbeit"),IF(ROUND((1+INDEX(Beginne,MATCH(P11,Codes,0))-INDEX(EndeRel,MATCH(O11,Codes,0)))*1440,0)&lt;660,1,0),0),0))</f>
      </c>
      <c r="Q60" s="1">
        <f>IF(OR(Q$52=0,P11="",Q11=""),0,IFERROR(IF(AND(INDEX(Arten,MATCH(P11,Codes,0))="Arbeit",INDEX(Arten,MATCH(Q11,Codes,0))="Arbeit"),IF(ROUND((1+INDEX(Beginne,MATCH(Q11,Codes,0))-INDEX(EndeRel,MATCH(P11,Codes,0)))*1440,0)&lt;660,1,0),0),0))</f>
      </c>
      <c r="R60" s="1">
        <f>IF(OR(R$52=0,Q11="",R11=""),0,IFERROR(IF(AND(INDEX(Arten,MATCH(Q11,Codes,0))="Arbeit",INDEX(Arten,MATCH(R11,Codes,0))="Arbeit"),IF(ROUND((1+INDEX(Beginne,MATCH(R11,Codes,0))-INDEX(EndeRel,MATCH(Q11,Codes,0)))*1440,0)&lt;660,1,0),0),0))</f>
      </c>
      <c r="S60" s="1">
        <f>IF(OR(S$52=0,R11="",S11=""),0,IFERROR(IF(AND(INDEX(Arten,MATCH(R11,Codes,0))="Arbeit",INDEX(Arten,MATCH(S11,Codes,0))="Arbeit"),IF(ROUND((1+INDEX(Beginne,MATCH(S11,Codes,0))-INDEX(EndeRel,MATCH(R11,Codes,0)))*1440,0)&lt;660,1,0),0),0))</f>
      </c>
      <c r="T60" s="1">
        <f>IF(OR(T$52=0,S11="",T11=""),0,IFERROR(IF(AND(INDEX(Arten,MATCH(S11,Codes,0))="Arbeit",INDEX(Arten,MATCH(T11,Codes,0))="Arbeit"),IF(ROUND((1+INDEX(Beginne,MATCH(T11,Codes,0))-INDEX(EndeRel,MATCH(S11,Codes,0)))*1440,0)&lt;660,1,0),0),0))</f>
      </c>
      <c r="U60" s="1">
        <f>IF(OR(U$52=0,T11="",U11=""),0,IFERROR(IF(AND(INDEX(Arten,MATCH(T11,Codes,0))="Arbeit",INDEX(Arten,MATCH(U11,Codes,0))="Arbeit"),IF(ROUND((1+INDEX(Beginne,MATCH(U11,Codes,0))-INDEX(EndeRel,MATCH(T11,Codes,0)))*1440,0)&lt;660,1,0),0),0))</f>
      </c>
      <c r="V60" s="1">
        <f>IF(OR(V$52=0,U11="",V11=""),0,IFERROR(IF(AND(INDEX(Arten,MATCH(U11,Codes,0))="Arbeit",INDEX(Arten,MATCH(V11,Codes,0))="Arbeit"),IF(ROUND((1+INDEX(Beginne,MATCH(V11,Codes,0))-INDEX(EndeRel,MATCH(U11,Codes,0)))*1440,0)&lt;660,1,0),0),0))</f>
      </c>
      <c r="W60" s="1">
        <f>IF(OR(W$52=0,V11="",W11=""),0,IFERROR(IF(AND(INDEX(Arten,MATCH(V11,Codes,0))="Arbeit",INDEX(Arten,MATCH(W11,Codes,0))="Arbeit"),IF(ROUND((1+INDEX(Beginne,MATCH(W11,Codes,0))-INDEX(EndeRel,MATCH(V11,Codes,0)))*1440,0)&lt;660,1,0),0),0))</f>
      </c>
      <c r="X60" s="1">
        <f>IF(OR(X$52=0,W11="",X11=""),0,IFERROR(IF(AND(INDEX(Arten,MATCH(W11,Codes,0))="Arbeit",INDEX(Arten,MATCH(X11,Codes,0))="Arbeit"),IF(ROUND((1+INDEX(Beginne,MATCH(X11,Codes,0))-INDEX(EndeRel,MATCH(W11,Codes,0)))*1440,0)&lt;660,1,0),0),0))</f>
      </c>
      <c r="Y60" s="1">
        <f>IF(OR(Y$52=0,X11="",Y11=""),0,IFERROR(IF(AND(INDEX(Arten,MATCH(X11,Codes,0))="Arbeit",INDEX(Arten,MATCH(Y11,Codes,0))="Arbeit"),IF(ROUND((1+INDEX(Beginne,MATCH(Y11,Codes,0))-INDEX(EndeRel,MATCH(X11,Codes,0)))*1440,0)&lt;660,1,0),0),0))</f>
      </c>
      <c r="Z60" s="1">
        <f>IF(OR(Z$52=0,Y11="",Z11=""),0,IFERROR(IF(AND(INDEX(Arten,MATCH(Y11,Codes,0))="Arbeit",INDEX(Arten,MATCH(Z11,Codes,0))="Arbeit"),IF(ROUND((1+INDEX(Beginne,MATCH(Z11,Codes,0))-INDEX(EndeRel,MATCH(Y11,Codes,0)))*1440,0)&lt;660,1,0),0),0))</f>
      </c>
      <c r="AA60" s="1">
        <f>IF(OR(AA$52=0,Z11="",AA11=""),0,IFERROR(IF(AND(INDEX(Arten,MATCH(Z11,Codes,0))="Arbeit",INDEX(Arten,MATCH(AA11,Codes,0))="Arbeit"),IF(ROUND((1+INDEX(Beginne,MATCH(AA11,Codes,0))-INDEX(EndeRel,MATCH(Z11,Codes,0)))*1440,0)&lt;660,1,0),0),0))</f>
      </c>
      <c r="AB60" s="1">
        <f>IF(OR(AB$52=0,AA11="",AB11=""),0,IFERROR(IF(AND(INDEX(Arten,MATCH(AA11,Codes,0))="Arbeit",INDEX(Arten,MATCH(AB11,Codes,0))="Arbeit"),IF(ROUND((1+INDEX(Beginne,MATCH(AB11,Codes,0))-INDEX(EndeRel,MATCH(AA11,Codes,0)))*1440,0)&lt;660,1,0),0),0))</f>
      </c>
      <c r="AC60" s="1">
        <f>IF(OR(AC$52=0,AB11="",AC11=""),0,IFERROR(IF(AND(INDEX(Arten,MATCH(AB11,Codes,0))="Arbeit",INDEX(Arten,MATCH(AC11,Codes,0))="Arbeit"),IF(ROUND((1+INDEX(Beginne,MATCH(AC11,Codes,0))-INDEX(EndeRel,MATCH(AB11,Codes,0)))*1440,0)&lt;660,1,0),0),0))</f>
      </c>
      <c r="AD60" s="1">
        <f>IF(OR(AD$52=0,AC11="",AD11=""),0,IFERROR(IF(AND(INDEX(Arten,MATCH(AC11,Codes,0))="Arbeit",INDEX(Arten,MATCH(AD11,Codes,0))="Arbeit"),IF(ROUND((1+INDEX(Beginne,MATCH(AD11,Codes,0))-INDEX(EndeRel,MATCH(AC11,Codes,0)))*1440,0)&lt;660,1,0),0),0))</f>
      </c>
      <c r="AE60" s="1">
        <f>IF(OR(AE$52=0,AD11="",AE11=""),0,IFERROR(IF(AND(INDEX(Arten,MATCH(AD11,Codes,0))="Arbeit",INDEX(Arten,MATCH(AE11,Codes,0))="Arbeit"),IF(ROUND((1+INDEX(Beginne,MATCH(AE11,Codes,0))-INDEX(EndeRel,MATCH(AD11,Codes,0)))*1440,0)&lt;660,1,0),0),0))</f>
      </c>
      <c r="AF60" s="1">
        <f>IF(OR(AF$52=0,AE11="",AF11=""),0,IFERROR(IF(AND(INDEX(Arten,MATCH(AE11,Codes,0))="Arbeit",INDEX(Arten,MATCH(AF11,Codes,0))="Arbeit"),IF(ROUND((1+INDEX(Beginne,MATCH(AF11,Codes,0))-INDEX(EndeRel,MATCH(AE11,Codes,0)))*1440,0)&lt;660,1,0),0),0))</f>
      </c>
    </row>
    <row r="61" hidden="1" spans="1:32" x14ac:dyDescent="0.25">
      <c r="A61" s="1"/>
      <c r="B61" s="1">
        <f>IF(OR(B$52=0,INDEX('April'!$B$12:$AF$12,DAY(DATE(Jahr,5,0)))="",B12=""),0,IFERROR(IF(AND(INDEX(Arten,MATCH(INDEX('April'!$B$12:$AF$12,DAY(DATE(Jahr,5,0))),Codes,0))="Arbeit",INDEX(Arten,MATCH(B12,Codes,0))="Arbeit"),IF(ROUND((1+INDEX(Beginne,MATCH(B12,Codes,0))-INDEX(EndeRel,MATCH(INDEX('April'!$B$12:$AF$12,DAY(DATE(Jahr,5,0))),Codes,0)))*1440,0)&lt;660,1,0),0),0))</f>
      </c>
      <c r="C61" s="1">
        <f>IF(OR(C$52=0,B12="",C12=""),0,IFERROR(IF(AND(INDEX(Arten,MATCH(B12,Codes,0))="Arbeit",INDEX(Arten,MATCH(C12,Codes,0))="Arbeit"),IF(ROUND((1+INDEX(Beginne,MATCH(C12,Codes,0))-INDEX(EndeRel,MATCH(B12,Codes,0)))*1440,0)&lt;660,1,0),0),0))</f>
      </c>
      <c r="D61" s="1">
        <f>IF(OR(D$52=0,C12="",D12=""),0,IFERROR(IF(AND(INDEX(Arten,MATCH(C12,Codes,0))="Arbeit",INDEX(Arten,MATCH(D12,Codes,0))="Arbeit"),IF(ROUND((1+INDEX(Beginne,MATCH(D12,Codes,0))-INDEX(EndeRel,MATCH(C12,Codes,0)))*1440,0)&lt;660,1,0),0),0))</f>
      </c>
      <c r="E61" s="1">
        <f>IF(OR(E$52=0,D12="",E12=""),0,IFERROR(IF(AND(INDEX(Arten,MATCH(D12,Codes,0))="Arbeit",INDEX(Arten,MATCH(E12,Codes,0))="Arbeit"),IF(ROUND((1+INDEX(Beginne,MATCH(E12,Codes,0))-INDEX(EndeRel,MATCH(D12,Codes,0)))*1440,0)&lt;660,1,0),0),0))</f>
      </c>
      <c r="F61" s="1">
        <f>IF(OR(F$52=0,E12="",F12=""),0,IFERROR(IF(AND(INDEX(Arten,MATCH(E12,Codes,0))="Arbeit",INDEX(Arten,MATCH(F12,Codes,0))="Arbeit"),IF(ROUND((1+INDEX(Beginne,MATCH(F12,Codes,0))-INDEX(EndeRel,MATCH(E12,Codes,0)))*1440,0)&lt;660,1,0),0),0))</f>
      </c>
      <c r="G61" s="1">
        <f>IF(OR(G$52=0,F12="",G12=""),0,IFERROR(IF(AND(INDEX(Arten,MATCH(F12,Codes,0))="Arbeit",INDEX(Arten,MATCH(G12,Codes,0))="Arbeit"),IF(ROUND((1+INDEX(Beginne,MATCH(G12,Codes,0))-INDEX(EndeRel,MATCH(F12,Codes,0)))*1440,0)&lt;660,1,0),0),0))</f>
      </c>
      <c r="H61" s="1">
        <f>IF(OR(H$52=0,G12="",H12=""),0,IFERROR(IF(AND(INDEX(Arten,MATCH(G12,Codes,0))="Arbeit",INDEX(Arten,MATCH(H12,Codes,0))="Arbeit"),IF(ROUND((1+INDEX(Beginne,MATCH(H12,Codes,0))-INDEX(EndeRel,MATCH(G12,Codes,0)))*1440,0)&lt;660,1,0),0),0))</f>
      </c>
      <c r="I61" s="1">
        <f>IF(OR(I$52=0,H12="",I12=""),0,IFERROR(IF(AND(INDEX(Arten,MATCH(H12,Codes,0))="Arbeit",INDEX(Arten,MATCH(I12,Codes,0))="Arbeit"),IF(ROUND((1+INDEX(Beginne,MATCH(I12,Codes,0))-INDEX(EndeRel,MATCH(H12,Codes,0)))*1440,0)&lt;660,1,0),0),0))</f>
      </c>
      <c r="J61" s="1">
        <f>IF(OR(J$52=0,I12="",J12=""),0,IFERROR(IF(AND(INDEX(Arten,MATCH(I12,Codes,0))="Arbeit",INDEX(Arten,MATCH(J12,Codes,0))="Arbeit"),IF(ROUND((1+INDEX(Beginne,MATCH(J12,Codes,0))-INDEX(EndeRel,MATCH(I12,Codes,0)))*1440,0)&lt;660,1,0),0),0))</f>
      </c>
      <c r="K61" s="1">
        <f>IF(OR(K$52=0,J12="",K12=""),0,IFERROR(IF(AND(INDEX(Arten,MATCH(J12,Codes,0))="Arbeit",INDEX(Arten,MATCH(K12,Codes,0))="Arbeit"),IF(ROUND((1+INDEX(Beginne,MATCH(K12,Codes,0))-INDEX(EndeRel,MATCH(J12,Codes,0)))*1440,0)&lt;660,1,0),0),0))</f>
      </c>
      <c r="L61" s="1">
        <f>IF(OR(L$52=0,K12="",L12=""),0,IFERROR(IF(AND(INDEX(Arten,MATCH(K12,Codes,0))="Arbeit",INDEX(Arten,MATCH(L12,Codes,0))="Arbeit"),IF(ROUND((1+INDEX(Beginne,MATCH(L12,Codes,0))-INDEX(EndeRel,MATCH(K12,Codes,0)))*1440,0)&lt;660,1,0),0),0))</f>
      </c>
      <c r="M61" s="1">
        <f>IF(OR(M$52=0,L12="",M12=""),0,IFERROR(IF(AND(INDEX(Arten,MATCH(L12,Codes,0))="Arbeit",INDEX(Arten,MATCH(M12,Codes,0))="Arbeit"),IF(ROUND((1+INDEX(Beginne,MATCH(M12,Codes,0))-INDEX(EndeRel,MATCH(L12,Codes,0)))*1440,0)&lt;660,1,0),0),0))</f>
      </c>
      <c r="N61" s="1">
        <f>IF(OR(N$52=0,M12="",N12=""),0,IFERROR(IF(AND(INDEX(Arten,MATCH(M12,Codes,0))="Arbeit",INDEX(Arten,MATCH(N12,Codes,0))="Arbeit"),IF(ROUND((1+INDEX(Beginne,MATCH(N12,Codes,0))-INDEX(EndeRel,MATCH(M12,Codes,0)))*1440,0)&lt;660,1,0),0),0))</f>
      </c>
      <c r="O61" s="1">
        <f>IF(OR(O$52=0,N12="",O12=""),0,IFERROR(IF(AND(INDEX(Arten,MATCH(N12,Codes,0))="Arbeit",INDEX(Arten,MATCH(O12,Codes,0))="Arbeit"),IF(ROUND((1+INDEX(Beginne,MATCH(O12,Codes,0))-INDEX(EndeRel,MATCH(N12,Codes,0)))*1440,0)&lt;660,1,0),0),0))</f>
      </c>
      <c r="P61" s="1">
        <f>IF(OR(P$52=0,O12="",P12=""),0,IFERROR(IF(AND(INDEX(Arten,MATCH(O12,Codes,0))="Arbeit",INDEX(Arten,MATCH(P12,Codes,0))="Arbeit"),IF(ROUND((1+INDEX(Beginne,MATCH(P12,Codes,0))-INDEX(EndeRel,MATCH(O12,Codes,0)))*1440,0)&lt;660,1,0),0),0))</f>
      </c>
      <c r="Q61" s="1">
        <f>IF(OR(Q$52=0,P12="",Q12=""),0,IFERROR(IF(AND(INDEX(Arten,MATCH(P12,Codes,0))="Arbeit",INDEX(Arten,MATCH(Q12,Codes,0))="Arbeit"),IF(ROUND((1+INDEX(Beginne,MATCH(Q12,Codes,0))-INDEX(EndeRel,MATCH(P12,Codes,0)))*1440,0)&lt;660,1,0),0),0))</f>
      </c>
      <c r="R61" s="1">
        <f>IF(OR(R$52=0,Q12="",R12=""),0,IFERROR(IF(AND(INDEX(Arten,MATCH(Q12,Codes,0))="Arbeit",INDEX(Arten,MATCH(R12,Codes,0))="Arbeit"),IF(ROUND((1+INDEX(Beginne,MATCH(R12,Codes,0))-INDEX(EndeRel,MATCH(Q12,Codes,0)))*1440,0)&lt;660,1,0),0),0))</f>
      </c>
      <c r="S61" s="1">
        <f>IF(OR(S$52=0,R12="",S12=""),0,IFERROR(IF(AND(INDEX(Arten,MATCH(R12,Codes,0))="Arbeit",INDEX(Arten,MATCH(S12,Codes,0))="Arbeit"),IF(ROUND((1+INDEX(Beginne,MATCH(S12,Codes,0))-INDEX(EndeRel,MATCH(R12,Codes,0)))*1440,0)&lt;660,1,0),0),0))</f>
      </c>
      <c r="T61" s="1">
        <f>IF(OR(T$52=0,S12="",T12=""),0,IFERROR(IF(AND(INDEX(Arten,MATCH(S12,Codes,0))="Arbeit",INDEX(Arten,MATCH(T12,Codes,0))="Arbeit"),IF(ROUND((1+INDEX(Beginne,MATCH(T12,Codes,0))-INDEX(EndeRel,MATCH(S12,Codes,0)))*1440,0)&lt;660,1,0),0),0))</f>
      </c>
      <c r="U61" s="1">
        <f>IF(OR(U$52=0,T12="",U12=""),0,IFERROR(IF(AND(INDEX(Arten,MATCH(T12,Codes,0))="Arbeit",INDEX(Arten,MATCH(U12,Codes,0))="Arbeit"),IF(ROUND((1+INDEX(Beginne,MATCH(U12,Codes,0))-INDEX(EndeRel,MATCH(T12,Codes,0)))*1440,0)&lt;660,1,0),0),0))</f>
      </c>
      <c r="V61" s="1">
        <f>IF(OR(V$52=0,U12="",V12=""),0,IFERROR(IF(AND(INDEX(Arten,MATCH(U12,Codes,0))="Arbeit",INDEX(Arten,MATCH(V12,Codes,0))="Arbeit"),IF(ROUND((1+INDEX(Beginne,MATCH(V12,Codes,0))-INDEX(EndeRel,MATCH(U12,Codes,0)))*1440,0)&lt;660,1,0),0),0))</f>
      </c>
      <c r="W61" s="1">
        <f>IF(OR(W$52=0,V12="",W12=""),0,IFERROR(IF(AND(INDEX(Arten,MATCH(V12,Codes,0))="Arbeit",INDEX(Arten,MATCH(W12,Codes,0))="Arbeit"),IF(ROUND((1+INDEX(Beginne,MATCH(W12,Codes,0))-INDEX(EndeRel,MATCH(V12,Codes,0)))*1440,0)&lt;660,1,0),0),0))</f>
      </c>
      <c r="X61" s="1">
        <f>IF(OR(X$52=0,W12="",X12=""),0,IFERROR(IF(AND(INDEX(Arten,MATCH(W12,Codes,0))="Arbeit",INDEX(Arten,MATCH(X12,Codes,0))="Arbeit"),IF(ROUND((1+INDEX(Beginne,MATCH(X12,Codes,0))-INDEX(EndeRel,MATCH(W12,Codes,0)))*1440,0)&lt;660,1,0),0),0))</f>
      </c>
      <c r="Y61" s="1">
        <f>IF(OR(Y$52=0,X12="",Y12=""),0,IFERROR(IF(AND(INDEX(Arten,MATCH(X12,Codes,0))="Arbeit",INDEX(Arten,MATCH(Y12,Codes,0))="Arbeit"),IF(ROUND((1+INDEX(Beginne,MATCH(Y12,Codes,0))-INDEX(EndeRel,MATCH(X12,Codes,0)))*1440,0)&lt;660,1,0),0),0))</f>
      </c>
      <c r="Z61" s="1">
        <f>IF(OR(Z$52=0,Y12="",Z12=""),0,IFERROR(IF(AND(INDEX(Arten,MATCH(Y12,Codes,0))="Arbeit",INDEX(Arten,MATCH(Z12,Codes,0))="Arbeit"),IF(ROUND((1+INDEX(Beginne,MATCH(Z12,Codes,0))-INDEX(EndeRel,MATCH(Y12,Codes,0)))*1440,0)&lt;660,1,0),0),0))</f>
      </c>
      <c r="AA61" s="1">
        <f>IF(OR(AA$52=0,Z12="",AA12=""),0,IFERROR(IF(AND(INDEX(Arten,MATCH(Z12,Codes,0))="Arbeit",INDEX(Arten,MATCH(AA12,Codes,0))="Arbeit"),IF(ROUND((1+INDEX(Beginne,MATCH(AA12,Codes,0))-INDEX(EndeRel,MATCH(Z12,Codes,0)))*1440,0)&lt;660,1,0),0),0))</f>
      </c>
      <c r="AB61" s="1">
        <f>IF(OR(AB$52=0,AA12="",AB12=""),0,IFERROR(IF(AND(INDEX(Arten,MATCH(AA12,Codes,0))="Arbeit",INDEX(Arten,MATCH(AB12,Codes,0))="Arbeit"),IF(ROUND((1+INDEX(Beginne,MATCH(AB12,Codes,0))-INDEX(EndeRel,MATCH(AA12,Codes,0)))*1440,0)&lt;660,1,0),0),0))</f>
      </c>
      <c r="AC61" s="1">
        <f>IF(OR(AC$52=0,AB12="",AC12=""),0,IFERROR(IF(AND(INDEX(Arten,MATCH(AB12,Codes,0))="Arbeit",INDEX(Arten,MATCH(AC12,Codes,0))="Arbeit"),IF(ROUND((1+INDEX(Beginne,MATCH(AC12,Codes,0))-INDEX(EndeRel,MATCH(AB12,Codes,0)))*1440,0)&lt;660,1,0),0),0))</f>
      </c>
      <c r="AD61" s="1">
        <f>IF(OR(AD$52=0,AC12="",AD12=""),0,IFERROR(IF(AND(INDEX(Arten,MATCH(AC12,Codes,0))="Arbeit",INDEX(Arten,MATCH(AD12,Codes,0))="Arbeit"),IF(ROUND((1+INDEX(Beginne,MATCH(AD12,Codes,0))-INDEX(EndeRel,MATCH(AC12,Codes,0)))*1440,0)&lt;660,1,0),0),0))</f>
      </c>
      <c r="AE61" s="1">
        <f>IF(OR(AE$52=0,AD12="",AE12=""),0,IFERROR(IF(AND(INDEX(Arten,MATCH(AD12,Codes,0))="Arbeit",INDEX(Arten,MATCH(AE12,Codes,0))="Arbeit"),IF(ROUND((1+INDEX(Beginne,MATCH(AE12,Codes,0))-INDEX(EndeRel,MATCH(AD12,Codes,0)))*1440,0)&lt;660,1,0),0),0))</f>
      </c>
      <c r="AF61" s="1">
        <f>IF(OR(AF$52=0,AE12="",AF12=""),0,IFERROR(IF(AND(INDEX(Arten,MATCH(AE12,Codes,0))="Arbeit",INDEX(Arten,MATCH(AF12,Codes,0))="Arbeit"),IF(ROUND((1+INDEX(Beginne,MATCH(AF12,Codes,0))-INDEX(EndeRel,MATCH(AE12,Codes,0)))*1440,0)&lt;660,1,0),0),0))</f>
      </c>
    </row>
    <row r="62" hidden="1" spans="1:32" x14ac:dyDescent="0.25">
      <c r="A62" s="1"/>
      <c r="B62" s="1">
        <f>IF(OR(B$52=0,INDEX('April'!$B$13:$AF$13,DAY(DATE(Jahr,5,0)))="",B13=""),0,IFERROR(IF(AND(INDEX(Arten,MATCH(INDEX('April'!$B$13:$AF$13,DAY(DATE(Jahr,5,0))),Codes,0))="Arbeit",INDEX(Arten,MATCH(B13,Codes,0))="Arbeit"),IF(ROUND((1+INDEX(Beginne,MATCH(B13,Codes,0))-INDEX(EndeRel,MATCH(INDEX('April'!$B$13:$AF$13,DAY(DATE(Jahr,5,0))),Codes,0)))*1440,0)&lt;660,1,0),0),0))</f>
      </c>
      <c r="C62" s="1">
        <f>IF(OR(C$52=0,B13="",C13=""),0,IFERROR(IF(AND(INDEX(Arten,MATCH(B13,Codes,0))="Arbeit",INDEX(Arten,MATCH(C13,Codes,0))="Arbeit"),IF(ROUND((1+INDEX(Beginne,MATCH(C13,Codes,0))-INDEX(EndeRel,MATCH(B13,Codes,0)))*1440,0)&lt;660,1,0),0),0))</f>
      </c>
      <c r="D62" s="1">
        <f>IF(OR(D$52=0,C13="",D13=""),0,IFERROR(IF(AND(INDEX(Arten,MATCH(C13,Codes,0))="Arbeit",INDEX(Arten,MATCH(D13,Codes,0))="Arbeit"),IF(ROUND((1+INDEX(Beginne,MATCH(D13,Codes,0))-INDEX(EndeRel,MATCH(C13,Codes,0)))*1440,0)&lt;660,1,0),0),0))</f>
      </c>
      <c r="E62" s="1">
        <f>IF(OR(E$52=0,D13="",E13=""),0,IFERROR(IF(AND(INDEX(Arten,MATCH(D13,Codes,0))="Arbeit",INDEX(Arten,MATCH(E13,Codes,0))="Arbeit"),IF(ROUND((1+INDEX(Beginne,MATCH(E13,Codes,0))-INDEX(EndeRel,MATCH(D13,Codes,0)))*1440,0)&lt;660,1,0),0),0))</f>
      </c>
      <c r="F62" s="1">
        <f>IF(OR(F$52=0,E13="",F13=""),0,IFERROR(IF(AND(INDEX(Arten,MATCH(E13,Codes,0))="Arbeit",INDEX(Arten,MATCH(F13,Codes,0))="Arbeit"),IF(ROUND((1+INDEX(Beginne,MATCH(F13,Codes,0))-INDEX(EndeRel,MATCH(E13,Codes,0)))*1440,0)&lt;660,1,0),0),0))</f>
      </c>
      <c r="G62" s="1">
        <f>IF(OR(G$52=0,F13="",G13=""),0,IFERROR(IF(AND(INDEX(Arten,MATCH(F13,Codes,0))="Arbeit",INDEX(Arten,MATCH(G13,Codes,0))="Arbeit"),IF(ROUND((1+INDEX(Beginne,MATCH(G13,Codes,0))-INDEX(EndeRel,MATCH(F13,Codes,0)))*1440,0)&lt;660,1,0),0),0))</f>
      </c>
      <c r="H62" s="1">
        <f>IF(OR(H$52=0,G13="",H13=""),0,IFERROR(IF(AND(INDEX(Arten,MATCH(G13,Codes,0))="Arbeit",INDEX(Arten,MATCH(H13,Codes,0))="Arbeit"),IF(ROUND((1+INDEX(Beginne,MATCH(H13,Codes,0))-INDEX(EndeRel,MATCH(G13,Codes,0)))*1440,0)&lt;660,1,0),0),0))</f>
      </c>
      <c r="I62" s="1">
        <f>IF(OR(I$52=0,H13="",I13=""),0,IFERROR(IF(AND(INDEX(Arten,MATCH(H13,Codes,0))="Arbeit",INDEX(Arten,MATCH(I13,Codes,0))="Arbeit"),IF(ROUND((1+INDEX(Beginne,MATCH(I13,Codes,0))-INDEX(EndeRel,MATCH(H13,Codes,0)))*1440,0)&lt;660,1,0),0),0))</f>
      </c>
      <c r="J62" s="1">
        <f>IF(OR(J$52=0,I13="",J13=""),0,IFERROR(IF(AND(INDEX(Arten,MATCH(I13,Codes,0))="Arbeit",INDEX(Arten,MATCH(J13,Codes,0))="Arbeit"),IF(ROUND((1+INDEX(Beginne,MATCH(J13,Codes,0))-INDEX(EndeRel,MATCH(I13,Codes,0)))*1440,0)&lt;660,1,0),0),0))</f>
      </c>
      <c r="K62" s="1">
        <f>IF(OR(K$52=0,J13="",K13=""),0,IFERROR(IF(AND(INDEX(Arten,MATCH(J13,Codes,0))="Arbeit",INDEX(Arten,MATCH(K13,Codes,0))="Arbeit"),IF(ROUND((1+INDEX(Beginne,MATCH(K13,Codes,0))-INDEX(EndeRel,MATCH(J13,Codes,0)))*1440,0)&lt;660,1,0),0),0))</f>
      </c>
      <c r="L62" s="1">
        <f>IF(OR(L$52=0,K13="",L13=""),0,IFERROR(IF(AND(INDEX(Arten,MATCH(K13,Codes,0))="Arbeit",INDEX(Arten,MATCH(L13,Codes,0))="Arbeit"),IF(ROUND((1+INDEX(Beginne,MATCH(L13,Codes,0))-INDEX(EndeRel,MATCH(K13,Codes,0)))*1440,0)&lt;660,1,0),0),0))</f>
      </c>
      <c r="M62" s="1">
        <f>IF(OR(M$52=0,L13="",M13=""),0,IFERROR(IF(AND(INDEX(Arten,MATCH(L13,Codes,0))="Arbeit",INDEX(Arten,MATCH(M13,Codes,0))="Arbeit"),IF(ROUND((1+INDEX(Beginne,MATCH(M13,Codes,0))-INDEX(EndeRel,MATCH(L13,Codes,0)))*1440,0)&lt;660,1,0),0),0))</f>
      </c>
      <c r="N62" s="1">
        <f>IF(OR(N$52=0,M13="",N13=""),0,IFERROR(IF(AND(INDEX(Arten,MATCH(M13,Codes,0))="Arbeit",INDEX(Arten,MATCH(N13,Codes,0))="Arbeit"),IF(ROUND((1+INDEX(Beginne,MATCH(N13,Codes,0))-INDEX(EndeRel,MATCH(M13,Codes,0)))*1440,0)&lt;660,1,0),0),0))</f>
      </c>
      <c r="O62" s="1">
        <f>IF(OR(O$52=0,N13="",O13=""),0,IFERROR(IF(AND(INDEX(Arten,MATCH(N13,Codes,0))="Arbeit",INDEX(Arten,MATCH(O13,Codes,0))="Arbeit"),IF(ROUND((1+INDEX(Beginne,MATCH(O13,Codes,0))-INDEX(EndeRel,MATCH(N13,Codes,0)))*1440,0)&lt;660,1,0),0),0))</f>
      </c>
      <c r="P62" s="1">
        <f>IF(OR(P$52=0,O13="",P13=""),0,IFERROR(IF(AND(INDEX(Arten,MATCH(O13,Codes,0))="Arbeit",INDEX(Arten,MATCH(P13,Codes,0))="Arbeit"),IF(ROUND((1+INDEX(Beginne,MATCH(P13,Codes,0))-INDEX(EndeRel,MATCH(O13,Codes,0)))*1440,0)&lt;660,1,0),0),0))</f>
      </c>
      <c r="Q62" s="1">
        <f>IF(OR(Q$52=0,P13="",Q13=""),0,IFERROR(IF(AND(INDEX(Arten,MATCH(P13,Codes,0))="Arbeit",INDEX(Arten,MATCH(Q13,Codes,0))="Arbeit"),IF(ROUND((1+INDEX(Beginne,MATCH(Q13,Codes,0))-INDEX(EndeRel,MATCH(P13,Codes,0)))*1440,0)&lt;660,1,0),0),0))</f>
      </c>
      <c r="R62" s="1">
        <f>IF(OR(R$52=0,Q13="",R13=""),0,IFERROR(IF(AND(INDEX(Arten,MATCH(Q13,Codes,0))="Arbeit",INDEX(Arten,MATCH(R13,Codes,0))="Arbeit"),IF(ROUND((1+INDEX(Beginne,MATCH(R13,Codes,0))-INDEX(EndeRel,MATCH(Q13,Codes,0)))*1440,0)&lt;660,1,0),0),0))</f>
      </c>
      <c r="S62" s="1">
        <f>IF(OR(S$52=0,R13="",S13=""),0,IFERROR(IF(AND(INDEX(Arten,MATCH(R13,Codes,0))="Arbeit",INDEX(Arten,MATCH(S13,Codes,0))="Arbeit"),IF(ROUND((1+INDEX(Beginne,MATCH(S13,Codes,0))-INDEX(EndeRel,MATCH(R13,Codes,0)))*1440,0)&lt;660,1,0),0),0))</f>
      </c>
      <c r="T62" s="1">
        <f>IF(OR(T$52=0,S13="",T13=""),0,IFERROR(IF(AND(INDEX(Arten,MATCH(S13,Codes,0))="Arbeit",INDEX(Arten,MATCH(T13,Codes,0))="Arbeit"),IF(ROUND((1+INDEX(Beginne,MATCH(T13,Codes,0))-INDEX(EndeRel,MATCH(S13,Codes,0)))*1440,0)&lt;660,1,0),0),0))</f>
      </c>
      <c r="U62" s="1">
        <f>IF(OR(U$52=0,T13="",U13=""),0,IFERROR(IF(AND(INDEX(Arten,MATCH(T13,Codes,0))="Arbeit",INDEX(Arten,MATCH(U13,Codes,0))="Arbeit"),IF(ROUND((1+INDEX(Beginne,MATCH(U13,Codes,0))-INDEX(EndeRel,MATCH(T13,Codes,0)))*1440,0)&lt;660,1,0),0),0))</f>
      </c>
      <c r="V62" s="1">
        <f>IF(OR(V$52=0,U13="",V13=""),0,IFERROR(IF(AND(INDEX(Arten,MATCH(U13,Codes,0))="Arbeit",INDEX(Arten,MATCH(V13,Codes,0))="Arbeit"),IF(ROUND((1+INDEX(Beginne,MATCH(V13,Codes,0))-INDEX(EndeRel,MATCH(U13,Codes,0)))*1440,0)&lt;660,1,0),0),0))</f>
      </c>
      <c r="W62" s="1">
        <f>IF(OR(W$52=0,V13="",W13=""),0,IFERROR(IF(AND(INDEX(Arten,MATCH(V13,Codes,0))="Arbeit",INDEX(Arten,MATCH(W13,Codes,0))="Arbeit"),IF(ROUND((1+INDEX(Beginne,MATCH(W13,Codes,0))-INDEX(EndeRel,MATCH(V13,Codes,0)))*1440,0)&lt;660,1,0),0),0))</f>
      </c>
      <c r="X62" s="1">
        <f>IF(OR(X$52=0,W13="",X13=""),0,IFERROR(IF(AND(INDEX(Arten,MATCH(W13,Codes,0))="Arbeit",INDEX(Arten,MATCH(X13,Codes,0))="Arbeit"),IF(ROUND((1+INDEX(Beginne,MATCH(X13,Codes,0))-INDEX(EndeRel,MATCH(W13,Codes,0)))*1440,0)&lt;660,1,0),0),0))</f>
      </c>
      <c r="Y62" s="1">
        <f>IF(OR(Y$52=0,X13="",Y13=""),0,IFERROR(IF(AND(INDEX(Arten,MATCH(X13,Codes,0))="Arbeit",INDEX(Arten,MATCH(Y13,Codes,0))="Arbeit"),IF(ROUND((1+INDEX(Beginne,MATCH(Y13,Codes,0))-INDEX(EndeRel,MATCH(X13,Codes,0)))*1440,0)&lt;660,1,0),0),0))</f>
      </c>
      <c r="Z62" s="1">
        <f>IF(OR(Z$52=0,Y13="",Z13=""),0,IFERROR(IF(AND(INDEX(Arten,MATCH(Y13,Codes,0))="Arbeit",INDEX(Arten,MATCH(Z13,Codes,0))="Arbeit"),IF(ROUND((1+INDEX(Beginne,MATCH(Z13,Codes,0))-INDEX(EndeRel,MATCH(Y13,Codes,0)))*1440,0)&lt;660,1,0),0),0))</f>
      </c>
      <c r="AA62" s="1">
        <f>IF(OR(AA$52=0,Z13="",AA13=""),0,IFERROR(IF(AND(INDEX(Arten,MATCH(Z13,Codes,0))="Arbeit",INDEX(Arten,MATCH(AA13,Codes,0))="Arbeit"),IF(ROUND((1+INDEX(Beginne,MATCH(AA13,Codes,0))-INDEX(EndeRel,MATCH(Z13,Codes,0)))*1440,0)&lt;660,1,0),0),0))</f>
      </c>
      <c r="AB62" s="1">
        <f>IF(OR(AB$52=0,AA13="",AB13=""),0,IFERROR(IF(AND(INDEX(Arten,MATCH(AA13,Codes,0))="Arbeit",INDEX(Arten,MATCH(AB13,Codes,0))="Arbeit"),IF(ROUND((1+INDEX(Beginne,MATCH(AB13,Codes,0))-INDEX(EndeRel,MATCH(AA13,Codes,0)))*1440,0)&lt;660,1,0),0),0))</f>
      </c>
      <c r="AC62" s="1">
        <f>IF(OR(AC$52=0,AB13="",AC13=""),0,IFERROR(IF(AND(INDEX(Arten,MATCH(AB13,Codes,0))="Arbeit",INDEX(Arten,MATCH(AC13,Codes,0))="Arbeit"),IF(ROUND((1+INDEX(Beginne,MATCH(AC13,Codes,0))-INDEX(EndeRel,MATCH(AB13,Codes,0)))*1440,0)&lt;660,1,0),0),0))</f>
      </c>
      <c r="AD62" s="1">
        <f>IF(OR(AD$52=0,AC13="",AD13=""),0,IFERROR(IF(AND(INDEX(Arten,MATCH(AC13,Codes,0))="Arbeit",INDEX(Arten,MATCH(AD13,Codes,0))="Arbeit"),IF(ROUND((1+INDEX(Beginne,MATCH(AD13,Codes,0))-INDEX(EndeRel,MATCH(AC13,Codes,0)))*1440,0)&lt;660,1,0),0),0))</f>
      </c>
      <c r="AE62" s="1">
        <f>IF(OR(AE$52=0,AD13="",AE13=""),0,IFERROR(IF(AND(INDEX(Arten,MATCH(AD13,Codes,0))="Arbeit",INDEX(Arten,MATCH(AE13,Codes,0))="Arbeit"),IF(ROUND((1+INDEX(Beginne,MATCH(AE13,Codes,0))-INDEX(EndeRel,MATCH(AD13,Codes,0)))*1440,0)&lt;660,1,0),0),0))</f>
      </c>
      <c r="AF62" s="1">
        <f>IF(OR(AF$52=0,AE13="",AF13=""),0,IFERROR(IF(AND(INDEX(Arten,MATCH(AE13,Codes,0))="Arbeit",INDEX(Arten,MATCH(AF13,Codes,0))="Arbeit"),IF(ROUND((1+INDEX(Beginne,MATCH(AF13,Codes,0))-INDEX(EndeRel,MATCH(AE13,Codes,0)))*1440,0)&lt;660,1,0),0),0))</f>
      </c>
    </row>
    <row r="63" hidden="1" spans="1:32" x14ac:dyDescent="0.25">
      <c r="A63" s="1"/>
      <c r="B63" s="1">
        <f>IF(OR(B$52=0,INDEX('April'!$B$14:$AF$14,DAY(DATE(Jahr,5,0)))="",B14=""),0,IFERROR(IF(AND(INDEX(Arten,MATCH(INDEX('April'!$B$14:$AF$14,DAY(DATE(Jahr,5,0))),Codes,0))="Arbeit",INDEX(Arten,MATCH(B14,Codes,0))="Arbeit"),IF(ROUND((1+INDEX(Beginne,MATCH(B14,Codes,0))-INDEX(EndeRel,MATCH(INDEX('April'!$B$14:$AF$14,DAY(DATE(Jahr,5,0))),Codes,0)))*1440,0)&lt;660,1,0),0),0))</f>
      </c>
      <c r="C63" s="1">
        <f>IF(OR(C$52=0,B14="",C14=""),0,IFERROR(IF(AND(INDEX(Arten,MATCH(B14,Codes,0))="Arbeit",INDEX(Arten,MATCH(C14,Codes,0))="Arbeit"),IF(ROUND((1+INDEX(Beginne,MATCH(C14,Codes,0))-INDEX(EndeRel,MATCH(B14,Codes,0)))*1440,0)&lt;660,1,0),0),0))</f>
      </c>
      <c r="D63" s="1">
        <f>IF(OR(D$52=0,C14="",D14=""),0,IFERROR(IF(AND(INDEX(Arten,MATCH(C14,Codes,0))="Arbeit",INDEX(Arten,MATCH(D14,Codes,0))="Arbeit"),IF(ROUND((1+INDEX(Beginne,MATCH(D14,Codes,0))-INDEX(EndeRel,MATCH(C14,Codes,0)))*1440,0)&lt;660,1,0),0),0))</f>
      </c>
      <c r="E63" s="1">
        <f>IF(OR(E$52=0,D14="",E14=""),0,IFERROR(IF(AND(INDEX(Arten,MATCH(D14,Codes,0))="Arbeit",INDEX(Arten,MATCH(E14,Codes,0))="Arbeit"),IF(ROUND((1+INDEX(Beginne,MATCH(E14,Codes,0))-INDEX(EndeRel,MATCH(D14,Codes,0)))*1440,0)&lt;660,1,0),0),0))</f>
      </c>
      <c r="F63" s="1">
        <f>IF(OR(F$52=0,E14="",F14=""),0,IFERROR(IF(AND(INDEX(Arten,MATCH(E14,Codes,0))="Arbeit",INDEX(Arten,MATCH(F14,Codes,0))="Arbeit"),IF(ROUND((1+INDEX(Beginne,MATCH(F14,Codes,0))-INDEX(EndeRel,MATCH(E14,Codes,0)))*1440,0)&lt;660,1,0),0),0))</f>
      </c>
      <c r="G63" s="1">
        <f>IF(OR(G$52=0,F14="",G14=""),0,IFERROR(IF(AND(INDEX(Arten,MATCH(F14,Codes,0))="Arbeit",INDEX(Arten,MATCH(G14,Codes,0))="Arbeit"),IF(ROUND((1+INDEX(Beginne,MATCH(G14,Codes,0))-INDEX(EndeRel,MATCH(F14,Codes,0)))*1440,0)&lt;660,1,0),0),0))</f>
      </c>
      <c r="H63" s="1">
        <f>IF(OR(H$52=0,G14="",H14=""),0,IFERROR(IF(AND(INDEX(Arten,MATCH(G14,Codes,0))="Arbeit",INDEX(Arten,MATCH(H14,Codes,0))="Arbeit"),IF(ROUND((1+INDEX(Beginne,MATCH(H14,Codes,0))-INDEX(EndeRel,MATCH(G14,Codes,0)))*1440,0)&lt;660,1,0),0),0))</f>
      </c>
      <c r="I63" s="1">
        <f>IF(OR(I$52=0,H14="",I14=""),0,IFERROR(IF(AND(INDEX(Arten,MATCH(H14,Codes,0))="Arbeit",INDEX(Arten,MATCH(I14,Codes,0))="Arbeit"),IF(ROUND((1+INDEX(Beginne,MATCH(I14,Codes,0))-INDEX(EndeRel,MATCH(H14,Codes,0)))*1440,0)&lt;660,1,0),0),0))</f>
      </c>
      <c r="J63" s="1">
        <f>IF(OR(J$52=0,I14="",J14=""),0,IFERROR(IF(AND(INDEX(Arten,MATCH(I14,Codes,0))="Arbeit",INDEX(Arten,MATCH(J14,Codes,0))="Arbeit"),IF(ROUND((1+INDEX(Beginne,MATCH(J14,Codes,0))-INDEX(EndeRel,MATCH(I14,Codes,0)))*1440,0)&lt;660,1,0),0),0))</f>
      </c>
      <c r="K63" s="1">
        <f>IF(OR(K$52=0,J14="",K14=""),0,IFERROR(IF(AND(INDEX(Arten,MATCH(J14,Codes,0))="Arbeit",INDEX(Arten,MATCH(K14,Codes,0))="Arbeit"),IF(ROUND((1+INDEX(Beginne,MATCH(K14,Codes,0))-INDEX(EndeRel,MATCH(J14,Codes,0)))*1440,0)&lt;660,1,0),0),0))</f>
      </c>
      <c r="L63" s="1">
        <f>IF(OR(L$52=0,K14="",L14=""),0,IFERROR(IF(AND(INDEX(Arten,MATCH(K14,Codes,0))="Arbeit",INDEX(Arten,MATCH(L14,Codes,0))="Arbeit"),IF(ROUND((1+INDEX(Beginne,MATCH(L14,Codes,0))-INDEX(EndeRel,MATCH(K14,Codes,0)))*1440,0)&lt;660,1,0),0),0))</f>
      </c>
      <c r="M63" s="1">
        <f>IF(OR(M$52=0,L14="",M14=""),0,IFERROR(IF(AND(INDEX(Arten,MATCH(L14,Codes,0))="Arbeit",INDEX(Arten,MATCH(M14,Codes,0))="Arbeit"),IF(ROUND((1+INDEX(Beginne,MATCH(M14,Codes,0))-INDEX(EndeRel,MATCH(L14,Codes,0)))*1440,0)&lt;660,1,0),0),0))</f>
      </c>
      <c r="N63" s="1">
        <f>IF(OR(N$52=0,M14="",N14=""),0,IFERROR(IF(AND(INDEX(Arten,MATCH(M14,Codes,0))="Arbeit",INDEX(Arten,MATCH(N14,Codes,0))="Arbeit"),IF(ROUND((1+INDEX(Beginne,MATCH(N14,Codes,0))-INDEX(EndeRel,MATCH(M14,Codes,0)))*1440,0)&lt;660,1,0),0),0))</f>
      </c>
      <c r="O63" s="1">
        <f>IF(OR(O$52=0,N14="",O14=""),0,IFERROR(IF(AND(INDEX(Arten,MATCH(N14,Codes,0))="Arbeit",INDEX(Arten,MATCH(O14,Codes,0))="Arbeit"),IF(ROUND((1+INDEX(Beginne,MATCH(O14,Codes,0))-INDEX(EndeRel,MATCH(N14,Codes,0)))*1440,0)&lt;660,1,0),0),0))</f>
      </c>
      <c r="P63" s="1">
        <f>IF(OR(P$52=0,O14="",P14=""),0,IFERROR(IF(AND(INDEX(Arten,MATCH(O14,Codes,0))="Arbeit",INDEX(Arten,MATCH(P14,Codes,0))="Arbeit"),IF(ROUND((1+INDEX(Beginne,MATCH(P14,Codes,0))-INDEX(EndeRel,MATCH(O14,Codes,0)))*1440,0)&lt;660,1,0),0),0))</f>
      </c>
      <c r="Q63" s="1">
        <f>IF(OR(Q$52=0,P14="",Q14=""),0,IFERROR(IF(AND(INDEX(Arten,MATCH(P14,Codes,0))="Arbeit",INDEX(Arten,MATCH(Q14,Codes,0))="Arbeit"),IF(ROUND((1+INDEX(Beginne,MATCH(Q14,Codes,0))-INDEX(EndeRel,MATCH(P14,Codes,0)))*1440,0)&lt;660,1,0),0),0))</f>
      </c>
      <c r="R63" s="1">
        <f>IF(OR(R$52=0,Q14="",R14=""),0,IFERROR(IF(AND(INDEX(Arten,MATCH(Q14,Codes,0))="Arbeit",INDEX(Arten,MATCH(R14,Codes,0))="Arbeit"),IF(ROUND((1+INDEX(Beginne,MATCH(R14,Codes,0))-INDEX(EndeRel,MATCH(Q14,Codes,0)))*1440,0)&lt;660,1,0),0),0))</f>
      </c>
      <c r="S63" s="1">
        <f>IF(OR(S$52=0,R14="",S14=""),0,IFERROR(IF(AND(INDEX(Arten,MATCH(R14,Codes,0))="Arbeit",INDEX(Arten,MATCH(S14,Codes,0))="Arbeit"),IF(ROUND((1+INDEX(Beginne,MATCH(S14,Codes,0))-INDEX(EndeRel,MATCH(R14,Codes,0)))*1440,0)&lt;660,1,0),0),0))</f>
      </c>
      <c r="T63" s="1">
        <f>IF(OR(T$52=0,S14="",T14=""),0,IFERROR(IF(AND(INDEX(Arten,MATCH(S14,Codes,0))="Arbeit",INDEX(Arten,MATCH(T14,Codes,0))="Arbeit"),IF(ROUND((1+INDEX(Beginne,MATCH(T14,Codes,0))-INDEX(EndeRel,MATCH(S14,Codes,0)))*1440,0)&lt;660,1,0),0),0))</f>
      </c>
      <c r="U63" s="1">
        <f>IF(OR(U$52=0,T14="",U14=""),0,IFERROR(IF(AND(INDEX(Arten,MATCH(T14,Codes,0))="Arbeit",INDEX(Arten,MATCH(U14,Codes,0))="Arbeit"),IF(ROUND((1+INDEX(Beginne,MATCH(U14,Codes,0))-INDEX(EndeRel,MATCH(T14,Codes,0)))*1440,0)&lt;660,1,0),0),0))</f>
      </c>
      <c r="V63" s="1">
        <f>IF(OR(V$52=0,U14="",V14=""),0,IFERROR(IF(AND(INDEX(Arten,MATCH(U14,Codes,0))="Arbeit",INDEX(Arten,MATCH(V14,Codes,0))="Arbeit"),IF(ROUND((1+INDEX(Beginne,MATCH(V14,Codes,0))-INDEX(EndeRel,MATCH(U14,Codes,0)))*1440,0)&lt;660,1,0),0),0))</f>
      </c>
      <c r="W63" s="1">
        <f>IF(OR(W$52=0,V14="",W14=""),0,IFERROR(IF(AND(INDEX(Arten,MATCH(V14,Codes,0))="Arbeit",INDEX(Arten,MATCH(W14,Codes,0))="Arbeit"),IF(ROUND((1+INDEX(Beginne,MATCH(W14,Codes,0))-INDEX(EndeRel,MATCH(V14,Codes,0)))*1440,0)&lt;660,1,0),0),0))</f>
      </c>
      <c r="X63" s="1">
        <f>IF(OR(X$52=0,W14="",X14=""),0,IFERROR(IF(AND(INDEX(Arten,MATCH(W14,Codes,0))="Arbeit",INDEX(Arten,MATCH(X14,Codes,0))="Arbeit"),IF(ROUND((1+INDEX(Beginne,MATCH(X14,Codes,0))-INDEX(EndeRel,MATCH(W14,Codes,0)))*1440,0)&lt;660,1,0),0),0))</f>
      </c>
      <c r="Y63" s="1">
        <f>IF(OR(Y$52=0,X14="",Y14=""),0,IFERROR(IF(AND(INDEX(Arten,MATCH(X14,Codes,0))="Arbeit",INDEX(Arten,MATCH(Y14,Codes,0))="Arbeit"),IF(ROUND((1+INDEX(Beginne,MATCH(Y14,Codes,0))-INDEX(EndeRel,MATCH(X14,Codes,0)))*1440,0)&lt;660,1,0),0),0))</f>
      </c>
      <c r="Z63" s="1">
        <f>IF(OR(Z$52=0,Y14="",Z14=""),0,IFERROR(IF(AND(INDEX(Arten,MATCH(Y14,Codes,0))="Arbeit",INDEX(Arten,MATCH(Z14,Codes,0))="Arbeit"),IF(ROUND((1+INDEX(Beginne,MATCH(Z14,Codes,0))-INDEX(EndeRel,MATCH(Y14,Codes,0)))*1440,0)&lt;660,1,0),0),0))</f>
      </c>
      <c r="AA63" s="1">
        <f>IF(OR(AA$52=0,Z14="",AA14=""),0,IFERROR(IF(AND(INDEX(Arten,MATCH(Z14,Codes,0))="Arbeit",INDEX(Arten,MATCH(AA14,Codes,0))="Arbeit"),IF(ROUND((1+INDEX(Beginne,MATCH(AA14,Codes,0))-INDEX(EndeRel,MATCH(Z14,Codes,0)))*1440,0)&lt;660,1,0),0),0))</f>
      </c>
      <c r="AB63" s="1">
        <f>IF(OR(AB$52=0,AA14="",AB14=""),0,IFERROR(IF(AND(INDEX(Arten,MATCH(AA14,Codes,0))="Arbeit",INDEX(Arten,MATCH(AB14,Codes,0))="Arbeit"),IF(ROUND((1+INDEX(Beginne,MATCH(AB14,Codes,0))-INDEX(EndeRel,MATCH(AA14,Codes,0)))*1440,0)&lt;660,1,0),0),0))</f>
      </c>
      <c r="AC63" s="1">
        <f>IF(OR(AC$52=0,AB14="",AC14=""),0,IFERROR(IF(AND(INDEX(Arten,MATCH(AB14,Codes,0))="Arbeit",INDEX(Arten,MATCH(AC14,Codes,0))="Arbeit"),IF(ROUND((1+INDEX(Beginne,MATCH(AC14,Codes,0))-INDEX(EndeRel,MATCH(AB14,Codes,0)))*1440,0)&lt;660,1,0),0),0))</f>
      </c>
      <c r="AD63" s="1">
        <f>IF(OR(AD$52=0,AC14="",AD14=""),0,IFERROR(IF(AND(INDEX(Arten,MATCH(AC14,Codes,0))="Arbeit",INDEX(Arten,MATCH(AD14,Codes,0))="Arbeit"),IF(ROUND((1+INDEX(Beginne,MATCH(AD14,Codes,0))-INDEX(EndeRel,MATCH(AC14,Codes,0)))*1440,0)&lt;660,1,0),0),0))</f>
      </c>
      <c r="AE63" s="1">
        <f>IF(OR(AE$52=0,AD14="",AE14=""),0,IFERROR(IF(AND(INDEX(Arten,MATCH(AD14,Codes,0))="Arbeit",INDEX(Arten,MATCH(AE14,Codes,0))="Arbeit"),IF(ROUND((1+INDEX(Beginne,MATCH(AE14,Codes,0))-INDEX(EndeRel,MATCH(AD14,Codes,0)))*1440,0)&lt;660,1,0),0),0))</f>
      </c>
      <c r="AF63" s="1">
        <f>IF(OR(AF$52=0,AE14="",AF14=""),0,IFERROR(IF(AND(INDEX(Arten,MATCH(AE14,Codes,0))="Arbeit",INDEX(Arten,MATCH(AF14,Codes,0))="Arbeit"),IF(ROUND((1+INDEX(Beginne,MATCH(AF14,Codes,0))-INDEX(EndeRel,MATCH(AE14,Codes,0)))*1440,0)&lt;660,1,0),0),0))</f>
      </c>
    </row>
    <row r="64" hidden="1" spans="1:32" x14ac:dyDescent="0.25">
      <c r="A64" s="1"/>
      <c r="B64" s="1">
        <f>IF(OR(B$52=0,INDEX('April'!$B$15:$AF$15,DAY(DATE(Jahr,5,0)))="",B15=""),0,IFERROR(IF(AND(INDEX(Arten,MATCH(INDEX('April'!$B$15:$AF$15,DAY(DATE(Jahr,5,0))),Codes,0))="Arbeit",INDEX(Arten,MATCH(B15,Codes,0))="Arbeit"),IF(ROUND((1+INDEX(Beginne,MATCH(B15,Codes,0))-INDEX(EndeRel,MATCH(INDEX('April'!$B$15:$AF$15,DAY(DATE(Jahr,5,0))),Codes,0)))*1440,0)&lt;660,1,0),0),0))</f>
      </c>
      <c r="C64" s="1">
        <f>IF(OR(C$52=0,B15="",C15=""),0,IFERROR(IF(AND(INDEX(Arten,MATCH(B15,Codes,0))="Arbeit",INDEX(Arten,MATCH(C15,Codes,0))="Arbeit"),IF(ROUND((1+INDEX(Beginne,MATCH(C15,Codes,0))-INDEX(EndeRel,MATCH(B15,Codes,0)))*1440,0)&lt;660,1,0),0),0))</f>
      </c>
      <c r="D64" s="1">
        <f>IF(OR(D$52=0,C15="",D15=""),0,IFERROR(IF(AND(INDEX(Arten,MATCH(C15,Codes,0))="Arbeit",INDEX(Arten,MATCH(D15,Codes,0))="Arbeit"),IF(ROUND((1+INDEX(Beginne,MATCH(D15,Codes,0))-INDEX(EndeRel,MATCH(C15,Codes,0)))*1440,0)&lt;660,1,0),0),0))</f>
      </c>
      <c r="E64" s="1">
        <f>IF(OR(E$52=0,D15="",E15=""),0,IFERROR(IF(AND(INDEX(Arten,MATCH(D15,Codes,0))="Arbeit",INDEX(Arten,MATCH(E15,Codes,0))="Arbeit"),IF(ROUND((1+INDEX(Beginne,MATCH(E15,Codes,0))-INDEX(EndeRel,MATCH(D15,Codes,0)))*1440,0)&lt;660,1,0),0),0))</f>
      </c>
      <c r="F64" s="1">
        <f>IF(OR(F$52=0,E15="",F15=""),0,IFERROR(IF(AND(INDEX(Arten,MATCH(E15,Codes,0))="Arbeit",INDEX(Arten,MATCH(F15,Codes,0))="Arbeit"),IF(ROUND((1+INDEX(Beginne,MATCH(F15,Codes,0))-INDEX(EndeRel,MATCH(E15,Codes,0)))*1440,0)&lt;660,1,0),0),0))</f>
      </c>
      <c r="G64" s="1">
        <f>IF(OR(G$52=0,F15="",G15=""),0,IFERROR(IF(AND(INDEX(Arten,MATCH(F15,Codes,0))="Arbeit",INDEX(Arten,MATCH(G15,Codes,0))="Arbeit"),IF(ROUND((1+INDEX(Beginne,MATCH(G15,Codes,0))-INDEX(EndeRel,MATCH(F15,Codes,0)))*1440,0)&lt;660,1,0),0),0))</f>
      </c>
      <c r="H64" s="1">
        <f>IF(OR(H$52=0,G15="",H15=""),0,IFERROR(IF(AND(INDEX(Arten,MATCH(G15,Codes,0))="Arbeit",INDEX(Arten,MATCH(H15,Codes,0))="Arbeit"),IF(ROUND((1+INDEX(Beginne,MATCH(H15,Codes,0))-INDEX(EndeRel,MATCH(G15,Codes,0)))*1440,0)&lt;660,1,0),0),0))</f>
      </c>
      <c r="I64" s="1">
        <f>IF(OR(I$52=0,H15="",I15=""),0,IFERROR(IF(AND(INDEX(Arten,MATCH(H15,Codes,0))="Arbeit",INDEX(Arten,MATCH(I15,Codes,0))="Arbeit"),IF(ROUND((1+INDEX(Beginne,MATCH(I15,Codes,0))-INDEX(EndeRel,MATCH(H15,Codes,0)))*1440,0)&lt;660,1,0),0),0))</f>
      </c>
      <c r="J64" s="1">
        <f>IF(OR(J$52=0,I15="",J15=""),0,IFERROR(IF(AND(INDEX(Arten,MATCH(I15,Codes,0))="Arbeit",INDEX(Arten,MATCH(J15,Codes,0))="Arbeit"),IF(ROUND((1+INDEX(Beginne,MATCH(J15,Codes,0))-INDEX(EndeRel,MATCH(I15,Codes,0)))*1440,0)&lt;660,1,0),0),0))</f>
      </c>
      <c r="K64" s="1">
        <f>IF(OR(K$52=0,J15="",K15=""),0,IFERROR(IF(AND(INDEX(Arten,MATCH(J15,Codes,0))="Arbeit",INDEX(Arten,MATCH(K15,Codes,0))="Arbeit"),IF(ROUND((1+INDEX(Beginne,MATCH(K15,Codes,0))-INDEX(EndeRel,MATCH(J15,Codes,0)))*1440,0)&lt;660,1,0),0),0))</f>
      </c>
      <c r="L64" s="1">
        <f>IF(OR(L$52=0,K15="",L15=""),0,IFERROR(IF(AND(INDEX(Arten,MATCH(K15,Codes,0))="Arbeit",INDEX(Arten,MATCH(L15,Codes,0))="Arbeit"),IF(ROUND((1+INDEX(Beginne,MATCH(L15,Codes,0))-INDEX(EndeRel,MATCH(K15,Codes,0)))*1440,0)&lt;660,1,0),0),0))</f>
      </c>
      <c r="M64" s="1">
        <f>IF(OR(M$52=0,L15="",M15=""),0,IFERROR(IF(AND(INDEX(Arten,MATCH(L15,Codes,0))="Arbeit",INDEX(Arten,MATCH(M15,Codes,0))="Arbeit"),IF(ROUND((1+INDEX(Beginne,MATCH(M15,Codes,0))-INDEX(EndeRel,MATCH(L15,Codes,0)))*1440,0)&lt;660,1,0),0),0))</f>
      </c>
      <c r="N64" s="1">
        <f>IF(OR(N$52=0,M15="",N15=""),0,IFERROR(IF(AND(INDEX(Arten,MATCH(M15,Codes,0))="Arbeit",INDEX(Arten,MATCH(N15,Codes,0))="Arbeit"),IF(ROUND((1+INDEX(Beginne,MATCH(N15,Codes,0))-INDEX(EndeRel,MATCH(M15,Codes,0)))*1440,0)&lt;660,1,0),0),0))</f>
      </c>
      <c r="O64" s="1">
        <f>IF(OR(O$52=0,N15="",O15=""),0,IFERROR(IF(AND(INDEX(Arten,MATCH(N15,Codes,0))="Arbeit",INDEX(Arten,MATCH(O15,Codes,0))="Arbeit"),IF(ROUND((1+INDEX(Beginne,MATCH(O15,Codes,0))-INDEX(EndeRel,MATCH(N15,Codes,0)))*1440,0)&lt;660,1,0),0),0))</f>
      </c>
      <c r="P64" s="1">
        <f>IF(OR(P$52=0,O15="",P15=""),0,IFERROR(IF(AND(INDEX(Arten,MATCH(O15,Codes,0))="Arbeit",INDEX(Arten,MATCH(P15,Codes,0))="Arbeit"),IF(ROUND((1+INDEX(Beginne,MATCH(P15,Codes,0))-INDEX(EndeRel,MATCH(O15,Codes,0)))*1440,0)&lt;660,1,0),0),0))</f>
      </c>
      <c r="Q64" s="1">
        <f>IF(OR(Q$52=0,P15="",Q15=""),0,IFERROR(IF(AND(INDEX(Arten,MATCH(P15,Codes,0))="Arbeit",INDEX(Arten,MATCH(Q15,Codes,0))="Arbeit"),IF(ROUND((1+INDEX(Beginne,MATCH(Q15,Codes,0))-INDEX(EndeRel,MATCH(P15,Codes,0)))*1440,0)&lt;660,1,0),0),0))</f>
      </c>
      <c r="R64" s="1">
        <f>IF(OR(R$52=0,Q15="",R15=""),0,IFERROR(IF(AND(INDEX(Arten,MATCH(Q15,Codes,0))="Arbeit",INDEX(Arten,MATCH(R15,Codes,0))="Arbeit"),IF(ROUND((1+INDEX(Beginne,MATCH(R15,Codes,0))-INDEX(EndeRel,MATCH(Q15,Codes,0)))*1440,0)&lt;660,1,0),0),0))</f>
      </c>
      <c r="S64" s="1">
        <f>IF(OR(S$52=0,R15="",S15=""),0,IFERROR(IF(AND(INDEX(Arten,MATCH(R15,Codes,0))="Arbeit",INDEX(Arten,MATCH(S15,Codes,0))="Arbeit"),IF(ROUND((1+INDEX(Beginne,MATCH(S15,Codes,0))-INDEX(EndeRel,MATCH(R15,Codes,0)))*1440,0)&lt;660,1,0),0),0))</f>
      </c>
      <c r="T64" s="1">
        <f>IF(OR(T$52=0,S15="",T15=""),0,IFERROR(IF(AND(INDEX(Arten,MATCH(S15,Codes,0))="Arbeit",INDEX(Arten,MATCH(T15,Codes,0))="Arbeit"),IF(ROUND((1+INDEX(Beginne,MATCH(T15,Codes,0))-INDEX(EndeRel,MATCH(S15,Codes,0)))*1440,0)&lt;660,1,0),0),0))</f>
      </c>
      <c r="U64" s="1">
        <f>IF(OR(U$52=0,T15="",U15=""),0,IFERROR(IF(AND(INDEX(Arten,MATCH(T15,Codes,0))="Arbeit",INDEX(Arten,MATCH(U15,Codes,0))="Arbeit"),IF(ROUND((1+INDEX(Beginne,MATCH(U15,Codes,0))-INDEX(EndeRel,MATCH(T15,Codes,0)))*1440,0)&lt;660,1,0),0),0))</f>
      </c>
      <c r="V64" s="1">
        <f>IF(OR(V$52=0,U15="",V15=""),0,IFERROR(IF(AND(INDEX(Arten,MATCH(U15,Codes,0))="Arbeit",INDEX(Arten,MATCH(V15,Codes,0))="Arbeit"),IF(ROUND((1+INDEX(Beginne,MATCH(V15,Codes,0))-INDEX(EndeRel,MATCH(U15,Codes,0)))*1440,0)&lt;660,1,0),0),0))</f>
      </c>
      <c r="W64" s="1">
        <f>IF(OR(W$52=0,V15="",W15=""),0,IFERROR(IF(AND(INDEX(Arten,MATCH(V15,Codes,0))="Arbeit",INDEX(Arten,MATCH(W15,Codes,0))="Arbeit"),IF(ROUND((1+INDEX(Beginne,MATCH(W15,Codes,0))-INDEX(EndeRel,MATCH(V15,Codes,0)))*1440,0)&lt;660,1,0),0),0))</f>
      </c>
      <c r="X64" s="1">
        <f>IF(OR(X$52=0,W15="",X15=""),0,IFERROR(IF(AND(INDEX(Arten,MATCH(W15,Codes,0))="Arbeit",INDEX(Arten,MATCH(X15,Codes,0))="Arbeit"),IF(ROUND((1+INDEX(Beginne,MATCH(X15,Codes,0))-INDEX(EndeRel,MATCH(W15,Codes,0)))*1440,0)&lt;660,1,0),0),0))</f>
      </c>
      <c r="Y64" s="1">
        <f>IF(OR(Y$52=0,X15="",Y15=""),0,IFERROR(IF(AND(INDEX(Arten,MATCH(X15,Codes,0))="Arbeit",INDEX(Arten,MATCH(Y15,Codes,0))="Arbeit"),IF(ROUND((1+INDEX(Beginne,MATCH(Y15,Codes,0))-INDEX(EndeRel,MATCH(X15,Codes,0)))*1440,0)&lt;660,1,0),0),0))</f>
      </c>
      <c r="Z64" s="1">
        <f>IF(OR(Z$52=0,Y15="",Z15=""),0,IFERROR(IF(AND(INDEX(Arten,MATCH(Y15,Codes,0))="Arbeit",INDEX(Arten,MATCH(Z15,Codes,0))="Arbeit"),IF(ROUND((1+INDEX(Beginne,MATCH(Z15,Codes,0))-INDEX(EndeRel,MATCH(Y15,Codes,0)))*1440,0)&lt;660,1,0),0),0))</f>
      </c>
      <c r="AA64" s="1">
        <f>IF(OR(AA$52=0,Z15="",AA15=""),0,IFERROR(IF(AND(INDEX(Arten,MATCH(Z15,Codes,0))="Arbeit",INDEX(Arten,MATCH(AA15,Codes,0))="Arbeit"),IF(ROUND((1+INDEX(Beginne,MATCH(AA15,Codes,0))-INDEX(EndeRel,MATCH(Z15,Codes,0)))*1440,0)&lt;660,1,0),0),0))</f>
      </c>
      <c r="AB64" s="1">
        <f>IF(OR(AB$52=0,AA15="",AB15=""),0,IFERROR(IF(AND(INDEX(Arten,MATCH(AA15,Codes,0))="Arbeit",INDEX(Arten,MATCH(AB15,Codes,0))="Arbeit"),IF(ROUND((1+INDEX(Beginne,MATCH(AB15,Codes,0))-INDEX(EndeRel,MATCH(AA15,Codes,0)))*1440,0)&lt;660,1,0),0),0))</f>
      </c>
      <c r="AC64" s="1">
        <f>IF(OR(AC$52=0,AB15="",AC15=""),0,IFERROR(IF(AND(INDEX(Arten,MATCH(AB15,Codes,0))="Arbeit",INDEX(Arten,MATCH(AC15,Codes,0))="Arbeit"),IF(ROUND((1+INDEX(Beginne,MATCH(AC15,Codes,0))-INDEX(EndeRel,MATCH(AB15,Codes,0)))*1440,0)&lt;660,1,0),0),0))</f>
      </c>
      <c r="AD64" s="1">
        <f>IF(OR(AD$52=0,AC15="",AD15=""),0,IFERROR(IF(AND(INDEX(Arten,MATCH(AC15,Codes,0))="Arbeit",INDEX(Arten,MATCH(AD15,Codes,0))="Arbeit"),IF(ROUND((1+INDEX(Beginne,MATCH(AD15,Codes,0))-INDEX(EndeRel,MATCH(AC15,Codes,0)))*1440,0)&lt;660,1,0),0),0))</f>
      </c>
      <c r="AE64" s="1">
        <f>IF(OR(AE$52=0,AD15="",AE15=""),0,IFERROR(IF(AND(INDEX(Arten,MATCH(AD15,Codes,0))="Arbeit",INDEX(Arten,MATCH(AE15,Codes,0))="Arbeit"),IF(ROUND((1+INDEX(Beginne,MATCH(AE15,Codes,0))-INDEX(EndeRel,MATCH(AD15,Codes,0)))*1440,0)&lt;660,1,0),0),0))</f>
      </c>
      <c r="AF64" s="1">
        <f>IF(OR(AF$52=0,AE15="",AF15=""),0,IFERROR(IF(AND(INDEX(Arten,MATCH(AE15,Codes,0))="Arbeit",INDEX(Arten,MATCH(AF15,Codes,0))="Arbeit"),IF(ROUND((1+INDEX(Beginne,MATCH(AF15,Codes,0))-INDEX(EndeRel,MATCH(AE15,Codes,0)))*1440,0)&lt;660,1,0),0),0))</f>
      </c>
    </row>
    <row r="65" hidden="1" spans="1:32" x14ac:dyDescent="0.25">
      <c r="A65" s="1"/>
      <c r="B65" s="1">
        <f>IF(OR(B$52=0,INDEX('April'!$B$16:$AF$16,DAY(DATE(Jahr,5,0)))="",B16=""),0,IFERROR(IF(AND(INDEX(Arten,MATCH(INDEX('April'!$B$16:$AF$16,DAY(DATE(Jahr,5,0))),Codes,0))="Arbeit",INDEX(Arten,MATCH(B16,Codes,0))="Arbeit"),IF(ROUND((1+INDEX(Beginne,MATCH(B16,Codes,0))-INDEX(EndeRel,MATCH(INDEX('April'!$B$16:$AF$16,DAY(DATE(Jahr,5,0))),Codes,0)))*1440,0)&lt;660,1,0),0),0))</f>
      </c>
      <c r="C65" s="1">
        <f>IF(OR(C$52=0,B16="",C16=""),0,IFERROR(IF(AND(INDEX(Arten,MATCH(B16,Codes,0))="Arbeit",INDEX(Arten,MATCH(C16,Codes,0))="Arbeit"),IF(ROUND((1+INDEX(Beginne,MATCH(C16,Codes,0))-INDEX(EndeRel,MATCH(B16,Codes,0)))*1440,0)&lt;660,1,0),0),0))</f>
      </c>
      <c r="D65" s="1">
        <f>IF(OR(D$52=0,C16="",D16=""),0,IFERROR(IF(AND(INDEX(Arten,MATCH(C16,Codes,0))="Arbeit",INDEX(Arten,MATCH(D16,Codes,0))="Arbeit"),IF(ROUND((1+INDEX(Beginne,MATCH(D16,Codes,0))-INDEX(EndeRel,MATCH(C16,Codes,0)))*1440,0)&lt;660,1,0),0),0))</f>
      </c>
      <c r="E65" s="1">
        <f>IF(OR(E$52=0,D16="",E16=""),0,IFERROR(IF(AND(INDEX(Arten,MATCH(D16,Codes,0))="Arbeit",INDEX(Arten,MATCH(E16,Codes,0))="Arbeit"),IF(ROUND((1+INDEX(Beginne,MATCH(E16,Codes,0))-INDEX(EndeRel,MATCH(D16,Codes,0)))*1440,0)&lt;660,1,0),0),0))</f>
      </c>
      <c r="F65" s="1">
        <f>IF(OR(F$52=0,E16="",F16=""),0,IFERROR(IF(AND(INDEX(Arten,MATCH(E16,Codes,0))="Arbeit",INDEX(Arten,MATCH(F16,Codes,0))="Arbeit"),IF(ROUND((1+INDEX(Beginne,MATCH(F16,Codes,0))-INDEX(EndeRel,MATCH(E16,Codes,0)))*1440,0)&lt;660,1,0),0),0))</f>
      </c>
      <c r="G65" s="1">
        <f>IF(OR(G$52=0,F16="",G16=""),0,IFERROR(IF(AND(INDEX(Arten,MATCH(F16,Codes,0))="Arbeit",INDEX(Arten,MATCH(G16,Codes,0))="Arbeit"),IF(ROUND((1+INDEX(Beginne,MATCH(G16,Codes,0))-INDEX(EndeRel,MATCH(F16,Codes,0)))*1440,0)&lt;660,1,0),0),0))</f>
      </c>
      <c r="H65" s="1">
        <f>IF(OR(H$52=0,G16="",H16=""),0,IFERROR(IF(AND(INDEX(Arten,MATCH(G16,Codes,0))="Arbeit",INDEX(Arten,MATCH(H16,Codes,0))="Arbeit"),IF(ROUND((1+INDEX(Beginne,MATCH(H16,Codes,0))-INDEX(EndeRel,MATCH(G16,Codes,0)))*1440,0)&lt;660,1,0),0),0))</f>
      </c>
      <c r="I65" s="1">
        <f>IF(OR(I$52=0,H16="",I16=""),0,IFERROR(IF(AND(INDEX(Arten,MATCH(H16,Codes,0))="Arbeit",INDEX(Arten,MATCH(I16,Codes,0))="Arbeit"),IF(ROUND((1+INDEX(Beginne,MATCH(I16,Codes,0))-INDEX(EndeRel,MATCH(H16,Codes,0)))*1440,0)&lt;660,1,0),0),0))</f>
      </c>
      <c r="J65" s="1">
        <f>IF(OR(J$52=0,I16="",J16=""),0,IFERROR(IF(AND(INDEX(Arten,MATCH(I16,Codes,0))="Arbeit",INDEX(Arten,MATCH(J16,Codes,0))="Arbeit"),IF(ROUND((1+INDEX(Beginne,MATCH(J16,Codes,0))-INDEX(EndeRel,MATCH(I16,Codes,0)))*1440,0)&lt;660,1,0),0),0))</f>
      </c>
      <c r="K65" s="1">
        <f>IF(OR(K$52=0,J16="",K16=""),0,IFERROR(IF(AND(INDEX(Arten,MATCH(J16,Codes,0))="Arbeit",INDEX(Arten,MATCH(K16,Codes,0))="Arbeit"),IF(ROUND((1+INDEX(Beginne,MATCH(K16,Codes,0))-INDEX(EndeRel,MATCH(J16,Codes,0)))*1440,0)&lt;660,1,0),0),0))</f>
      </c>
      <c r="L65" s="1">
        <f>IF(OR(L$52=0,K16="",L16=""),0,IFERROR(IF(AND(INDEX(Arten,MATCH(K16,Codes,0))="Arbeit",INDEX(Arten,MATCH(L16,Codes,0))="Arbeit"),IF(ROUND((1+INDEX(Beginne,MATCH(L16,Codes,0))-INDEX(EndeRel,MATCH(K16,Codes,0)))*1440,0)&lt;660,1,0),0),0))</f>
      </c>
      <c r="M65" s="1">
        <f>IF(OR(M$52=0,L16="",M16=""),0,IFERROR(IF(AND(INDEX(Arten,MATCH(L16,Codes,0))="Arbeit",INDEX(Arten,MATCH(M16,Codes,0))="Arbeit"),IF(ROUND((1+INDEX(Beginne,MATCH(M16,Codes,0))-INDEX(EndeRel,MATCH(L16,Codes,0)))*1440,0)&lt;660,1,0),0),0))</f>
      </c>
      <c r="N65" s="1">
        <f>IF(OR(N$52=0,M16="",N16=""),0,IFERROR(IF(AND(INDEX(Arten,MATCH(M16,Codes,0))="Arbeit",INDEX(Arten,MATCH(N16,Codes,0))="Arbeit"),IF(ROUND((1+INDEX(Beginne,MATCH(N16,Codes,0))-INDEX(EndeRel,MATCH(M16,Codes,0)))*1440,0)&lt;660,1,0),0),0))</f>
      </c>
      <c r="O65" s="1">
        <f>IF(OR(O$52=0,N16="",O16=""),0,IFERROR(IF(AND(INDEX(Arten,MATCH(N16,Codes,0))="Arbeit",INDEX(Arten,MATCH(O16,Codes,0))="Arbeit"),IF(ROUND((1+INDEX(Beginne,MATCH(O16,Codes,0))-INDEX(EndeRel,MATCH(N16,Codes,0)))*1440,0)&lt;660,1,0),0),0))</f>
      </c>
      <c r="P65" s="1">
        <f>IF(OR(P$52=0,O16="",P16=""),0,IFERROR(IF(AND(INDEX(Arten,MATCH(O16,Codes,0))="Arbeit",INDEX(Arten,MATCH(P16,Codes,0))="Arbeit"),IF(ROUND((1+INDEX(Beginne,MATCH(P16,Codes,0))-INDEX(EndeRel,MATCH(O16,Codes,0)))*1440,0)&lt;660,1,0),0),0))</f>
      </c>
      <c r="Q65" s="1">
        <f>IF(OR(Q$52=0,P16="",Q16=""),0,IFERROR(IF(AND(INDEX(Arten,MATCH(P16,Codes,0))="Arbeit",INDEX(Arten,MATCH(Q16,Codes,0))="Arbeit"),IF(ROUND((1+INDEX(Beginne,MATCH(Q16,Codes,0))-INDEX(EndeRel,MATCH(P16,Codes,0)))*1440,0)&lt;660,1,0),0),0))</f>
      </c>
      <c r="R65" s="1">
        <f>IF(OR(R$52=0,Q16="",R16=""),0,IFERROR(IF(AND(INDEX(Arten,MATCH(Q16,Codes,0))="Arbeit",INDEX(Arten,MATCH(R16,Codes,0))="Arbeit"),IF(ROUND((1+INDEX(Beginne,MATCH(R16,Codes,0))-INDEX(EndeRel,MATCH(Q16,Codes,0)))*1440,0)&lt;660,1,0),0),0))</f>
      </c>
      <c r="S65" s="1">
        <f>IF(OR(S$52=0,R16="",S16=""),0,IFERROR(IF(AND(INDEX(Arten,MATCH(R16,Codes,0))="Arbeit",INDEX(Arten,MATCH(S16,Codes,0))="Arbeit"),IF(ROUND((1+INDEX(Beginne,MATCH(S16,Codes,0))-INDEX(EndeRel,MATCH(R16,Codes,0)))*1440,0)&lt;660,1,0),0),0))</f>
      </c>
      <c r="T65" s="1">
        <f>IF(OR(T$52=0,S16="",T16=""),0,IFERROR(IF(AND(INDEX(Arten,MATCH(S16,Codes,0))="Arbeit",INDEX(Arten,MATCH(T16,Codes,0))="Arbeit"),IF(ROUND((1+INDEX(Beginne,MATCH(T16,Codes,0))-INDEX(EndeRel,MATCH(S16,Codes,0)))*1440,0)&lt;660,1,0),0),0))</f>
      </c>
      <c r="U65" s="1">
        <f>IF(OR(U$52=0,T16="",U16=""),0,IFERROR(IF(AND(INDEX(Arten,MATCH(T16,Codes,0))="Arbeit",INDEX(Arten,MATCH(U16,Codes,0))="Arbeit"),IF(ROUND((1+INDEX(Beginne,MATCH(U16,Codes,0))-INDEX(EndeRel,MATCH(T16,Codes,0)))*1440,0)&lt;660,1,0),0),0))</f>
      </c>
      <c r="V65" s="1">
        <f>IF(OR(V$52=0,U16="",V16=""),0,IFERROR(IF(AND(INDEX(Arten,MATCH(U16,Codes,0))="Arbeit",INDEX(Arten,MATCH(V16,Codes,0))="Arbeit"),IF(ROUND((1+INDEX(Beginne,MATCH(V16,Codes,0))-INDEX(EndeRel,MATCH(U16,Codes,0)))*1440,0)&lt;660,1,0),0),0))</f>
      </c>
      <c r="W65" s="1">
        <f>IF(OR(W$52=0,V16="",W16=""),0,IFERROR(IF(AND(INDEX(Arten,MATCH(V16,Codes,0))="Arbeit",INDEX(Arten,MATCH(W16,Codes,0))="Arbeit"),IF(ROUND((1+INDEX(Beginne,MATCH(W16,Codes,0))-INDEX(EndeRel,MATCH(V16,Codes,0)))*1440,0)&lt;660,1,0),0),0))</f>
      </c>
      <c r="X65" s="1">
        <f>IF(OR(X$52=0,W16="",X16=""),0,IFERROR(IF(AND(INDEX(Arten,MATCH(W16,Codes,0))="Arbeit",INDEX(Arten,MATCH(X16,Codes,0))="Arbeit"),IF(ROUND((1+INDEX(Beginne,MATCH(X16,Codes,0))-INDEX(EndeRel,MATCH(W16,Codes,0)))*1440,0)&lt;660,1,0),0),0))</f>
      </c>
      <c r="Y65" s="1">
        <f>IF(OR(Y$52=0,X16="",Y16=""),0,IFERROR(IF(AND(INDEX(Arten,MATCH(X16,Codes,0))="Arbeit",INDEX(Arten,MATCH(Y16,Codes,0))="Arbeit"),IF(ROUND((1+INDEX(Beginne,MATCH(Y16,Codes,0))-INDEX(EndeRel,MATCH(X16,Codes,0)))*1440,0)&lt;660,1,0),0),0))</f>
      </c>
      <c r="Z65" s="1">
        <f>IF(OR(Z$52=0,Y16="",Z16=""),0,IFERROR(IF(AND(INDEX(Arten,MATCH(Y16,Codes,0))="Arbeit",INDEX(Arten,MATCH(Z16,Codes,0))="Arbeit"),IF(ROUND((1+INDEX(Beginne,MATCH(Z16,Codes,0))-INDEX(EndeRel,MATCH(Y16,Codes,0)))*1440,0)&lt;660,1,0),0),0))</f>
      </c>
      <c r="AA65" s="1">
        <f>IF(OR(AA$52=0,Z16="",AA16=""),0,IFERROR(IF(AND(INDEX(Arten,MATCH(Z16,Codes,0))="Arbeit",INDEX(Arten,MATCH(AA16,Codes,0))="Arbeit"),IF(ROUND((1+INDEX(Beginne,MATCH(AA16,Codes,0))-INDEX(EndeRel,MATCH(Z16,Codes,0)))*1440,0)&lt;660,1,0),0),0))</f>
      </c>
      <c r="AB65" s="1">
        <f>IF(OR(AB$52=0,AA16="",AB16=""),0,IFERROR(IF(AND(INDEX(Arten,MATCH(AA16,Codes,0))="Arbeit",INDEX(Arten,MATCH(AB16,Codes,0))="Arbeit"),IF(ROUND((1+INDEX(Beginne,MATCH(AB16,Codes,0))-INDEX(EndeRel,MATCH(AA16,Codes,0)))*1440,0)&lt;660,1,0),0),0))</f>
      </c>
      <c r="AC65" s="1">
        <f>IF(OR(AC$52=0,AB16="",AC16=""),0,IFERROR(IF(AND(INDEX(Arten,MATCH(AB16,Codes,0))="Arbeit",INDEX(Arten,MATCH(AC16,Codes,0))="Arbeit"),IF(ROUND((1+INDEX(Beginne,MATCH(AC16,Codes,0))-INDEX(EndeRel,MATCH(AB16,Codes,0)))*1440,0)&lt;660,1,0),0),0))</f>
      </c>
      <c r="AD65" s="1">
        <f>IF(OR(AD$52=0,AC16="",AD16=""),0,IFERROR(IF(AND(INDEX(Arten,MATCH(AC16,Codes,0))="Arbeit",INDEX(Arten,MATCH(AD16,Codes,0))="Arbeit"),IF(ROUND((1+INDEX(Beginne,MATCH(AD16,Codes,0))-INDEX(EndeRel,MATCH(AC16,Codes,0)))*1440,0)&lt;660,1,0),0),0))</f>
      </c>
      <c r="AE65" s="1">
        <f>IF(OR(AE$52=0,AD16="",AE16=""),0,IFERROR(IF(AND(INDEX(Arten,MATCH(AD16,Codes,0))="Arbeit",INDEX(Arten,MATCH(AE16,Codes,0))="Arbeit"),IF(ROUND((1+INDEX(Beginne,MATCH(AE16,Codes,0))-INDEX(EndeRel,MATCH(AD16,Codes,0)))*1440,0)&lt;660,1,0),0),0))</f>
      </c>
      <c r="AF65" s="1">
        <f>IF(OR(AF$52=0,AE16="",AF16=""),0,IFERROR(IF(AND(INDEX(Arten,MATCH(AE16,Codes,0))="Arbeit",INDEX(Arten,MATCH(AF16,Codes,0))="Arbeit"),IF(ROUND((1+INDEX(Beginne,MATCH(AF16,Codes,0))-INDEX(EndeRel,MATCH(AE16,Codes,0)))*1440,0)&lt;660,1,0),0),0))</f>
      </c>
    </row>
    <row r="66" hidden="1" spans="1:32" x14ac:dyDescent="0.25">
      <c r="A66" s="1"/>
      <c r="B66" s="1">
        <f>IF(OR(B$52=0,INDEX('April'!$B$17:$AF$17,DAY(DATE(Jahr,5,0)))="",B17=""),0,IFERROR(IF(AND(INDEX(Arten,MATCH(INDEX('April'!$B$17:$AF$17,DAY(DATE(Jahr,5,0))),Codes,0))="Arbeit",INDEX(Arten,MATCH(B17,Codes,0))="Arbeit"),IF(ROUND((1+INDEX(Beginne,MATCH(B17,Codes,0))-INDEX(EndeRel,MATCH(INDEX('April'!$B$17:$AF$17,DAY(DATE(Jahr,5,0))),Codes,0)))*1440,0)&lt;660,1,0),0),0))</f>
      </c>
      <c r="C66" s="1">
        <f>IF(OR(C$52=0,B17="",C17=""),0,IFERROR(IF(AND(INDEX(Arten,MATCH(B17,Codes,0))="Arbeit",INDEX(Arten,MATCH(C17,Codes,0))="Arbeit"),IF(ROUND((1+INDEX(Beginne,MATCH(C17,Codes,0))-INDEX(EndeRel,MATCH(B17,Codes,0)))*1440,0)&lt;660,1,0),0),0))</f>
      </c>
      <c r="D66" s="1">
        <f>IF(OR(D$52=0,C17="",D17=""),0,IFERROR(IF(AND(INDEX(Arten,MATCH(C17,Codes,0))="Arbeit",INDEX(Arten,MATCH(D17,Codes,0))="Arbeit"),IF(ROUND((1+INDEX(Beginne,MATCH(D17,Codes,0))-INDEX(EndeRel,MATCH(C17,Codes,0)))*1440,0)&lt;660,1,0),0),0))</f>
      </c>
      <c r="E66" s="1">
        <f>IF(OR(E$52=0,D17="",E17=""),0,IFERROR(IF(AND(INDEX(Arten,MATCH(D17,Codes,0))="Arbeit",INDEX(Arten,MATCH(E17,Codes,0))="Arbeit"),IF(ROUND((1+INDEX(Beginne,MATCH(E17,Codes,0))-INDEX(EndeRel,MATCH(D17,Codes,0)))*1440,0)&lt;660,1,0),0),0))</f>
      </c>
      <c r="F66" s="1">
        <f>IF(OR(F$52=0,E17="",F17=""),0,IFERROR(IF(AND(INDEX(Arten,MATCH(E17,Codes,0))="Arbeit",INDEX(Arten,MATCH(F17,Codes,0))="Arbeit"),IF(ROUND((1+INDEX(Beginne,MATCH(F17,Codes,0))-INDEX(EndeRel,MATCH(E17,Codes,0)))*1440,0)&lt;660,1,0),0),0))</f>
      </c>
      <c r="G66" s="1">
        <f>IF(OR(G$52=0,F17="",G17=""),0,IFERROR(IF(AND(INDEX(Arten,MATCH(F17,Codes,0))="Arbeit",INDEX(Arten,MATCH(G17,Codes,0))="Arbeit"),IF(ROUND((1+INDEX(Beginne,MATCH(G17,Codes,0))-INDEX(EndeRel,MATCH(F17,Codes,0)))*1440,0)&lt;660,1,0),0),0))</f>
      </c>
      <c r="H66" s="1">
        <f>IF(OR(H$52=0,G17="",H17=""),0,IFERROR(IF(AND(INDEX(Arten,MATCH(G17,Codes,0))="Arbeit",INDEX(Arten,MATCH(H17,Codes,0))="Arbeit"),IF(ROUND((1+INDEX(Beginne,MATCH(H17,Codes,0))-INDEX(EndeRel,MATCH(G17,Codes,0)))*1440,0)&lt;660,1,0),0),0))</f>
      </c>
      <c r="I66" s="1">
        <f>IF(OR(I$52=0,H17="",I17=""),0,IFERROR(IF(AND(INDEX(Arten,MATCH(H17,Codes,0))="Arbeit",INDEX(Arten,MATCH(I17,Codes,0))="Arbeit"),IF(ROUND((1+INDEX(Beginne,MATCH(I17,Codes,0))-INDEX(EndeRel,MATCH(H17,Codes,0)))*1440,0)&lt;660,1,0),0),0))</f>
      </c>
      <c r="J66" s="1">
        <f>IF(OR(J$52=0,I17="",J17=""),0,IFERROR(IF(AND(INDEX(Arten,MATCH(I17,Codes,0))="Arbeit",INDEX(Arten,MATCH(J17,Codes,0))="Arbeit"),IF(ROUND((1+INDEX(Beginne,MATCH(J17,Codes,0))-INDEX(EndeRel,MATCH(I17,Codes,0)))*1440,0)&lt;660,1,0),0),0))</f>
      </c>
      <c r="K66" s="1">
        <f>IF(OR(K$52=0,J17="",K17=""),0,IFERROR(IF(AND(INDEX(Arten,MATCH(J17,Codes,0))="Arbeit",INDEX(Arten,MATCH(K17,Codes,0))="Arbeit"),IF(ROUND((1+INDEX(Beginne,MATCH(K17,Codes,0))-INDEX(EndeRel,MATCH(J17,Codes,0)))*1440,0)&lt;660,1,0),0),0))</f>
      </c>
      <c r="L66" s="1">
        <f>IF(OR(L$52=0,K17="",L17=""),0,IFERROR(IF(AND(INDEX(Arten,MATCH(K17,Codes,0))="Arbeit",INDEX(Arten,MATCH(L17,Codes,0))="Arbeit"),IF(ROUND((1+INDEX(Beginne,MATCH(L17,Codes,0))-INDEX(EndeRel,MATCH(K17,Codes,0)))*1440,0)&lt;660,1,0),0),0))</f>
      </c>
      <c r="M66" s="1">
        <f>IF(OR(M$52=0,L17="",M17=""),0,IFERROR(IF(AND(INDEX(Arten,MATCH(L17,Codes,0))="Arbeit",INDEX(Arten,MATCH(M17,Codes,0))="Arbeit"),IF(ROUND((1+INDEX(Beginne,MATCH(M17,Codes,0))-INDEX(EndeRel,MATCH(L17,Codes,0)))*1440,0)&lt;660,1,0),0),0))</f>
      </c>
      <c r="N66" s="1">
        <f>IF(OR(N$52=0,M17="",N17=""),0,IFERROR(IF(AND(INDEX(Arten,MATCH(M17,Codes,0))="Arbeit",INDEX(Arten,MATCH(N17,Codes,0))="Arbeit"),IF(ROUND((1+INDEX(Beginne,MATCH(N17,Codes,0))-INDEX(EndeRel,MATCH(M17,Codes,0)))*1440,0)&lt;660,1,0),0),0))</f>
      </c>
      <c r="O66" s="1">
        <f>IF(OR(O$52=0,N17="",O17=""),0,IFERROR(IF(AND(INDEX(Arten,MATCH(N17,Codes,0))="Arbeit",INDEX(Arten,MATCH(O17,Codes,0))="Arbeit"),IF(ROUND((1+INDEX(Beginne,MATCH(O17,Codes,0))-INDEX(EndeRel,MATCH(N17,Codes,0)))*1440,0)&lt;660,1,0),0),0))</f>
      </c>
      <c r="P66" s="1">
        <f>IF(OR(P$52=0,O17="",P17=""),0,IFERROR(IF(AND(INDEX(Arten,MATCH(O17,Codes,0))="Arbeit",INDEX(Arten,MATCH(P17,Codes,0))="Arbeit"),IF(ROUND((1+INDEX(Beginne,MATCH(P17,Codes,0))-INDEX(EndeRel,MATCH(O17,Codes,0)))*1440,0)&lt;660,1,0),0),0))</f>
      </c>
      <c r="Q66" s="1">
        <f>IF(OR(Q$52=0,P17="",Q17=""),0,IFERROR(IF(AND(INDEX(Arten,MATCH(P17,Codes,0))="Arbeit",INDEX(Arten,MATCH(Q17,Codes,0))="Arbeit"),IF(ROUND((1+INDEX(Beginne,MATCH(Q17,Codes,0))-INDEX(EndeRel,MATCH(P17,Codes,0)))*1440,0)&lt;660,1,0),0),0))</f>
      </c>
      <c r="R66" s="1">
        <f>IF(OR(R$52=0,Q17="",R17=""),0,IFERROR(IF(AND(INDEX(Arten,MATCH(Q17,Codes,0))="Arbeit",INDEX(Arten,MATCH(R17,Codes,0))="Arbeit"),IF(ROUND((1+INDEX(Beginne,MATCH(R17,Codes,0))-INDEX(EndeRel,MATCH(Q17,Codes,0)))*1440,0)&lt;660,1,0),0),0))</f>
      </c>
      <c r="S66" s="1">
        <f>IF(OR(S$52=0,R17="",S17=""),0,IFERROR(IF(AND(INDEX(Arten,MATCH(R17,Codes,0))="Arbeit",INDEX(Arten,MATCH(S17,Codes,0))="Arbeit"),IF(ROUND((1+INDEX(Beginne,MATCH(S17,Codes,0))-INDEX(EndeRel,MATCH(R17,Codes,0)))*1440,0)&lt;660,1,0),0),0))</f>
      </c>
      <c r="T66" s="1">
        <f>IF(OR(T$52=0,S17="",T17=""),0,IFERROR(IF(AND(INDEX(Arten,MATCH(S17,Codes,0))="Arbeit",INDEX(Arten,MATCH(T17,Codes,0))="Arbeit"),IF(ROUND((1+INDEX(Beginne,MATCH(T17,Codes,0))-INDEX(EndeRel,MATCH(S17,Codes,0)))*1440,0)&lt;660,1,0),0),0))</f>
      </c>
      <c r="U66" s="1">
        <f>IF(OR(U$52=0,T17="",U17=""),0,IFERROR(IF(AND(INDEX(Arten,MATCH(T17,Codes,0))="Arbeit",INDEX(Arten,MATCH(U17,Codes,0))="Arbeit"),IF(ROUND((1+INDEX(Beginne,MATCH(U17,Codes,0))-INDEX(EndeRel,MATCH(T17,Codes,0)))*1440,0)&lt;660,1,0),0),0))</f>
      </c>
      <c r="V66" s="1">
        <f>IF(OR(V$52=0,U17="",V17=""),0,IFERROR(IF(AND(INDEX(Arten,MATCH(U17,Codes,0))="Arbeit",INDEX(Arten,MATCH(V17,Codes,0))="Arbeit"),IF(ROUND((1+INDEX(Beginne,MATCH(V17,Codes,0))-INDEX(EndeRel,MATCH(U17,Codes,0)))*1440,0)&lt;660,1,0),0),0))</f>
      </c>
      <c r="W66" s="1">
        <f>IF(OR(W$52=0,V17="",W17=""),0,IFERROR(IF(AND(INDEX(Arten,MATCH(V17,Codes,0))="Arbeit",INDEX(Arten,MATCH(W17,Codes,0))="Arbeit"),IF(ROUND((1+INDEX(Beginne,MATCH(W17,Codes,0))-INDEX(EndeRel,MATCH(V17,Codes,0)))*1440,0)&lt;660,1,0),0),0))</f>
      </c>
      <c r="X66" s="1">
        <f>IF(OR(X$52=0,W17="",X17=""),0,IFERROR(IF(AND(INDEX(Arten,MATCH(W17,Codes,0))="Arbeit",INDEX(Arten,MATCH(X17,Codes,0))="Arbeit"),IF(ROUND((1+INDEX(Beginne,MATCH(X17,Codes,0))-INDEX(EndeRel,MATCH(W17,Codes,0)))*1440,0)&lt;660,1,0),0),0))</f>
      </c>
      <c r="Y66" s="1">
        <f>IF(OR(Y$52=0,X17="",Y17=""),0,IFERROR(IF(AND(INDEX(Arten,MATCH(X17,Codes,0))="Arbeit",INDEX(Arten,MATCH(Y17,Codes,0))="Arbeit"),IF(ROUND((1+INDEX(Beginne,MATCH(Y17,Codes,0))-INDEX(EndeRel,MATCH(X17,Codes,0)))*1440,0)&lt;660,1,0),0),0))</f>
      </c>
      <c r="Z66" s="1">
        <f>IF(OR(Z$52=0,Y17="",Z17=""),0,IFERROR(IF(AND(INDEX(Arten,MATCH(Y17,Codes,0))="Arbeit",INDEX(Arten,MATCH(Z17,Codes,0))="Arbeit"),IF(ROUND((1+INDEX(Beginne,MATCH(Z17,Codes,0))-INDEX(EndeRel,MATCH(Y17,Codes,0)))*1440,0)&lt;660,1,0),0),0))</f>
      </c>
      <c r="AA66" s="1">
        <f>IF(OR(AA$52=0,Z17="",AA17=""),0,IFERROR(IF(AND(INDEX(Arten,MATCH(Z17,Codes,0))="Arbeit",INDEX(Arten,MATCH(AA17,Codes,0))="Arbeit"),IF(ROUND((1+INDEX(Beginne,MATCH(AA17,Codes,0))-INDEX(EndeRel,MATCH(Z17,Codes,0)))*1440,0)&lt;660,1,0),0),0))</f>
      </c>
      <c r="AB66" s="1">
        <f>IF(OR(AB$52=0,AA17="",AB17=""),0,IFERROR(IF(AND(INDEX(Arten,MATCH(AA17,Codes,0))="Arbeit",INDEX(Arten,MATCH(AB17,Codes,0))="Arbeit"),IF(ROUND((1+INDEX(Beginne,MATCH(AB17,Codes,0))-INDEX(EndeRel,MATCH(AA17,Codes,0)))*1440,0)&lt;660,1,0),0),0))</f>
      </c>
      <c r="AC66" s="1">
        <f>IF(OR(AC$52=0,AB17="",AC17=""),0,IFERROR(IF(AND(INDEX(Arten,MATCH(AB17,Codes,0))="Arbeit",INDEX(Arten,MATCH(AC17,Codes,0))="Arbeit"),IF(ROUND((1+INDEX(Beginne,MATCH(AC17,Codes,0))-INDEX(EndeRel,MATCH(AB17,Codes,0)))*1440,0)&lt;660,1,0),0),0))</f>
      </c>
      <c r="AD66" s="1">
        <f>IF(OR(AD$52=0,AC17="",AD17=""),0,IFERROR(IF(AND(INDEX(Arten,MATCH(AC17,Codes,0))="Arbeit",INDEX(Arten,MATCH(AD17,Codes,0))="Arbeit"),IF(ROUND((1+INDEX(Beginne,MATCH(AD17,Codes,0))-INDEX(EndeRel,MATCH(AC17,Codes,0)))*1440,0)&lt;660,1,0),0),0))</f>
      </c>
      <c r="AE66" s="1">
        <f>IF(OR(AE$52=0,AD17="",AE17=""),0,IFERROR(IF(AND(INDEX(Arten,MATCH(AD17,Codes,0))="Arbeit",INDEX(Arten,MATCH(AE17,Codes,0))="Arbeit"),IF(ROUND((1+INDEX(Beginne,MATCH(AE17,Codes,0))-INDEX(EndeRel,MATCH(AD17,Codes,0)))*1440,0)&lt;660,1,0),0),0))</f>
      </c>
      <c r="AF66" s="1">
        <f>IF(OR(AF$52=0,AE17="",AF17=""),0,IFERROR(IF(AND(INDEX(Arten,MATCH(AE17,Codes,0))="Arbeit",INDEX(Arten,MATCH(AF17,Codes,0))="Arbeit"),IF(ROUND((1+INDEX(Beginne,MATCH(AF17,Codes,0))-INDEX(EndeRel,MATCH(AE17,Codes,0)))*1440,0)&lt;660,1,0),0),0))</f>
      </c>
    </row>
    <row r="67" hidden="1" spans="1:32" x14ac:dyDescent="0.25">
      <c r="A67" s="1"/>
      <c r="B67" s="1">
        <f>IF(OR(B$52=0,INDEX('April'!$B$18:$AF$18,DAY(DATE(Jahr,5,0)))="",B18=""),0,IFERROR(IF(AND(INDEX(Arten,MATCH(INDEX('April'!$B$18:$AF$18,DAY(DATE(Jahr,5,0))),Codes,0))="Arbeit",INDEX(Arten,MATCH(B18,Codes,0))="Arbeit"),IF(ROUND((1+INDEX(Beginne,MATCH(B18,Codes,0))-INDEX(EndeRel,MATCH(INDEX('April'!$B$18:$AF$18,DAY(DATE(Jahr,5,0))),Codes,0)))*1440,0)&lt;660,1,0),0),0))</f>
      </c>
      <c r="C67" s="1">
        <f>IF(OR(C$52=0,B18="",C18=""),0,IFERROR(IF(AND(INDEX(Arten,MATCH(B18,Codes,0))="Arbeit",INDEX(Arten,MATCH(C18,Codes,0))="Arbeit"),IF(ROUND((1+INDEX(Beginne,MATCH(C18,Codes,0))-INDEX(EndeRel,MATCH(B18,Codes,0)))*1440,0)&lt;660,1,0),0),0))</f>
      </c>
      <c r="D67" s="1">
        <f>IF(OR(D$52=0,C18="",D18=""),0,IFERROR(IF(AND(INDEX(Arten,MATCH(C18,Codes,0))="Arbeit",INDEX(Arten,MATCH(D18,Codes,0))="Arbeit"),IF(ROUND((1+INDEX(Beginne,MATCH(D18,Codes,0))-INDEX(EndeRel,MATCH(C18,Codes,0)))*1440,0)&lt;660,1,0),0),0))</f>
      </c>
      <c r="E67" s="1">
        <f>IF(OR(E$52=0,D18="",E18=""),0,IFERROR(IF(AND(INDEX(Arten,MATCH(D18,Codes,0))="Arbeit",INDEX(Arten,MATCH(E18,Codes,0))="Arbeit"),IF(ROUND((1+INDEX(Beginne,MATCH(E18,Codes,0))-INDEX(EndeRel,MATCH(D18,Codes,0)))*1440,0)&lt;660,1,0),0),0))</f>
      </c>
      <c r="F67" s="1">
        <f>IF(OR(F$52=0,E18="",F18=""),0,IFERROR(IF(AND(INDEX(Arten,MATCH(E18,Codes,0))="Arbeit",INDEX(Arten,MATCH(F18,Codes,0))="Arbeit"),IF(ROUND((1+INDEX(Beginne,MATCH(F18,Codes,0))-INDEX(EndeRel,MATCH(E18,Codes,0)))*1440,0)&lt;660,1,0),0),0))</f>
      </c>
      <c r="G67" s="1">
        <f>IF(OR(G$52=0,F18="",G18=""),0,IFERROR(IF(AND(INDEX(Arten,MATCH(F18,Codes,0))="Arbeit",INDEX(Arten,MATCH(G18,Codes,0))="Arbeit"),IF(ROUND((1+INDEX(Beginne,MATCH(G18,Codes,0))-INDEX(EndeRel,MATCH(F18,Codes,0)))*1440,0)&lt;660,1,0),0),0))</f>
      </c>
      <c r="H67" s="1">
        <f>IF(OR(H$52=0,G18="",H18=""),0,IFERROR(IF(AND(INDEX(Arten,MATCH(G18,Codes,0))="Arbeit",INDEX(Arten,MATCH(H18,Codes,0))="Arbeit"),IF(ROUND((1+INDEX(Beginne,MATCH(H18,Codes,0))-INDEX(EndeRel,MATCH(G18,Codes,0)))*1440,0)&lt;660,1,0),0),0))</f>
      </c>
      <c r="I67" s="1">
        <f>IF(OR(I$52=0,H18="",I18=""),0,IFERROR(IF(AND(INDEX(Arten,MATCH(H18,Codes,0))="Arbeit",INDEX(Arten,MATCH(I18,Codes,0))="Arbeit"),IF(ROUND((1+INDEX(Beginne,MATCH(I18,Codes,0))-INDEX(EndeRel,MATCH(H18,Codes,0)))*1440,0)&lt;660,1,0),0),0))</f>
      </c>
      <c r="J67" s="1">
        <f>IF(OR(J$52=0,I18="",J18=""),0,IFERROR(IF(AND(INDEX(Arten,MATCH(I18,Codes,0))="Arbeit",INDEX(Arten,MATCH(J18,Codes,0))="Arbeit"),IF(ROUND((1+INDEX(Beginne,MATCH(J18,Codes,0))-INDEX(EndeRel,MATCH(I18,Codes,0)))*1440,0)&lt;660,1,0),0),0))</f>
      </c>
      <c r="K67" s="1">
        <f>IF(OR(K$52=0,J18="",K18=""),0,IFERROR(IF(AND(INDEX(Arten,MATCH(J18,Codes,0))="Arbeit",INDEX(Arten,MATCH(K18,Codes,0))="Arbeit"),IF(ROUND((1+INDEX(Beginne,MATCH(K18,Codes,0))-INDEX(EndeRel,MATCH(J18,Codes,0)))*1440,0)&lt;660,1,0),0),0))</f>
      </c>
      <c r="L67" s="1">
        <f>IF(OR(L$52=0,K18="",L18=""),0,IFERROR(IF(AND(INDEX(Arten,MATCH(K18,Codes,0))="Arbeit",INDEX(Arten,MATCH(L18,Codes,0))="Arbeit"),IF(ROUND((1+INDEX(Beginne,MATCH(L18,Codes,0))-INDEX(EndeRel,MATCH(K18,Codes,0)))*1440,0)&lt;660,1,0),0),0))</f>
      </c>
      <c r="M67" s="1">
        <f>IF(OR(M$52=0,L18="",M18=""),0,IFERROR(IF(AND(INDEX(Arten,MATCH(L18,Codes,0))="Arbeit",INDEX(Arten,MATCH(M18,Codes,0))="Arbeit"),IF(ROUND((1+INDEX(Beginne,MATCH(M18,Codes,0))-INDEX(EndeRel,MATCH(L18,Codes,0)))*1440,0)&lt;660,1,0),0),0))</f>
      </c>
      <c r="N67" s="1">
        <f>IF(OR(N$52=0,M18="",N18=""),0,IFERROR(IF(AND(INDEX(Arten,MATCH(M18,Codes,0))="Arbeit",INDEX(Arten,MATCH(N18,Codes,0))="Arbeit"),IF(ROUND((1+INDEX(Beginne,MATCH(N18,Codes,0))-INDEX(EndeRel,MATCH(M18,Codes,0)))*1440,0)&lt;660,1,0),0),0))</f>
      </c>
      <c r="O67" s="1">
        <f>IF(OR(O$52=0,N18="",O18=""),0,IFERROR(IF(AND(INDEX(Arten,MATCH(N18,Codes,0))="Arbeit",INDEX(Arten,MATCH(O18,Codes,0))="Arbeit"),IF(ROUND((1+INDEX(Beginne,MATCH(O18,Codes,0))-INDEX(EndeRel,MATCH(N18,Codes,0)))*1440,0)&lt;660,1,0),0),0))</f>
      </c>
      <c r="P67" s="1">
        <f>IF(OR(P$52=0,O18="",P18=""),0,IFERROR(IF(AND(INDEX(Arten,MATCH(O18,Codes,0))="Arbeit",INDEX(Arten,MATCH(P18,Codes,0))="Arbeit"),IF(ROUND((1+INDEX(Beginne,MATCH(P18,Codes,0))-INDEX(EndeRel,MATCH(O18,Codes,0)))*1440,0)&lt;660,1,0),0),0))</f>
      </c>
      <c r="Q67" s="1">
        <f>IF(OR(Q$52=0,P18="",Q18=""),0,IFERROR(IF(AND(INDEX(Arten,MATCH(P18,Codes,0))="Arbeit",INDEX(Arten,MATCH(Q18,Codes,0))="Arbeit"),IF(ROUND((1+INDEX(Beginne,MATCH(Q18,Codes,0))-INDEX(EndeRel,MATCH(P18,Codes,0)))*1440,0)&lt;660,1,0),0),0))</f>
      </c>
      <c r="R67" s="1">
        <f>IF(OR(R$52=0,Q18="",R18=""),0,IFERROR(IF(AND(INDEX(Arten,MATCH(Q18,Codes,0))="Arbeit",INDEX(Arten,MATCH(R18,Codes,0))="Arbeit"),IF(ROUND((1+INDEX(Beginne,MATCH(R18,Codes,0))-INDEX(EndeRel,MATCH(Q18,Codes,0)))*1440,0)&lt;660,1,0),0),0))</f>
      </c>
      <c r="S67" s="1">
        <f>IF(OR(S$52=0,R18="",S18=""),0,IFERROR(IF(AND(INDEX(Arten,MATCH(R18,Codes,0))="Arbeit",INDEX(Arten,MATCH(S18,Codes,0))="Arbeit"),IF(ROUND((1+INDEX(Beginne,MATCH(S18,Codes,0))-INDEX(EndeRel,MATCH(R18,Codes,0)))*1440,0)&lt;660,1,0),0),0))</f>
      </c>
      <c r="T67" s="1">
        <f>IF(OR(T$52=0,S18="",T18=""),0,IFERROR(IF(AND(INDEX(Arten,MATCH(S18,Codes,0))="Arbeit",INDEX(Arten,MATCH(T18,Codes,0))="Arbeit"),IF(ROUND((1+INDEX(Beginne,MATCH(T18,Codes,0))-INDEX(EndeRel,MATCH(S18,Codes,0)))*1440,0)&lt;660,1,0),0),0))</f>
      </c>
      <c r="U67" s="1">
        <f>IF(OR(U$52=0,T18="",U18=""),0,IFERROR(IF(AND(INDEX(Arten,MATCH(T18,Codes,0))="Arbeit",INDEX(Arten,MATCH(U18,Codes,0))="Arbeit"),IF(ROUND((1+INDEX(Beginne,MATCH(U18,Codes,0))-INDEX(EndeRel,MATCH(T18,Codes,0)))*1440,0)&lt;660,1,0),0),0))</f>
      </c>
      <c r="V67" s="1">
        <f>IF(OR(V$52=0,U18="",V18=""),0,IFERROR(IF(AND(INDEX(Arten,MATCH(U18,Codes,0))="Arbeit",INDEX(Arten,MATCH(V18,Codes,0))="Arbeit"),IF(ROUND((1+INDEX(Beginne,MATCH(V18,Codes,0))-INDEX(EndeRel,MATCH(U18,Codes,0)))*1440,0)&lt;660,1,0),0),0))</f>
      </c>
      <c r="W67" s="1">
        <f>IF(OR(W$52=0,V18="",W18=""),0,IFERROR(IF(AND(INDEX(Arten,MATCH(V18,Codes,0))="Arbeit",INDEX(Arten,MATCH(W18,Codes,0))="Arbeit"),IF(ROUND((1+INDEX(Beginne,MATCH(W18,Codes,0))-INDEX(EndeRel,MATCH(V18,Codes,0)))*1440,0)&lt;660,1,0),0),0))</f>
      </c>
      <c r="X67" s="1">
        <f>IF(OR(X$52=0,W18="",X18=""),0,IFERROR(IF(AND(INDEX(Arten,MATCH(W18,Codes,0))="Arbeit",INDEX(Arten,MATCH(X18,Codes,0))="Arbeit"),IF(ROUND((1+INDEX(Beginne,MATCH(X18,Codes,0))-INDEX(EndeRel,MATCH(W18,Codes,0)))*1440,0)&lt;660,1,0),0),0))</f>
      </c>
      <c r="Y67" s="1">
        <f>IF(OR(Y$52=0,X18="",Y18=""),0,IFERROR(IF(AND(INDEX(Arten,MATCH(X18,Codes,0))="Arbeit",INDEX(Arten,MATCH(Y18,Codes,0))="Arbeit"),IF(ROUND((1+INDEX(Beginne,MATCH(Y18,Codes,0))-INDEX(EndeRel,MATCH(X18,Codes,0)))*1440,0)&lt;660,1,0),0),0))</f>
      </c>
      <c r="Z67" s="1">
        <f>IF(OR(Z$52=0,Y18="",Z18=""),0,IFERROR(IF(AND(INDEX(Arten,MATCH(Y18,Codes,0))="Arbeit",INDEX(Arten,MATCH(Z18,Codes,0))="Arbeit"),IF(ROUND((1+INDEX(Beginne,MATCH(Z18,Codes,0))-INDEX(EndeRel,MATCH(Y18,Codes,0)))*1440,0)&lt;660,1,0),0),0))</f>
      </c>
      <c r="AA67" s="1">
        <f>IF(OR(AA$52=0,Z18="",AA18=""),0,IFERROR(IF(AND(INDEX(Arten,MATCH(Z18,Codes,0))="Arbeit",INDEX(Arten,MATCH(AA18,Codes,0))="Arbeit"),IF(ROUND((1+INDEX(Beginne,MATCH(AA18,Codes,0))-INDEX(EndeRel,MATCH(Z18,Codes,0)))*1440,0)&lt;660,1,0),0),0))</f>
      </c>
      <c r="AB67" s="1">
        <f>IF(OR(AB$52=0,AA18="",AB18=""),0,IFERROR(IF(AND(INDEX(Arten,MATCH(AA18,Codes,0))="Arbeit",INDEX(Arten,MATCH(AB18,Codes,0))="Arbeit"),IF(ROUND((1+INDEX(Beginne,MATCH(AB18,Codes,0))-INDEX(EndeRel,MATCH(AA18,Codes,0)))*1440,0)&lt;660,1,0),0),0))</f>
      </c>
      <c r="AC67" s="1">
        <f>IF(OR(AC$52=0,AB18="",AC18=""),0,IFERROR(IF(AND(INDEX(Arten,MATCH(AB18,Codes,0))="Arbeit",INDEX(Arten,MATCH(AC18,Codes,0))="Arbeit"),IF(ROUND((1+INDEX(Beginne,MATCH(AC18,Codes,0))-INDEX(EndeRel,MATCH(AB18,Codes,0)))*1440,0)&lt;660,1,0),0),0))</f>
      </c>
      <c r="AD67" s="1">
        <f>IF(OR(AD$52=0,AC18="",AD18=""),0,IFERROR(IF(AND(INDEX(Arten,MATCH(AC18,Codes,0))="Arbeit",INDEX(Arten,MATCH(AD18,Codes,0))="Arbeit"),IF(ROUND((1+INDEX(Beginne,MATCH(AD18,Codes,0))-INDEX(EndeRel,MATCH(AC18,Codes,0)))*1440,0)&lt;660,1,0),0),0))</f>
      </c>
      <c r="AE67" s="1">
        <f>IF(OR(AE$52=0,AD18="",AE18=""),0,IFERROR(IF(AND(INDEX(Arten,MATCH(AD18,Codes,0))="Arbeit",INDEX(Arten,MATCH(AE18,Codes,0))="Arbeit"),IF(ROUND((1+INDEX(Beginne,MATCH(AE18,Codes,0))-INDEX(EndeRel,MATCH(AD18,Codes,0)))*1440,0)&lt;660,1,0),0),0))</f>
      </c>
      <c r="AF67" s="1">
        <f>IF(OR(AF$52=0,AE18="",AF18=""),0,IFERROR(IF(AND(INDEX(Arten,MATCH(AE18,Codes,0))="Arbeit",INDEX(Arten,MATCH(AF18,Codes,0))="Arbeit"),IF(ROUND((1+INDEX(Beginne,MATCH(AF18,Codes,0))-INDEX(EndeRel,MATCH(AE18,Codes,0)))*1440,0)&lt;660,1,0),0),0))</f>
      </c>
    </row>
    <row r="68" hidden="1" spans="1:32" x14ac:dyDescent="0.25">
      <c r="A68" s="1"/>
      <c r="B68" s="1">
        <f>IF(OR(B$52=0,INDEX('April'!$B$19:$AF$19,DAY(DATE(Jahr,5,0)))="",B19=""),0,IFERROR(IF(AND(INDEX(Arten,MATCH(INDEX('April'!$B$19:$AF$19,DAY(DATE(Jahr,5,0))),Codes,0))="Arbeit",INDEX(Arten,MATCH(B19,Codes,0))="Arbeit"),IF(ROUND((1+INDEX(Beginne,MATCH(B19,Codes,0))-INDEX(EndeRel,MATCH(INDEX('April'!$B$19:$AF$19,DAY(DATE(Jahr,5,0))),Codes,0)))*1440,0)&lt;660,1,0),0),0))</f>
      </c>
      <c r="C68" s="1">
        <f>IF(OR(C$52=0,B19="",C19=""),0,IFERROR(IF(AND(INDEX(Arten,MATCH(B19,Codes,0))="Arbeit",INDEX(Arten,MATCH(C19,Codes,0))="Arbeit"),IF(ROUND((1+INDEX(Beginne,MATCH(C19,Codes,0))-INDEX(EndeRel,MATCH(B19,Codes,0)))*1440,0)&lt;660,1,0),0),0))</f>
      </c>
      <c r="D68" s="1">
        <f>IF(OR(D$52=0,C19="",D19=""),0,IFERROR(IF(AND(INDEX(Arten,MATCH(C19,Codes,0))="Arbeit",INDEX(Arten,MATCH(D19,Codes,0))="Arbeit"),IF(ROUND((1+INDEX(Beginne,MATCH(D19,Codes,0))-INDEX(EndeRel,MATCH(C19,Codes,0)))*1440,0)&lt;660,1,0),0),0))</f>
      </c>
      <c r="E68" s="1">
        <f>IF(OR(E$52=0,D19="",E19=""),0,IFERROR(IF(AND(INDEX(Arten,MATCH(D19,Codes,0))="Arbeit",INDEX(Arten,MATCH(E19,Codes,0))="Arbeit"),IF(ROUND((1+INDEX(Beginne,MATCH(E19,Codes,0))-INDEX(EndeRel,MATCH(D19,Codes,0)))*1440,0)&lt;660,1,0),0),0))</f>
      </c>
      <c r="F68" s="1">
        <f>IF(OR(F$52=0,E19="",F19=""),0,IFERROR(IF(AND(INDEX(Arten,MATCH(E19,Codes,0))="Arbeit",INDEX(Arten,MATCH(F19,Codes,0))="Arbeit"),IF(ROUND((1+INDEX(Beginne,MATCH(F19,Codes,0))-INDEX(EndeRel,MATCH(E19,Codes,0)))*1440,0)&lt;660,1,0),0),0))</f>
      </c>
      <c r="G68" s="1">
        <f>IF(OR(G$52=0,F19="",G19=""),0,IFERROR(IF(AND(INDEX(Arten,MATCH(F19,Codes,0))="Arbeit",INDEX(Arten,MATCH(G19,Codes,0))="Arbeit"),IF(ROUND((1+INDEX(Beginne,MATCH(G19,Codes,0))-INDEX(EndeRel,MATCH(F19,Codes,0)))*1440,0)&lt;660,1,0),0),0))</f>
      </c>
      <c r="H68" s="1">
        <f>IF(OR(H$52=0,G19="",H19=""),0,IFERROR(IF(AND(INDEX(Arten,MATCH(G19,Codes,0))="Arbeit",INDEX(Arten,MATCH(H19,Codes,0))="Arbeit"),IF(ROUND((1+INDEX(Beginne,MATCH(H19,Codes,0))-INDEX(EndeRel,MATCH(G19,Codes,0)))*1440,0)&lt;660,1,0),0),0))</f>
      </c>
      <c r="I68" s="1">
        <f>IF(OR(I$52=0,H19="",I19=""),0,IFERROR(IF(AND(INDEX(Arten,MATCH(H19,Codes,0))="Arbeit",INDEX(Arten,MATCH(I19,Codes,0))="Arbeit"),IF(ROUND((1+INDEX(Beginne,MATCH(I19,Codes,0))-INDEX(EndeRel,MATCH(H19,Codes,0)))*1440,0)&lt;660,1,0),0),0))</f>
      </c>
      <c r="J68" s="1">
        <f>IF(OR(J$52=0,I19="",J19=""),0,IFERROR(IF(AND(INDEX(Arten,MATCH(I19,Codes,0))="Arbeit",INDEX(Arten,MATCH(J19,Codes,0))="Arbeit"),IF(ROUND((1+INDEX(Beginne,MATCH(J19,Codes,0))-INDEX(EndeRel,MATCH(I19,Codes,0)))*1440,0)&lt;660,1,0),0),0))</f>
      </c>
      <c r="K68" s="1">
        <f>IF(OR(K$52=0,J19="",K19=""),0,IFERROR(IF(AND(INDEX(Arten,MATCH(J19,Codes,0))="Arbeit",INDEX(Arten,MATCH(K19,Codes,0))="Arbeit"),IF(ROUND((1+INDEX(Beginne,MATCH(K19,Codes,0))-INDEX(EndeRel,MATCH(J19,Codes,0)))*1440,0)&lt;660,1,0),0),0))</f>
      </c>
      <c r="L68" s="1">
        <f>IF(OR(L$52=0,K19="",L19=""),0,IFERROR(IF(AND(INDEX(Arten,MATCH(K19,Codes,0))="Arbeit",INDEX(Arten,MATCH(L19,Codes,0))="Arbeit"),IF(ROUND((1+INDEX(Beginne,MATCH(L19,Codes,0))-INDEX(EndeRel,MATCH(K19,Codes,0)))*1440,0)&lt;660,1,0),0),0))</f>
      </c>
      <c r="M68" s="1">
        <f>IF(OR(M$52=0,L19="",M19=""),0,IFERROR(IF(AND(INDEX(Arten,MATCH(L19,Codes,0))="Arbeit",INDEX(Arten,MATCH(M19,Codes,0))="Arbeit"),IF(ROUND((1+INDEX(Beginne,MATCH(M19,Codes,0))-INDEX(EndeRel,MATCH(L19,Codes,0)))*1440,0)&lt;660,1,0),0),0))</f>
      </c>
      <c r="N68" s="1">
        <f>IF(OR(N$52=0,M19="",N19=""),0,IFERROR(IF(AND(INDEX(Arten,MATCH(M19,Codes,0))="Arbeit",INDEX(Arten,MATCH(N19,Codes,0))="Arbeit"),IF(ROUND((1+INDEX(Beginne,MATCH(N19,Codes,0))-INDEX(EndeRel,MATCH(M19,Codes,0)))*1440,0)&lt;660,1,0),0),0))</f>
      </c>
      <c r="O68" s="1">
        <f>IF(OR(O$52=0,N19="",O19=""),0,IFERROR(IF(AND(INDEX(Arten,MATCH(N19,Codes,0))="Arbeit",INDEX(Arten,MATCH(O19,Codes,0))="Arbeit"),IF(ROUND((1+INDEX(Beginne,MATCH(O19,Codes,0))-INDEX(EndeRel,MATCH(N19,Codes,0)))*1440,0)&lt;660,1,0),0),0))</f>
      </c>
      <c r="P68" s="1">
        <f>IF(OR(P$52=0,O19="",P19=""),0,IFERROR(IF(AND(INDEX(Arten,MATCH(O19,Codes,0))="Arbeit",INDEX(Arten,MATCH(P19,Codes,0))="Arbeit"),IF(ROUND((1+INDEX(Beginne,MATCH(P19,Codes,0))-INDEX(EndeRel,MATCH(O19,Codes,0)))*1440,0)&lt;660,1,0),0),0))</f>
      </c>
      <c r="Q68" s="1">
        <f>IF(OR(Q$52=0,P19="",Q19=""),0,IFERROR(IF(AND(INDEX(Arten,MATCH(P19,Codes,0))="Arbeit",INDEX(Arten,MATCH(Q19,Codes,0))="Arbeit"),IF(ROUND((1+INDEX(Beginne,MATCH(Q19,Codes,0))-INDEX(EndeRel,MATCH(P19,Codes,0)))*1440,0)&lt;660,1,0),0),0))</f>
      </c>
      <c r="R68" s="1">
        <f>IF(OR(R$52=0,Q19="",R19=""),0,IFERROR(IF(AND(INDEX(Arten,MATCH(Q19,Codes,0))="Arbeit",INDEX(Arten,MATCH(R19,Codes,0))="Arbeit"),IF(ROUND((1+INDEX(Beginne,MATCH(R19,Codes,0))-INDEX(EndeRel,MATCH(Q19,Codes,0)))*1440,0)&lt;660,1,0),0),0))</f>
      </c>
      <c r="S68" s="1">
        <f>IF(OR(S$52=0,R19="",S19=""),0,IFERROR(IF(AND(INDEX(Arten,MATCH(R19,Codes,0))="Arbeit",INDEX(Arten,MATCH(S19,Codes,0))="Arbeit"),IF(ROUND((1+INDEX(Beginne,MATCH(S19,Codes,0))-INDEX(EndeRel,MATCH(R19,Codes,0)))*1440,0)&lt;660,1,0),0),0))</f>
      </c>
      <c r="T68" s="1">
        <f>IF(OR(T$52=0,S19="",T19=""),0,IFERROR(IF(AND(INDEX(Arten,MATCH(S19,Codes,0))="Arbeit",INDEX(Arten,MATCH(T19,Codes,0))="Arbeit"),IF(ROUND((1+INDEX(Beginne,MATCH(T19,Codes,0))-INDEX(EndeRel,MATCH(S19,Codes,0)))*1440,0)&lt;660,1,0),0),0))</f>
      </c>
      <c r="U68" s="1">
        <f>IF(OR(U$52=0,T19="",U19=""),0,IFERROR(IF(AND(INDEX(Arten,MATCH(T19,Codes,0))="Arbeit",INDEX(Arten,MATCH(U19,Codes,0))="Arbeit"),IF(ROUND((1+INDEX(Beginne,MATCH(U19,Codes,0))-INDEX(EndeRel,MATCH(T19,Codes,0)))*1440,0)&lt;660,1,0),0),0))</f>
      </c>
      <c r="V68" s="1">
        <f>IF(OR(V$52=0,U19="",V19=""),0,IFERROR(IF(AND(INDEX(Arten,MATCH(U19,Codes,0))="Arbeit",INDEX(Arten,MATCH(V19,Codes,0))="Arbeit"),IF(ROUND((1+INDEX(Beginne,MATCH(V19,Codes,0))-INDEX(EndeRel,MATCH(U19,Codes,0)))*1440,0)&lt;660,1,0),0),0))</f>
      </c>
      <c r="W68" s="1">
        <f>IF(OR(W$52=0,V19="",W19=""),0,IFERROR(IF(AND(INDEX(Arten,MATCH(V19,Codes,0))="Arbeit",INDEX(Arten,MATCH(W19,Codes,0))="Arbeit"),IF(ROUND((1+INDEX(Beginne,MATCH(W19,Codes,0))-INDEX(EndeRel,MATCH(V19,Codes,0)))*1440,0)&lt;660,1,0),0),0))</f>
      </c>
      <c r="X68" s="1">
        <f>IF(OR(X$52=0,W19="",X19=""),0,IFERROR(IF(AND(INDEX(Arten,MATCH(W19,Codes,0))="Arbeit",INDEX(Arten,MATCH(X19,Codes,0))="Arbeit"),IF(ROUND((1+INDEX(Beginne,MATCH(X19,Codes,0))-INDEX(EndeRel,MATCH(W19,Codes,0)))*1440,0)&lt;660,1,0),0),0))</f>
      </c>
      <c r="Y68" s="1">
        <f>IF(OR(Y$52=0,X19="",Y19=""),0,IFERROR(IF(AND(INDEX(Arten,MATCH(X19,Codes,0))="Arbeit",INDEX(Arten,MATCH(Y19,Codes,0))="Arbeit"),IF(ROUND((1+INDEX(Beginne,MATCH(Y19,Codes,0))-INDEX(EndeRel,MATCH(X19,Codes,0)))*1440,0)&lt;660,1,0),0),0))</f>
      </c>
      <c r="Z68" s="1">
        <f>IF(OR(Z$52=0,Y19="",Z19=""),0,IFERROR(IF(AND(INDEX(Arten,MATCH(Y19,Codes,0))="Arbeit",INDEX(Arten,MATCH(Z19,Codes,0))="Arbeit"),IF(ROUND((1+INDEX(Beginne,MATCH(Z19,Codes,0))-INDEX(EndeRel,MATCH(Y19,Codes,0)))*1440,0)&lt;660,1,0),0),0))</f>
      </c>
      <c r="AA68" s="1">
        <f>IF(OR(AA$52=0,Z19="",AA19=""),0,IFERROR(IF(AND(INDEX(Arten,MATCH(Z19,Codes,0))="Arbeit",INDEX(Arten,MATCH(AA19,Codes,0))="Arbeit"),IF(ROUND((1+INDEX(Beginne,MATCH(AA19,Codes,0))-INDEX(EndeRel,MATCH(Z19,Codes,0)))*1440,0)&lt;660,1,0),0),0))</f>
      </c>
      <c r="AB68" s="1">
        <f>IF(OR(AB$52=0,AA19="",AB19=""),0,IFERROR(IF(AND(INDEX(Arten,MATCH(AA19,Codes,0))="Arbeit",INDEX(Arten,MATCH(AB19,Codes,0))="Arbeit"),IF(ROUND((1+INDEX(Beginne,MATCH(AB19,Codes,0))-INDEX(EndeRel,MATCH(AA19,Codes,0)))*1440,0)&lt;660,1,0),0),0))</f>
      </c>
      <c r="AC68" s="1">
        <f>IF(OR(AC$52=0,AB19="",AC19=""),0,IFERROR(IF(AND(INDEX(Arten,MATCH(AB19,Codes,0))="Arbeit",INDEX(Arten,MATCH(AC19,Codes,0))="Arbeit"),IF(ROUND((1+INDEX(Beginne,MATCH(AC19,Codes,0))-INDEX(EndeRel,MATCH(AB19,Codes,0)))*1440,0)&lt;660,1,0),0),0))</f>
      </c>
      <c r="AD68" s="1">
        <f>IF(OR(AD$52=0,AC19="",AD19=""),0,IFERROR(IF(AND(INDEX(Arten,MATCH(AC19,Codes,0))="Arbeit",INDEX(Arten,MATCH(AD19,Codes,0))="Arbeit"),IF(ROUND((1+INDEX(Beginne,MATCH(AD19,Codes,0))-INDEX(EndeRel,MATCH(AC19,Codes,0)))*1440,0)&lt;660,1,0),0),0))</f>
      </c>
      <c r="AE68" s="1">
        <f>IF(OR(AE$52=0,AD19="",AE19=""),0,IFERROR(IF(AND(INDEX(Arten,MATCH(AD19,Codes,0))="Arbeit",INDEX(Arten,MATCH(AE19,Codes,0))="Arbeit"),IF(ROUND((1+INDEX(Beginne,MATCH(AE19,Codes,0))-INDEX(EndeRel,MATCH(AD19,Codes,0)))*1440,0)&lt;660,1,0),0),0))</f>
      </c>
      <c r="AF68" s="1">
        <f>IF(OR(AF$52=0,AE19="",AF19=""),0,IFERROR(IF(AND(INDEX(Arten,MATCH(AE19,Codes,0))="Arbeit",INDEX(Arten,MATCH(AF19,Codes,0))="Arbeit"),IF(ROUND((1+INDEX(Beginne,MATCH(AF19,Codes,0))-INDEX(EndeRel,MATCH(AE19,Codes,0)))*1440,0)&lt;660,1,0),0),0))</f>
      </c>
    </row>
    <row r="69" hidden="1" spans="1:32" x14ac:dyDescent="0.25">
      <c r="A69" s="1"/>
      <c r="B69" s="1">
        <f>IF(OR(B$52=0,INDEX('April'!$B$20:$AF$20,DAY(DATE(Jahr,5,0)))="",B20=""),0,IFERROR(IF(AND(INDEX(Arten,MATCH(INDEX('April'!$B$20:$AF$20,DAY(DATE(Jahr,5,0))),Codes,0))="Arbeit",INDEX(Arten,MATCH(B20,Codes,0))="Arbeit"),IF(ROUND((1+INDEX(Beginne,MATCH(B20,Codes,0))-INDEX(EndeRel,MATCH(INDEX('April'!$B$20:$AF$20,DAY(DATE(Jahr,5,0))),Codes,0)))*1440,0)&lt;660,1,0),0),0))</f>
      </c>
      <c r="C69" s="1">
        <f>IF(OR(C$52=0,B20="",C20=""),0,IFERROR(IF(AND(INDEX(Arten,MATCH(B20,Codes,0))="Arbeit",INDEX(Arten,MATCH(C20,Codes,0))="Arbeit"),IF(ROUND((1+INDEX(Beginne,MATCH(C20,Codes,0))-INDEX(EndeRel,MATCH(B20,Codes,0)))*1440,0)&lt;660,1,0),0),0))</f>
      </c>
      <c r="D69" s="1">
        <f>IF(OR(D$52=0,C20="",D20=""),0,IFERROR(IF(AND(INDEX(Arten,MATCH(C20,Codes,0))="Arbeit",INDEX(Arten,MATCH(D20,Codes,0))="Arbeit"),IF(ROUND((1+INDEX(Beginne,MATCH(D20,Codes,0))-INDEX(EndeRel,MATCH(C20,Codes,0)))*1440,0)&lt;660,1,0),0),0))</f>
      </c>
      <c r="E69" s="1">
        <f>IF(OR(E$52=0,D20="",E20=""),0,IFERROR(IF(AND(INDEX(Arten,MATCH(D20,Codes,0))="Arbeit",INDEX(Arten,MATCH(E20,Codes,0))="Arbeit"),IF(ROUND((1+INDEX(Beginne,MATCH(E20,Codes,0))-INDEX(EndeRel,MATCH(D20,Codes,0)))*1440,0)&lt;660,1,0),0),0))</f>
      </c>
      <c r="F69" s="1">
        <f>IF(OR(F$52=0,E20="",F20=""),0,IFERROR(IF(AND(INDEX(Arten,MATCH(E20,Codes,0))="Arbeit",INDEX(Arten,MATCH(F20,Codes,0))="Arbeit"),IF(ROUND((1+INDEX(Beginne,MATCH(F20,Codes,0))-INDEX(EndeRel,MATCH(E20,Codes,0)))*1440,0)&lt;660,1,0),0),0))</f>
      </c>
      <c r="G69" s="1">
        <f>IF(OR(G$52=0,F20="",G20=""),0,IFERROR(IF(AND(INDEX(Arten,MATCH(F20,Codes,0))="Arbeit",INDEX(Arten,MATCH(G20,Codes,0))="Arbeit"),IF(ROUND((1+INDEX(Beginne,MATCH(G20,Codes,0))-INDEX(EndeRel,MATCH(F20,Codes,0)))*1440,0)&lt;660,1,0),0),0))</f>
      </c>
      <c r="H69" s="1">
        <f>IF(OR(H$52=0,G20="",H20=""),0,IFERROR(IF(AND(INDEX(Arten,MATCH(G20,Codes,0))="Arbeit",INDEX(Arten,MATCH(H20,Codes,0))="Arbeit"),IF(ROUND((1+INDEX(Beginne,MATCH(H20,Codes,0))-INDEX(EndeRel,MATCH(G20,Codes,0)))*1440,0)&lt;660,1,0),0),0))</f>
      </c>
      <c r="I69" s="1">
        <f>IF(OR(I$52=0,H20="",I20=""),0,IFERROR(IF(AND(INDEX(Arten,MATCH(H20,Codes,0))="Arbeit",INDEX(Arten,MATCH(I20,Codes,0))="Arbeit"),IF(ROUND((1+INDEX(Beginne,MATCH(I20,Codes,0))-INDEX(EndeRel,MATCH(H20,Codes,0)))*1440,0)&lt;660,1,0),0),0))</f>
      </c>
      <c r="J69" s="1">
        <f>IF(OR(J$52=0,I20="",J20=""),0,IFERROR(IF(AND(INDEX(Arten,MATCH(I20,Codes,0))="Arbeit",INDEX(Arten,MATCH(J20,Codes,0))="Arbeit"),IF(ROUND((1+INDEX(Beginne,MATCH(J20,Codes,0))-INDEX(EndeRel,MATCH(I20,Codes,0)))*1440,0)&lt;660,1,0),0),0))</f>
      </c>
      <c r="K69" s="1">
        <f>IF(OR(K$52=0,J20="",K20=""),0,IFERROR(IF(AND(INDEX(Arten,MATCH(J20,Codes,0))="Arbeit",INDEX(Arten,MATCH(K20,Codes,0))="Arbeit"),IF(ROUND((1+INDEX(Beginne,MATCH(K20,Codes,0))-INDEX(EndeRel,MATCH(J20,Codes,0)))*1440,0)&lt;660,1,0),0),0))</f>
      </c>
      <c r="L69" s="1">
        <f>IF(OR(L$52=0,K20="",L20=""),0,IFERROR(IF(AND(INDEX(Arten,MATCH(K20,Codes,0))="Arbeit",INDEX(Arten,MATCH(L20,Codes,0))="Arbeit"),IF(ROUND((1+INDEX(Beginne,MATCH(L20,Codes,0))-INDEX(EndeRel,MATCH(K20,Codes,0)))*1440,0)&lt;660,1,0),0),0))</f>
      </c>
      <c r="M69" s="1">
        <f>IF(OR(M$52=0,L20="",M20=""),0,IFERROR(IF(AND(INDEX(Arten,MATCH(L20,Codes,0))="Arbeit",INDEX(Arten,MATCH(M20,Codes,0))="Arbeit"),IF(ROUND((1+INDEX(Beginne,MATCH(M20,Codes,0))-INDEX(EndeRel,MATCH(L20,Codes,0)))*1440,0)&lt;660,1,0),0),0))</f>
      </c>
      <c r="N69" s="1">
        <f>IF(OR(N$52=0,M20="",N20=""),0,IFERROR(IF(AND(INDEX(Arten,MATCH(M20,Codes,0))="Arbeit",INDEX(Arten,MATCH(N20,Codes,0))="Arbeit"),IF(ROUND((1+INDEX(Beginne,MATCH(N20,Codes,0))-INDEX(EndeRel,MATCH(M20,Codes,0)))*1440,0)&lt;660,1,0),0),0))</f>
      </c>
      <c r="O69" s="1">
        <f>IF(OR(O$52=0,N20="",O20=""),0,IFERROR(IF(AND(INDEX(Arten,MATCH(N20,Codes,0))="Arbeit",INDEX(Arten,MATCH(O20,Codes,0))="Arbeit"),IF(ROUND((1+INDEX(Beginne,MATCH(O20,Codes,0))-INDEX(EndeRel,MATCH(N20,Codes,0)))*1440,0)&lt;660,1,0),0),0))</f>
      </c>
      <c r="P69" s="1">
        <f>IF(OR(P$52=0,O20="",P20=""),0,IFERROR(IF(AND(INDEX(Arten,MATCH(O20,Codes,0))="Arbeit",INDEX(Arten,MATCH(P20,Codes,0))="Arbeit"),IF(ROUND((1+INDEX(Beginne,MATCH(P20,Codes,0))-INDEX(EndeRel,MATCH(O20,Codes,0)))*1440,0)&lt;660,1,0),0),0))</f>
      </c>
      <c r="Q69" s="1">
        <f>IF(OR(Q$52=0,P20="",Q20=""),0,IFERROR(IF(AND(INDEX(Arten,MATCH(P20,Codes,0))="Arbeit",INDEX(Arten,MATCH(Q20,Codes,0))="Arbeit"),IF(ROUND((1+INDEX(Beginne,MATCH(Q20,Codes,0))-INDEX(EndeRel,MATCH(P20,Codes,0)))*1440,0)&lt;660,1,0),0),0))</f>
      </c>
      <c r="R69" s="1">
        <f>IF(OR(R$52=0,Q20="",R20=""),0,IFERROR(IF(AND(INDEX(Arten,MATCH(Q20,Codes,0))="Arbeit",INDEX(Arten,MATCH(R20,Codes,0))="Arbeit"),IF(ROUND((1+INDEX(Beginne,MATCH(R20,Codes,0))-INDEX(EndeRel,MATCH(Q20,Codes,0)))*1440,0)&lt;660,1,0),0),0))</f>
      </c>
      <c r="S69" s="1">
        <f>IF(OR(S$52=0,R20="",S20=""),0,IFERROR(IF(AND(INDEX(Arten,MATCH(R20,Codes,0))="Arbeit",INDEX(Arten,MATCH(S20,Codes,0))="Arbeit"),IF(ROUND((1+INDEX(Beginne,MATCH(S20,Codes,0))-INDEX(EndeRel,MATCH(R20,Codes,0)))*1440,0)&lt;660,1,0),0),0))</f>
      </c>
      <c r="T69" s="1">
        <f>IF(OR(T$52=0,S20="",T20=""),0,IFERROR(IF(AND(INDEX(Arten,MATCH(S20,Codes,0))="Arbeit",INDEX(Arten,MATCH(T20,Codes,0))="Arbeit"),IF(ROUND((1+INDEX(Beginne,MATCH(T20,Codes,0))-INDEX(EndeRel,MATCH(S20,Codes,0)))*1440,0)&lt;660,1,0),0),0))</f>
      </c>
      <c r="U69" s="1">
        <f>IF(OR(U$52=0,T20="",U20=""),0,IFERROR(IF(AND(INDEX(Arten,MATCH(T20,Codes,0))="Arbeit",INDEX(Arten,MATCH(U20,Codes,0))="Arbeit"),IF(ROUND((1+INDEX(Beginne,MATCH(U20,Codes,0))-INDEX(EndeRel,MATCH(T20,Codes,0)))*1440,0)&lt;660,1,0),0),0))</f>
      </c>
      <c r="V69" s="1">
        <f>IF(OR(V$52=0,U20="",V20=""),0,IFERROR(IF(AND(INDEX(Arten,MATCH(U20,Codes,0))="Arbeit",INDEX(Arten,MATCH(V20,Codes,0))="Arbeit"),IF(ROUND((1+INDEX(Beginne,MATCH(V20,Codes,0))-INDEX(EndeRel,MATCH(U20,Codes,0)))*1440,0)&lt;660,1,0),0),0))</f>
      </c>
      <c r="W69" s="1">
        <f>IF(OR(W$52=0,V20="",W20=""),0,IFERROR(IF(AND(INDEX(Arten,MATCH(V20,Codes,0))="Arbeit",INDEX(Arten,MATCH(W20,Codes,0))="Arbeit"),IF(ROUND((1+INDEX(Beginne,MATCH(W20,Codes,0))-INDEX(EndeRel,MATCH(V20,Codes,0)))*1440,0)&lt;660,1,0),0),0))</f>
      </c>
      <c r="X69" s="1">
        <f>IF(OR(X$52=0,W20="",X20=""),0,IFERROR(IF(AND(INDEX(Arten,MATCH(W20,Codes,0))="Arbeit",INDEX(Arten,MATCH(X20,Codes,0))="Arbeit"),IF(ROUND((1+INDEX(Beginne,MATCH(X20,Codes,0))-INDEX(EndeRel,MATCH(W20,Codes,0)))*1440,0)&lt;660,1,0),0),0))</f>
      </c>
      <c r="Y69" s="1">
        <f>IF(OR(Y$52=0,X20="",Y20=""),0,IFERROR(IF(AND(INDEX(Arten,MATCH(X20,Codes,0))="Arbeit",INDEX(Arten,MATCH(Y20,Codes,0))="Arbeit"),IF(ROUND((1+INDEX(Beginne,MATCH(Y20,Codes,0))-INDEX(EndeRel,MATCH(X20,Codes,0)))*1440,0)&lt;660,1,0),0),0))</f>
      </c>
      <c r="Z69" s="1">
        <f>IF(OR(Z$52=0,Y20="",Z20=""),0,IFERROR(IF(AND(INDEX(Arten,MATCH(Y20,Codes,0))="Arbeit",INDEX(Arten,MATCH(Z20,Codes,0))="Arbeit"),IF(ROUND((1+INDEX(Beginne,MATCH(Z20,Codes,0))-INDEX(EndeRel,MATCH(Y20,Codes,0)))*1440,0)&lt;660,1,0),0),0))</f>
      </c>
      <c r="AA69" s="1">
        <f>IF(OR(AA$52=0,Z20="",AA20=""),0,IFERROR(IF(AND(INDEX(Arten,MATCH(Z20,Codes,0))="Arbeit",INDEX(Arten,MATCH(AA20,Codes,0))="Arbeit"),IF(ROUND((1+INDEX(Beginne,MATCH(AA20,Codes,0))-INDEX(EndeRel,MATCH(Z20,Codes,0)))*1440,0)&lt;660,1,0),0),0))</f>
      </c>
      <c r="AB69" s="1">
        <f>IF(OR(AB$52=0,AA20="",AB20=""),0,IFERROR(IF(AND(INDEX(Arten,MATCH(AA20,Codes,0))="Arbeit",INDEX(Arten,MATCH(AB20,Codes,0))="Arbeit"),IF(ROUND((1+INDEX(Beginne,MATCH(AB20,Codes,0))-INDEX(EndeRel,MATCH(AA20,Codes,0)))*1440,0)&lt;660,1,0),0),0))</f>
      </c>
      <c r="AC69" s="1">
        <f>IF(OR(AC$52=0,AB20="",AC20=""),0,IFERROR(IF(AND(INDEX(Arten,MATCH(AB20,Codes,0))="Arbeit",INDEX(Arten,MATCH(AC20,Codes,0))="Arbeit"),IF(ROUND((1+INDEX(Beginne,MATCH(AC20,Codes,0))-INDEX(EndeRel,MATCH(AB20,Codes,0)))*1440,0)&lt;660,1,0),0),0))</f>
      </c>
      <c r="AD69" s="1">
        <f>IF(OR(AD$52=0,AC20="",AD20=""),0,IFERROR(IF(AND(INDEX(Arten,MATCH(AC20,Codes,0))="Arbeit",INDEX(Arten,MATCH(AD20,Codes,0))="Arbeit"),IF(ROUND((1+INDEX(Beginne,MATCH(AD20,Codes,0))-INDEX(EndeRel,MATCH(AC20,Codes,0)))*1440,0)&lt;660,1,0),0),0))</f>
      </c>
      <c r="AE69" s="1">
        <f>IF(OR(AE$52=0,AD20="",AE20=""),0,IFERROR(IF(AND(INDEX(Arten,MATCH(AD20,Codes,0))="Arbeit",INDEX(Arten,MATCH(AE20,Codes,0))="Arbeit"),IF(ROUND((1+INDEX(Beginne,MATCH(AE20,Codes,0))-INDEX(EndeRel,MATCH(AD20,Codes,0)))*1440,0)&lt;660,1,0),0),0))</f>
      </c>
      <c r="AF69" s="1">
        <f>IF(OR(AF$52=0,AE20="",AF20=""),0,IFERROR(IF(AND(INDEX(Arten,MATCH(AE20,Codes,0))="Arbeit",INDEX(Arten,MATCH(AF20,Codes,0))="Arbeit"),IF(ROUND((1+INDEX(Beginne,MATCH(AF20,Codes,0))-INDEX(EndeRel,MATCH(AE20,Codes,0)))*1440,0)&lt;660,1,0),0),0))</f>
      </c>
    </row>
    <row r="70" hidden="1" spans="1:32" x14ac:dyDescent="0.25">
      <c r="A70" s="1"/>
      <c r="B70" s="1">
        <f>IF(OR(B$52=0,INDEX('April'!$B$21:$AF$21,DAY(DATE(Jahr,5,0)))="",B21=""),0,IFERROR(IF(AND(INDEX(Arten,MATCH(INDEX('April'!$B$21:$AF$21,DAY(DATE(Jahr,5,0))),Codes,0))="Arbeit",INDEX(Arten,MATCH(B21,Codes,0))="Arbeit"),IF(ROUND((1+INDEX(Beginne,MATCH(B21,Codes,0))-INDEX(EndeRel,MATCH(INDEX('April'!$B$21:$AF$21,DAY(DATE(Jahr,5,0))),Codes,0)))*1440,0)&lt;660,1,0),0),0))</f>
      </c>
      <c r="C70" s="1">
        <f>IF(OR(C$52=0,B21="",C21=""),0,IFERROR(IF(AND(INDEX(Arten,MATCH(B21,Codes,0))="Arbeit",INDEX(Arten,MATCH(C21,Codes,0))="Arbeit"),IF(ROUND((1+INDEX(Beginne,MATCH(C21,Codes,0))-INDEX(EndeRel,MATCH(B21,Codes,0)))*1440,0)&lt;660,1,0),0),0))</f>
      </c>
      <c r="D70" s="1">
        <f>IF(OR(D$52=0,C21="",D21=""),0,IFERROR(IF(AND(INDEX(Arten,MATCH(C21,Codes,0))="Arbeit",INDEX(Arten,MATCH(D21,Codes,0))="Arbeit"),IF(ROUND((1+INDEX(Beginne,MATCH(D21,Codes,0))-INDEX(EndeRel,MATCH(C21,Codes,0)))*1440,0)&lt;660,1,0),0),0))</f>
      </c>
      <c r="E70" s="1">
        <f>IF(OR(E$52=0,D21="",E21=""),0,IFERROR(IF(AND(INDEX(Arten,MATCH(D21,Codes,0))="Arbeit",INDEX(Arten,MATCH(E21,Codes,0))="Arbeit"),IF(ROUND((1+INDEX(Beginne,MATCH(E21,Codes,0))-INDEX(EndeRel,MATCH(D21,Codes,0)))*1440,0)&lt;660,1,0),0),0))</f>
      </c>
      <c r="F70" s="1">
        <f>IF(OR(F$52=0,E21="",F21=""),0,IFERROR(IF(AND(INDEX(Arten,MATCH(E21,Codes,0))="Arbeit",INDEX(Arten,MATCH(F21,Codes,0))="Arbeit"),IF(ROUND((1+INDEX(Beginne,MATCH(F21,Codes,0))-INDEX(EndeRel,MATCH(E21,Codes,0)))*1440,0)&lt;660,1,0),0),0))</f>
      </c>
      <c r="G70" s="1">
        <f>IF(OR(G$52=0,F21="",G21=""),0,IFERROR(IF(AND(INDEX(Arten,MATCH(F21,Codes,0))="Arbeit",INDEX(Arten,MATCH(G21,Codes,0))="Arbeit"),IF(ROUND((1+INDEX(Beginne,MATCH(G21,Codes,0))-INDEX(EndeRel,MATCH(F21,Codes,0)))*1440,0)&lt;660,1,0),0),0))</f>
      </c>
      <c r="H70" s="1">
        <f>IF(OR(H$52=0,G21="",H21=""),0,IFERROR(IF(AND(INDEX(Arten,MATCH(G21,Codes,0))="Arbeit",INDEX(Arten,MATCH(H21,Codes,0))="Arbeit"),IF(ROUND((1+INDEX(Beginne,MATCH(H21,Codes,0))-INDEX(EndeRel,MATCH(G21,Codes,0)))*1440,0)&lt;660,1,0),0),0))</f>
      </c>
      <c r="I70" s="1">
        <f>IF(OR(I$52=0,H21="",I21=""),0,IFERROR(IF(AND(INDEX(Arten,MATCH(H21,Codes,0))="Arbeit",INDEX(Arten,MATCH(I21,Codes,0))="Arbeit"),IF(ROUND((1+INDEX(Beginne,MATCH(I21,Codes,0))-INDEX(EndeRel,MATCH(H21,Codes,0)))*1440,0)&lt;660,1,0),0),0))</f>
      </c>
      <c r="J70" s="1">
        <f>IF(OR(J$52=0,I21="",J21=""),0,IFERROR(IF(AND(INDEX(Arten,MATCH(I21,Codes,0))="Arbeit",INDEX(Arten,MATCH(J21,Codes,0))="Arbeit"),IF(ROUND((1+INDEX(Beginne,MATCH(J21,Codes,0))-INDEX(EndeRel,MATCH(I21,Codes,0)))*1440,0)&lt;660,1,0),0),0))</f>
      </c>
      <c r="K70" s="1">
        <f>IF(OR(K$52=0,J21="",K21=""),0,IFERROR(IF(AND(INDEX(Arten,MATCH(J21,Codes,0))="Arbeit",INDEX(Arten,MATCH(K21,Codes,0))="Arbeit"),IF(ROUND((1+INDEX(Beginne,MATCH(K21,Codes,0))-INDEX(EndeRel,MATCH(J21,Codes,0)))*1440,0)&lt;660,1,0),0),0))</f>
      </c>
      <c r="L70" s="1">
        <f>IF(OR(L$52=0,K21="",L21=""),0,IFERROR(IF(AND(INDEX(Arten,MATCH(K21,Codes,0))="Arbeit",INDEX(Arten,MATCH(L21,Codes,0))="Arbeit"),IF(ROUND((1+INDEX(Beginne,MATCH(L21,Codes,0))-INDEX(EndeRel,MATCH(K21,Codes,0)))*1440,0)&lt;660,1,0),0),0))</f>
      </c>
      <c r="M70" s="1">
        <f>IF(OR(M$52=0,L21="",M21=""),0,IFERROR(IF(AND(INDEX(Arten,MATCH(L21,Codes,0))="Arbeit",INDEX(Arten,MATCH(M21,Codes,0))="Arbeit"),IF(ROUND((1+INDEX(Beginne,MATCH(M21,Codes,0))-INDEX(EndeRel,MATCH(L21,Codes,0)))*1440,0)&lt;660,1,0),0),0))</f>
      </c>
      <c r="N70" s="1">
        <f>IF(OR(N$52=0,M21="",N21=""),0,IFERROR(IF(AND(INDEX(Arten,MATCH(M21,Codes,0))="Arbeit",INDEX(Arten,MATCH(N21,Codes,0))="Arbeit"),IF(ROUND((1+INDEX(Beginne,MATCH(N21,Codes,0))-INDEX(EndeRel,MATCH(M21,Codes,0)))*1440,0)&lt;660,1,0),0),0))</f>
      </c>
      <c r="O70" s="1">
        <f>IF(OR(O$52=0,N21="",O21=""),0,IFERROR(IF(AND(INDEX(Arten,MATCH(N21,Codes,0))="Arbeit",INDEX(Arten,MATCH(O21,Codes,0))="Arbeit"),IF(ROUND((1+INDEX(Beginne,MATCH(O21,Codes,0))-INDEX(EndeRel,MATCH(N21,Codes,0)))*1440,0)&lt;660,1,0),0),0))</f>
      </c>
      <c r="P70" s="1">
        <f>IF(OR(P$52=0,O21="",P21=""),0,IFERROR(IF(AND(INDEX(Arten,MATCH(O21,Codes,0))="Arbeit",INDEX(Arten,MATCH(P21,Codes,0))="Arbeit"),IF(ROUND((1+INDEX(Beginne,MATCH(P21,Codes,0))-INDEX(EndeRel,MATCH(O21,Codes,0)))*1440,0)&lt;660,1,0),0),0))</f>
      </c>
      <c r="Q70" s="1">
        <f>IF(OR(Q$52=0,P21="",Q21=""),0,IFERROR(IF(AND(INDEX(Arten,MATCH(P21,Codes,0))="Arbeit",INDEX(Arten,MATCH(Q21,Codes,0))="Arbeit"),IF(ROUND((1+INDEX(Beginne,MATCH(Q21,Codes,0))-INDEX(EndeRel,MATCH(P21,Codes,0)))*1440,0)&lt;660,1,0),0),0))</f>
      </c>
      <c r="R70" s="1">
        <f>IF(OR(R$52=0,Q21="",R21=""),0,IFERROR(IF(AND(INDEX(Arten,MATCH(Q21,Codes,0))="Arbeit",INDEX(Arten,MATCH(R21,Codes,0))="Arbeit"),IF(ROUND((1+INDEX(Beginne,MATCH(R21,Codes,0))-INDEX(EndeRel,MATCH(Q21,Codes,0)))*1440,0)&lt;660,1,0),0),0))</f>
      </c>
      <c r="S70" s="1">
        <f>IF(OR(S$52=0,R21="",S21=""),0,IFERROR(IF(AND(INDEX(Arten,MATCH(R21,Codes,0))="Arbeit",INDEX(Arten,MATCH(S21,Codes,0))="Arbeit"),IF(ROUND((1+INDEX(Beginne,MATCH(S21,Codes,0))-INDEX(EndeRel,MATCH(R21,Codes,0)))*1440,0)&lt;660,1,0),0),0))</f>
      </c>
      <c r="T70" s="1">
        <f>IF(OR(T$52=0,S21="",T21=""),0,IFERROR(IF(AND(INDEX(Arten,MATCH(S21,Codes,0))="Arbeit",INDEX(Arten,MATCH(T21,Codes,0))="Arbeit"),IF(ROUND((1+INDEX(Beginne,MATCH(T21,Codes,0))-INDEX(EndeRel,MATCH(S21,Codes,0)))*1440,0)&lt;660,1,0),0),0))</f>
      </c>
      <c r="U70" s="1">
        <f>IF(OR(U$52=0,T21="",U21=""),0,IFERROR(IF(AND(INDEX(Arten,MATCH(T21,Codes,0))="Arbeit",INDEX(Arten,MATCH(U21,Codes,0))="Arbeit"),IF(ROUND((1+INDEX(Beginne,MATCH(U21,Codes,0))-INDEX(EndeRel,MATCH(T21,Codes,0)))*1440,0)&lt;660,1,0),0),0))</f>
      </c>
      <c r="V70" s="1">
        <f>IF(OR(V$52=0,U21="",V21=""),0,IFERROR(IF(AND(INDEX(Arten,MATCH(U21,Codes,0))="Arbeit",INDEX(Arten,MATCH(V21,Codes,0))="Arbeit"),IF(ROUND((1+INDEX(Beginne,MATCH(V21,Codes,0))-INDEX(EndeRel,MATCH(U21,Codes,0)))*1440,0)&lt;660,1,0),0),0))</f>
      </c>
      <c r="W70" s="1">
        <f>IF(OR(W$52=0,V21="",W21=""),0,IFERROR(IF(AND(INDEX(Arten,MATCH(V21,Codes,0))="Arbeit",INDEX(Arten,MATCH(W21,Codes,0))="Arbeit"),IF(ROUND((1+INDEX(Beginne,MATCH(W21,Codes,0))-INDEX(EndeRel,MATCH(V21,Codes,0)))*1440,0)&lt;660,1,0),0),0))</f>
      </c>
      <c r="X70" s="1">
        <f>IF(OR(X$52=0,W21="",X21=""),0,IFERROR(IF(AND(INDEX(Arten,MATCH(W21,Codes,0))="Arbeit",INDEX(Arten,MATCH(X21,Codes,0))="Arbeit"),IF(ROUND((1+INDEX(Beginne,MATCH(X21,Codes,0))-INDEX(EndeRel,MATCH(W21,Codes,0)))*1440,0)&lt;660,1,0),0),0))</f>
      </c>
      <c r="Y70" s="1">
        <f>IF(OR(Y$52=0,X21="",Y21=""),0,IFERROR(IF(AND(INDEX(Arten,MATCH(X21,Codes,0))="Arbeit",INDEX(Arten,MATCH(Y21,Codes,0))="Arbeit"),IF(ROUND((1+INDEX(Beginne,MATCH(Y21,Codes,0))-INDEX(EndeRel,MATCH(X21,Codes,0)))*1440,0)&lt;660,1,0),0),0))</f>
      </c>
      <c r="Z70" s="1">
        <f>IF(OR(Z$52=0,Y21="",Z21=""),0,IFERROR(IF(AND(INDEX(Arten,MATCH(Y21,Codes,0))="Arbeit",INDEX(Arten,MATCH(Z21,Codes,0))="Arbeit"),IF(ROUND((1+INDEX(Beginne,MATCH(Z21,Codes,0))-INDEX(EndeRel,MATCH(Y21,Codes,0)))*1440,0)&lt;660,1,0),0),0))</f>
      </c>
      <c r="AA70" s="1">
        <f>IF(OR(AA$52=0,Z21="",AA21=""),0,IFERROR(IF(AND(INDEX(Arten,MATCH(Z21,Codes,0))="Arbeit",INDEX(Arten,MATCH(AA21,Codes,0))="Arbeit"),IF(ROUND((1+INDEX(Beginne,MATCH(AA21,Codes,0))-INDEX(EndeRel,MATCH(Z21,Codes,0)))*1440,0)&lt;660,1,0),0),0))</f>
      </c>
      <c r="AB70" s="1">
        <f>IF(OR(AB$52=0,AA21="",AB21=""),0,IFERROR(IF(AND(INDEX(Arten,MATCH(AA21,Codes,0))="Arbeit",INDEX(Arten,MATCH(AB21,Codes,0))="Arbeit"),IF(ROUND((1+INDEX(Beginne,MATCH(AB21,Codes,0))-INDEX(EndeRel,MATCH(AA21,Codes,0)))*1440,0)&lt;660,1,0),0),0))</f>
      </c>
      <c r="AC70" s="1">
        <f>IF(OR(AC$52=0,AB21="",AC21=""),0,IFERROR(IF(AND(INDEX(Arten,MATCH(AB21,Codes,0))="Arbeit",INDEX(Arten,MATCH(AC21,Codes,0))="Arbeit"),IF(ROUND((1+INDEX(Beginne,MATCH(AC21,Codes,0))-INDEX(EndeRel,MATCH(AB21,Codes,0)))*1440,0)&lt;660,1,0),0),0))</f>
      </c>
      <c r="AD70" s="1">
        <f>IF(OR(AD$52=0,AC21="",AD21=""),0,IFERROR(IF(AND(INDEX(Arten,MATCH(AC21,Codes,0))="Arbeit",INDEX(Arten,MATCH(AD21,Codes,0))="Arbeit"),IF(ROUND((1+INDEX(Beginne,MATCH(AD21,Codes,0))-INDEX(EndeRel,MATCH(AC21,Codes,0)))*1440,0)&lt;660,1,0),0),0))</f>
      </c>
      <c r="AE70" s="1">
        <f>IF(OR(AE$52=0,AD21="",AE21=""),0,IFERROR(IF(AND(INDEX(Arten,MATCH(AD21,Codes,0))="Arbeit",INDEX(Arten,MATCH(AE21,Codes,0))="Arbeit"),IF(ROUND((1+INDEX(Beginne,MATCH(AE21,Codes,0))-INDEX(EndeRel,MATCH(AD21,Codes,0)))*1440,0)&lt;660,1,0),0),0))</f>
      </c>
      <c r="AF70" s="1">
        <f>IF(OR(AF$52=0,AE21="",AF21=""),0,IFERROR(IF(AND(INDEX(Arten,MATCH(AE21,Codes,0))="Arbeit",INDEX(Arten,MATCH(AF21,Codes,0))="Arbeit"),IF(ROUND((1+INDEX(Beginne,MATCH(AF21,Codes,0))-INDEX(EndeRel,MATCH(AE21,Codes,0)))*1440,0)&lt;660,1,0),0),0))</f>
      </c>
    </row>
    <row r="71" hidden="1" spans="1:32" x14ac:dyDescent="0.25">
      <c r="A71" s="1"/>
      <c r="B71" s="1">
        <f>IF(OR(B$52=0,INDEX('April'!$B$22:$AF$22,DAY(DATE(Jahr,5,0)))="",B22=""),0,IFERROR(IF(AND(INDEX(Arten,MATCH(INDEX('April'!$B$22:$AF$22,DAY(DATE(Jahr,5,0))),Codes,0))="Arbeit",INDEX(Arten,MATCH(B22,Codes,0))="Arbeit"),IF(ROUND((1+INDEX(Beginne,MATCH(B22,Codes,0))-INDEX(EndeRel,MATCH(INDEX('April'!$B$22:$AF$22,DAY(DATE(Jahr,5,0))),Codes,0)))*1440,0)&lt;660,1,0),0),0))</f>
      </c>
      <c r="C71" s="1">
        <f>IF(OR(C$52=0,B22="",C22=""),0,IFERROR(IF(AND(INDEX(Arten,MATCH(B22,Codes,0))="Arbeit",INDEX(Arten,MATCH(C22,Codes,0))="Arbeit"),IF(ROUND((1+INDEX(Beginne,MATCH(C22,Codes,0))-INDEX(EndeRel,MATCH(B22,Codes,0)))*1440,0)&lt;660,1,0),0),0))</f>
      </c>
      <c r="D71" s="1">
        <f>IF(OR(D$52=0,C22="",D22=""),0,IFERROR(IF(AND(INDEX(Arten,MATCH(C22,Codes,0))="Arbeit",INDEX(Arten,MATCH(D22,Codes,0))="Arbeit"),IF(ROUND((1+INDEX(Beginne,MATCH(D22,Codes,0))-INDEX(EndeRel,MATCH(C22,Codes,0)))*1440,0)&lt;660,1,0),0),0))</f>
      </c>
      <c r="E71" s="1">
        <f>IF(OR(E$52=0,D22="",E22=""),0,IFERROR(IF(AND(INDEX(Arten,MATCH(D22,Codes,0))="Arbeit",INDEX(Arten,MATCH(E22,Codes,0))="Arbeit"),IF(ROUND((1+INDEX(Beginne,MATCH(E22,Codes,0))-INDEX(EndeRel,MATCH(D22,Codes,0)))*1440,0)&lt;660,1,0),0),0))</f>
      </c>
      <c r="F71" s="1">
        <f>IF(OR(F$52=0,E22="",F22=""),0,IFERROR(IF(AND(INDEX(Arten,MATCH(E22,Codes,0))="Arbeit",INDEX(Arten,MATCH(F22,Codes,0))="Arbeit"),IF(ROUND((1+INDEX(Beginne,MATCH(F22,Codes,0))-INDEX(EndeRel,MATCH(E22,Codes,0)))*1440,0)&lt;660,1,0),0),0))</f>
      </c>
      <c r="G71" s="1">
        <f>IF(OR(G$52=0,F22="",G22=""),0,IFERROR(IF(AND(INDEX(Arten,MATCH(F22,Codes,0))="Arbeit",INDEX(Arten,MATCH(G22,Codes,0))="Arbeit"),IF(ROUND((1+INDEX(Beginne,MATCH(G22,Codes,0))-INDEX(EndeRel,MATCH(F22,Codes,0)))*1440,0)&lt;660,1,0),0),0))</f>
      </c>
      <c r="H71" s="1">
        <f>IF(OR(H$52=0,G22="",H22=""),0,IFERROR(IF(AND(INDEX(Arten,MATCH(G22,Codes,0))="Arbeit",INDEX(Arten,MATCH(H22,Codes,0))="Arbeit"),IF(ROUND((1+INDEX(Beginne,MATCH(H22,Codes,0))-INDEX(EndeRel,MATCH(G22,Codes,0)))*1440,0)&lt;660,1,0),0),0))</f>
      </c>
      <c r="I71" s="1">
        <f>IF(OR(I$52=0,H22="",I22=""),0,IFERROR(IF(AND(INDEX(Arten,MATCH(H22,Codes,0))="Arbeit",INDEX(Arten,MATCH(I22,Codes,0))="Arbeit"),IF(ROUND((1+INDEX(Beginne,MATCH(I22,Codes,0))-INDEX(EndeRel,MATCH(H22,Codes,0)))*1440,0)&lt;660,1,0),0),0))</f>
      </c>
      <c r="J71" s="1">
        <f>IF(OR(J$52=0,I22="",J22=""),0,IFERROR(IF(AND(INDEX(Arten,MATCH(I22,Codes,0))="Arbeit",INDEX(Arten,MATCH(J22,Codes,0))="Arbeit"),IF(ROUND((1+INDEX(Beginne,MATCH(J22,Codes,0))-INDEX(EndeRel,MATCH(I22,Codes,0)))*1440,0)&lt;660,1,0),0),0))</f>
      </c>
      <c r="K71" s="1">
        <f>IF(OR(K$52=0,J22="",K22=""),0,IFERROR(IF(AND(INDEX(Arten,MATCH(J22,Codes,0))="Arbeit",INDEX(Arten,MATCH(K22,Codes,0))="Arbeit"),IF(ROUND((1+INDEX(Beginne,MATCH(K22,Codes,0))-INDEX(EndeRel,MATCH(J22,Codes,0)))*1440,0)&lt;660,1,0),0),0))</f>
      </c>
      <c r="L71" s="1">
        <f>IF(OR(L$52=0,K22="",L22=""),0,IFERROR(IF(AND(INDEX(Arten,MATCH(K22,Codes,0))="Arbeit",INDEX(Arten,MATCH(L22,Codes,0))="Arbeit"),IF(ROUND((1+INDEX(Beginne,MATCH(L22,Codes,0))-INDEX(EndeRel,MATCH(K22,Codes,0)))*1440,0)&lt;660,1,0),0),0))</f>
      </c>
      <c r="M71" s="1">
        <f>IF(OR(M$52=0,L22="",M22=""),0,IFERROR(IF(AND(INDEX(Arten,MATCH(L22,Codes,0))="Arbeit",INDEX(Arten,MATCH(M22,Codes,0))="Arbeit"),IF(ROUND((1+INDEX(Beginne,MATCH(M22,Codes,0))-INDEX(EndeRel,MATCH(L22,Codes,0)))*1440,0)&lt;660,1,0),0),0))</f>
      </c>
      <c r="N71" s="1">
        <f>IF(OR(N$52=0,M22="",N22=""),0,IFERROR(IF(AND(INDEX(Arten,MATCH(M22,Codes,0))="Arbeit",INDEX(Arten,MATCH(N22,Codes,0))="Arbeit"),IF(ROUND((1+INDEX(Beginne,MATCH(N22,Codes,0))-INDEX(EndeRel,MATCH(M22,Codes,0)))*1440,0)&lt;660,1,0),0),0))</f>
      </c>
      <c r="O71" s="1">
        <f>IF(OR(O$52=0,N22="",O22=""),0,IFERROR(IF(AND(INDEX(Arten,MATCH(N22,Codes,0))="Arbeit",INDEX(Arten,MATCH(O22,Codes,0))="Arbeit"),IF(ROUND((1+INDEX(Beginne,MATCH(O22,Codes,0))-INDEX(EndeRel,MATCH(N22,Codes,0)))*1440,0)&lt;660,1,0),0),0))</f>
      </c>
      <c r="P71" s="1">
        <f>IF(OR(P$52=0,O22="",P22=""),0,IFERROR(IF(AND(INDEX(Arten,MATCH(O22,Codes,0))="Arbeit",INDEX(Arten,MATCH(P22,Codes,0))="Arbeit"),IF(ROUND((1+INDEX(Beginne,MATCH(P22,Codes,0))-INDEX(EndeRel,MATCH(O22,Codes,0)))*1440,0)&lt;660,1,0),0),0))</f>
      </c>
      <c r="Q71" s="1">
        <f>IF(OR(Q$52=0,P22="",Q22=""),0,IFERROR(IF(AND(INDEX(Arten,MATCH(P22,Codes,0))="Arbeit",INDEX(Arten,MATCH(Q22,Codes,0))="Arbeit"),IF(ROUND((1+INDEX(Beginne,MATCH(Q22,Codes,0))-INDEX(EndeRel,MATCH(P22,Codes,0)))*1440,0)&lt;660,1,0),0),0))</f>
      </c>
      <c r="R71" s="1">
        <f>IF(OR(R$52=0,Q22="",R22=""),0,IFERROR(IF(AND(INDEX(Arten,MATCH(Q22,Codes,0))="Arbeit",INDEX(Arten,MATCH(R22,Codes,0))="Arbeit"),IF(ROUND((1+INDEX(Beginne,MATCH(R22,Codes,0))-INDEX(EndeRel,MATCH(Q22,Codes,0)))*1440,0)&lt;660,1,0),0),0))</f>
      </c>
      <c r="S71" s="1">
        <f>IF(OR(S$52=0,R22="",S22=""),0,IFERROR(IF(AND(INDEX(Arten,MATCH(R22,Codes,0))="Arbeit",INDEX(Arten,MATCH(S22,Codes,0))="Arbeit"),IF(ROUND((1+INDEX(Beginne,MATCH(S22,Codes,0))-INDEX(EndeRel,MATCH(R22,Codes,0)))*1440,0)&lt;660,1,0),0),0))</f>
      </c>
      <c r="T71" s="1">
        <f>IF(OR(T$52=0,S22="",T22=""),0,IFERROR(IF(AND(INDEX(Arten,MATCH(S22,Codes,0))="Arbeit",INDEX(Arten,MATCH(T22,Codes,0))="Arbeit"),IF(ROUND((1+INDEX(Beginne,MATCH(T22,Codes,0))-INDEX(EndeRel,MATCH(S22,Codes,0)))*1440,0)&lt;660,1,0),0),0))</f>
      </c>
      <c r="U71" s="1">
        <f>IF(OR(U$52=0,T22="",U22=""),0,IFERROR(IF(AND(INDEX(Arten,MATCH(T22,Codes,0))="Arbeit",INDEX(Arten,MATCH(U22,Codes,0))="Arbeit"),IF(ROUND((1+INDEX(Beginne,MATCH(U22,Codes,0))-INDEX(EndeRel,MATCH(T22,Codes,0)))*1440,0)&lt;660,1,0),0),0))</f>
      </c>
      <c r="V71" s="1">
        <f>IF(OR(V$52=0,U22="",V22=""),0,IFERROR(IF(AND(INDEX(Arten,MATCH(U22,Codes,0))="Arbeit",INDEX(Arten,MATCH(V22,Codes,0))="Arbeit"),IF(ROUND((1+INDEX(Beginne,MATCH(V22,Codes,0))-INDEX(EndeRel,MATCH(U22,Codes,0)))*1440,0)&lt;660,1,0),0),0))</f>
      </c>
      <c r="W71" s="1">
        <f>IF(OR(W$52=0,V22="",W22=""),0,IFERROR(IF(AND(INDEX(Arten,MATCH(V22,Codes,0))="Arbeit",INDEX(Arten,MATCH(W22,Codes,0))="Arbeit"),IF(ROUND((1+INDEX(Beginne,MATCH(W22,Codes,0))-INDEX(EndeRel,MATCH(V22,Codes,0)))*1440,0)&lt;660,1,0),0),0))</f>
      </c>
      <c r="X71" s="1">
        <f>IF(OR(X$52=0,W22="",X22=""),0,IFERROR(IF(AND(INDEX(Arten,MATCH(W22,Codes,0))="Arbeit",INDEX(Arten,MATCH(X22,Codes,0))="Arbeit"),IF(ROUND((1+INDEX(Beginne,MATCH(X22,Codes,0))-INDEX(EndeRel,MATCH(W22,Codes,0)))*1440,0)&lt;660,1,0),0),0))</f>
      </c>
      <c r="Y71" s="1">
        <f>IF(OR(Y$52=0,X22="",Y22=""),0,IFERROR(IF(AND(INDEX(Arten,MATCH(X22,Codes,0))="Arbeit",INDEX(Arten,MATCH(Y22,Codes,0))="Arbeit"),IF(ROUND((1+INDEX(Beginne,MATCH(Y22,Codes,0))-INDEX(EndeRel,MATCH(X22,Codes,0)))*1440,0)&lt;660,1,0),0),0))</f>
      </c>
      <c r="Z71" s="1">
        <f>IF(OR(Z$52=0,Y22="",Z22=""),0,IFERROR(IF(AND(INDEX(Arten,MATCH(Y22,Codes,0))="Arbeit",INDEX(Arten,MATCH(Z22,Codes,0))="Arbeit"),IF(ROUND((1+INDEX(Beginne,MATCH(Z22,Codes,0))-INDEX(EndeRel,MATCH(Y22,Codes,0)))*1440,0)&lt;660,1,0),0),0))</f>
      </c>
      <c r="AA71" s="1">
        <f>IF(OR(AA$52=0,Z22="",AA22=""),0,IFERROR(IF(AND(INDEX(Arten,MATCH(Z22,Codes,0))="Arbeit",INDEX(Arten,MATCH(AA22,Codes,0))="Arbeit"),IF(ROUND((1+INDEX(Beginne,MATCH(AA22,Codes,0))-INDEX(EndeRel,MATCH(Z22,Codes,0)))*1440,0)&lt;660,1,0),0),0))</f>
      </c>
      <c r="AB71" s="1">
        <f>IF(OR(AB$52=0,AA22="",AB22=""),0,IFERROR(IF(AND(INDEX(Arten,MATCH(AA22,Codes,0))="Arbeit",INDEX(Arten,MATCH(AB22,Codes,0))="Arbeit"),IF(ROUND((1+INDEX(Beginne,MATCH(AB22,Codes,0))-INDEX(EndeRel,MATCH(AA22,Codes,0)))*1440,0)&lt;660,1,0),0),0))</f>
      </c>
      <c r="AC71" s="1">
        <f>IF(OR(AC$52=0,AB22="",AC22=""),0,IFERROR(IF(AND(INDEX(Arten,MATCH(AB22,Codes,0))="Arbeit",INDEX(Arten,MATCH(AC22,Codes,0))="Arbeit"),IF(ROUND((1+INDEX(Beginne,MATCH(AC22,Codes,0))-INDEX(EndeRel,MATCH(AB22,Codes,0)))*1440,0)&lt;660,1,0),0),0))</f>
      </c>
      <c r="AD71" s="1">
        <f>IF(OR(AD$52=0,AC22="",AD22=""),0,IFERROR(IF(AND(INDEX(Arten,MATCH(AC22,Codes,0))="Arbeit",INDEX(Arten,MATCH(AD22,Codes,0))="Arbeit"),IF(ROUND((1+INDEX(Beginne,MATCH(AD22,Codes,0))-INDEX(EndeRel,MATCH(AC22,Codes,0)))*1440,0)&lt;660,1,0),0),0))</f>
      </c>
      <c r="AE71" s="1">
        <f>IF(OR(AE$52=0,AD22="",AE22=""),0,IFERROR(IF(AND(INDEX(Arten,MATCH(AD22,Codes,0))="Arbeit",INDEX(Arten,MATCH(AE22,Codes,0))="Arbeit"),IF(ROUND((1+INDEX(Beginne,MATCH(AE22,Codes,0))-INDEX(EndeRel,MATCH(AD22,Codes,0)))*1440,0)&lt;660,1,0),0),0))</f>
      </c>
      <c r="AF71" s="1">
        <f>IF(OR(AF$52=0,AE22="",AF22=""),0,IFERROR(IF(AND(INDEX(Arten,MATCH(AE22,Codes,0))="Arbeit",INDEX(Arten,MATCH(AF22,Codes,0))="Arbeit"),IF(ROUND((1+INDEX(Beginne,MATCH(AF22,Codes,0))-INDEX(EndeRel,MATCH(AE22,Codes,0)))*1440,0)&lt;660,1,0),0),0))</f>
      </c>
    </row>
    <row r="72" hidden="1" spans="1:32" x14ac:dyDescent="0.25">
      <c r="A72" s="1"/>
      <c r="B72" s="1">
        <f>IF(OR(B$52=0,INDEX('April'!$B$23:$AF$23,DAY(DATE(Jahr,5,0)))="",B23=""),0,IFERROR(IF(AND(INDEX(Arten,MATCH(INDEX('April'!$B$23:$AF$23,DAY(DATE(Jahr,5,0))),Codes,0))="Arbeit",INDEX(Arten,MATCH(B23,Codes,0))="Arbeit"),IF(ROUND((1+INDEX(Beginne,MATCH(B23,Codes,0))-INDEX(EndeRel,MATCH(INDEX('April'!$B$23:$AF$23,DAY(DATE(Jahr,5,0))),Codes,0)))*1440,0)&lt;660,1,0),0),0))</f>
      </c>
      <c r="C72" s="1">
        <f>IF(OR(C$52=0,B23="",C23=""),0,IFERROR(IF(AND(INDEX(Arten,MATCH(B23,Codes,0))="Arbeit",INDEX(Arten,MATCH(C23,Codes,0))="Arbeit"),IF(ROUND((1+INDEX(Beginne,MATCH(C23,Codes,0))-INDEX(EndeRel,MATCH(B23,Codes,0)))*1440,0)&lt;660,1,0),0),0))</f>
      </c>
      <c r="D72" s="1">
        <f>IF(OR(D$52=0,C23="",D23=""),0,IFERROR(IF(AND(INDEX(Arten,MATCH(C23,Codes,0))="Arbeit",INDEX(Arten,MATCH(D23,Codes,0))="Arbeit"),IF(ROUND((1+INDEX(Beginne,MATCH(D23,Codes,0))-INDEX(EndeRel,MATCH(C23,Codes,0)))*1440,0)&lt;660,1,0),0),0))</f>
      </c>
      <c r="E72" s="1">
        <f>IF(OR(E$52=0,D23="",E23=""),0,IFERROR(IF(AND(INDEX(Arten,MATCH(D23,Codes,0))="Arbeit",INDEX(Arten,MATCH(E23,Codes,0))="Arbeit"),IF(ROUND((1+INDEX(Beginne,MATCH(E23,Codes,0))-INDEX(EndeRel,MATCH(D23,Codes,0)))*1440,0)&lt;660,1,0),0),0))</f>
      </c>
      <c r="F72" s="1">
        <f>IF(OR(F$52=0,E23="",F23=""),0,IFERROR(IF(AND(INDEX(Arten,MATCH(E23,Codes,0))="Arbeit",INDEX(Arten,MATCH(F23,Codes,0))="Arbeit"),IF(ROUND((1+INDEX(Beginne,MATCH(F23,Codes,0))-INDEX(EndeRel,MATCH(E23,Codes,0)))*1440,0)&lt;660,1,0),0),0))</f>
      </c>
      <c r="G72" s="1">
        <f>IF(OR(G$52=0,F23="",G23=""),0,IFERROR(IF(AND(INDEX(Arten,MATCH(F23,Codes,0))="Arbeit",INDEX(Arten,MATCH(G23,Codes,0))="Arbeit"),IF(ROUND((1+INDEX(Beginne,MATCH(G23,Codes,0))-INDEX(EndeRel,MATCH(F23,Codes,0)))*1440,0)&lt;660,1,0),0),0))</f>
      </c>
      <c r="H72" s="1">
        <f>IF(OR(H$52=0,G23="",H23=""),0,IFERROR(IF(AND(INDEX(Arten,MATCH(G23,Codes,0))="Arbeit",INDEX(Arten,MATCH(H23,Codes,0))="Arbeit"),IF(ROUND((1+INDEX(Beginne,MATCH(H23,Codes,0))-INDEX(EndeRel,MATCH(G23,Codes,0)))*1440,0)&lt;660,1,0),0),0))</f>
      </c>
      <c r="I72" s="1">
        <f>IF(OR(I$52=0,H23="",I23=""),0,IFERROR(IF(AND(INDEX(Arten,MATCH(H23,Codes,0))="Arbeit",INDEX(Arten,MATCH(I23,Codes,0))="Arbeit"),IF(ROUND((1+INDEX(Beginne,MATCH(I23,Codes,0))-INDEX(EndeRel,MATCH(H23,Codes,0)))*1440,0)&lt;660,1,0),0),0))</f>
      </c>
      <c r="J72" s="1">
        <f>IF(OR(J$52=0,I23="",J23=""),0,IFERROR(IF(AND(INDEX(Arten,MATCH(I23,Codes,0))="Arbeit",INDEX(Arten,MATCH(J23,Codes,0))="Arbeit"),IF(ROUND((1+INDEX(Beginne,MATCH(J23,Codes,0))-INDEX(EndeRel,MATCH(I23,Codes,0)))*1440,0)&lt;660,1,0),0),0))</f>
      </c>
      <c r="K72" s="1">
        <f>IF(OR(K$52=0,J23="",K23=""),0,IFERROR(IF(AND(INDEX(Arten,MATCH(J23,Codes,0))="Arbeit",INDEX(Arten,MATCH(K23,Codes,0))="Arbeit"),IF(ROUND((1+INDEX(Beginne,MATCH(K23,Codes,0))-INDEX(EndeRel,MATCH(J23,Codes,0)))*1440,0)&lt;660,1,0),0),0))</f>
      </c>
      <c r="L72" s="1">
        <f>IF(OR(L$52=0,K23="",L23=""),0,IFERROR(IF(AND(INDEX(Arten,MATCH(K23,Codes,0))="Arbeit",INDEX(Arten,MATCH(L23,Codes,0))="Arbeit"),IF(ROUND((1+INDEX(Beginne,MATCH(L23,Codes,0))-INDEX(EndeRel,MATCH(K23,Codes,0)))*1440,0)&lt;660,1,0),0),0))</f>
      </c>
      <c r="M72" s="1">
        <f>IF(OR(M$52=0,L23="",M23=""),0,IFERROR(IF(AND(INDEX(Arten,MATCH(L23,Codes,0))="Arbeit",INDEX(Arten,MATCH(M23,Codes,0))="Arbeit"),IF(ROUND((1+INDEX(Beginne,MATCH(M23,Codes,0))-INDEX(EndeRel,MATCH(L23,Codes,0)))*1440,0)&lt;660,1,0),0),0))</f>
      </c>
      <c r="N72" s="1">
        <f>IF(OR(N$52=0,M23="",N23=""),0,IFERROR(IF(AND(INDEX(Arten,MATCH(M23,Codes,0))="Arbeit",INDEX(Arten,MATCH(N23,Codes,0))="Arbeit"),IF(ROUND((1+INDEX(Beginne,MATCH(N23,Codes,0))-INDEX(EndeRel,MATCH(M23,Codes,0)))*1440,0)&lt;660,1,0),0),0))</f>
      </c>
      <c r="O72" s="1">
        <f>IF(OR(O$52=0,N23="",O23=""),0,IFERROR(IF(AND(INDEX(Arten,MATCH(N23,Codes,0))="Arbeit",INDEX(Arten,MATCH(O23,Codes,0))="Arbeit"),IF(ROUND((1+INDEX(Beginne,MATCH(O23,Codes,0))-INDEX(EndeRel,MATCH(N23,Codes,0)))*1440,0)&lt;660,1,0),0),0))</f>
      </c>
      <c r="P72" s="1">
        <f>IF(OR(P$52=0,O23="",P23=""),0,IFERROR(IF(AND(INDEX(Arten,MATCH(O23,Codes,0))="Arbeit",INDEX(Arten,MATCH(P23,Codes,0))="Arbeit"),IF(ROUND((1+INDEX(Beginne,MATCH(P23,Codes,0))-INDEX(EndeRel,MATCH(O23,Codes,0)))*1440,0)&lt;660,1,0),0),0))</f>
      </c>
      <c r="Q72" s="1">
        <f>IF(OR(Q$52=0,P23="",Q23=""),0,IFERROR(IF(AND(INDEX(Arten,MATCH(P23,Codes,0))="Arbeit",INDEX(Arten,MATCH(Q23,Codes,0))="Arbeit"),IF(ROUND((1+INDEX(Beginne,MATCH(Q23,Codes,0))-INDEX(EndeRel,MATCH(P23,Codes,0)))*1440,0)&lt;660,1,0),0),0))</f>
      </c>
      <c r="R72" s="1">
        <f>IF(OR(R$52=0,Q23="",R23=""),0,IFERROR(IF(AND(INDEX(Arten,MATCH(Q23,Codes,0))="Arbeit",INDEX(Arten,MATCH(R23,Codes,0))="Arbeit"),IF(ROUND((1+INDEX(Beginne,MATCH(R23,Codes,0))-INDEX(EndeRel,MATCH(Q23,Codes,0)))*1440,0)&lt;660,1,0),0),0))</f>
      </c>
      <c r="S72" s="1">
        <f>IF(OR(S$52=0,R23="",S23=""),0,IFERROR(IF(AND(INDEX(Arten,MATCH(R23,Codes,0))="Arbeit",INDEX(Arten,MATCH(S23,Codes,0))="Arbeit"),IF(ROUND((1+INDEX(Beginne,MATCH(S23,Codes,0))-INDEX(EndeRel,MATCH(R23,Codes,0)))*1440,0)&lt;660,1,0),0),0))</f>
      </c>
      <c r="T72" s="1">
        <f>IF(OR(T$52=0,S23="",T23=""),0,IFERROR(IF(AND(INDEX(Arten,MATCH(S23,Codes,0))="Arbeit",INDEX(Arten,MATCH(T23,Codes,0))="Arbeit"),IF(ROUND((1+INDEX(Beginne,MATCH(T23,Codes,0))-INDEX(EndeRel,MATCH(S23,Codes,0)))*1440,0)&lt;660,1,0),0),0))</f>
      </c>
      <c r="U72" s="1">
        <f>IF(OR(U$52=0,T23="",U23=""),0,IFERROR(IF(AND(INDEX(Arten,MATCH(T23,Codes,0))="Arbeit",INDEX(Arten,MATCH(U23,Codes,0))="Arbeit"),IF(ROUND((1+INDEX(Beginne,MATCH(U23,Codes,0))-INDEX(EndeRel,MATCH(T23,Codes,0)))*1440,0)&lt;660,1,0),0),0))</f>
      </c>
      <c r="V72" s="1">
        <f>IF(OR(V$52=0,U23="",V23=""),0,IFERROR(IF(AND(INDEX(Arten,MATCH(U23,Codes,0))="Arbeit",INDEX(Arten,MATCH(V23,Codes,0))="Arbeit"),IF(ROUND((1+INDEX(Beginne,MATCH(V23,Codes,0))-INDEX(EndeRel,MATCH(U23,Codes,0)))*1440,0)&lt;660,1,0),0),0))</f>
      </c>
      <c r="W72" s="1">
        <f>IF(OR(W$52=0,V23="",W23=""),0,IFERROR(IF(AND(INDEX(Arten,MATCH(V23,Codes,0))="Arbeit",INDEX(Arten,MATCH(W23,Codes,0))="Arbeit"),IF(ROUND((1+INDEX(Beginne,MATCH(W23,Codes,0))-INDEX(EndeRel,MATCH(V23,Codes,0)))*1440,0)&lt;660,1,0),0),0))</f>
      </c>
      <c r="X72" s="1">
        <f>IF(OR(X$52=0,W23="",X23=""),0,IFERROR(IF(AND(INDEX(Arten,MATCH(W23,Codes,0))="Arbeit",INDEX(Arten,MATCH(X23,Codes,0))="Arbeit"),IF(ROUND((1+INDEX(Beginne,MATCH(X23,Codes,0))-INDEX(EndeRel,MATCH(W23,Codes,0)))*1440,0)&lt;660,1,0),0),0))</f>
      </c>
      <c r="Y72" s="1">
        <f>IF(OR(Y$52=0,X23="",Y23=""),0,IFERROR(IF(AND(INDEX(Arten,MATCH(X23,Codes,0))="Arbeit",INDEX(Arten,MATCH(Y23,Codes,0))="Arbeit"),IF(ROUND((1+INDEX(Beginne,MATCH(Y23,Codes,0))-INDEX(EndeRel,MATCH(X23,Codes,0)))*1440,0)&lt;660,1,0),0),0))</f>
      </c>
      <c r="Z72" s="1">
        <f>IF(OR(Z$52=0,Y23="",Z23=""),0,IFERROR(IF(AND(INDEX(Arten,MATCH(Y23,Codes,0))="Arbeit",INDEX(Arten,MATCH(Z23,Codes,0))="Arbeit"),IF(ROUND((1+INDEX(Beginne,MATCH(Z23,Codes,0))-INDEX(EndeRel,MATCH(Y23,Codes,0)))*1440,0)&lt;660,1,0),0),0))</f>
      </c>
      <c r="AA72" s="1">
        <f>IF(OR(AA$52=0,Z23="",AA23=""),0,IFERROR(IF(AND(INDEX(Arten,MATCH(Z23,Codes,0))="Arbeit",INDEX(Arten,MATCH(AA23,Codes,0))="Arbeit"),IF(ROUND((1+INDEX(Beginne,MATCH(AA23,Codes,0))-INDEX(EndeRel,MATCH(Z23,Codes,0)))*1440,0)&lt;660,1,0),0),0))</f>
      </c>
      <c r="AB72" s="1">
        <f>IF(OR(AB$52=0,AA23="",AB23=""),0,IFERROR(IF(AND(INDEX(Arten,MATCH(AA23,Codes,0))="Arbeit",INDEX(Arten,MATCH(AB23,Codes,0))="Arbeit"),IF(ROUND((1+INDEX(Beginne,MATCH(AB23,Codes,0))-INDEX(EndeRel,MATCH(AA23,Codes,0)))*1440,0)&lt;660,1,0),0),0))</f>
      </c>
      <c r="AC72" s="1">
        <f>IF(OR(AC$52=0,AB23="",AC23=""),0,IFERROR(IF(AND(INDEX(Arten,MATCH(AB23,Codes,0))="Arbeit",INDEX(Arten,MATCH(AC23,Codes,0))="Arbeit"),IF(ROUND((1+INDEX(Beginne,MATCH(AC23,Codes,0))-INDEX(EndeRel,MATCH(AB23,Codes,0)))*1440,0)&lt;660,1,0),0),0))</f>
      </c>
      <c r="AD72" s="1">
        <f>IF(OR(AD$52=0,AC23="",AD23=""),0,IFERROR(IF(AND(INDEX(Arten,MATCH(AC23,Codes,0))="Arbeit",INDEX(Arten,MATCH(AD23,Codes,0))="Arbeit"),IF(ROUND((1+INDEX(Beginne,MATCH(AD23,Codes,0))-INDEX(EndeRel,MATCH(AC23,Codes,0)))*1440,0)&lt;660,1,0),0),0))</f>
      </c>
      <c r="AE72" s="1">
        <f>IF(OR(AE$52=0,AD23="",AE23=""),0,IFERROR(IF(AND(INDEX(Arten,MATCH(AD23,Codes,0))="Arbeit",INDEX(Arten,MATCH(AE23,Codes,0))="Arbeit"),IF(ROUND((1+INDEX(Beginne,MATCH(AE23,Codes,0))-INDEX(EndeRel,MATCH(AD23,Codes,0)))*1440,0)&lt;660,1,0),0),0))</f>
      </c>
      <c r="AF72" s="1">
        <f>IF(OR(AF$52=0,AE23="",AF23=""),0,IFERROR(IF(AND(INDEX(Arten,MATCH(AE23,Codes,0))="Arbeit",INDEX(Arten,MATCH(AF23,Codes,0))="Arbeit"),IF(ROUND((1+INDEX(Beginne,MATCH(AF23,Codes,0))-INDEX(EndeRel,MATCH(AE23,Codes,0)))*1440,0)&lt;660,1,0),0),0))</f>
      </c>
    </row>
    <row r="73" hidden="1" spans="1:32" x14ac:dyDescent="0.25">
      <c r="A73" s="1"/>
      <c r="B73" s="1">
        <f>IF(OR(B$52=0,INDEX('April'!$B$24:$AF$24,DAY(DATE(Jahr,5,0)))="",B24=""),0,IFERROR(IF(AND(INDEX(Arten,MATCH(INDEX('April'!$B$24:$AF$24,DAY(DATE(Jahr,5,0))),Codes,0))="Arbeit",INDEX(Arten,MATCH(B24,Codes,0))="Arbeit"),IF(ROUND((1+INDEX(Beginne,MATCH(B24,Codes,0))-INDEX(EndeRel,MATCH(INDEX('April'!$B$24:$AF$24,DAY(DATE(Jahr,5,0))),Codes,0)))*1440,0)&lt;660,1,0),0),0))</f>
      </c>
      <c r="C73" s="1">
        <f>IF(OR(C$52=0,B24="",C24=""),0,IFERROR(IF(AND(INDEX(Arten,MATCH(B24,Codes,0))="Arbeit",INDEX(Arten,MATCH(C24,Codes,0))="Arbeit"),IF(ROUND((1+INDEX(Beginne,MATCH(C24,Codes,0))-INDEX(EndeRel,MATCH(B24,Codes,0)))*1440,0)&lt;660,1,0),0),0))</f>
      </c>
      <c r="D73" s="1">
        <f>IF(OR(D$52=0,C24="",D24=""),0,IFERROR(IF(AND(INDEX(Arten,MATCH(C24,Codes,0))="Arbeit",INDEX(Arten,MATCH(D24,Codes,0))="Arbeit"),IF(ROUND((1+INDEX(Beginne,MATCH(D24,Codes,0))-INDEX(EndeRel,MATCH(C24,Codes,0)))*1440,0)&lt;660,1,0),0),0))</f>
      </c>
      <c r="E73" s="1">
        <f>IF(OR(E$52=0,D24="",E24=""),0,IFERROR(IF(AND(INDEX(Arten,MATCH(D24,Codes,0))="Arbeit",INDEX(Arten,MATCH(E24,Codes,0))="Arbeit"),IF(ROUND((1+INDEX(Beginne,MATCH(E24,Codes,0))-INDEX(EndeRel,MATCH(D24,Codes,0)))*1440,0)&lt;660,1,0),0),0))</f>
      </c>
      <c r="F73" s="1">
        <f>IF(OR(F$52=0,E24="",F24=""),0,IFERROR(IF(AND(INDEX(Arten,MATCH(E24,Codes,0))="Arbeit",INDEX(Arten,MATCH(F24,Codes,0))="Arbeit"),IF(ROUND((1+INDEX(Beginne,MATCH(F24,Codes,0))-INDEX(EndeRel,MATCH(E24,Codes,0)))*1440,0)&lt;660,1,0),0),0))</f>
      </c>
      <c r="G73" s="1">
        <f>IF(OR(G$52=0,F24="",G24=""),0,IFERROR(IF(AND(INDEX(Arten,MATCH(F24,Codes,0))="Arbeit",INDEX(Arten,MATCH(G24,Codes,0))="Arbeit"),IF(ROUND((1+INDEX(Beginne,MATCH(G24,Codes,0))-INDEX(EndeRel,MATCH(F24,Codes,0)))*1440,0)&lt;660,1,0),0),0))</f>
      </c>
      <c r="H73" s="1">
        <f>IF(OR(H$52=0,G24="",H24=""),0,IFERROR(IF(AND(INDEX(Arten,MATCH(G24,Codes,0))="Arbeit",INDEX(Arten,MATCH(H24,Codes,0))="Arbeit"),IF(ROUND((1+INDEX(Beginne,MATCH(H24,Codes,0))-INDEX(EndeRel,MATCH(G24,Codes,0)))*1440,0)&lt;660,1,0),0),0))</f>
      </c>
      <c r="I73" s="1">
        <f>IF(OR(I$52=0,H24="",I24=""),0,IFERROR(IF(AND(INDEX(Arten,MATCH(H24,Codes,0))="Arbeit",INDEX(Arten,MATCH(I24,Codes,0))="Arbeit"),IF(ROUND((1+INDEX(Beginne,MATCH(I24,Codes,0))-INDEX(EndeRel,MATCH(H24,Codes,0)))*1440,0)&lt;660,1,0),0),0))</f>
      </c>
      <c r="J73" s="1">
        <f>IF(OR(J$52=0,I24="",J24=""),0,IFERROR(IF(AND(INDEX(Arten,MATCH(I24,Codes,0))="Arbeit",INDEX(Arten,MATCH(J24,Codes,0))="Arbeit"),IF(ROUND((1+INDEX(Beginne,MATCH(J24,Codes,0))-INDEX(EndeRel,MATCH(I24,Codes,0)))*1440,0)&lt;660,1,0),0),0))</f>
      </c>
      <c r="K73" s="1">
        <f>IF(OR(K$52=0,J24="",K24=""),0,IFERROR(IF(AND(INDEX(Arten,MATCH(J24,Codes,0))="Arbeit",INDEX(Arten,MATCH(K24,Codes,0))="Arbeit"),IF(ROUND((1+INDEX(Beginne,MATCH(K24,Codes,0))-INDEX(EndeRel,MATCH(J24,Codes,0)))*1440,0)&lt;660,1,0),0),0))</f>
      </c>
      <c r="L73" s="1">
        <f>IF(OR(L$52=0,K24="",L24=""),0,IFERROR(IF(AND(INDEX(Arten,MATCH(K24,Codes,0))="Arbeit",INDEX(Arten,MATCH(L24,Codes,0))="Arbeit"),IF(ROUND((1+INDEX(Beginne,MATCH(L24,Codes,0))-INDEX(EndeRel,MATCH(K24,Codes,0)))*1440,0)&lt;660,1,0),0),0))</f>
      </c>
      <c r="M73" s="1">
        <f>IF(OR(M$52=0,L24="",M24=""),0,IFERROR(IF(AND(INDEX(Arten,MATCH(L24,Codes,0))="Arbeit",INDEX(Arten,MATCH(M24,Codes,0))="Arbeit"),IF(ROUND((1+INDEX(Beginne,MATCH(M24,Codes,0))-INDEX(EndeRel,MATCH(L24,Codes,0)))*1440,0)&lt;660,1,0),0),0))</f>
      </c>
      <c r="N73" s="1">
        <f>IF(OR(N$52=0,M24="",N24=""),0,IFERROR(IF(AND(INDEX(Arten,MATCH(M24,Codes,0))="Arbeit",INDEX(Arten,MATCH(N24,Codes,0))="Arbeit"),IF(ROUND((1+INDEX(Beginne,MATCH(N24,Codes,0))-INDEX(EndeRel,MATCH(M24,Codes,0)))*1440,0)&lt;660,1,0),0),0))</f>
      </c>
      <c r="O73" s="1">
        <f>IF(OR(O$52=0,N24="",O24=""),0,IFERROR(IF(AND(INDEX(Arten,MATCH(N24,Codes,0))="Arbeit",INDEX(Arten,MATCH(O24,Codes,0))="Arbeit"),IF(ROUND((1+INDEX(Beginne,MATCH(O24,Codes,0))-INDEX(EndeRel,MATCH(N24,Codes,0)))*1440,0)&lt;660,1,0),0),0))</f>
      </c>
      <c r="P73" s="1">
        <f>IF(OR(P$52=0,O24="",P24=""),0,IFERROR(IF(AND(INDEX(Arten,MATCH(O24,Codes,0))="Arbeit",INDEX(Arten,MATCH(P24,Codes,0))="Arbeit"),IF(ROUND((1+INDEX(Beginne,MATCH(P24,Codes,0))-INDEX(EndeRel,MATCH(O24,Codes,0)))*1440,0)&lt;660,1,0),0),0))</f>
      </c>
      <c r="Q73" s="1">
        <f>IF(OR(Q$52=0,P24="",Q24=""),0,IFERROR(IF(AND(INDEX(Arten,MATCH(P24,Codes,0))="Arbeit",INDEX(Arten,MATCH(Q24,Codes,0))="Arbeit"),IF(ROUND((1+INDEX(Beginne,MATCH(Q24,Codes,0))-INDEX(EndeRel,MATCH(P24,Codes,0)))*1440,0)&lt;660,1,0),0),0))</f>
      </c>
      <c r="R73" s="1">
        <f>IF(OR(R$52=0,Q24="",R24=""),0,IFERROR(IF(AND(INDEX(Arten,MATCH(Q24,Codes,0))="Arbeit",INDEX(Arten,MATCH(R24,Codes,0))="Arbeit"),IF(ROUND((1+INDEX(Beginne,MATCH(R24,Codes,0))-INDEX(EndeRel,MATCH(Q24,Codes,0)))*1440,0)&lt;660,1,0),0),0))</f>
      </c>
      <c r="S73" s="1">
        <f>IF(OR(S$52=0,R24="",S24=""),0,IFERROR(IF(AND(INDEX(Arten,MATCH(R24,Codes,0))="Arbeit",INDEX(Arten,MATCH(S24,Codes,0))="Arbeit"),IF(ROUND((1+INDEX(Beginne,MATCH(S24,Codes,0))-INDEX(EndeRel,MATCH(R24,Codes,0)))*1440,0)&lt;660,1,0),0),0))</f>
      </c>
      <c r="T73" s="1">
        <f>IF(OR(T$52=0,S24="",T24=""),0,IFERROR(IF(AND(INDEX(Arten,MATCH(S24,Codes,0))="Arbeit",INDEX(Arten,MATCH(T24,Codes,0))="Arbeit"),IF(ROUND((1+INDEX(Beginne,MATCH(T24,Codes,0))-INDEX(EndeRel,MATCH(S24,Codes,0)))*1440,0)&lt;660,1,0),0),0))</f>
      </c>
      <c r="U73" s="1">
        <f>IF(OR(U$52=0,T24="",U24=""),0,IFERROR(IF(AND(INDEX(Arten,MATCH(T24,Codes,0))="Arbeit",INDEX(Arten,MATCH(U24,Codes,0))="Arbeit"),IF(ROUND((1+INDEX(Beginne,MATCH(U24,Codes,0))-INDEX(EndeRel,MATCH(T24,Codes,0)))*1440,0)&lt;660,1,0),0),0))</f>
      </c>
      <c r="V73" s="1">
        <f>IF(OR(V$52=0,U24="",V24=""),0,IFERROR(IF(AND(INDEX(Arten,MATCH(U24,Codes,0))="Arbeit",INDEX(Arten,MATCH(V24,Codes,0))="Arbeit"),IF(ROUND((1+INDEX(Beginne,MATCH(V24,Codes,0))-INDEX(EndeRel,MATCH(U24,Codes,0)))*1440,0)&lt;660,1,0),0),0))</f>
      </c>
      <c r="W73" s="1">
        <f>IF(OR(W$52=0,V24="",W24=""),0,IFERROR(IF(AND(INDEX(Arten,MATCH(V24,Codes,0))="Arbeit",INDEX(Arten,MATCH(W24,Codes,0))="Arbeit"),IF(ROUND((1+INDEX(Beginne,MATCH(W24,Codes,0))-INDEX(EndeRel,MATCH(V24,Codes,0)))*1440,0)&lt;660,1,0),0),0))</f>
      </c>
      <c r="X73" s="1">
        <f>IF(OR(X$52=0,W24="",X24=""),0,IFERROR(IF(AND(INDEX(Arten,MATCH(W24,Codes,0))="Arbeit",INDEX(Arten,MATCH(X24,Codes,0))="Arbeit"),IF(ROUND((1+INDEX(Beginne,MATCH(X24,Codes,0))-INDEX(EndeRel,MATCH(W24,Codes,0)))*1440,0)&lt;660,1,0),0),0))</f>
      </c>
      <c r="Y73" s="1">
        <f>IF(OR(Y$52=0,X24="",Y24=""),0,IFERROR(IF(AND(INDEX(Arten,MATCH(X24,Codes,0))="Arbeit",INDEX(Arten,MATCH(Y24,Codes,0))="Arbeit"),IF(ROUND((1+INDEX(Beginne,MATCH(Y24,Codes,0))-INDEX(EndeRel,MATCH(X24,Codes,0)))*1440,0)&lt;660,1,0),0),0))</f>
      </c>
      <c r="Z73" s="1">
        <f>IF(OR(Z$52=0,Y24="",Z24=""),0,IFERROR(IF(AND(INDEX(Arten,MATCH(Y24,Codes,0))="Arbeit",INDEX(Arten,MATCH(Z24,Codes,0))="Arbeit"),IF(ROUND((1+INDEX(Beginne,MATCH(Z24,Codes,0))-INDEX(EndeRel,MATCH(Y24,Codes,0)))*1440,0)&lt;660,1,0),0),0))</f>
      </c>
      <c r="AA73" s="1">
        <f>IF(OR(AA$52=0,Z24="",AA24=""),0,IFERROR(IF(AND(INDEX(Arten,MATCH(Z24,Codes,0))="Arbeit",INDEX(Arten,MATCH(AA24,Codes,0))="Arbeit"),IF(ROUND((1+INDEX(Beginne,MATCH(AA24,Codes,0))-INDEX(EndeRel,MATCH(Z24,Codes,0)))*1440,0)&lt;660,1,0),0),0))</f>
      </c>
      <c r="AB73" s="1">
        <f>IF(OR(AB$52=0,AA24="",AB24=""),0,IFERROR(IF(AND(INDEX(Arten,MATCH(AA24,Codes,0))="Arbeit",INDEX(Arten,MATCH(AB24,Codes,0))="Arbeit"),IF(ROUND((1+INDEX(Beginne,MATCH(AB24,Codes,0))-INDEX(EndeRel,MATCH(AA24,Codes,0)))*1440,0)&lt;660,1,0),0),0))</f>
      </c>
      <c r="AC73" s="1">
        <f>IF(OR(AC$52=0,AB24="",AC24=""),0,IFERROR(IF(AND(INDEX(Arten,MATCH(AB24,Codes,0))="Arbeit",INDEX(Arten,MATCH(AC24,Codes,0))="Arbeit"),IF(ROUND((1+INDEX(Beginne,MATCH(AC24,Codes,0))-INDEX(EndeRel,MATCH(AB24,Codes,0)))*1440,0)&lt;660,1,0),0),0))</f>
      </c>
      <c r="AD73" s="1">
        <f>IF(OR(AD$52=0,AC24="",AD24=""),0,IFERROR(IF(AND(INDEX(Arten,MATCH(AC24,Codes,0))="Arbeit",INDEX(Arten,MATCH(AD24,Codes,0))="Arbeit"),IF(ROUND((1+INDEX(Beginne,MATCH(AD24,Codes,0))-INDEX(EndeRel,MATCH(AC24,Codes,0)))*1440,0)&lt;660,1,0),0),0))</f>
      </c>
      <c r="AE73" s="1">
        <f>IF(OR(AE$52=0,AD24="",AE24=""),0,IFERROR(IF(AND(INDEX(Arten,MATCH(AD24,Codes,0))="Arbeit",INDEX(Arten,MATCH(AE24,Codes,0))="Arbeit"),IF(ROUND((1+INDEX(Beginne,MATCH(AE24,Codes,0))-INDEX(EndeRel,MATCH(AD24,Codes,0)))*1440,0)&lt;660,1,0),0),0))</f>
      </c>
      <c r="AF73" s="1">
        <f>IF(OR(AF$52=0,AE24="",AF24=""),0,IFERROR(IF(AND(INDEX(Arten,MATCH(AE24,Codes,0))="Arbeit",INDEX(Arten,MATCH(AF24,Codes,0))="Arbeit"),IF(ROUND((1+INDEX(Beginne,MATCH(AF24,Codes,0))-INDEX(EndeRel,MATCH(AE24,Codes,0)))*1440,0)&lt;660,1,0),0),0))</f>
      </c>
    </row>
    <row r="74" hidden="1" spans="1:32" x14ac:dyDescent="0.25">
      <c r="A74" s="1"/>
      <c r="B74" s="1">
        <f>IF(OR(B$52=0,INDEX('April'!$B$25:$AF$25,DAY(DATE(Jahr,5,0)))="",B25=""),0,IFERROR(IF(AND(INDEX(Arten,MATCH(INDEX('April'!$B$25:$AF$25,DAY(DATE(Jahr,5,0))),Codes,0))="Arbeit",INDEX(Arten,MATCH(B25,Codes,0))="Arbeit"),IF(ROUND((1+INDEX(Beginne,MATCH(B25,Codes,0))-INDEX(EndeRel,MATCH(INDEX('April'!$B$25:$AF$25,DAY(DATE(Jahr,5,0))),Codes,0)))*1440,0)&lt;660,1,0),0),0))</f>
      </c>
      <c r="C74" s="1">
        <f>IF(OR(C$52=0,B25="",C25=""),0,IFERROR(IF(AND(INDEX(Arten,MATCH(B25,Codes,0))="Arbeit",INDEX(Arten,MATCH(C25,Codes,0))="Arbeit"),IF(ROUND((1+INDEX(Beginne,MATCH(C25,Codes,0))-INDEX(EndeRel,MATCH(B25,Codes,0)))*1440,0)&lt;660,1,0),0),0))</f>
      </c>
      <c r="D74" s="1">
        <f>IF(OR(D$52=0,C25="",D25=""),0,IFERROR(IF(AND(INDEX(Arten,MATCH(C25,Codes,0))="Arbeit",INDEX(Arten,MATCH(D25,Codes,0))="Arbeit"),IF(ROUND((1+INDEX(Beginne,MATCH(D25,Codes,0))-INDEX(EndeRel,MATCH(C25,Codes,0)))*1440,0)&lt;660,1,0),0),0))</f>
      </c>
      <c r="E74" s="1">
        <f>IF(OR(E$52=0,D25="",E25=""),0,IFERROR(IF(AND(INDEX(Arten,MATCH(D25,Codes,0))="Arbeit",INDEX(Arten,MATCH(E25,Codes,0))="Arbeit"),IF(ROUND((1+INDEX(Beginne,MATCH(E25,Codes,0))-INDEX(EndeRel,MATCH(D25,Codes,0)))*1440,0)&lt;660,1,0),0),0))</f>
      </c>
      <c r="F74" s="1">
        <f>IF(OR(F$52=0,E25="",F25=""),0,IFERROR(IF(AND(INDEX(Arten,MATCH(E25,Codes,0))="Arbeit",INDEX(Arten,MATCH(F25,Codes,0))="Arbeit"),IF(ROUND((1+INDEX(Beginne,MATCH(F25,Codes,0))-INDEX(EndeRel,MATCH(E25,Codes,0)))*1440,0)&lt;660,1,0),0),0))</f>
      </c>
      <c r="G74" s="1">
        <f>IF(OR(G$52=0,F25="",G25=""),0,IFERROR(IF(AND(INDEX(Arten,MATCH(F25,Codes,0))="Arbeit",INDEX(Arten,MATCH(G25,Codes,0))="Arbeit"),IF(ROUND((1+INDEX(Beginne,MATCH(G25,Codes,0))-INDEX(EndeRel,MATCH(F25,Codes,0)))*1440,0)&lt;660,1,0),0),0))</f>
      </c>
      <c r="H74" s="1">
        <f>IF(OR(H$52=0,G25="",H25=""),0,IFERROR(IF(AND(INDEX(Arten,MATCH(G25,Codes,0))="Arbeit",INDEX(Arten,MATCH(H25,Codes,0))="Arbeit"),IF(ROUND((1+INDEX(Beginne,MATCH(H25,Codes,0))-INDEX(EndeRel,MATCH(G25,Codes,0)))*1440,0)&lt;660,1,0),0),0))</f>
      </c>
      <c r="I74" s="1">
        <f>IF(OR(I$52=0,H25="",I25=""),0,IFERROR(IF(AND(INDEX(Arten,MATCH(H25,Codes,0))="Arbeit",INDEX(Arten,MATCH(I25,Codes,0))="Arbeit"),IF(ROUND((1+INDEX(Beginne,MATCH(I25,Codes,0))-INDEX(EndeRel,MATCH(H25,Codes,0)))*1440,0)&lt;660,1,0),0),0))</f>
      </c>
      <c r="J74" s="1">
        <f>IF(OR(J$52=0,I25="",J25=""),0,IFERROR(IF(AND(INDEX(Arten,MATCH(I25,Codes,0))="Arbeit",INDEX(Arten,MATCH(J25,Codes,0))="Arbeit"),IF(ROUND((1+INDEX(Beginne,MATCH(J25,Codes,0))-INDEX(EndeRel,MATCH(I25,Codes,0)))*1440,0)&lt;660,1,0),0),0))</f>
      </c>
      <c r="K74" s="1">
        <f>IF(OR(K$52=0,J25="",K25=""),0,IFERROR(IF(AND(INDEX(Arten,MATCH(J25,Codes,0))="Arbeit",INDEX(Arten,MATCH(K25,Codes,0))="Arbeit"),IF(ROUND((1+INDEX(Beginne,MATCH(K25,Codes,0))-INDEX(EndeRel,MATCH(J25,Codes,0)))*1440,0)&lt;660,1,0),0),0))</f>
      </c>
      <c r="L74" s="1">
        <f>IF(OR(L$52=0,K25="",L25=""),0,IFERROR(IF(AND(INDEX(Arten,MATCH(K25,Codes,0))="Arbeit",INDEX(Arten,MATCH(L25,Codes,0))="Arbeit"),IF(ROUND((1+INDEX(Beginne,MATCH(L25,Codes,0))-INDEX(EndeRel,MATCH(K25,Codes,0)))*1440,0)&lt;660,1,0),0),0))</f>
      </c>
      <c r="M74" s="1">
        <f>IF(OR(M$52=0,L25="",M25=""),0,IFERROR(IF(AND(INDEX(Arten,MATCH(L25,Codes,0))="Arbeit",INDEX(Arten,MATCH(M25,Codes,0))="Arbeit"),IF(ROUND((1+INDEX(Beginne,MATCH(M25,Codes,0))-INDEX(EndeRel,MATCH(L25,Codes,0)))*1440,0)&lt;660,1,0),0),0))</f>
      </c>
      <c r="N74" s="1">
        <f>IF(OR(N$52=0,M25="",N25=""),0,IFERROR(IF(AND(INDEX(Arten,MATCH(M25,Codes,0))="Arbeit",INDEX(Arten,MATCH(N25,Codes,0))="Arbeit"),IF(ROUND((1+INDEX(Beginne,MATCH(N25,Codes,0))-INDEX(EndeRel,MATCH(M25,Codes,0)))*1440,0)&lt;660,1,0),0),0))</f>
      </c>
      <c r="O74" s="1">
        <f>IF(OR(O$52=0,N25="",O25=""),0,IFERROR(IF(AND(INDEX(Arten,MATCH(N25,Codes,0))="Arbeit",INDEX(Arten,MATCH(O25,Codes,0))="Arbeit"),IF(ROUND((1+INDEX(Beginne,MATCH(O25,Codes,0))-INDEX(EndeRel,MATCH(N25,Codes,0)))*1440,0)&lt;660,1,0),0),0))</f>
      </c>
      <c r="P74" s="1">
        <f>IF(OR(P$52=0,O25="",P25=""),0,IFERROR(IF(AND(INDEX(Arten,MATCH(O25,Codes,0))="Arbeit",INDEX(Arten,MATCH(P25,Codes,0))="Arbeit"),IF(ROUND((1+INDEX(Beginne,MATCH(P25,Codes,0))-INDEX(EndeRel,MATCH(O25,Codes,0)))*1440,0)&lt;660,1,0),0),0))</f>
      </c>
      <c r="Q74" s="1">
        <f>IF(OR(Q$52=0,P25="",Q25=""),0,IFERROR(IF(AND(INDEX(Arten,MATCH(P25,Codes,0))="Arbeit",INDEX(Arten,MATCH(Q25,Codes,0))="Arbeit"),IF(ROUND((1+INDEX(Beginne,MATCH(Q25,Codes,0))-INDEX(EndeRel,MATCH(P25,Codes,0)))*1440,0)&lt;660,1,0),0),0))</f>
      </c>
      <c r="R74" s="1">
        <f>IF(OR(R$52=0,Q25="",R25=""),0,IFERROR(IF(AND(INDEX(Arten,MATCH(Q25,Codes,0))="Arbeit",INDEX(Arten,MATCH(R25,Codes,0))="Arbeit"),IF(ROUND((1+INDEX(Beginne,MATCH(R25,Codes,0))-INDEX(EndeRel,MATCH(Q25,Codes,0)))*1440,0)&lt;660,1,0),0),0))</f>
      </c>
      <c r="S74" s="1">
        <f>IF(OR(S$52=0,R25="",S25=""),0,IFERROR(IF(AND(INDEX(Arten,MATCH(R25,Codes,0))="Arbeit",INDEX(Arten,MATCH(S25,Codes,0))="Arbeit"),IF(ROUND((1+INDEX(Beginne,MATCH(S25,Codes,0))-INDEX(EndeRel,MATCH(R25,Codes,0)))*1440,0)&lt;660,1,0),0),0))</f>
      </c>
      <c r="T74" s="1">
        <f>IF(OR(T$52=0,S25="",T25=""),0,IFERROR(IF(AND(INDEX(Arten,MATCH(S25,Codes,0))="Arbeit",INDEX(Arten,MATCH(T25,Codes,0))="Arbeit"),IF(ROUND((1+INDEX(Beginne,MATCH(T25,Codes,0))-INDEX(EndeRel,MATCH(S25,Codes,0)))*1440,0)&lt;660,1,0),0),0))</f>
      </c>
      <c r="U74" s="1">
        <f>IF(OR(U$52=0,T25="",U25=""),0,IFERROR(IF(AND(INDEX(Arten,MATCH(T25,Codes,0))="Arbeit",INDEX(Arten,MATCH(U25,Codes,0))="Arbeit"),IF(ROUND((1+INDEX(Beginne,MATCH(U25,Codes,0))-INDEX(EndeRel,MATCH(T25,Codes,0)))*1440,0)&lt;660,1,0),0),0))</f>
      </c>
      <c r="V74" s="1">
        <f>IF(OR(V$52=0,U25="",V25=""),0,IFERROR(IF(AND(INDEX(Arten,MATCH(U25,Codes,0))="Arbeit",INDEX(Arten,MATCH(V25,Codes,0))="Arbeit"),IF(ROUND((1+INDEX(Beginne,MATCH(V25,Codes,0))-INDEX(EndeRel,MATCH(U25,Codes,0)))*1440,0)&lt;660,1,0),0),0))</f>
      </c>
      <c r="W74" s="1">
        <f>IF(OR(W$52=0,V25="",W25=""),0,IFERROR(IF(AND(INDEX(Arten,MATCH(V25,Codes,0))="Arbeit",INDEX(Arten,MATCH(W25,Codes,0))="Arbeit"),IF(ROUND((1+INDEX(Beginne,MATCH(W25,Codes,0))-INDEX(EndeRel,MATCH(V25,Codes,0)))*1440,0)&lt;660,1,0),0),0))</f>
      </c>
      <c r="X74" s="1">
        <f>IF(OR(X$52=0,W25="",X25=""),0,IFERROR(IF(AND(INDEX(Arten,MATCH(W25,Codes,0))="Arbeit",INDEX(Arten,MATCH(X25,Codes,0))="Arbeit"),IF(ROUND((1+INDEX(Beginne,MATCH(X25,Codes,0))-INDEX(EndeRel,MATCH(W25,Codes,0)))*1440,0)&lt;660,1,0),0),0))</f>
      </c>
      <c r="Y74" s="1">
        <f>IF(OR(Y$52=0,X25="",Y25=""),0,IFERROR(IF(AND(INDEX(Arten,MATCH(X25,Codes,0))="Arbeit",INDEX(Arten,MATCH(Y25,Codes,0))="Arbeit"),IF(ROUND((1+INDEX(Beginne,MATCH(Y25,Codes,0))-INDEX(EndeRel,MATCH(X25,Codes,0)))*1440,0)&lt;660,1,0),0),0))</f>
      </c>
      <c r="Z74" s="1">
        <f>IF(OR(Z$52=0,Y25="",Z25=""),0,IFERROR(IF(AND(INDEX(Arten,MATCH(Y25,Codes,0))="Arbeit",INDEX(Arten,MATCH(Z25,Codes,0))="Arbeit"),IF(ROUND((1+INDEX(Beginne,MATCH(Z25,Codes,0))-INDEX(EndeRel,MATCH(Y25,Codes,0)))*1440,0)&lt;660,1,0),0),0))</f>
      </c>
      <c r="AA74" s="1">
        <f>IF(OR(AA$52=0,Z25="",AA25=""),0,IFERROR(IF(AND(INDEX(Arten,MATCH(Z25,Codes,0))="Arbeit",INDEX(Arten,MATCH(AA25,Codes,0))="Arbeit"),IF(ROUND((1+INDEX(Beginne,MATCH(AA25,Codes,0))-INDEX(EndeRel,MATCH(Z25,Codes,0)))*1440,0)&lt;660,1,0),0),0))</f>
      </c>
      <c r="AB74" s="1">
        <f>IF(OR(AB$52=0,AA25="",AB25=""),0,IFERROR(IF(AND(INDEX(Arten,MATCH(AA25,Codes,0))="Arbeit",INDEX(Arten,MATCH(AB25,Codes,0))="Arbeit"),IF(ROUND((1+INDEX(Beginne,MATCH(AB25,Codes,0))-INDEX(EndeRel,MATCH(AA25,Codes,0)))*1440,0)&lt;660,1,0),0),0))</f>
      </c>
      <c r="AC74" s="1">
        <f>IF(OR(AC$52=0,AB25="",AC25=""),0,IFERROR(IF(AND(INDEX(Arten,MATCH(AB25,Codes,0))="Arbeit",INDEX(Arten,MATCH(AC25,Codes,0))="Arbeit"),IF(ROUND((1+INDEX(Beginne,MATCH(AC25,Codes,0))-INDEX(EndeRel,MATCH(AB25,Codes,0)))*1440,0)&lt;660,1,0),0),0))</f>
      </c>
      <c r="AD74" s="1">
        <f>IF(OR(AD$52=0,AC25="",AD25=""),0,IFERROR(IF(AND(INDEX(Arten,MATCH(AC25,Codes,0))="Arbeit",INDEX(Arten,MATCH(AD25,Codes,0))="Arbeit"),IF(ROUND((1+INDEX(Beginne,MATCH(AD25,Codes,0))-INDEX(EndeRel,MATCH(AC25,Codes,0)))*1440,0)&lt;660,1,0),0),0))</f>
      </c>
      <c r="AE74" s="1">
        <f>IF(OR(AE$52=0,AD25="",AE25=""),0,IFERROR(IF(AND(INDEX(Arten,MATCH(AD25,Codes,0))="Arbeit",INDEX(Arten,MATCH(AE25,Codes,0))="Arbeit"),IF(ROUND((1+INDEX(Beginne,MATCH(AE25,Codes,0))-INDEX(EndeRel,MATCH(AD25,Codes,0)))*1440,0)&lt;660,1,0),0),0))</f>
      </c>
      <c r="AF74" s="1">
        <f>IF(OR(AF$52=0,AE25="",AF25=""),0,IFERROR(IF(AND(INDEX(Arten,MATCH(AE25,Codes,0))="Arbeit",INDEX(Arten,MATCH(AF25,Codes,0))="Arbeit"),IF(ROUND((1+INDEX(Beginne,MATCH(AF25,Codes,0))-INDEX(EndeRel,MATCH(AE25,Codes,0)))*1440,0)&lt;660,1,0),0),0))</f>
      </c>
    </row>
    <row r="75" hidden="1" spans="1:32" x14ac:dyDescent="0.25">
      <c r="A75" s="1"/>
      <c r="B75" s="1">
        <f>IF(OR(B$52=0,INDEX('April'!$B$26:$AF$26,DAY(DATE(Jahr,5,0)))="",B26=""),0,IFERROR(IF(AND(INDEX(Arten,MATCH(INDEX('April'!$B$26:$AF$26,DAY(DATE(Jahr,5,0))),Codes,0))="Arbeit",INDEX(Arten,MATCH(B26,Codes,0))="Arbeit"),IF(ROUND((1+INDEX(Beginne,MATCH(B26,Codes,0))-INDEX(EndeRel,MATCH(INDEX('April'!$B$26:$AF$26,DAY(DATE(Jahr,5,0))),Codes,0)))*1440,0)&lt;660,1,0),0),0))</f>
      </c>
      <c r="C75" s="1">
        <f>IF(OR(C$52=0,B26="",C26=""),0,IFERROR(IF(AND(INDEX(Arten,MATCH(B26,Codes,0))="Arbeit",INDEX(Arten,MATCH(C26,Codes,0))="Arbeit"),IF(ROUND((1+INDEX(Beginne,MATCH(C26,Codes,0))-INDEX(EndeRel,MATCH(B26,Codes,0)))*1440,0)&lt;660,1,0),0),0))</f>
      </c>
      <c r="D75" s="1">
        <f>IF(OR(D$52=0,C26="",D26=""),0,IFERROR(IF(AND(INDEX(Arten,MATCH(C26,Codes,0))="Arbeit",INDEX(Arten,MATCH(D26,Codes,0))="Arbeit"),IF(ROUND((1+INDEX(Beginne,MATCH(D26,Codes,0))-INDEX(EndeRel,MATCH(C26,Codes,0)))*1440,0)&lt;660,1,0),0),0))</f>
      </c>
      <c r="E75" s="1">
        <f>IF(OR(E$52=0,D26="",E26=""),0,IFERROR(IF(AND(INDEX(Arten,MATCH(D26,Codes,0))="Arbeit",INDEX(Arten,MATCH(E26,Codes,0))="Arbeit"),IF(ROUND((1+INDEX(Beginne,MATCH(E26,Codes,0))-INDEX(EndeRel,MATCH(D26,Codes,0)))*1440,0)&lt;660,1,0),0),0))</f>
      </c>
      <c r="F75" s="1">
        <f>IF(OR(F$52=0,E26="",F26=""),0,IFERROR(IF(AND(INDEX(Arten,MATCH(E26,Codes,0))="Arbeit",INDEX(Arten,MATCH(F26,Codes,0))="Arbeit"),IF(ROUND((1+INDEX(Beginne,MATCH(F26,Codes,0))-INDEX(EndeRel,MATCH(E26,Codes,0)))*1440,0)&lt;660,1,0),0),0))</f>
      </c>
      <c r="G75" s="1">
        <f>IF(OR(G$52=0,F26="",G26=""),0,IFERROR(IF(AND(INDEX(Arten,MATCH(F26,Codes,0))="Arbeit",INDEX(Arten,MATCH(G26,Codes,0))="Arbeit"),IF(ROUND((1+INDEX(Beginne,MATCH(G26,Codes,0))-INDEX(EndeRel,MATCH(F26,Codes,0)))*1440,0)&lt;660,1,0),0),0))</f>
      </c>
      <c r="H75" s="1">
        <f>IF(OR(H$52=0,G26="",H26=""),0,IFERROR(IF(AND(INDEX(Arten,MATCH(G26,Codes,0))="Arbeit",INDEX(Arten,MATCH(H26,Codes,0))="Arbeit"),IF(ROUND((1+INDEX(Beginne,MATCH(H26,Codes,0))-INDEX(EndeRel,MATCH(G26,Codes,0)))*1440,0)&lt;660,1,0),0),0))</f>
      </c>
      <c r="I75" s="1">
        <f>IF(OR(I$52=0,H26="",I26=""),0,IFERROR(IF(AND(INDEX(Arten,MATCH(H26,Codes,0))="Arbeit",INDEX(Arten,MATCH(I26,Codes,0))="Arbeit"),IF(ROUND((1+INDEX(Beginne,MATCH(I26,Codes,0))-INDEX(EndeRel,MATCH(H26,Codes,0)))*1440,0)&lt;660,1,0),0),0))</f>
      </c>
      <c r="J75" s="1">
        <f>IF(OR(J$52=0,I26="",J26=""),0,IFERROR(IF(AND(INDEX(Arten,MATCH(I26,Codes,0))="Arbeit",INDEX(Arten,MATCH(J26,Codes,0))="Arbeit"),IF(ROUND((1+INDEX(Beginne,MATCH(J26,Codes,0))-INDEX(EndeRel,MATCH(I26,Codes,0)))*1440,0)&lt;660,1,0),0),0))</f>
      </c>
      <c r="K75" s="1">
        <f>IF(OR(K$52=0,J26="",K26=""),0,IFERROR(IF(AND(INDEX(Arten,MATCH(J26,Codes,0))="Arbeit",INDEX(Arten,MATCH(K26,Codes,0))="Arbeit"),IF(ROUND((1+INDEX(Beginne,MATCH(K26,Codes,0))-INDEX(EndeRel,MATCH(J26,Codes,0)))*1440,0)&lt;660,1,0),0),0))</f>
      </c>
      <c r="L75" s="1">
        <f>IF(OR(L$52=0,K26="",L26=""),0,IFERROR(IF(AND(INDEX(Arten,MATCH(K26,Codes,0))="Arbeit",INDEX(Arten,MATCH(L26,Codes,0))="Arbeit"),IF(ROUND((1+INDEX(Beginne,MATCH(L26,Codes,0))-INDEX(EndeRel,MATCH(K26,Codes,0)))*1440,0)&lt;660,1,0),0),0))</f>
      </c>
      <c r="M75" s="1">
        <f>IF(OR(M$52=0,L26="",M26=""),0,IFERROR(IF(AND(INDEX(Arten,MATCH(L26,Codes,0))="Arbeit",INDEX(Arten,MATCH(M26,Codes,0))="Arbeit"),IF(ROUND((1+INDEX(Beginne,MATCH(M26,Codes,0))-INDEX(EndeRel,MATCH(L26,Codes,0)))*1440,0)&lt;660,1,0),0),0))</f>
      </c>
      <c r="N75" s="1">
        <f>IF(OR(N$52=0,M26="",N26=""),0,IFERROR(IF(AND(INDEX(Arten,MATCH(M26,Codes,0))="Arbeit",INDEX(Arten,MATCH(N26,Codes,0))="Arbeit"),IF(ROUND((1+INDEX(Beginne,MATCH(N26,Codes,0))-INDEX(EndeRel,MATCH(M26,Codes,0)))*1440,0)&lt;660,1,0),0),0))</f>
      </c>
      <c r="O75" s="1">
        <f>IF(OR(O$52=0,N26="",O26=""),0,IFERROR(IF(AND(INDEX(Arten,MATCH(N26,Codes,0))="Arbeit",INDEX(Arten,MATCH(O26,Codes,0))="Arbeit"),IF(ROUND((1+INDEX(Beginne,MATCH(O26,Codes,0))-INDEX(EndeRel,MATCH(N26,Codes,0)))*1440,0)&lt;660,1,0),0),0))</f>
      </c>
      <c r="P75" s="1">
        <f>IF(OR(P$52=0,O26="",P26=""),0,IFERROR(IF(AND(INDEX(Arten,MATCH(O26,Codes,0))="Arbeit",INDEX(Arten,MATCH(P26,Codes,0))="Arbeit"),IF(ROUND((1+INDEX(Beginne,MATCH(P26,Codes,0))-INDEX(EndeRel,MATCH(O26,Codes,0)))*1440,0)&lt;660,1,0),0),0))</f>
      </c>
      <c r="Q75" s="1">
        <f>IF(OR(Q$52=0,P26="",Q26=""),0,IFERROR(IF(AND(INDEX(Arten,MATCH(P26,Codes,0))="Arbeit",INDEX(Arten,MATCH(Q26,Codes,0))="Arbeit"),IF(ROUND((1+INDEX(Beginne,MATCH(Q26,Codes,0))-INDEX(EndeRel,MATCH(P26,Codes,0)))*1440,0)&lt;660,1,0),0),0))</f>
      </c>
      <c r="R75" s="1">
        <f>IF(OR(R$52=0,Q26="",R26=""),0,IFERROR(IF(AND(INDEX(Arten,MATCH(Q26,Codes,0))="Arbeit",INDEX(Arten,MATCH(R26,Codes,0))="Arbeit"),IF(ROUND((1+INDEX(Beginne,MATCH(R26,Codes,0))-INDEX(EndeRel,MATCH(Q26,Codes,0)))*1440,0)&lt;660,1,0),0),0))</f>
      </c>
      <c r="S75" s="1">
        <f>IF(OR(S$52=0,R26="",S26=""),0,IFERROR(IF(AND(INDEX(Arten,MATCH(R26,Codes,0))="Arbeit",INDEX(Arten,MATCH(S26,Codes,0))="Arbeit"),IF(ROUND((1+INDEX(Beginne,MATCH(S26,Codes,0))-INDEX(EndeRel,MATCH(R26,Codes,0)))*1440,0)&lt;660,1,0),0),0))</f>
      </c>
      <c r="T75" s="1">
        <f>IF(OR(T$52=0,S26="",T26=""),0,IFERROR(IF(AND(INDEX(Arten,MATCH(S26,Codes,0))="Arbeit",INDEX(Arten,MATCH(T26,Codes,0))="Arbeit"),IF(ROUND((1+INDEX(Beginne,MATCH(T26,Codes,0))-INDEX(EndeRel,MATCH(S26,Codes,0)))*1440,0)&lt;660,1,0),0),0))</f>
      </c>
      <c r="U75" s="1">
        <f>IF(OR(U$52=0,T26="",U26=""),0,IFERROR(IF(AND(INDEX(Arten,MATCH(T26,Codes,0))="Arbeit",INDEX(Arten,MATCH(U26,Codes,0))="Arbeit"),IF(ROUND((1+INDEX(Beginne,MATCH(U26,Codes,0))-INDEX(EndeRel,MATCH(T26,Codes,0)))*1440,0)&lt;660,1,0),0),0))</f>
      </c>
      <c r="V75" s="1">
        <f>IF(OR(V$52=0,U26="",V26=""),0,IFERROR(IF(AND(INDEX(Arten,MATCH(U26,Codes,0))="Arbeit",INDEX(Arten,MATCH(V26,Codes,0))="Arbeit"),IF(ROUND((1+INDEX(Beginne,MATCH(V26,Codes,0))-INDEX(EndeRel,MATCH(U26,Codes,0)))*1440,0)&lt;660,1,0),0),0))</f>
      </c>
      <c r="W75" s="1">
        <f>IF(OR(W$52=0,V26="",W26=""),0,IFERROR(IF(AND(INDEX(Arten,MATCH(V26,Codes,0))="Arbeit",INDEX(Arten,MATCH(W26,Codes,0))="Arbeit"),IF(ROUND((1+INDEX(Beginne,MATCH(W26,Codes,0))-INDEX(EndeRel,MATCH(V26,Codes,0)))*1440,0)&lt;660,1,0),0),0))</f>
      </c>
      <c r="X75" s="1">
        <f>IF(OR(X$52=0,W26="",X26=""),0,IFERROR(IF(AND(INDEX(Arten,MATCH(W26,Codes,0))="Arbeit",INDEX(Arten,MATCH(X26,Codes,0))="Arbeit"),IF(ROUND((1+INDEX(Beginne,MATCH(X26,Codes,0))-INDEX(EndeRel,MATCH(W26,Codes,0)))*1440,0)&lt;660,1,0),0),0))</f>
      </c>
      <c r="Y75" s="1">
        <f>IF(OR(Y$52=0,X26="",Y26=""),0,IFERROR(IF(AND(INDEX(Arten,MATCH(X26,Codes,0))="Arbeit",INDEX(Arten,MATCH(Y26,Codes,0))="Arbeit"),IF(ROUND((1+INDEX(Beginne,MATCH(Y26,Codes,0))-INDEX(EndeRel,MATCH(X26,Codes,0)))*1440,0)&lt;660,1,0),0),0))</f>
      </c>
      <c r="Z75" s="1">
        <f>IF(OR(Z$52=0,Y26="",Z26=""),0,IFERROR(IF(AND(INDEX(Arten,MATCH(Y26,Codes,0))="Arbeit",INDEX(Arten,MATCH(Z26,Codes,0))="Arbeit"),IF(ROUND((1+INDEX(Beginne,MATCH(Z26,Codes,0))-INDEX(EndeRel,MATCH(Y26,Codes,0)))*1440,0)&lt;660,1,0),0),0))</f>
      </c>
      <c r="AA75" s="1">
        <f>IF(OR(AA$52=0,Z26="",AA26=""),0,IFERROR(IF(AND(INDEX(Arten,MATCH(Z26,Codes,0))="Arbeit",INDEX(Arten,MATCH(AA26,Codes,0))="Arbeit"),IF(ROUND((1+INDEX(Beginne,MATCH(AA26,Codes,0))-INDEX(EndeRel,MATCH(Z26,Codes,0)))*1440,0)&lt;660,1,0),0),0))</f>
      </c>
      <c r="AB75" s="1">
        <f>IF(OR(AB$52=0,AA26="",AB26=""),0,IFERROR(IF(AND(INDEX(Arten,MATCH(AA26,Codes,0))="Arbeit",INDEX(Arten,MATCH(AB26,Codes,0))="Arbeit"),IF(ROUND((1+INDEX(Beginne,MATCH(AB26,Codes,0))-INDEX(EndeRel,MATCH(AA26,Codes,0)))*1440,0)&lt;660,1,0),0),0))</f>
      </c>
      <c r="AC75" s="1">
        <f>IF(OR(AC$52=0,AB26="",AC26=""),0,IFERROR(IF(AND(INDEX(Arten,MATCH(AB26,Codes,0))="Arbeit",INDEX(Arten,MATCH(AC26,Codes,0))="Arbeit"),IF(ROUND((1+INDEX(Beginne,MATCH(AC26,Codes,0))-INDEX(EndeRel,MATCH(AB26,Codes,0)))*1440,0)&lt;660,1,0),0),0))</f>
      </c>
      <c r="AD75" s="1">
        <f>IF(OR(AD$52=0,AC26="",AD26=""),0,IFERROR(IF(AND(INDEX(Arten,MATCH(AC26,Codes,0))="Arbeit",INDEX(Arten,MATCH(AD26,Codes,0))="Arbeit"),IF(ROUND((1+INDEX(Beginne,MATCH(AD26,Codes,0))-INDEX(EndeRel,MATCH(AC26,Codes,0)))*1440,0)&lt;660,1,0),0),0))</f>
      </c>
      <c r="AE75" s="1">
        <f>IF(OR(AE$52=0,AD26="",AE26=""),0,IFERROR(IF(AND(INDEX(Arten,MATCH(AD26,Codes,0))="Arbeit",INDEX(Arten,MATCH(AE26,Codes,0))="Arbeit"),IF(ROUND((1+INDEX(Beginne,MATCH(AE26,Codes,0))-INDEX(EndeRel,MATCH(AD26,Codes,0)))*1440,0)&lt;660,1,0),0),0))</f>
      </c>
      <c r="AF75" s="1">
        <f>IF(OR(AF$52=0,AE26="",AF26=""),0,IFERROR(IF(AND(INDEX(Arten,MATCH(AE26,Codes,0))="Arbeit",INDEX(Arten,MATCH(AF26,Codes,0))="Arbeit"),IF(ROUND((1+INDEX(Beginne,MATCH(AF26,Codes,0))-INDEX(EndeRel,MATCH(AE26,Codes,0)))*1440,0)&lt;660,1,0),0),0))</f>
      </c>
    </row>
    <row r="76" hidden="1" spans="1:32" x14ac:dyDescent="0.25">
      <c r="A76" s="1"/>
      <c r="B76" s="1">
        <f>IF(OR(B$52=0,INDEX('April'!$B$27:$AF$27,DAY(DATE(Jahr,5,0)))="",B27=""),0,IFERROR(IF(AND(INDEX(Arten,MATCH(INDEX('April'!$B$27:$AF$27,DAY(DATE(Jahr,5,0))),Codes,0))="Arbeit",INDEX(Arten,MATCH(B27,Codes,0))="Arbeit"),IF(ROUND((1+INDEX(Beginne,MATCH(B27,Codes,0))-INDEX(EndeRel,MATCH(INDEX('April'!$B$27:$AF$27,DAY(DATE(Jahr,5,0))),Codes,0)))*1440,0)&lt;660,1,0),0),0))</f>
      </c>
      <c r="C76" s="1">
        <f>IF(OR(C$52=0,B27="",C27=""),0,IFERROR(IF(AND(INDEX(Arten,MATCH(B27,Codes,0))="Arbeit",INDEX(Arten,MATCH(C27,Codes,0))="Arbeit"),IF(ROUND((1+INDEX(Beginne,MATCH(C27,Codes,0))-INDEX(EndeRel,MATCH(B27,Codes,0)))*1440,0)&lt;660,1,0),0),0))</f>
      </c>
      <c r="D76" s="1">
        <f>IF(OR(D$52=0,C27="",D27=""),0,IFERROR(IF(AND(INDEX(Arten,MATCH(C27,Codes,0))="Arbeit",INDEX(Arten,MATCH(D27,Codes,0))="Arbeit"),IF(ROUND((1+INDEX(Beginne,MATCH(D27,Codes,0))-INDEX(EndeRel,MATCH(C27,Codes,0)))*1440,0)&lt;660,1,0),0),0))</f>
      </c>
      <c r="E76" s="1">
        <f>IF(OR(E$52=0,D27="",E27=""),0,IFERROR(IF(AND(INDEX(Arten,MATCH(D27,Codes,0))="Arbeit",INDEX(Arten,MATCH(E27,Codes,0))="Arbeit"),IF(ROUND((1+INDEX(Beginne,MATCH(E27,Codes,0))-INDEX(EndeRel,MATCH(D27,Codes,0)))*1440,0)&lt;660,1,0),0),0))</f>
      </c>
      <c r="F76" s="1">
        <f>IF(OR(F$52=0,E27="",F27=""),0,IFERROR(IF(AND(INDEX(Arten,MATCH(E27,Codes,0))="Arbeit",INDEX(Arten,MATCH(F27,Codes,0))="Arbeit"),IF(ROUND((1+INDEX(Beginne,MATCH(F27,Codes,0))-INDEX(EndeRel,MATCH(E27,Codes,0)))*1440,0)&lt;660,1,0),0),0))</f>
      </c>
      <c r="G76" s="1">
        <f>IF(OR(G$52=0,F27="",G27=""),0,IFERROR(IF(AND(INDEX(Arten,MATCH(F27,Codes,0))="Arbeit",INDEX(Arten,MATCH(G27,Codes,0))="Arbeit"),IF(ROUND((1+INDEX(Beginne,MATCH(G27,Codes,0))-INDEX(EndeRel,MATCH(F27,Codes,0)))*1440,0)&lt;660,1,0),0),0))</f>
      </c>
      <c r="H76" s="1">
        <f>IF(OR(H$52=0,G27="",H27=""),0,IFERROR(IF(AND(INDEX(Arten,MATCH(G27,Codes,0))="Arbeit",INDEX(Arten,MATCH(H27,Codes,0))="Arbeit"),IF(ROUND((1+INDEX(Beginne,MATCH(H27,Codes,0))-INDEX(EndeRel,MATCH(G27,Codes,0)))*1440,0)&lt;660,1,0),0),0))</f>
      </c>
      <c r="I76" s="1">
        <f>IF(OR(I$52=0,H27="",I27=""),0,IFERROR(IF(AND(INDEX(Arten,MATCH(H27,Codes,0))="Arbeit",INDEX(Arten,MATCH(I27,Codes,0))="Arbeit"),IF(ROUND((1+INDEX(Beginne,MATCH(I27,Codes,0))-INDEX(EndeRel,MATCH(H27,Codes,0)))*1440,0)&lt;660,1,0),0),0))</f>
      </c>
      <c r="J76" s="1">
        <f>IF(OR(J$52=0,I27="",J27=""),0,IFERROR(IF(AND(INDEX(Arten,MATCH(I27,Codes,0))="Arbeit",INDEX(Arten,MATCH(J27,Codes,0))="Arbeit"),IF(ROUND((1+INDEX(Beginne,MATCH(J27,Codes,0))-INDEX(EndeRel,MATCH(I27,Codes,0)))*1440,0)&lt;660,1,0),0),0))</f>
      </c>
      <c r="K76" s="1">
        <f>IF(OR(K$52=0,J27="",K27=""),0,IFERROR(IF(AND(INDEX(Arten,MATCH(J27,Codes,0))="Arbeit",INDEX(Arten,MATCH(K27,Codes,0))="Arbeit"),IF(ROUND((1+INDEX(Beginne,MATCH(K27,Codes,0))-INDEX(EndeRel,MATCH(J27,Codes,0)))*1440,0)&lt;660,1,0),0),0))</f>
      </c>
      <c r="L76" s="1">
        <f>IF(OR(L$52=0,K27="",L27=""),0,IFERROR(IF(AND(INDEX(Arten,MATCH(K27,Codes,0))="Arbeit",INDEX(Arten,MATCH(L27,Codes,0))="Arbeit"),IF(ROUND((1+INDEX(Beginne,MATCH(L27,Codes,0))-INDEX(EndeRel,MATCH(K27,Codes,0)))*1440,0)&lt;660,1,0),0),0))</f>
      </c>
      <c r="M76" s="1">
        <f>IF(OR(M$52=0,L27="",M27=""),0,IFERROR(IF(AND(INDEX(Arten,MATCH(L27,Codes,0))="Arbeit",INDEX(Arten,MATCH(M27,Codes,0))="Arbeit"),IF(ROUND((1+INDEX(Beginne,MATCH(M27,Codes,0))-INDEX(EndeRel,MATCH(L27,Codes,0)))*1440,0)&lt;660,1,0),0),0))</f>
      </c>
      <c r="N76" s="1">
        <f>IF(OR(N$52=0,M27="",N27=""),0,IFERROR(IF(AND(INDEX(Arten,MATCH(M27,Codes,0))="Arbeit",INDEX(Arten,MATCH(N27,Codes,0))="Arbeit"),IF(ROUND((1+INDEX(Beginne,MATCH(N27,Codes,0))-INDEX(EndeRel,MATCH(M27,Codes,0)))*1440,0)&lt;660,1,0),0),0))</f>
      </c>
      <c r="O76" s="1">
        <f>IF(OR(O$52=0,N27="",O27=""),0,IFERROR(IF(AND(INDEX(Arten,MATCH(N27,Codes,0))="Arbeit",INDEX(Arten,MATCH(O27,Codes,0))="Arbeit"),IF(ROUND((1+INDEX(Beginne,MATCH(O27,Codes,0))-INDEX(EndeRel,MATCH(N27,Codes,0)))*1440,0)&lt;660,1,0),0),0))</f>
      </c>
      <c r="P76" s="1">
        <f>IF(OR(P$52=0,O27="",P27=""),0,IFERROR(IF(AND(INDEX(Arten,MATCH(O27,Codes,0))="Arbeit",INDEX(Arten,MATCH(P27,Codes,0))="Arbeit"),IF(ROUND((1+INDEX(Beginne,MATCH(P27,Codes,0))-INDEX(EndeRel,MATCH(O27,Codes,0)))*1440,0)&lt;660,1,0),0),0))</f>
      </c>
      <c r="Q76" s="1">
        <f>IF(OR(Q$52=0,P27="",Q27=""),0,IFERROR(IF(AND(INDEX(Arten,MATCH(P27,Codes,0))="Arbeit",INDEX(Arten,MATCH(Q27,Codes,0))="Arbeit"),IF(ROUND((1+INDEX(Beginne,MATCH(Q27,Codes,0))-INDEX(EndeRel,MATCH(P27,Codes,0)))*1440,0)&lt;660,1,0),0),0))</f>
      </c>
      <c r="R76" s="1">
        <f>IF(OR(R$52=0,Q27="",R27=""),0,IFERROR(IF(AND(INDEX(Arten,MATCH(Q27,Codes,0))="Arbeit",INDEX(Arten,MATCH(R27,Codes,0))="Arbeit"),IF(ROUND((1+INDEX(Beginne,MATCH(R27,Codes,0))-INDEX(EndeRel,MATCH(Q27,Codes,0)))*1440,0)&lt;660,1,0),0),0))</f>
      </c>
      <c r="S76" s="1">
        <f>IF(OR(S$52=0,R27="",S27=""),0,IFERROR(IF(AND(INDEX(Arten,MATCH(R27,Codes,0))="Arbeit",INDEX(Arten,MATCH(S27,Codes,0))="Arbeit"),IF(ROUND((1+INDEX(Beginne,MATCH(S27,Codes,0))-INDEX(EndeRel,MATCH(R27,Codes,0)))*1440,0)&lt;660,1,0),0),0))</f>
      </c>
      <c r="T76" s="1">
        <f>IF(OR(T$52=0,S27="",T27=""),0,IFERROR(IF(AND(INDEX(Arten,MATCH(S27,Codes,0))="Arbeit",INDEX(Arten,MATCH(T27,Codes,0))="Arbeit"),IF(ROUND((1+INDEX(Beginne,MATCH(T27,Codes,0))-INDEX(EndeRel,MATCH(S27,Codes,0)))*1440,0)&lt;660,1,0),0),0))</f>
      </c>
      <c r="U76" s="1">
        <f>IF(OR(U$52=0,T27="",U27=""),0,IFERROR(IF(AND(INDEX(Arten,MATCH(T27,Codes,0))="Arbeit",INDEX(Arten,MATCH(U27,Codes,0))="Arbeit"),IF(ROUND((1+INDEX(Beginne,MATCH(U27,Codes,0))-INDEX(EndeRel,MATCH(T27,Codes,0)))*1440,0)&lt;660,1,0),0),0))</f>
      </c>
      <c r="V76" s="1">
        <f>IF(OR(V$52=0,U27="",V27=""),0,IFERROR(IF(AND(INDEX(Arten,MATCH(U27,Codes,0))="Arbeit",INDEX(Arten,MATCH(V27,Codes,0))="Arbeit"),IF(ROUND((1+INDEX(Beginne,MATCH(V27,Codes,0))-INDEX(EndeRel,MATCH(U27,Codes,0)))*1440,0)&lt;660,1,0),0),0))</f>
      </c>
      <c r="W76" s="1">
        <f>IF(OR(W$52=0,V27="",W27=""),0,IFERROR(IF(AND(INDEX(Arten,MATCH(V27,Codes,0))="Arbeit",INDEX(Arten,MATCH(W27,Codes,0))="Arbeit"),IF(ROUND((1+INDEX(Beginne,MATCH(W27,Codes,0))-INDEX(EndeRel,MATCH(V27,Codes,0)))*1440,0)&lt;660,1,0),0),0))</f>
      </c>
      <c r="X76" s="1">
        <f>IF(OR(X$52=0,W27="",X27=""),0,IFERROR(IF(AND(INDEX(Arten,MATCH(W27,Codes,0))="Arbeit",INDEX(Arten,MATCH(X27,Codes,0))="Arbeit"),IF(ROUND((1+INDEX(Beginne,MATCH(X27,Codes,0))-INDEX(EndeRel,MATCH(W27,Codes,0)))*1440,0)&lt;660,1,0),0),0))</f>
      </c>
      <c r="Y76" s="1">
        <f>IF(OR(Y$52=0,X27="",Y27=""),0,IFERROR(IF(AND(INDEX(Arten,MATCH(X27,Codes,0))="Arbeit",INDEX(Arten,MATCH(Y27,Codes,0))="Arbeit"),IF(ROUND((1+INDEX(Beginne,MATCH(Y27,Codes,0))-INDEX(EndeRel,MATCH(X27,Codes,0)))*1440,0)&lt;660,1,0),0),0))</f>
      </c>
      <c r="Z76" s="1">
        <f>IF(OR(Z$52=0,Y27="",Z27=""),0,IFERROR(IF(AND(INDEX(Arten,MATCH(Y27,Codes,0))="Arbeit",INDEX(Arten,MATCH(Z27,Codes,0))="Arbeit"),IF(ROUND((1+INDEX(Beginne,MATCH(Z27,Codes,0))-INDEX(EndeRel,MATCH(Y27,Codes,0)))*1440,0)&lt;660,1,0),0),0))</f>
      </c>
      <c r="AA76" s="1">
        <f>IF(OR(AA$52=0,Z27="",AA27=""),0,IFERROR(IF(AND(INDEX(Arten,MATCH(Z27,Codes,0))="Arbeit",INDEX(Arten,MATCH(AA27,Codes,0))="Arbeit"),IF(ROUND((1+INDEX(Beginne,MATCH(AA27,Codes,0))-INDEX(EndeRel,MATCH(Z27,Codes,0)))*1440,0)&lt;660,1,0),0),0))</f>
      </c>
      <c r="AB76" s="1">
        <f>IF(OR(AB$52=0,AA27="",AB27=""),0,IFERROR(IF(AND(INDEX(Arten,MATCH(AA27,Codes,0))="Arbeit",INDEX(Arten,MATCH(AB27,Codes,0))="Arbeit"),IF(ROUND((1+INDEX(Beginne,MATCH(AB27,Codes,0))-INDEX(EndeRel,MATCH(AA27,Codes,0)))*1440,0)&lt;660,1,0),0),0))</f>
      </c>
      <c r="AC76" s="1">
        <f>IF(OR(AC$52=0,AB27="",AC27=""),0,IFERROR(IF(AND(INDEX(Arten,MATCH(AB27,Codes,0))="Arbeit",INDEX(Arten,MATCH(AC27,Codes,0))="Arbeit"),IF(ROUND((1+INDEX(Beginne,MATCH(AC27,Codes,0))-INDEX(EndeRel,MATCH(AB27,Codes,0)))*1440,0)&lt;660,1,0),0),0))</f>
      </c>
      <c r="AD76" s="1">
        <f>IF(OR(AD$52=0,AC27="",AD27=""),0,IFERROR(IF(AND(INDEX(Arten,MATCH(AC27,Codes,0))="Arbeit",INDEX(Arten,MATCH(AD27,Codes,0))="Arbeit"),IF(ROUND((1+INDEX(Beginne,MATCH(AD27,Codes,0))-INDEX(EndeRel,MATCH(AC27,Codes,0)))*1440,0)&lt;660,1,0),0),0))</f>
      </c>
      <c r="AE76" s="1">
        <f>IF(OR(AE$52=0,AD27="",AE27=""),0,IFERROR(IF(AND(INDEX(Arten,MATCH(AD27,Codes,0))="Arbeit",INDEX(Arten,MATCH(AE27,Codes,0))="Arbeit"),IF(ROUND((1+INDEX(Beginne,MATCH(AE27,Codes,0))-INDEX(EndeRel,MATCH(AD27,Codes,0)))*1440,0)&lt;660,1,0),0),0))</f>
      </c>
      <c r="AF76" s="1">
        <f>IF(OR(AF$52=0,AE27="",AF27=""),0,IFERROR(IF(AND(INDEX(Arten,MATCH(AE27,Codes,0))="Arbeit",INDEX(Arten,MATCH(AF27,Codes,0))="Arbeit"),IF(ROUND((1+INDEX(Beginne,MATCH(AF27,Codes,0))-INDEX(EndeRel,MATCH(AE27,Codes,0)))*1440,0)&lt;660,1,0),0),0))</f>
      </c>
    </row>
    <row r="77" hidden="1" spans="1:32" x14ac:dyDescent="0.25">
      <c r="A77" s="1"/>
      <c r="B77" s="1">
        <f>IF(OR(B$52=0,INDEX('April'!$B$28:$AF$28,DAY(DATE(Jahr,5,0)))="",B28=""),0,IFERROR(IF(AND(INDEX(Arten,MATCH(INDEX('April'!$B$28:$AF$28,DAY(DATE(Jahr,5,0))),Codes,0))="Arbeit",INDEX(Arten,MATCH(B28,Codes,0))="Arbeit"),IF(ROUND((1+INDEX(Beginne,MATCH(B28,Codes,0))-INDEX(EndeRel,MATCH(INDEX('April'!$B$28:$AF$28,DAY(DATE(Jahr,5,0))),Codes,0)))*1440,0)&lt;660,1,0),0),0))</f>
      </c>
      <c r="C77" s="1">
        <f>IF(OR(C$52=0,B28="",C28=""),0,IFERROR(IF(AND(INDEX(Arten,MATCH(B28,Codes,0))="Arbeit",INDEX(Arten,MATCH(C28,Codes,0))="Arbeit"),IF(ROUND((1+INDEX(Beginne,MATCH(C28,Codes,0))-INDEX(EndeRel,MATCH(B28,Codes,0)))*1440,0)&lt;660,1,0),0),0))</f>
      </c>
      <c r="D77" s="1">
        <f>IF(OR(D$52=0,C28="",D28=""),0,IFERROR(IF(AND(INDEX(Arten,MATCH(C28,Codes,0))="Arbeit",INDEX(Arten,MATCH(D28,Codes,0))="Arbeit"),IF(ROUND((1+INDEX(Beginne,MATCH(D28,Codes,0))-INDEX(EndeRel,MATCH(C28,Codes,0)))*1440,0)&lt;660,1,0),0),0))</f>
      </c>
      <c r="E77" s="1">
        <f>IF(OR(E$52=0,D28="",E28=""),0,IFERROR(IF(AND(INDEX(Arten,MATCH(D28,Codes,0))="Arbeit",INDEX(Arten,MATCH(E28,Codes,0))="Arbeit"),IF(ROUND((1+INDEX(Beginne,MATCH(E28,Codes,0))-INDEX(EndeRel,MATCH(D28,Codes,0)))*1440,0)&lt;660,1,0),0),0))</f>
      </c>
      <c r="F77" s="1">
        <f>IF(OR(F$52=0,E28="",F28=""),0,IFERROR(IF(AND(INDEX(Arten,MATCH(E28,Codes,0))="Arbeit",INDEX(Arten,MATCH(F28,Codes,0))="Arbeit"),IF(ROUND((1+INDEX(Beginne,MATCH(F28,Codes,0))-INDEX(EndeRel,MATCH(E28,Codes,0)))*1440,0)&lt;660,1,0),0),0))</f>
      </c>
      <c r="G77" s="1">
        <f>IF(OR(G$52=0,F28="",G28=""),0,IFERROR(IF(AND(INDEX(Arten,MATCH(F28,Codes,0))="Arbeit",INDEX(Arten,MATCH(G28,Codes,0))="Arbeit"),IF(ROUND((1+INDEX(Beginne,MATCH(G28,Codes,0))-INDEX(EndeRel,MATCH(F28,Codes,0)))*1440,0)&lt;660,1,0),0),0))</f>
      </c>
      <c r="H77" s="1">
        <f>IF(OR(H$52=0,G28="",H28=""),0,IFERROR(IF(AND(INDEX(Arten,MATCH(G28,Codes,0))="Arbeit",INDEX(Arten,MATCH(H28,Codes,0))="Arbeit"),IF(ROUND((1+INDEX(Beginne,MATCH(H28,Codes,0))-INDEX(EndeRel,MATCH(G28,Codes,0)))*1440,0)&lt;660,1,0),0),0))</f>
      </c>
      <c r="I77" s="1">
        <f>IF(OR(I$52=0,H28="",I28=""),0,IFERROR(IF(AND(INDEX(Arten,MATCH(H28,Codes,0))="Arbeit",INDEX(Arten,MATCH(I28,Codes,0))="Arbeit"),IF(ROUND((1+INDEX(Beginne,MATCH(I28,Codes,0))-INDEX(EndeRel,MATCH(H28,Codes,0)))*1440,0)&lt;660,1,0),0),0))</f>
      </c>
      <c r="J77" s="1">
        <f>IF(OR(J$52=0,I28="",J28=""),0,IFERROR(IF(AND(INDEX(Arten,MATCH(I28,Codes,0))="Arbeit",INDEX(Arten,MATCH(J28,Codes,0))="Arbeit"),IF(ROUND((1+INDEX(Beginne,MATCH(J28,Codes,0))-INDEX(EndeRel,MATCH(I28,Codes,0)))*1440,0)&lt;660,1,0),0),0))</f>
      </c>
      <c r="K77" s="1">
        <f>IF(OR(K$52=0,J28="",K28=""),0,IFERROR(IF(AND(INDEX(Arten,MATCH(J28,Codes,0))="Arbeit",INDEX(Arten,MATCH(K28,Codes,0))="Arbeit"),IF(ROUND((1+INDEX(Beginne,MATCH(K28,Codes,0))-INDEX(EndeRel,MATCH(J28,Codes,0)))*1440,0)&lt;660,1,0),0),0))</f>
      </c>
      <c r="L77" s="1">
        <f>IF(OR(L$52=0,K28="",L28=""),0,IFERROR(IF(AND(INDEX(Arten,MATCH(K28,Codes,0))="Arbeit",INDEX(Arten,MATCH(L28,Codes,0))="Arbeit"),IF(ROUND((1+INDEX(Beginne,MATCH(L28,Codes,0))-INDEX(EndeRel,MATCH(K28,Codes,0)))*1440,0)&lt;660,1,0),0),0))</f>
      </c>
      <c r="M77" s="1">
        <f>IF(OR(M$52=0,L28="",M28=""),0,IFERROR(IF(AND(INDEX(Arten,MATCH(L28,Codes,0))="Arbeit",INDEX(Arten,MATCH(M28,Codes,0))="Arbeit"),IF(ROUND((1+INDEX(Beginne,MATCH(M28,Codes,0))-INDEX(EndeRel,MATCH(L28,Codes,0)))*1440,0)&lt;660,1,0),0),0))</f>
      </c>
      <c r="N77" s="1">
        <f>IF(OR(N$52=0,M28="",N28=""),0,IFERROR(IF(AND(INDEX(Arten,MATCH(M28,Codes,0))="Arbeit",INDEX(Arten,MATCH(N28,Codes,0))="Arbeit"),IF(ROUND((1+INDEX(Beginne,MATCH(N28,Codes,0))-INDEX(EndeRel,MATCH(M28,Codes,0)))*1440,0)&lt;660,1,0),0),0))</f>
      </c>
      <c r="O77" s="1">
        <f>IF(OR(O$52=0,N28="",O28=""),0,IFERROR(IF(AND(INDEX(Arten,MATCH(N28,Codes,0))="Arbeit",INDEX(Arten,MATCH(O28,Codes,0))="Arbeit"),IF(ROUND((1+INDEX(Beginne,MATCH(O28,Codes,0))-INDEX(EndeRel,MATCH(N28,Codes,0)))*1440,0)&lt;660,1,0),0),0))</f>
      </c>
      <c r="P77" s="1">
        <f>IF(OR(P$52=0,O28="",P28=""),0,IFERROR(IF(AND(INDEX(Arten,MATCH(O28,Codes,0))="Arbeit",INDEX(Arten,MATCH(P28,Codes,0))="Arbeit"),IF(ROUND((1+INDEX(Beginne,MATCH(P28,Codes,0))-INDEX(EndeRel,MATCH(O28,Codes,0)))*1440,0)&lt;660,1,0),0),0))</f>
      </c>
      <c r="Q77" s="1">
        <f>IF(OR(Q$52=0,P28="",Q28=""),0,IFERROR(IF(AND(INDEX(Arten,MATCH(P28,Codes,0))="Arbeit",INDEX(Arten,MATCH(Q28,Codes,0))="Arbeit"),IF(ROUND((1+INDEX(Beginne,MATCH(Q28,Codes,0))-INDEX(EndeRel,MATCH(P28,Codes,0)))*1440,0)&lt;660,1,0),0),0))</f>
      </c>
      <c r="R77" s="1">
        <f>IF(OR(R$52=0,Q28="",R28=""),0,IFERROR(IF(AND(INDEX(Arten,MATCH(Q28,Codes,0))="Arbeit",INDEX(Arten,MATCH(R28,Codes,0))="Arbeit"),IF(ROUND((1+INDEX(Beginne,MATCH(R28,Codes,0))-INDEX(EndeRel,MATCH(Q28,Codes,0)))*1440,0)&lt;660,1,0),0),0))</f>
      </c>
      <c r="S77" s="1">
        <f>IF(OR(S$52=0,R28="",S28=""),0,IFERROR(IF(AND(INDEX(Arten,MATCH(R28,Codes,0))="Arbeit",INDEX(Arten,MATCH(S28,Codes,0))="Arbeit"),IF(ROUND((1+INDEX(Beginne,MATCH(S28,Codes,0))-INDEX(EndeRel,MATCH(R28,Codes,0)))*1440,0)&lt;660,1,0),0),0))</f>
      </c>
      <c r="T77" s="1">
        <f>IF(OR(T$52=0,S28="",T28=""),0,IFERROR(IF(AND(INDEX(Arten,MATCH(S28,Codes,0))="Arbeit",INDEX(Arten,MATCH(T28,Codes,0))="Arbeit"),IF(ROUND((1+INDEX(Beginne,MATCH(T28,Codes,0))-INDEX(EndeRel,MATCH(S28,Codes,0)))*1440,0)&lt;660,1,0),0),0))</f>
      </c>
      <c r="U77" s="1">
        <f>IF(OR(U$52=0,T28="",U28=""),0,IFERROR(IF(AND(INDEX(Arten,MATCH(T28,Codes,0))="Arbeit",INDEX(Arten,MATCH(U28,Codes,0))="Arbeit"),IF(ROUND((1+INDEX(Beginne,MATCH(U28,Codes,0))-INDEX(EndeRel,MATCH(T28,Codes,0)))*1440,0)&lt;660,1,0),0),0))</f>
      </c>
      <c r="V77" s="1">
        <f>IF(OR(V$52=0,U28="",V28=""),0,IFERROR(IF(AND(INDEX(Arten,MATCH(U28,Codes,0))="Arbeit",INDEX(Arten,MATCH(V28,Codes,0))="Arbeit"),IF(ROUND((1+INDEX(Beginne,MATCH(V28,Codes,0))-INDEX(EndeRel,MATCH(U28,Codes,0)))*1440,0)&lt;660,1,0),0),0))</f>
      </c>
      <c r="W77" s="1">
        <f>IF(OR(W$52=0,V28="",W28=""),0,IFERROR(IF(AND(INDEX(Arten,MATCH(V28,Codes,0))="Arbeit",INDEX(Arten,MATCH(W28,Codes,0))="Arbeit"),IF(ROUND((1+INDEX(Beginne,MATCH(W28,Codes,0))-INDEX(EndeRel,MATCH(V28,Codes,0)))*1440,0)&lt;660,1,0),0),0))</f>
      </c>
      <c r="X77" s="1">
        <f>IF(OR(X$52=0,W28="",X28=""),0,IFERROR(IF(AND(INDEX(Arten,MATCH(W28,Codes,0))="Arbeit",INDEX(Arten,MATCH(X28,Codes,0))="Arbeit"),IF(ROUND((1+INDEX(Beginne,MATCH(X28,Codes,0))-INDEX(EndeRel,MATCH(W28,Codes,0)))*1440,0)&lt;660,1,0),0),0))</f>
      </c>
      <c r="Y77" s="1">
        <f>IF(OR(Y$52=0,X28="",Y28=""),0,IFERROR(IF(AND(INDEX(Arten,MATCH(X28,Codes,0))="Arbeit",INDEX(Arten,MATCH(Y28,Codes,0))="Arbeit"),IF(ROUND((1+INDEX(Beginne,MATCH(Y28,Codes,0))-INDEX(EndeRel,MATCH(X28,Codes,0)))*1440,0)&lt;660,1,0),0),0))</f>
      </c>
      <c r="Z77" s="1">
        <f>IF(OR(Z$52=0,Y28="",Z28=""),0,IFERROR(IF(AND(INDEX(Arten,MATCH(Y28,Codes,0))="Arbeit",INDEX(Arten,MATCH(Z28,Codes,0))="Arbeit"),IF(ROUND((1+INDEX(Beginne,MATCH(Z28,Codes,0))-INDEX(EndeRel,MATCH(Y28,Codes,0)))*1440,0)&lt;660,1,0),0),0))</f>
      </c>
      <c r="AA77" s="1">
        <f>IF(OR(AA$52=0,Z28="",AA28=""),0,IFERROR(IF(AND(INDEX(Arten,MATCH(Z28,Codes,0))="Arbeit",INDEX(Arten,MATCH(AA28,Codes,0))="Arbeit"),IF(ROUND((1+INDEX(Beginne,MATCH(AA28,Codes,0))-INDEX(EndeRel,MATCH(Z28,Codes,0)))*1440,0)&lt;660,1,0),0),0))</f>
      </c>
      <c r="AB77" s="1">
        <f>IF(OR(AB$52=0,AA28="",AB28=""),0,IFERROR(IF(AND(INDEX(Arten,MATCH(AA28,Codes,0))="Arbeit",INDEX(Arten,MATCH(AB28,Codes,0))="Arbeit"),IF(ROUND((1+INDEX(Beginne,MATCH(AB28,Codes,0))-INDEX(EndeRel,MATCH(AA28,Codes,0)))*1440,0)&lt;660,1,0),0),0))</f>
      </c>
      <c r="AC77" s="1">
        <f>IF(OR(AC$52=0,AB28="",AC28=""),0,IFERROR(IF(AND(INDEX(Arten,MATCH(AB28,Codes,0))="Arbeit",INDEX(Arten,MATCH(AC28,Codes,0))="Arbeit"),IF(ROUND((1+INDEX(Beginne,MATCH(AC28,Codes,0))-INDEX(EndeRel,MATCH(AB28,Codes,0)))*1440,0)&lt;660,1,0),0),0))</f>
      </c>
      <c r="AD77" s="1">
        <f>IF(OR(AD$52=0,AC28="",AD28=""),0,IFERROR(IF(AND(INDEX(Arten,MATCH(AC28,Codes,0))="Arbeit",INDEX(Arten,MATCH(AD28,Codes,0))="Arbeit"),IF(ROUND((1+INDEX(Beginne,MATCH(AD28,Codes,0))-INDEX(EndeRel,MATCH(AC28,Codes,0)))*1440,0)&lt;660,1,0),0),0))</f>
      </c>
      <c r="AE77" s="1">
        <f>IF(OR(AE$52=0,AD28="",AE28=""),0,IFERROR(IF(AND(INDEX(Arten,MATCH(AD28,Codes,0))="Arbeit",INDEX(Arten,MATCH(AE28,Codes,0))="Arbeit"),IF(ROUND((1+INDEX(Beginne,MATCH(AE28,Codes,0))-INDEX(EndeRel,MATCH(AD28,Codes,0)))*1440,0)&lt;660,1,0),0),0))</f>
      </c>
      <c r="AF77" s="1">
        <f>IF(OR(AF$52=0,AE28="",AF28=""),0,IFERROR(IF(AND(INDEX(Arten,MATCH(AE28,Codes,0))="Arbeit",INDEX(Arten,MATCH(AF28,Codes,0))="Arbeit"),IF(ROUND((1+INDEX(Beginne,MATCH(AF28,Codes,0))-INDEX(EndeRel,MATCH(AE28,Codes,0)))*1440,0)&lt;660,1,0),0),0))</f>
      </c>
    </row>
    <row r="78" hidden="1" spans="1:32" x14ac:dyDescent="0.25">
      <c r="A78" s="1"/>
      <c r="B78" s="1">
        <f>IF(OR(B$52=0,INDEX('April'!$B$29:$AF$29,DAY(DATE(Jahr,5,0)))="",B29=""),0,IFERROR(IF(AND(INDEX(Arten,MATCH(INDEX('April'!$B$29:$AF$29,DAY(DATE(Jahr,5,0))),Codes,0))="Arbeit",INDEX(Arten,MATCH(B29,Codes,0))="Arbeit"),IF(ROUND((1+INDEX(Beginne,MATCH(B29,Codes,0))-INDEX(EndeRel,MATCH(INDEX('April'!$B$29:$AF$29,DAY(DATE(Jahr,5,0))),Codes,0)))*1440,0)&lt;660,1,0),0),0))</f>
      </c>
      <c r="C78" s="1">
        <f>IF(OR(C$52=0,B29="",C29=""),0,IFERROR(IF(AND(INDEX(Arten,MATCH(B29,Codes,0))="Arbeit",INDEX(Arten,MATCH(C29,Codes,0))="Arbeit"),IF(ROUND((1+INDEX(Beginne,MATCH(C29,Codes,0))-INDEX(EndeRel,MATCH(B29,Codes,0)))*1440,0)&lt;660,1,0),0),0))</f>
      </c>
      <c r="D78" s="1">
        <f>IF(OR(D$52=0,C29="",D29=""),0,IFERROR(IF(AND(INDEX(Arten,MATCH(C29,Codes,0))="Arbeit",INDEX(Arten,MATCH(D29,Codes,0))="Arbeit"),IF(ROUND((1+INDEX(Beginne,MATCH(D29,Codes,0))-INDEX(EndeRel,MATCH(C29,Codes,0)))*1440,0)&lt;660,1,0),0),0))</f>
      </c>
      <c r="E78" s="1">
        <f>IF(OR(E$52=0,D29="",E29=""),0,IFERROR(IF(AND(INDEX(Arten,MATCH(D29,Codes,0))="Arbeit",INDEX(Arten,MATCH(E29,Codes,0))="Arbeit"),IF(ROUND((1+INDEX(Beginne,MATCH(E29,Codes,0))-INDEX(EndeRel,MATCH(D29,Codes,0)))*1440,0)&lt;660,1,0),0),0))</f>
      </c>
      <c r="F78" s="1">
        <f>IF(OR(F$52=0,E29="",F29=""),0,IFERROR(IF(AND(INDEX(Arten,MATCH(E29,Codes,0))="Arbeit",INDEX(Arten,MATCH(F29,Codes,0))="Arbeit"),IF(ROUND((1+INDEX(Beginne,MATCH(F29,Codes,0))-INDEX(EndeRel,MATCH(E29,Codes,0)))*1440,0)&lt;660,1,0),0),0))</f>
      </c>
      <c r="G78" s="1">
        <f>IF(OR(G$52=0,F29="",G29=""),0,IFERROR(IF(AND(INDEX(Arten,MATCH(F29,Codes,0))="Arbeit",INDEX(Arten,MATCH(G29,Codes,0))="Arbeit"),IF(ROUND((1+INDEX(Beginne,MATCH(G29,Codes,0))-INDEX(EndeRel,MATCH(F29,Codes,0)))*1440,0)&lt;660,1,0),0),0))</f>
      </c>
      <c r="H78" s="1">
        <f>IF(OR(H$52=0,G29="",H29=""),0,IFERROR(IF(AND(INDEX(Arten,MATCH(G29,Codes,0))="Arbeit",INDEX(Arten,MATCH(H29,Codes,0))="Arbeit"),IF(ROUND((1+INDEX(Beginne,MATCH(H29,Codes,0))-INDEX(EndeRel,MATCH(G29,Codes,0)))*1440,0)&lt;660,1,0),0),0))</f>
      </c>
      <c r="I78" s="1">
        <f>IF(OR(I$52=0,H29="",I29=""),0,IFERROR(IF(AND(INDEX(Arten,MATCH(H29,Codes,0))="Arbeit",INDEX(Arten,MATCH(I29,Codes,0))="Arbeit"),IF(ROUND((1+INDEX(Beginne,MATCH(I29,Codes,0))-INDEX(EndeRel,MATCH(H29,Codes,0)))*1440,0)&lt;660,1,0),0),0))</f>
      </c>
      <c r="J78" s="1">
        <f>IF(OR(J$52=0,I29="",J29=""),0,IFERROR(IF(AND(INDEX(Arten,MATCH(I29,Codes,0))="Arbeit",INDEX(Arten,MATCH(J29,Codes,0))="Arbeit"),IF(ROUND((1+INDEX(Beginne,MATCH(J29,Codes,0))-INDEX(EndeRel,MATCH(I29,Codes,0)))*1440,0)&lt;660,1,0),0),0))</f>
      </c>
      <c r="K78" s="1">
        <f>IF(OR(K$52=0,J29="",K29=""),0,IFERROR(IF(AND(INDEX(Arten,MATCH(J29,Codes,0))="Arbeit",INDEX(Arten,MATCH(K29,Codes,0))="Arbeit"),IF(ROUND((1+INDEX(Beginne,MATCH(K29,Codes,0))-INDEX(EndeRel,MATCH(J29,Codes,0)))*1440,0)&lt;660,1,0),0),0))</f>
      </c>
      <c r="L78" s="1">
        <f>IF(OR(L$52=0,K29="",L29=""),0,IFERROR(IF(AND(INDEX(Arten,MATCH(K29,Codes,0))="Arbeit",INDEX(Arten,MATCH(L29,Codes,0))="Arbeit"),IF(ROUND((1+INDEX(Beginne,MATCH(L29,Codes,0))-INDEX(EndeRel,MATCH(K29,Codes,0)))*1440,0)&lt;660,1,0),0),0))</f>
      </c>
      <c r="M78" s="1">
        <f>IF(OR(M$52=0,L29="",M29=""),0,IFERROR(IF(AND(INDEX(Arten,MATCH(L29,Codes,0))="Arbeit",INDEX(Arten,MATCH(M29,Codes,0))="Arbeit"),IF(ROUND((1+INDEX(Beginne,MATCH(M29,Codes,0))-INDEX(EndeRel,MATCH(L29,Codes,0)))*1440,0)&lt;660,1,0),0),0))</f>
      </c>
      <c r="N78" s="1">
        <f>IF(OR(N$52=0,M29="",N29=""),0,IFERROR(IF(AND(INDEX(Arten,MATCH(M29,Codes,0))="Arbeit",INDEX(Arten,MATCH(N29,Codes,0))="Arbeit"),IF(ROUND((1+INDEX(Beginne,MATCH(N29,Codes,0))-INDEX(EndeRel,MATCH(M29,Codes,0)))*1440,0)&lt;660,1,0),0),0))</f>
      </c>
      <c r="O78" s="1">
        <f>IF(OR(O$52=0,N29="",O29=""),0,IFERROR(IF(AND(INDEX(Arten,MATCH(N29,Codes,0))="Arbeit",INDEX(Arten,MATCH(O29,Codes,0))="Arbeit"),IF(ROUND((1+INDEX(Beginne,MATCH(O29,Codes,0))-INDEX(EndeRel,MATCH(N29,Codes,0)))*1440,0)&lt;660,1,0),0),0))</f>
      </c>
      <c r="P78" s="1">
        <f>IF(OR(P$52=0,O29="",P29=""),0,IFERROR(IF(AND(INDEX(Arten,MATCH(O29,Codes,0))="Arbeit",INDEX(Arten,MATCH(P29,Codes,0))="Arbeit"),IF(ROUND((1+INDEX(Beginne,MATCH(P29,Codes,0))-INDEX(EndeRel,MATCH(O29,Codes,0)))*1440,0)&lt;660,1,0),0),0))</f>
      </c>
      <c r="Q78" s="1">
        <f>IF(OR(Q$52=0,P29="",Q29=""),0,IFERROR(IF(AND(INDEX(Arten,MATCH(P29,Codes,0))="Arbeit",INDEX(Arten,MATCH(Q29,Codes,0))="Arbeit"),IF(ROUND((1+INDEX(Beginne,MATCH(Q29,Codes,0))-INDEX(EndeRel,MATCH(P29,Codes,0)))*1440,0)&lt;660,1,0),0),0))</f>
      </c>
      <c r="R78" s="1">
        <f>IF(OR(R$52=0,Q29="",R29=""),0,IFERROR(IF(AND(INDEX(Arten,MATCH(Q29,Codes,0))="Arbeit",INDEX(Arten,MATCH(R29,Codes,0))="Arbeit"),IF(ROUND((1+INDEX(Beginne,MATCH(R29,Codes,0))-INDEX(EndeRel,MATCH(Q29,Codes,0)))*1440,0)&lt;660,1,0),0),0))</f>
      </c>
      <c r="S78" s="1">
        <f>IF(OR(S$52=0,R29="",S29=""),0,IFERROR(IF(AND(INDEX(Arten,MATCH(R29,Codes,0))="Arbeit",INDEX(Arten,MATCH(S29,Codes,0))="Arbeit"),IF(ROUND((1+INDEX(Beginne,MATCH(S29,Codes,0))-INDEX(EndeRel,MATCH(R29,Codes,0)))*1440,0)&lt;660,1,0),0),0))</f>
      </c>
      <c r="T78" s="1">
        <f>IF(OR(T$52=0,S29="",T29=""),0,IFERROR(IF(AND(INDEX(Arten,MATCH(S29,Codes,0))="Arbeit",INDEX(Arten,MATCH(T29,Codes,0))="Arbeit"),IF(ROUND((1+INDEX(Beginne,MATCH(T29,Codes,0))-INDEX(EndeRel,MATCH(S29,Codes,0)))*1440,0)&lt;660,1,0),0),0))</f>
      </c>
      <c r="U78" s="1">
        <f>IF(OR(U$52=0,T29="",U29=""),0,IFERROR(IF(AND(INDEX(Arten,MATCH(T29,Codes,0))="Arbeit",INDEX(Arten,MATCH(U29,Codes,0))="Arbeit"),IF(ROUND((1+INDEX(Beginne,MATCH(U29,Codes,0))-INDEX(EndeRel,MATCH(T29,Codes,0)))*1440,0)&lt;660,1,0),0),0))</f>
      </c>
      <c r="V78" s="1">
        <f>IF(OR(V$52=0,U29="",V29=""),0,IFERROR(IF(AND(INDEX(Arten,MATCH(U29,Codes,0))="Arbeit",INDEX(Arten,MATCH(V29,Codes,0))="Arbeit"),IF(ROUND((1+INDEX(Beginne,MATCH(V29,Codes,0))-INDEX(EndeRel,MATCH(U29,Codes,0)))*1440,0)&lt;660,1,0),0),0))</f>
      </c>
      <c r="W78" s="1">
        <f>IF(OR(W$52=0,V29="",W29=""),0,IFERROR(IF(AND(INDEX(Arten,MATCH(V29,Codes,0))="Arbeit",INDEX(Arten,MATCH(W29,Codes,0))="Arbeit"),IF(ROUND((1+INDEX(Beginne,MATCH(W29,Codes,0))-INDEX(EndeRel,MATCH(V29,Codes,0)))*1440,0)&lt;660,1,0),0),0))</f>
      </c>
      <c r="X78" s="1">
        <f>IF(OR(X$52=0,W29="",X29=""),0,IFERROR(IF(AND(INDEX(Arten,MATCH(W29,Codes,0))="Arbeit",INDEX(Arten,MATCH(X29,Codes,0))="Arbeit"),IF(ROUND((1+INDEX(Beginne,MATCH(X29,Codes,0))-INDEX(EndeRel,MATCH(W29,Codes,0)))*1440,0)&lt;660,1,0),0),0))</f>
      </c>
      <c r="Y78" s="1">
        <f>IF(OR(Y$52=0,X29="",Y29=""),0,IFERROR(IF(AND(INDEX(Arten,MATCH(X29,Codes,0))="Arbeit",INDEX(Arten,MATCH(Y29,Codes,0))="Arbeit"),IF(ROUND((1+INDEX(Beginne,MATCH(Y29,Codes,0))-INDEX(EndeRel,MATCH(X29,Codes,0)))*1440,0)&lt;660,1,0),0),0))</f>
      </c>
      <c r="Z78" s="1">
        <f>IF(OR(Z$52=0,Y29="",Z29=""),0,IFERROR(IF(AND(INDEX(Arten,MATCH(Y29,Codes,0))="Arbeit",INDEX(Arten,MATCH(Z29,Codes,0))="Arbeit"),IF(ROUND((1+INDEX(Beginne,MATCH(Z29,Codes,0))-INDEX(EndeRel,MATCH(Y29,Codes,0)))*1440,0)&lt;660,1,0),0),0))</f>
      </c>
      <c r="AA78" s="1">
        <f>IF(OR(AA$52=0,Z29="",AA29=""),0,IFERROR(IF(AND(INDEX(Arten,MATCH(Z29,Codes,0))="Arbeit",INDEX(Arten,MATCH(AA29,Codes,0))="Arbeit"),IF(ROUND((1+INDEX(Beginne,MATCH(AA29,Codes,0))-INDEX(EndeRel,MATCH(Z29,Codes,0)))*1440,0)&lt;660,1,0),0),0))</f>
      </c>
      <c r="AB78" s="1">
        <f>IF(OR(AB$52=0,AA29="",AB29=""),0,IFERROR(IF(AND(INDEX(Arten,MATCH(AA29,Codes,0))="Arbeit",INDEX(Arten,MATCH(AB29,Codes,0))="Arbeit"),IF(ROUND((1+INDEX(Beginne,MATCH(AB29,Codes,0))-INDEX(EndeRel,MATCH(AA29,Codes,0)))*1440,0)&lt;660,1,0),0),0))</f>
      </c>
      <c r="AC78" s="1">
        <f>IF(OR(AC$52=0,AB29="",AC29=""),0,IFERROR(IF(AND(INDEX(Arten,MATCH(AB29,Codes,0))="Arbeit",INDEX(Arten,MATCH(AC29,Codes,0))="Arbeit"),IF(ROUND((1+INDEX(Beginne,MATCH(AC29,Codes,0))-INDEX(EndeRel,MATCH(AB29,Codes,0)))*1440,0)&lt;660,1,0),0),0))</f>
      </c>
      <c r="AD78" s="1">
        <f>IF(OR(AD$52=0,AC29="",AD29=""),0,IFERROR(IF(AND(INDEX(Arten,MATCH(AC29,Codes,0))="Arbeit",INDEX(Arten,MATCH(AD29,Codes,0))="Arbeit"),IF(ROUND((1+INDEX(Beginne,MATCH(AD29,Codes,0))-INDEX(EndeRel,MATCH(AC29,Codes,0)))*1440,0)&lt;660,1,0),0),0))</f>
      </c>
      <c r="AE78" s="1">
        <f>IF(OR(AE$52=0,AD29="",AE29=""),0,IFERROR(IF(AND(INDEX(Arten,MATCH(AD29,Codes,0))="Arbeit",INDEX(Arten,MATCH(AE29,Codes,0))="Arbeit"),IF(ROUND((1+INDEX(Beginne,MATCH(AE29,Codes,0))-INDEX(EndeRel,MATCH(AD29,Codes,0)))*1440,0)&lt;660,1,0),0),0))</f>
      </c>
      <c r="AF78" s="1">
        <f>IF(OR(AF$52=0,AE29="",AF29=""),0,IFERROR(IF(AND(INDEX(Arten,MATCH(AE29,Codes,0))="Arbeit",INDEX(Arten,MATCH(AF29,Codes,0))="Arbeit"),IF(ROUND((1+INDEX(Beginne,MATCH(AF29,Codes,0))-INDEX(EndeRel,MATCH(AE29,Codes,0)))*1440,0)&lt;660,1,0),0),0))</f>
      </c>
    </row>
    <row r="79" hidden="1" spans="1:32" x14ac:dyDescent="0.25">
      <c r="A79" s="1"/>
      <c r="B79" s="1">
        <f>IF(OR(B$52=0,INDEX('April'!$B$30:$AF$30,DAY(DATE(Jahr,5,0)))="",B30=""),0,IFERROR(IF(AND(INDEX(Arten,MATCH(INDEX('April'!$B$30:$AF$30,DAY(DATE(Jahr,5,0))),Codes,0))="Arbeit",INDEX(Arten,MATCH(B30,Codes,0))="Arbeit"),IF(ROUND((1+INDEX(Beginne,MATCH(B30,Codes,0))-INDEX(EndeRel,MATCH(INDEX('April'!$B$30:$AF$30,DAY(DATE(Jahr,5,0))),Codes,0)))*1440,0)&lt;660,1,0),0),0))</f>
      </c>
      <c r="C79" s="1">
        <f>IF(OR(C$52=0,B30="",C30=""),0,IFERROR(IF(AND(INDEX(Arten,MATCH(B30,Codes,0))="Arbeit",INDEX(Arten,MATCH(C30,Codes,0))="Arbeit"),IF(ROUND((1+INDEX(Beginne,MATCH(C30,Codes,0))-INDEX(EndeRel,MATCH(B30,Codes,0)))*1440,0)&lt;660,1,0),0),0))</f>
      </c>
      <c r="D79" s="1">
        <f>IF(OR(D$52=0,C30="",D30=""),0,IFERROR(IF(AND(INDEX(Arten,MATCH(C30,Codes,0))="Arbeit",INDEX(Arten,MATCH(D30,Codes,0))="Arbeit"),IF(ROUND((1+INDEX(Beginne,MATCH(D30,Codes,0))-INDEX(EndeRel,MATCH(C30,Codes,0)))*1440,0)&lt;660,1,0),0),0))</f>
      </c>
      <c r="E79" s="1">
        <f>IF(OR(E$52=0,D30="",E30=""),0,IFERROR(IF(AND(INDEX(Arten,MATCH(D30,Codes,0))="Arbeit",INDEX(Arten,MATCH(E30,Codes,0))="Arbeit"),IF(ROUND((1+INDEX(Beginne,MATCH(E30,Codes,0))-INDEX(EndeRel,MATCH(D30,Codes,0)))*1440,0)&lt;660,1,0),0),0))</f>
      </c>
      <c r="F79" s="1">
        <f>IF(OR(F$52=0,E30="",F30=""),0,IFERROR(IF(AND(INDEX(Arten,MATCH(E30,Codes,0))="Arbeit",INDEX(Arten,MATCH(F30,Codes,0))="Arbeit"),IF(ROUND((1+INDEX(Beginne,MATCH(F30,Codes,0))-INDEX(EndeRel,MATCH(E30,Codes,0)))*1440,0)&lt;660,1,0),0),0))</f>
      </c>
      <c r="G79" s="1">
        <f>IF(OR(G$52=0,F30="",G30=""),0,IFERROR(IF(AND(INDEX(Arten,MATCH(F30,Codes,0))="Arbeit",INDEX(Arten,MATCH(G30,Codes,0))="Arbeit"),IF(ROUND((1+INDEX(Beginne,MATCH(G30,Codes,0))-INDEX(EndeRel,MATCH(F30,Codes,0)))*1440,0)&lt;660,1,0),0),0))</f>
      </c>
      <c r="H79" s="1">
        <f>IF(OR(H$52=0,G30="",H30=""),0,IFERROR(IF(AND(INDEX(Arten,MATCH(G30,Codes,0))="Arbeit",INDEX(Arten,MATCH(H30,Codes,0))="Arbeit"),IF(ROUND((1+INDEX(Beginne,MATCH(H30,Codes,0))-INDEX(EndeRel,MATCH(G30,Codes,0)))*1440,0)&lt;660,1,0),0),0))</f>
      </c>
      <c r="I79" s="1">
        <f>IF(OR(I$52=0,H30="",I30=""),0,IFERROR(IF(AND(INDEX(Arten,MATCH(H30,Codes,0))="Arbeit",INDEX(Arten,MATCH(I30,Codes,0))="Arbeit"),IF(ROUND((1+INDEX(Beginne,MATCH(I30,Codes,0))-INDEX(EndeRel,MATCH(H30,Codes,0)))*1440,0)&lt;660,1,0),0),0))</f>
      </c>
      <c r="J79" s="1">
        <f>IF(OR(J$52=0,I30="",J30=""),0,IFERROR(IF(AND(INDEX(Arten,MATCH(I30,Codes,0))="Arbeit",INDEX(Arten,MATCH(J30,Codes,0))="Arbeit"),IF(ROUND((1+INDEX(Beginne,MATCH(J30,Codes,0))-INDEX(EndeRel,MATCH(I30,Codes,0)))*1440,0)&lt;660,1,0),0),0))</f>
      </c>
      <c r="K79" s="1">
        <f>IF(OR(K$52=0,J30="",K30=""),0,IFERROR(IF(AND(INDEX(Arten,MATCH(J30,Codes,0))="Arbeit",INDEX(Arten,MATCH(K30,Codes,0))="Arbeit"),IF(ROUND((1+INDEX(Beginne,MATCH(K30,Codes,0))-INDEX(EndeRel,MATCH(J30,Codes,0)))*1440,0)&lt;660,1,0),0),0))</f>
      </c>
      <c r="L79" s="1">
        <f>IF(OR(L$52=0,K30="",L30=""),0,IFERROR(IF(AND(INDEX(Arten,MATCH(K30,Codes,0))="Arbeit",INDEX(Arten,MATCH(L30,Codes,0))="Arbeit"),IF(ROUND((1+INDEX(Beginne,MATCH(L30,Codes,0))-INDEX(EndeRel,MATCH(K30,Codes,0)))*1440,0)&lt;660,1,0),0),0))</f>
      </c>
      <c r="M79" s="1">
        <f>IF(OR(M$52=0,L30="",M30=""),0,IFERROR(IF(AND(INDEX(Arten,MATCH(L30,Codes,0))="Arbeit",INDEX(Arten,MATCH(M30,Codes,0))="Arbeit"),IF(ROUND((1+INDEX(Beginne,MATCH(M30,Codes,0))-INDEX(EndeRel,MATCH(L30,Codes,0)))*1440,0)&lt;660,1,0),0),0))</f>
      </c>
      <c r="N79" s="1">
        <f>IF(OR(N$52=0,M30="",N30=""),0,IFERROR(IF(AND(INDEX(Arten,MATCH(M30,Codes,0))="Arbeit",INDEX(Arten,MATCH(N30,Codes,0))="Arbeit"),IF(ROUND((1+INDEX(Beginne,MATCH(N30,Codes,0))-INDEX(EndeRel,MATCH(M30,Codes,0)))*1440,0)&lt;660,1,0),0),0))</f>
      </c>
      <c r="O79" s="1">
        <f>IF(OR(O$52=0,N30="",O30=""),0,IFERROR(IF(AND(INDEX(Arten,MATCH(N30,Codes,0))="Arbeit",INDEX(Arten,MATCH(O30,Codes,0))="Arbeit"),IF(ROUND((1+INDEX(Beginne,MATCH(O30,Codes,0))-INDEX(EndeRel,MATCH(N30,Codes,0)))*1440,0)&lt;660,1,0),0),0))</f>
      </c>
      <c r="P79" s="1">
        <f>IF(OR(P$52=0,O30="",P30=""),0,IFERROR(IF(AND(INDEX(Arten,MATCH(O30,Codes,0))="Arbeit",INDEX(Arten,MATCH(P30,Codes,0))="Arbeit"),IF(ROUND((1+INDEX(Beginne,MATCH(P30,Codes,0))-INDEX(EndeRel,MATCH(O30,Codes,0)))*1440,0)&lt;660,1,0),0),0))</f>
      </c>
      <c r="Q79" s="1">
        <f>IF(OR(Q$52=0,P30="",Q30=""),0,IFERROR(IF(AND(INDEX(Arten,MATCH(P30,Codes,0))="Arbeit",INDEX(Arten,MATCH(Q30,Codes,0))="Arbeit"),IF(ROUND((1+INDEX(Beginne,MATCH(Q30,Codes,0))-INDEX(EndeRel,MATCH(P30,Codes,0)))*1440,0)&lt;660,1,0),0),0))</f>
      </c>
      <c r="R79" s="1">
        <f>IF(OR(R$52=0,Q30="",R30=""),0,IFERROR(IF(AND(INDEX(Arten,MATCH(Q30,Codes,0))="Arbeit",INDEX(Arten,MATCH(R30,Codes,0))="Arbeit"),IF(ROUND((1+INDEX(Beginne,MATCH(R30,Codes,0))-INDEX(EndeRel,MATCH(Q30,Codes,0)))*1440,0)&lt;660,1,0),0),0))</f>
      </c>
      <c r="S79" s="1">
        <f>IF(OR(S$52=0,R30="",S30=""),0,IFERROR(IF(AND(INDEX(Arten,MATCH(R30,Codes,0))="Arbeit",INDEX(Arten,MATCH(S30,Codes,0))="Arbeit"),IF(ROUND((1+INDEX(Beginne,MATCH(S30,Codes,0))-INDEX(EndeRel,MATCH(R30,Codes,0)))*1440,0)&lt;660,1,0),0),0))</f>
      </c>
      <c r="T79" s="1">
        <f>IF(OR(T$52=0,S30="",T30=""),0,IFERROR(IF(AND(INDEX(Arten,MATCH(S30,Codes,0))="Arbeit",INDEX(Arten,MATCH(T30,Codes,0))="Arbeit"),IF(ROUND((1+INDEX(Beginne,MATCH(T30,Codes,0))-INDEX(EndeRel,MATCH(S30,Codes,0)))*1440,0)&lt;660,1,0),0),0))</f>
      </c>
      <c r="U79" s="1">
        <f>IF(OR(U$52=0,T30="",U30=""),0,IFERROR(IF(AND(INDEX(Arten,MATCH(T30,Codes,0))="Arbeit",INDEX(Arten,MATCH(U30,Codes,0))="Arbeit"),IF(ROUND((1+INDEX(Beginne,MATCH(U30,Codes,0))-INDEX(EndeRel,MATCH(T30,Codes,0)))*1440,0)&lt;660,1,0),0),0))</f>
      </c>
      <c r="V79" s="1">
        <f>IF(OR(V$52=0,U30="",V30=""),0,IFERROR(IF(AND(INDEX(Arten,MATCH(U30,Codes,0))="Arbeit",INDEX(Arten,MATCH(V30,Codes,0))="Arbeit"),IF(ROUND((1+INDEX(Beginne,MATCH(V30,Codes,0))-INDEX(EndeRel,MATCH(U30,Codes,0)))*1440,0)&lt;660,1,0),0),0))</f>
      </c>
      <c r="W79" s="1">
        <f>IF(OR(W$52=0,V30="",W30=""),0,IFERROR(IF(AND(INDEX(Arten,MATCH(V30,Codes,0))="Arbeit",INDEX(Arten,MATCH(W30,Codes,0))="Arbeit"),IF(ROUND((1+INDEX(Beginne,MATCH(W30,Codes,0))-INDEX(EndeRel,MATCH(V30,Codes,0)))*1440,0)&lt;660,1,0),0),0))</f>
      </c>
      <c r="X79" s="1">
        <f>IF(OR(X$52=0,W30="",X30=""),0,IFERROR(IF(AND(INDEX(Arten,MATCH(W30,Codes,0))="Arbeit",INDEX(Arten,MATCH(X30,Codes,0))="Arbeit"),IF(ROUND((1+INDEX(Beginne,MATCH(X30,Codes,0))-INDEX(EndeRel,MATCH(W30,Codes,0)))*1440,0)&lt;660,1,0),0),0))</f>
      </c>
      <c r="Y79" s="1">
        <f>IF(OR(Y$52=0,X30="",Y30=""),0,IFERROR(IF(AND(INDEX(Arten,MATCH(X30,Codes,0))="Arbeit",INDEX(Arten,MATCH(Y30,Codes,0))="Arbeit"),IF(ROUND((1+INDEX(Beginne,MATCH(Y30,Codes,0))-INDEX(EndeRel,MATCH(X30,Codes,0)))*1440,0)&lt;660,1,0),0),0))</f>
      </c>
      <c r="Z79" s="1">
        <f>IF(OR(Z$52=0,Y30="",Z30=""),0,IFERROR(IF(AND(INDEX(Arten,MATCH(Y30,Codes,0))="Arbeit",INDEX(Arten,MATCH(Z30,Codes,0))="Arbeit"),IF(ROUND((1+INDEX(Beginne,MATCH(Z30,Codes,0))-INDEX(EndeRel,MATCH(Y30,Codes,0)))*1440,0)&lt;660,1,0),0),0))</f>
      </c>
      <c r="AA79" s="1">
        <f>IF(OR(AA$52=0,Z30="",AA30=""),0,IFERROR(IF(AND(INDEX(Arten,MATCH(Z30,Codes,0))="Arbeit",INDEX(Arten,MATCH(AA30,Codes,0))="Arbeit"),IF(ROUND((1+INDEX(Beginne,MATCH(AA30,Codes,0))-INDEX(EndeRel,MATCH(Z30,Codes,0)))*1440,0)&lt;660,1,0),0),0))</f>
      </c>
      <c r="AB79" s="1">
        <f>IF(OR(AB$52=0,AA30="",AB30=""),0,IFERROR(IF(AND(INDEX(Arten,MATCH(AA30,Codes,0))="Arbeit",INDEX(Arten,MATCH(AB30,Codes,0))="Arbeit"),IF(ROUND((1+INDEX(Beginne,MATCH(AB30,Codes,0))-INDEX(EndeRel,MATCH(AA30,Codes,0)))*1440,0)&lt;660,1,0),0),0))</f>
      </c>
      <c r="AC79" s="1">
        <f>IF(OR(AC$52=0,AB30="",AC30=""),0,IFERROR(IF(AND(INDEX(Arten,MATCH(AB30,Codes,0))="Arbeit",INDEX(Arten,MATCH(AC30,Codes,0))="Arbeit"),IF(ROUND((1+INDEX(Beginne,MATCH(AC30,Codes,0))-INDEX(EndeRel,MATCH(AB30,Codes,0)))*1440,0)&lt;660,1,0),0),0))</f>
      </c>
      <c r="AD79" s="1">
        <f>IF(OR(AD$52=0,AC30="",AD30=""),0,IFERROR(IF(AND(INDEX(Arten,MATCH(AC30,Codes,0))="Arbeit",INDEX(Arten,MATCH(AD30,Codes,0))="Arbeit"),IF(ROUND((1+INDEX(Beginne,MATCH(AD30,Codes,0))-INDEX(EndeRel,MATCH(AC30,Codes,0)))*1440,0)&lt;660,1,0),0),0))</f>
      </c>
      <c r="AE79" s="1">
        <f>IF(OR(AE$52=0,AD30="",AE30=""),0,IFERROR(IF(AND(INDEX(Arten,MATCH(AD30,Codes,0))="Arbeit",INDEX(Arten,MATCH(AE30,Codes,0))="Arbeit"),IF(ROUND((1+INDEX(Beginne,MATCH(AE30,Codes,0))-INDEX(EndeRel,MATCH(AD30,Codes,0)))*1440,0)&lt;660,1,0),0),0))</f>
      </c>
      <c r="AF79" s="1">
        <f>IF(OR(AF$52=0,AE30="",AF30=""),0,IFERROR(IF(AND(INDEX(Arten,MATCH(AE30,Codes,0))="Arbeit",INDEX(Arten,MATCH(AF30,Codes,0))="Arbeit"),IF(ROUND((1+INDEX(Beginne,MATCH(AF30,Codes,0))-INDEX(EndeRel,MATCH(AE30,Codes,0)))*1440,0)&lt;660,1,0),0),0))</f>
      </c>
    </row>
    <row r="80" hidden="1" spans="1:32" x14ac:dyDescent="0.25">
      <c r="A80" s="1"/>
      <c r="B80" s="1">
        <f>IF(OR(B$52=0,INDEX('April'!$B$31:$AF$31,DAY(DATE(Jahr,5,0)))="",B31=""),0,IFERROR(IF(AND(INDEX(Arten,MATCH(INDEX('April'!$B$31:$AF$31,DAY(DATE(Jahr,5,0))),Codes,0))="Arbeit",INDEX(Arten,MATCH(B31,Codes,0))="Arbeit"),IF(ROUND((1+INDEX(Beginne,MATCH(B31,Codes,0))-INDEX(EndeRel,MATCH(INDEX('April'!$B$31:$AF$31,DAY(DATE(Jahr,5,0))),Codes,0)))*1440,0)&lt;660,1,0),0),0))</f>
      </c>
      <c r="C80" s="1">
        <f>IF(OR(C$52=0,B31="",C31=""),0,IFERROR(IF(AND(INDEX(Arten,MATCH(B31,Codes,0))="Arbeit",INDEX(Arten,MATCH(C31,Codes,0))="Arbeit"),IF(ROUND((1+INDEX(Beginne,MATCH(C31,Codes,0))-INDEX(EndeRel,MATCH(B31,Codes,0)))*1440,0)&lt;660,1,0),0),0))</f>
      </c>
      <c r="D80" s="1">
        <f>IF(OR(D$52=0,C31="",D31=""),0,IFERROR(IF(AND(INDEX(Arten,MATCH(C31,Codes,0))="Arbeit",INDEX(Arten,MATCH(D31,Codes,0))="Arbeit"),IF(ROUND((1+INDEX(Beginne,MATCH(D31,Codes,0))-INDEX(EndeRel,MATCH(C31,Codes,0)))*1440,0)&lt;660,1,0),0),0))</f>
      </c>
      <c r="E80" s="1">
        <f>IF(OR(E$52=0,D31="",E31=""),0,IFERROR(IF(AND(INDEX(Arten,MATCH(D31,Codes,0))="Arbeit",INDEX(Arten,MATCH(E31,Codes,0))="Arbeit"),IF(ROUND((1+INDEX(Beginne,MATCH(E31,Codes,0))-INDEX(EndeRel,MATCH(D31,Codes,0)))*1440,0)&lt;660,1,0),0),0))</f>
      </c>
      <c r="F80" s="1">
        <f>IF(OR(F$52=0,E31="",F31=""),0,IFERROR(IF(AND(INDEX(Arten,MATCH(E31,Codes,0))="Arbeit",INDEX(Arten,MATCH(F31,Codes,0))="Arbeit"),IF(ROUND((1+INDEX(Beginne,MATCH(F31,Codes,0))-INDEX(EndeRel,MATCH(E31,Codes,0)))*1440,0)&lt;660,1,0),0),0))</f>
      </c>
      <c r="G80" s="1">
        <f>IF(OR(G$52=0,F31="",G31=""),0,IFERROR(IF(AND(INDEX(Arten,MATCH(F31,Codes,0))="Arbeit",INDEX(Arten,MATCH(G31,Codes,0))="Arbeit"),IF(ROUND((1+INDEX(Beginne,MATCH(G31,Codes,0))-INDEX(EndeRel,MATCH(F31,Codes,0)))*1440,0)&lt;660,1,0),0),0))</f>
      </c>
      <c r="H80" s="1">
        <f>IF(OR(H$52=0,G31="",H31=""),0,IFERROR(IF(AND(INDEX(Arten,MATCH(G31,Codes,0))="Arbeit",INDEX(Arten,MATCH(H31,Codes,0))="Arbeit"),IF(ROUND((1+INDEX(Beginne,MATCH(H31,Codes,0))-INDEX(EndeRel,MATCH(G31,Codes,0)))*1440,0)&lt;660,1,0),0),0))</f>
      </c>
      <c r="I80" s="1">
        <f>IF(OR(I$52=0,H31="",I31=""),0,IFERROR(IF(AND(INDEX(Arten,MATCH(H31,Codes,0))="Arbeit",INDEX(Arten,MATCH(I31,Codes,0))="Arbeit"),IF(ROUND((1+INDEX(Beginne,MATCH(I31,Codes,0))-INDEX(EndeRel,MATCH(H31,Codes,0)))*1440,0)&lt;660,1,0),0),0))</f>
      </c>
      <c r="J80" s="1">
        <f>IF(OR(J$52=0,I31="",J31=""),0,IFERROR(IF(AND(INDEX(Arten,MATCH(I31,Codes,0))="Arbeit",INDEX(Arten,MATCH(J31,Codes,0))="Arbeit"),IF(ROUND((1+INDEX(Beginne,MATCH(J31,Codes,0))-INDEX(EndeRel,MATCH(I31,Codes,0)))*1440,0)&lt;660,1,0),0),0))</f>
      </c>
      <c r="K80" s="1">
        <f>IF(OR(K$52=0,J31="",K31=""),0,IFERROR(IF(AND(INDEX(Arten,MATCH(J31,Codes,0))="Arbeit",INDEX(Arten,MATCH(K31,Codes,0))="Arbeit"),IF(ROUND((1+INDEX(Beginne,MATCH(K31,Codes,0))-INDEX(EndeRel,MATCH(J31,Codes,0)))*1440,0)&lt;660,1,0),0),0))</f>
      </c>
      <c r="L80" s="1">
        <f>IF(OR(L$52=0,K31="",L31=""),0,IFERROR(IF(AND(INDEX(Arten,MATCH(K31,Codes,0))="Arbeit",INDEX(Arten,MATCH(L31,Codes,0))="Arbeit"),IF(ROUND((1+INDEX(Beginne,MATCH(L31,Codes,0))-INDEX(EndeRel,MATCH(K31,Codes,0)))*1440,0)&lt;660,1,0),0),0))</f>
      </c>
      <c r="M80" s="1">
        <f>IF(OR(M$52=0,L31="",M31=""),0,IFERROR(IF(AND(INDEX(Arten,MATCH(L31,Codes,0))="Arbeit",INDEX(Arten,MATCH(M31,Codes,0))="Arbeit"),IF(ROUND((1+INDEX(Beginne,MATCH(M31,Codes,0))-INDEX(EndeRel,MATCH(L31,Codes,0)))*1440,0)&lt;660,1,0),0),0))</f>
      </c>
      <c r="N80" s="1">
        <f>IF(OR(N$52=0,M31="",N31=""),0,IFERROR(IF(AND(INDEX(Arten,MATCH(M31,Codes,0))="Arbeit",INDEX(Arten,MATCH(N31,Codes,0))="Arbeit"),IF(ROUND((1+INDEX(Beginne,MATCH(N31,Codes,0))-INDEX(EndeRel,MATCH(M31,Codes,0)))*1440,0)&lt;660,1,0),0),0))</f>
      </c>
      <c r="O80" s="1">
        <f>IF(OR(O$52=0,N31="",O31=""),0,IFERROR(IF(AND(INDEX(Arten,MATCH(N31,Codes,0))="Arbeit",INDEX(Arten,MATCH(O31,Codes,0))="Arbeit"),IF(ROUND((1+INDEX(Beginne,MATCH(O31,Codes,0))-INDEX(EndeRel,MATCH(N31,Codes,0)))*1440,0)&lt;660,1,0),0),0))</f>
      </c>
      <c r="P80" s="1">
        <f>IF(OR(P$52=0,O31="",P31=""),0,IFERROR(IF(AND(INDEX(Arten,MATCH(O31,Codes,0))="Arbeit",INDEX(Arten,MATCH(P31,Codes,0))="Arbeit"),IF(ROUND((1+INDEX(Beginne,MATCH(P31,Codes,0))-INDEX(EndeRel,MATCH(O31,Codes,0)))*1440,0)&lt;660,1,0),0),0))</f>
      </c>
      <c r="Q80" s="1">
        <f>IF(OR(Q$52=0,P31="",Q31=""),0,IFERROR(IF(AND(INDEX(Arten,MATCH(P31,Codes,0))="Arbeit",INDEX(Arten,MATCH(Q31,Codes,0))="Arbeit"),IF(ROUND((1+INDEX(Beginne,MATCH(Q31,Codes,0))-INDEX(EndeRel,MATCH(P31,Codes,0)))*1440,0)&lt;660,1,0),0),0))</f>
      </c>
      <c r="R80" s="1">
        <f>IF(OR(R$52=0,Q31="",R31=""),0,IFERROR(IF(AND(INDEX(Arten,MATCH(Q31,Codes,0))="Arbeit",INDEX(Arten,MATCH(R31,Codes,0))="Arbeit"),IF(ROUND((1+INDEX(Beginne,MATCH(R31,Codes,0))-INDEX(EndeRel,MATCH(Q31,Codes,0)))*1440,0)&lt;660,1,0),0),0))</f>
      </c>
      <c r="S80" s="1">
        <f>IF(OR(S$52=0,R31="",S31=""),0,IFERROR(IF(AND(INDEX(Arten,MATCH(R31,Codes,0))="Arbeit",INDEX(Arten,MATCH(S31,Codes,0))="Arbeit"),IF(ROUND((1+INDEX(Beginne,MATCH(S31,Codes,0))-INDEX(EndeRel,MATCH(R31,Codes,0)))*1440,0)&lt;660,1,0),0),0))</f>
      </c>
      <c r="T80" s="1">
        <f>IF(OR(T$52=0,S31="",T31=""),0,IFERROR(IF(AND(INDEX(Arten,MATCH(S31,Codes,0))="Arbeit",INDEX(Arten,MATCH(T31,Codes,0))="Arbeit"),IF(ROUND((1+INDEX(Beginne,MATCH(T31,Codes,0))-INDEX(EndeRel,MATCH(S31,Codes,0)))*1440,0)&lt;660,1,0),0),0))</f>
      </c>
      <c r="U80" s="1">
        <f>IF(OR(U$52=0,T31="",U31=""),0,IFERROR(IF(AND(INDEX(Arten,MATCH(T31,Codes,0))="Arbeit",INDEX(Arten,MATCH(U31,Codes,0))="Arbeit"),IF(ROUND((1+INDEX(Beginne,MATCH(U31,Codes,0))-INDEX(EndeRel,MATCH(T31,Codes,0)))*1440,0)&lt;660,1,0),0),0))</f>
      </c>
      <c r="V80" s="1">
        <f>IF(OR(V$52=0,U31="",V31=""),0,IFERROR(IF(AND(INDEX(Arten,MATCH(U31,Codes,0))="Arbeit",INDEX(Arten,MATCH(V31,Codes,0))="Arbeit"),IF(ROUND((1+INDEX(Beginne,MATCH(V31,Codes,0))-INDEX(EndeRel,MATCH(U31,Codes,0)))*1440,0)&lt;660,1,0),0),0))</f>
      </c>
      <c r="W80" s="1">
        <f>IF(OR(W$52=0,V31="",W31=""),0,IFERROR(IF(AND(INDEX(Arten,MATCH(V31,Codes,0))="Arbeit",INDEX(Arten,MATCH(W31,Codes,0))="Arbeit"),IF(ROUND((1+INDEX(Beginne,MATCH(W31,Codes,0))-INDEX(EndeRel,MATCH(V31,Codes,0)))*1440,0)&lt;660,1,0),0),0))</f>
      </c>
      <c r="X80" s="1">
        <f>IF(OR(X$52=0,W31="",X31=""),0,IFERROR(IF(AND(INDEX(Arten,MATCH(W31,Codes,0))="Arbeit",INDEX(Arten,MATCH(X31,Codes,0))="Arbeit"),IF(ROUND((1+INDEX(Beginne,MATCH(X31,Codes,0))-INDEX(EndeRel,MATCH(W31,Codes,0)))*1440,0)&lt;660,1,0),0),0))</f>
      </c>
      <c r="Y80" s="1">
        <f>IF(OR(Y$52=0,X31="",Y31=""),0,IFERROR(IF(AND(INDEX(Arten,MATCH(X31,Codes,0))="Arbeit",INDEX(Arten,MATCH(Y31,Codes,0))="Arbeit"),IF(ROUND((1+INDEX(Beginne,MATCH(Y31,Codes,0))-INDEX(EndeRel,MATCH(X31,Codes,0)))*1440,0)&lt;660,1,0),0),0))</f>
      </c>
      <c r="Z80" s="1">
        <f>IF(OR(Z$52=0,Y31="",Z31=""),0,IFERROR(IF(AND(INDEX(Arten,MATCH(Y31,Codes,0))="Arbeit",INDEX(Arten,MATCH(Z31,Codes,0))="Arbeit"),IF(ROUND((1+INDEX(Beginne,MATCH(Z31,Codes,0))-INDEX(EndeRel,MATCH(Y31,Codes,0)))*1440,0)&lt;660,1,0),0),0))</f>
      </c>
      <c r="AA80" s="1">
        <f>IF(OR(AA$52=0,Z31="",AA31=""),0,IFERROR(IF(AND(INDEX(Arten,MATCH(Z31,Codes,0))="Arbeit",INDEX(Arten,MATCH(AA31,Codes,0))="Arbeit"),IF(ROUND((1+INDEX(Beginne,MATCH(AA31,Codes,0))-INDEX(EndeRel,MATCH(Z31,Codes,0)))*1440,0)&lt;660,1,0),0),0))</f>
      </c>
      <c r="AB80" s="1">
        <f>IF(OR(AB$52=0,AA31="",AB31=""),0,IFERROR(IF(AND(INDEX(Arten,MATCH(AA31,Codes,0))="Arbeit",INDEX(Arten,MATCH(AB31,Codes,0))="Arbeit"),IF(ROUND((1+INDEX(Beginne,MATCH(AB31,Codes,0))-INDEX(EndeRel,MATCH(AA31,Codes,0)))*1440,0)&lt;660,1,0),0),0))</f>
      </c>
      <c r="AC80" s="1">
        <f>IF(OR(AC$52=0,AB31="",AC31=""),0,IFERROR(IF(AND(INDEX(Arten,MATCH(AB31,Codes,0))="Arbeit",INDEX(Arten,MATCH(AC31,Codes,0))="Arbeit"),IF(ROUND((1+INDEX(Beginne,MATCH(AC31,Codes,0))-INDEX(EndeRel,MATCH(AB31,Codes,0)))*1440,0)&lt;660,1,0),0),0))</f>
      </c>
      <c r="AD80" s="1">
        <f>IF(OR(AD$52=0,AC31="",AD31=""),0,IFERROR(IF(AND(INDEX(Arten,MATCH(AC31,Codes,0))="Arbeit",INDEX(Arten,MATCH(AD31,Codes,0))="Arbeit"),IF(ROUND((1+INDEX(Beginne,MATCH(AD31,Codes,0))-INDEX(EndeRel,MATCH(AC31,Codes,0)))*1440,0)&lt;660,1,0),0),0))</f>
      </c>
      <c r="AE80" s="1">
        <f>IF(OR(AE$52=0,AD31="",AE31=""),0,IFERROR(IF(AND(INDEX(Arten,MATCH(AD31,Codes,0))="Arbeit",INDEX(Arten,MATCH(AE31,Codes,0))="Arbeit"),IF(ROUND((1+INDEX(Beginne,MATCH(AE31,Codes,0))-INDEX(EndeRel,MATCH(AD31,Codes,0)))*1440,0)&lt;660,1,0),0),0))</f>
      </c>
      <c r="AF80" s="1">
        <f>IF(OR(AF$52=0,AE31="",AF31=""),0,IFERROR(IF(AND(INDEX(Arten,MATCH(AE31,Codes,0))="Arbeit",INDEX(Arten,MATCH(AF31,Codes,0))="Arbeit"),IF(ROUND((1+INDEX(Beginne,MATCH(AF31,Codes,0))-INDEX(EndeRel,MATCH(AE31,Codes,0)))*1440,0)&lt;660,1,0),0),0))</f>
      </c>
    </row>
    <row r="81" hidden="1" spans="1:32" x14ac:dyDescent="0.25">
      <c r="A81" s="1"/>
      <c r="B81" s="1">
        <f>IF(OR(B$52=0,INDEX('April'!$B$32:$AF$32,DAY(DATE(Jahr,5,0)))="",B32=""),0,IFERROR(IF(AND(INDEX(Arten,MATCH(INDEX('April'!$B$32:$AF$32,DAY(DATE(Jahr,5,0))),Codes,0))="Arbeit",INDEX(Arten,MATCH(B32,Codes,0))="Arbeit"),IF(ROUND((1+INDEX(Beginne,MATCH(B32,Codes,0))-INDEX(EndeRel,MATCH(INDEX('April'!$B$32:$AF$32,DAY(DATE(Jahr,5,0))),Codes,0)))*1440,0)&lt;660,1,0),0),0))</f>
      </c>
      <c r="C81" s="1">
        <f>IF(OR(C$52=0,B32="",C32=""),0,IFERROR(IF(AND(INDEX(Arten,MATCH(B32,Codes,0))="Arbeit",INDEX(Arten,MATCH(C32,Codes,0))="Arbeit"),IF(ROUND((1+INDEX(Beginne,MATCH(C32,Codes,0))-INDEX(EndeRel,MATCH(B32,Codes,0)))*1440,0)&lt;660,1,0),0),0))</f>
      </c>
      <c r="D81" s="1">
        <f>IF(OR(D$52=0,C32="",D32=""),0,IFERROR(IF(AND(INDEX(Arten,MATCH(C32,Codes,0))="Arbeit",INDEX(Arten,MATCH(D32,Codes,0))="Arbeit"),IF(ROUND((1+INDEX(Beginne,MATCH(D32,Codes,0))-INDEX(EndeRel,MATCH(C32,Codes,0)))*1440,0)&lt;660,1,0),0),0))</f>
      </c>
      <c r="E81" s="1">
        <f>IF(OR(E$52=0,D32="",E32=""),0,IFERROR(IF(AND(INDEX(Arten,MATCH(D32,Codes,0))="Arbeit",INDEX(Arten,MATCH(E32,Codes,0))="Arbeit"),IF(ROUND((1+INDEX(Beginne,MATCH(E32,Codes,0))-INDEX(EndeRel,MATCH(D32,Codes,0)))*1440,0)&lt;660,1,0),0),0))</f>
      </c>
      <c r="F81" s="1">
        <f>IF(OR(F$52=0,E32="",F32=""),0,IFERROR(IF(AND(INDEX(Arten,MATCH(E32,Codes,0))="Arbeit",INDEX(Arten,MATCH(F32,Codes,0))="Arbeit"),IF(ROUND((1+INDEX(Beginne,MATCH(F32,Codes,0))-INDEX(EndeRel,MATCH(E32,Codes,0)))*1440,0)&lt;660,1,0),0),0))</f>
      </c>
      <c r="G81" s="1">
        <f>IF(OR(G$52=0,F32="",G32=""),0,IFERROR(IF(AND(INDEX(Arten,MATCH(F32,Codes,0))="Arbeit",INDEX(Arten,MATCH(G32,Codes,0))="Arbeit"),IF(ROUND((1+INDEX(Beginne,MATCH(G32,Codes,0))-INDEX(EndeRel,MATCH(F32,Codes,0)))*1440,0)&lt;660,1,0),0),0))</f>
      </c>
      <c r="H81" s="1">
        <f>IF(OR(H$52=0,G32="",H32=""),0,IFERROR(IF(AND(INDEX(Arten,MATCH(G32,Codes,0))="Arbeit",INDEX(Arten,MATCH(H32,Codes,0))="Arbeit"),IF(ROUND((1+INDEX(Beginne,MATCH(H32,Codes,0))-INDEX(EndeRel,MATCH(G32,Codes,0)))*1440,0)&lt;660,1,0),0),0))</f>
      </c>
      <c r="I81" s="1">
        <f>IF(OR(I$52=0,H32="",I32=""),0,IFERROR(IF(AND(INDEX(Arten,MATCH(H32,Codes,0))="Arbeit",INDEX(Arten,MATCH(I32,Codes,0))="Arbeit"),IF(ROUND((1+INDEX(Beginne,MATCH(I32,Codes,0))-INDEX(EndeRel,MATCH(H32,Codes,0)))*1440,0)&lt;660,1,0),0),0))</f>
      </c>
      <c r="J81" s="1">
        <f>IF(OR(J$52=0,I32="",J32=""),0,IFERROR(IF(AND(INDEX(Arten,MATCH(I32,Codes,0))="Arbeit",INDEX(Arten,MATCH(J32,Codes,0))="Arbeit"),IF(ROUND((1+INDEX(Beginne,MATCH(J32,Codes,0))-INDEX(EndeRel,MATCH(I32,Codes,0)))*1440,0)&lt;660,1,0),0),0))</f>
      </c>
      <c r="K81" s="1">
        <f>IF(OR(K$52=0,J32="",K32=""),0,IFERROR(IF(AND(INDEX(Arten,MATCH(J32,Codes,0))="Arbeit",INDEX(Arten,MATCH(K32,Codes,0))="Arbeit"),IF(ROUND((1+INDEX(Beginne,MATCH(K32,Codes,0))-INDEX(EndeRel,MATCH(J32,Codes,0)))*1440,0)&lt;660,1,0),0),0))</f>
      </c>
      <c r="L81" s="1">
        <f>IF(OR(L$52=0,K32="",L32=""),0,IFERROR(IF(AND(INDEX(Arten,MATCH(K32,Codes,0))="Arbeit",INDEX(Arten,MATCH(L32,Codes,0))="Arbeit"),IF(ROUND((1+INDEX(Beginne,MATCH(L32,Codes,0))-INDEX(EndeRel,MATCH(K32,Codes,0)))*1440,0)&lt;660,1,0),0),0))</f>
      </c>
      <c r="M81" s="1">
        <f>IF(OR(M$52=0,L32="",M32=""),0,IFERROR(IF(AND(INDEX(Arten,MATCH(L32,Codes,0))="Arbeit",INDEX(Arten,MATCH(M32,Codes,0))="Arbeit"),IF(ROUND((1+INDEX(Beginne,MATCH(M32,Codes,0))-INDEX(EndeRel,MATCH(L32,Codes,0)))*1440,0)&lt;660,1,0),0),0))</f>
      </c>
      <c r="N81" s="1">
        <f>IF(OR(N$52=0,M32="",N32=""),0,IFERROR(IF(AND(INDEX(Arten,MATCH(M32,Codes,0))="Arbeit",INDEX(Arten,MATCH(N32,Codes,0))="Arbeit"),IF(ROUND((1+INDEX(Beginne,MATCH(N32,Codes,0))-INDEX(EndeRel,MATCH(M32,Codes,0)))*1440,0)&lt;660,1,0),0),0))</f>
      </c>
      <c r="O81" s="1">
        <f>IF(OR(O$52=0,N32="",O32=""),0,IFERROR(IF(AND(INDEX(Arten,MATCH(N32,Codes,0))="Arbeit",INDEX(Arten,MATCH(O32,Codes,0))="Arbeit"),IF(ROUND((1+INDEX(Beginne,MATCH(O32,Codes,0))-INDEX(EndeRel,MATCH(N32,Codes,0)))*1440,0)&lt;660,1,0),0),0))</f>
      </c>
      <c r="P81" s="1">
        <f>IF(OR(P$52=0,O32="",P32=""),0,IFERROR(IF(AND(INDEX(Arten,MATCH(O32,Codes,0))="Arbeit",INDEX(Arten,MATCH(P32,Codes,0))="Arbeit"),IF(ROUND((1+INDEX(Beginne,MATCH(P32,Codes,0))-INDEX(EndeRel,MATCH(O32,Codes,0)))*1440,0)&lt;660,1,0),0),0))</f>
      </c>
      <c r="Q81" s="1">
        <f>IF(OR(Q$52=0,P32="",Q32=""),0,IFERROR(IF(AND(INDEX(Arten,MATCH(P32,Codes,0))="Arbeit",INDEX(Arten,MATCH(Q32,Codes,0))="Arbeit"),IF(ROUND((1+INDEX(Beginne,MATCH(Q32,Codes,0))-INDEX(EndeRel,MATCH(P32,Codes,0)))*1440,0)&lt;660,1,0),0),0))</f>
      </c>
      <c r="R81" s="1">
        <f>IF(OR(R$52=0,Q32="",R32=""),0,IFERROR(IF(AND(INDEX(Arten,MATCH(Q32,Codes,0))="Arbeit",INDEX(Arten,MATCH(R32,Codes,0))="Arbeit"),IF(ROUND((1+INDEX(Beginne,MATCH(R32,Codes,0))-INDEX(EndeRel,MATCH(Q32,Codes,0)))*1440,0)&lt;660,1,0),0),0))</f>
      </c>
      <c r="S81" s="1">
        <f>IF(OR(S$52=0,R32="",S32=""),0,IFERROR(IF(AND(INDEX(Arten,MATCH(R32,Codes,0))="Arbeit",INDEX(Arten,MATCH(S32,Codes,0))="Arbeit"),IF(ROUND((1+INDEX(Beginne,MATCH(S32,Codes,0))-INDEX(EndeRel,MATCH(R32,Codes,0)))*1440,0)&lt;660,1,0),0),0))</f>
      </c>
      <c r="T81" s="1">
        <f>IF(OR(T$52=0,S32="",T32=""),0,IFERROR(IF(AND(INDEX(Arten,MATCH(S32,Codes,0))="Arbeit",INDEX(Arten,MATCH(T32,Codes,0))="Arbeit"),IF(ROUND((1+INDEX(Beginne,MATCH(T32,Codes,0))-INDEX(EndeRel,MATCH(S32,Codes,0)))*1440,0)&lt;660,1,0),0),0))</f>
      </c>
      <c r="U81" s="1">
        <f>IF(OR(U$52=0,T32="",U32=""),0,IFERROR(IF(AND(INDEX(Arten,MATCH(T32,Codes,0))="Arbeit",INDEX(Arten,MATCH(U32,Codes,0))="Arbeit"),IF(ROUND((1+INDEX(Beginne,MATCH(U32,Codes,0))-INDEX(EndeRel,MATCH(T32,Codes,0)))*1440,0)&lt;660,1,0),0),0))</f>
      </c>
      <c r="V81" s="1">
        <f>IF(OR(V$52=0,U32="",V32=""),0,IFERROR(IF(AND(INDEX(Arten,MATCH(U32,Codes,0))="Arbeit",INDEX(Arten,MATCH(V32,Codes,0))="Arbeit"),IF(ROUND((1+INDEX(Beginne,MATCH(V32,Codes,0))-INDEX(EndeRel,MATCH(U32,Codes,0)))*1440,0)&lt;660,1,0),0),0))</f>
      </c>
      <c r="W81" s="1">
        <f>IF(OR(W$52=0,V32="",W32=""),0,IFERROR(IF(AND(INDEX(Arten,MATCH(V32,Codes,0))="Arbeit",INDEX(Arten,MATCH(W32,Codes,0))="Arbeit"),IF(ROUND((1+INDEX(Beginne,MATCH(W32,Codes,0))-INDEX(EndeRel,MATCH(V32,Codes,0)))*1440,0)&lt;660,1,0),0),0))</f>
      </c>
      <c r="X81" s="1">
        <f>IF(OR(X$52=0,W32="",X32=""),0,IFERROR(IF(AND(INDEX(Arten,MATCH(W32,Codes,0))="Arbeit",INDEX(Arten,MATCH(X32,Codes,0))="Arbeit"),IF(ROUND((1+INDEX(Beginne,MATCH(X32,Codes,0))-INDEX(EndeRel,MATCH(W32,Codes,0)))*1440,0)&lt;660,1,0),0),0))</f>
      </c>
      <c r="Y81" s="1">
        <f>IF(OR(Y$52=0,X32="",Y32=""),0,IFERROR(IF(AND(INDEX(Arten,MATCH(X32,Codes,0))="Arbeit",INDEX(Arten,MATCH(Y32,Codes,0))="Arbeit"),IF(ROUND((1+INDEX(Beginne,MATCH(Y32,Codes,0))-INDEX(EndeRel,MATCH(X32,Codes,0)))*1440,0)&lt;660,1,0),0),0))</f>
      </c>
      <c r="Z81" s="1">
        <f>IF(OR(Z$52=0,Y32="",Z32=""),0,IFERROR(IF(AND(INDEX(Arten,MATCH(Y32,Codes,0))="Arbeit",INDEX(Arten,MATCH(Z32,Codes,0))="Arbeit"),IF(ROUND((1+INDEX(Beginne,MATCH(Z32,Codes,0))-INDEX(EndeRel,MATCH(Y32,Codes,0)))*1440,0)&lt;660,1,0),0),0))</f>
      </c>
      <c r="AA81" s="1">
        <f>IF(OR(AA$52=0,Z32="",AA32=""),0,IFERROR(IF(AND(INDEX(Arten,MATCH(Z32,Codes,0))="Arbeit",INDEX(Arten,MATCH(AA32,Codes,0))="Arbeit"),IF(ROUND((1+INDEX(Beginne,MATCH(AA32,Codes,0))-INDEX(EndeRel,MATCH(Z32,Codes,0)))*1440,0)&lt;660,1,0),0),0))</f>
      </c>
      <c r="AB81" s="1">
        <f>IF(OR(AB$52=0,AA32="",AB32=""),0,IFERROR(IF(AND(INDEX(Arten,MATCH(AA32,Codes,0))="Arbeit",INDEX(Arten,MATCH(AB32,Codes,0))="Arbeit"),IF(ROUND((1+INDEX(Beginne,MATCH(AB32,Codes,0))-INDEX(EndeRel,MATCH(AA32,Codes,0)))*1440,0)&lt;660,1,0),0),0))</f>
      </c>
      <c r="AC81" s="1">
        <f>IF(OR(AC$52=0,AB32="",AC32=""),0,IFERROR(IF(AND(INDEX(Arten,MATCH(AB32,Codes,0))="Arbeit",INDEX(Arten,MATCH(AC32,Codes,0))="Arbeit"),IF(ROUND((1+INDEX(Beginne,MATCH(AC32,Codes,0))-INDEX(EndeRel,MATCH(AB32,Codes,0)))*1440,0)&lt;660,1,0),0),0))</f>
      </c>
      <c r="AD81" s="1">
        <f>IF(OR(AD$52=0,AC32="",AD32=""),0,IFERROR(IF(AND(INDEX(Arten,MATCH(AC32,Codes,0))="Arbeit",INDEX(Arten,MATCH(AD32,Codes,0))="Arbeit"),IF(ROUND((1+INDEX(Beginne,MATCH(AD32,Codes,0))-INDEX(EndeRel,MATCH(AC32,Codes,0)))*1440,0)&lt;660,1,0),0),0))</f>
      </c>
      <c r="AE81" s="1">
        <f>IF(OR(AE$52=0,AD32="",AE32=""),0,IFERROR(IF(AND(INDEX(Arten,MATCH(AD32,Codes,0))="Arbeit",INDEX(Arten,MATCH(AE32,Codes,0))="Arbeit"),IF(ROUND((1+INDEX(Beginne,MATCH(AE32,Codes,0))-INDEX(EndeRel,MATCH(AD32,Codes,0)))*1440,0)&lt;660,1,0),0),0))</f>
      </c>
      <c r="AF81" s="1">
        <f>IF(OR(AF$52=0,AE32="",AF32=""),0,IFERROR(IF(AND(INDEX(Arten,MATCH(AE32,Codes,0))="Arbeit",INDEX(Arten,MATCH(AF32,Codes,0))="Arbeit"),IF(ROUND((1+INDEX(Beginne,MATCH(AF32,Codes,0))-INDEX(EndeRel,MATCH(AE32,Codes,0)))*1440,0)&lt;660,1,0),0),0))</f>
      </c>
    </row>
    <row r="82" hidden="1" spans="1:32" x14ac:dyDescent="0.25">
      <c r="A82" s="1"/>
      <c r="B82" s="1">
        <f>IF(OR(B$52=0,INDEX('April'!$B$33:$AF$33,DAY(DATE(Jahr,5,0)))="",B33=""),0,IFERROR(IF(AND(INDEX(Arten,MATCH(INDEX('April'!$B$33:$AF$33,DAY(DATE(Jahr,5,0))),Codes,0))="Arbeit",INDEX(Arten,MATCH(B33,Codes,0))="Arbeit"),IF(ROUND((1+INDEX(Beginne,MATCH(B33,Codes,0))-INDEX(EndeRel,MATCH(INDEX('April'!$B$33:$AF$33,DAY(DATE(Jahr,5,0))),Codes,0)))*1440,0)&lt;660,1,0),0),0))</f>
      </c>
      <c r="C82" s="1">
        <f>IF(OR(C$52=0,B33="",C33=""),0,IFERROR(IF(AND(INDEX(Arten,MATCH(B33,Codes,0))="Arbeit",INDEX(Arten,MATCH(C33,Codes,0))="Arbeit"),IF(ROUND((1+INDEX(Beginne,MATCH(C33,Codes,0))-INDEX(EndeRel,MATCH(B33,Codes,0)))*1440,0)&lt;660,1,0),0),0))</f>
      </c>
      <c r="D82" s="1">
        <f>IF(OR(D$52=0,C33="",D33=""),0,IFERROR(IF(AND(INDEX(Arten,MATCH(C33,Codes,0))="Arbeit",INDEX(Arten,MATCH(D33,Codes,0))="Arbeit"),IF(ROUND((1+INDEX(Beginne,MATCH(D33,Codes,0))-INDEX(EndeRel,MATCH(C33,Codes,0)))*1440,0)&lt;660,1,0),0),0))</f>
      </c>
      <c r="E82" s="1">
        <f>IF(OR(E$52=0,D33="",E33=""),0,IFERROR(IF(AND(INDEX(Arten,MATCH(D33,Codes,0))="Arbeit",INDEX(Arten,MATCH(E33,Codes,0))="Arbeit"),IF(ROUND((1+INDEX(Beginne,MATCH(E33,Codes,0))-INDEX(EndeRel,MATCH(D33,Codes,0)))*1440,0)&lt;660,1,0),0),0))</f>
      </c>
      <c r="F82" s="1">
        <f>IF(OR(F$52=0,E33="",F33=""),0,IFERROR(IF(AND(INDEX(Arten,MATCH(E33,Codes,0))="Arbeit",INDEX(Arten,MATCH(F33,Codes,0))="Arbeit"),IF(ROUND((1+INDEX(Beginne,MATCH(F33,Codes,0))-INDEX(EndeRel,MATCH(E33,Codes,0)))*1440,0)&lt;660,1,0),0),0))</f>
      </c>
      <c r="G82" s="1">
        <f>IF(OR(G$52=0,F33="",G33=""),0,IFERROR(IF(AND(INDEX(Arten,MATCH(F33,Codes,0))="Arbeit",INDEX(Arten,MATCH(G33,Codes,0))="Arbeit"),IF(ROUND((1+INDEX(Beginne,MATCH(G33,Codes,0))-INDEX(EndeRel,MATCH(F33,Codes,0)))*1440,0)&lt;660,1,0),0),0))</f>
      </c>
      <c r="H82" s="1">
        <f>IF(OR(H$52=0,G33="",H33=""),0,IFERROR(IF(AND(INDEX(Arten,MATCH(G33,Codes,0))="Arbeit",INDEX(Arten,MATCH(H33,Codes,0))="Arbeit"),IF(ROUND((1+INDEX(Beginne,MATCH(H33,Codes,0))-INDEX(EndeRel,MATCH(G33,Codes,0)))*1440,0)&lt;660,1,0),0),0))</f>
      </c>
      <c r="I82" s="1">
        <f>IF(OR(I$52=0,H33="",I33=""),0,IFERROR(IF(AND(INDEX(Arten,MATCH(H33,Codes,0))="Arbeit",INDEX(Arten,MATCH(I33,Codes,0))="Arbeit"),IF(ROUND((1+INDEX(Beginne,MATCH(I33,Codes,0))-INDEX(EndeRel,MATCH(H33,Codes,0)))*1440,0)&lt;660,1,0),0),0))</f>
      </c>
      <c r="J82" s="1">
        <f>IF(OR(J$52=0,I33="",J33=""),0,IFERROR(IF(AND(INDEX(Arten,MATCH(I33,Codes,0))="Arbeit",INDEX(Arten,MATCH(J33,Codes,0))="Arbeit"),IF(ROUND((1+INDEX(Beginne,MATCH(J33,Codes,0))-INDEX(EndeRel,MATCH(I33,Codes,0)))*1440,0)&lt;660,1,0),0),0))</f>
      </c>
      <c r="K82" s="1">
        <f>IF(OR(K$52=0,J33="",K33=""),0,IFERROR(IF(AND(INDEX(Arten,MATCH(J33,Codes,0))="Arbeit",INDEX(Arten,MATCH(K33,Codes,0))="Arbeit"),IF(ROUND((1+INDEX(Beginne,MATCH(K33,Codes,0))-INDEX(EndeRel,MATCH(J33,Codes,0)))*1440,0)&lt;660,1,0),0),0))</f>
      </c>
      <c r="L82" s="1">
        <f>IF(OR(L$52=0,K33="",L33=""),0,IFERROR(IF(AND(INDEX(Arten,MATCH(K33,Codes,0))="Arbeit",INDEX(Arten,MATCH(L33,Codes,0))="Arbeit"),IF(ROUND((1+INDEX(Beginne,MATCH(L33,Codes,0))-INDEX(EndeRel,MATCH(K33,Codes,0)))*1440,0)&lt;660,1,0),0),0))</f>
      </c>
      <c r="M82" s="1">
        <f>IF(OR(M$52=0,L33="",M33=""),0,IFERROR(IF(AND(INDEX(Arten,MATCH(L33,Codes,0))="Arbeit",INDEX(Arten,MATCH(M33,Codes,0))="Arbeit"),IF(ROUND((1+INDEX(Beginne,MATCH(M33,Codes,0))-INDEX(EndeRel,MATCH(L33,Codes,0)))*1440,0)&lt;660,1,0),0),0))</f>
      </c>
      <c r="N82" s="1">
        <f>IF(OR(N$52=0,M33="",N33=""),0,IFERROR(IF(AND(INDEX(Arten,MATCH(M33,Codes,0))="Arbeit",INDEX(Arten,MATCH(N33,Codes,0))="Arbeit"),IF(ROUND((1+INDEX(Beginne,MATCH(N33,Codes,0))-INDEX(EndeRel,MATCH(M33,Codes,0)))*1440,0)&lt;660,1,0),0),0))</f>
      </c>
      <c r="O82" s="1">
        <f>IF(OR(O$52=0,N33="",O33=""),0,IFERROR(IF(AND(INDEX(Arten,MATCH(N33,Codes,0))="Arbeit",INDEX(Arten,MATCH(O33,Codes,0))="Arbeit"),IF(ROUND((1+INDEX(Beginne,MATCH(O33,Codes,0))-INDEX(EndeRel,MATCH(N33,Codes,0)))*1440,0)&lt;660,1,0),0),0))</f>
      </c>
      <c r="P82" s="1">
        <f>IF(OR(P$52=0,O33="",P33=""),0,IFERROR(IF(AND(INDEX(Arten,MATCH(O33,Codes,0))="Arbeit",INDEX(Arten,MATCH(P33,Codes,0))="Arbeit"),IF(ROUND((1+INDEX(Beginne,MATCH(P33,Codes,0))-INDEX(EndeRel,MATCH(O33,Codes,0)))*1440,0)&lt;660,1,0),0),0))</f>
      </c>
      <c r="Q82" s="1">
        <f>IF(OR(Q$52=0,P33="",Q33=""),0,IFERROR(IF(AND(INDEX(Arten,MATCH(P33,Codes,0))="Arbeit",INDEX(Arten,MATCH(Q33,Codes,0))="Arbeit"),IF(ROUND((1+INDEX(Beginne,MATCH(Q33,Codes,0))-INDEX(EndeRel,MATCH(P33,Codes,0)))*1440,0)&lt;660,1,0),0),0))</f>
      </c>
      <c r="R82" s="1">
        <f>IF(OR(R$52=0,Q33="",R33=""),0,IFERROR(IF(AND(INDEX(Arten,MATCH(Q33,Codes,0))="Arbeit",INDEX(Arten,MATCH(R33,Codes,0))="Arbeit"),IF(ROUND((1+INDEX(Beginne,MATCH(R33,Codes,0))-INDEX(EndeRel,MATCH(Q33,Codes,0)))*1440,0)&lt;660,1,0),0),0))</f>
      </c>
      <c r="S82" s="1">
        <f>IF(OR(S$52=0,R33="",S33=""),0,IFERROR(IF(AND(INDEX(Arten,MATCH(R33,Codes,0))="Arbeit",INDEX(Arten,MATCH(S33,Codes,0))="Arbeit"),IF(ROUND((1+INDEX(Beginne,MATCH(S33,Codes,0))-INDEX(EndeRel,MATCH(R33,Codes,0)))*1440,0)&lt;660,1,0),0),0))</f>
      </c>
      <c r="T82" s="1">
        <f>IF(OR(T$52=0,S33="",T33=""),0,IFERROR(IF(AND(INDEX(Arten,MATCH(S33,Codes,0))="Arbeit",INDEX(Arten,MATCH(T33,Codes,0))="Arbeit"),IF(ROUND((1+INDEX(Beginne,MATCH(T33,Codes,0))-INDEX(EndeRel,MATCH(S33,Codes,0)))*1440,0)&lt;660,1,0),0),0))</f>
      </c>
      <c r="U82" s="1">
        <f>IF(OR(U$52=0,T33="",U33=""),0,IFERROR(IF(AND(INDEX(Arten,MATCH(T33,Codes,0))="Arbeit",INDEX(Arten,MATCH(U33,Codes,0))="Arbeit"),IF(ROUND((1+INDEX(Beginne,MATCH(U33,Codes,0))-INDEX(EndeRel,MATCH(T33,Codes,0)))*1440,0)&lt;660,1,0),0),0))</f>
      </c>
      <c r="V82" s="1">
        <f>IF(OR(V$52=0,U33="",V33=""),0,IFERROR(IF(AND(INDEX(Arten,MATCH(U33,Codes,0))="Arbeit",INDEX(Arten,MATCH(V33,Codes,0))="Arbeit"),IF(ROUND((1+INDEX(Beginne,MATCH(V33,Codes,0))-INDEX(EndeRel,MATCH(U33,Codes,0)))*1440,0)&lt;660,1,0),0),0))</f>
      </c>
      <c r="W82" s="1">
        <f>IF(OR(W$52=0,V33="",W33=""),0,IFERROR(IF(AND(INDEX(Arten,MATCH(V33,Codes,0))="Arbeit",INDEX(Arten,MATCH(W33,Codes,0))="Arbeit"),IF(ROUND((1+INDEX(Beginne,MATCH(W33,Codes,0))-INDEX(EndeRel,MATCH(V33,Codes,0)))*1440,0)&lt;660,1,0),0),0))</f>
      </c>
      <c r="X82" s="1">
        <f>IF(OR(X$52=0,W33="",X33=""),0,IFERROR(IF(AND(INDEX(Arten,MATCH(W33,Codes,0))="Arbeit",INDEX(Arten,MATCH(X33,Codes,0))="Arbeit"),IF(ROUND((1+INDEX(Beginne,MATCH(X33,Codes,0))-INDEX(EndeRel,MATCH(W33,Codes,0)))*1440,0)&lt;660,1,0),0),0))</f>
      </c>
      <c r="Y82" s="1">
        <f>IF(OR(Y$52=0,X33="",Y33=""),0,IFERROR(IF(AND(INDEX(Arten,MATCH(X33,Codes,0))="Arbeit",INDEX(Arten,MATCH(Y33,Codes,0))="Arbeit"),IF(ROUND((1+INDEX(Beginne,MATCH(Y33,Codes,0))-INDEX(EndeRel,MATCH(X33,Codes,0)))*1440,0)&lt;660,1,0),0),0))</f>
      </c>
      <c r="Z82" s="1">
        <f>IF(OR(Z$52=0,Y33="",Z33=""),0,IFERROR(IF(AND(INDEX(Arten,MATCH(Y33,Codes,0))="Arbeit",INDEX(Arten,MATCH(Z33,Codes,0))="Arbeit"),IF(ROUND((1+INDEX(Beginne,MATCH(Z33,Codes,0))-INDEX(EndeRel,MATCH(Y33,Codes,0)))*1440,0)&lt;660,1,0),0),0))</f>
      </c>
      <c r="AA82" s="1">
        <f>IF(OR(AA$52=0,Z33="",AA33=""),0,IFERROR(IF(AND(INDEX(Arten,MATCH(Z33,Codes,0))="Arbeit",INDEX(Arten,MATCH(AA33,Codes,0))="Arbeit"),IF(ROUND((1+INDEX(Beginne,MATCH(AA33,Codes,0))-INDEX(EndeRel,MATCH(Z33,Codes,0)))*1440,0)&lt;660,1,0),0),0))</f>
      </c>
      <c r="AB82" s="1">
        <f>IF(OR(AB$52=0,AA33="",AB33=""),0,IFERROR(IF(AND(INDEX(Arten,MATCH(AA33,Codes,0))="Arbeit",INDEX(Arten,MATCH(AB33,Codes,0))="Arbeit"),IF(ROUND((1+INDEX(Beginne,MATCH(AB33,Codes,0))-INDEX(EndeRel,MATCH(AA33,Codes,0)))*1440,0)&lt;660,1,0),0),0))</f>
      </c>
      <c r="AC82" s="1">
        <f>IF(OR(AC$52=0,AB33="",AC33=""),0,IFERROR(IF(AND(INDEX(Arten,MATCH(AB33,Codes,0))="Arbeit",INDEX(Arten,MATCH(AC33,Codes,0))="Arbeit"),IF(ROUND((1+INDEX(Beginne,MATCH(AC33,Codes,0))-INDEX(EndeRel,MATCH(AB33,Codes,0)))*1440,0)&lt;660,1,0),0),0))</f>
      </c>
      <c r="AD82" s="1">
        <f>IF(OR(AD$52=0,AC33="",AD33=""),0,IFERROR(IF(AND(INDEX(Arten,MATCH(AC33,Codes,0))="Arbeit",INDEX(Arten,MATCH(AD33,Codes,0))="Arbeit"),IF(ROUND((1+INDEX(Beginne,MATCH(AD33,Codes,0))-INDEX(EndeRel,MATCH(AC33,Codes,0)))*1440,0)&lt;660,1,0),0),0))</f>
      </c>
      <c r="AE82" s="1">
        <f>IF(OR(AE$52=0,AD33="",AE33=""),0,IFERROR(IF(AND(INDEX(Arten,MATCH(AD33,Codes,0))="Arbeit",INDEX(Arten,MATCH(AE33,Codes,0))="Arbeit"),IF(ROUND((1+INDEX(Beginne,MATCH(AE33,Codes,0))-INDEX(EndeRel,MATCH(AD33,Codes,0)))*1440,0)&lt;660,1,0),0),0))</f>
      </c>
      <c r="AF82" s="1">
        <f>IF(OR(AF$52=0,AE33="",AF33=""),0,IFERROR(IF(AND(INDEX(Arten,MATCH(AE33,Codes,0))="Arbeit",INDEX(Arten,MATCH(AF33,Codes,0))="Arbeit"),IF(ROUND((1+INDEX(Beginne,MATCH(AF33,Codes,0))-INDEX(EndeRel,MATCH(AE33,Codes,0)))*1440,0)&lt;660,1,0),0),0))</f>
      </c>
    </row>
    <row r="83" hidden="1" spans="1:32" x14ac:dyDescent="0.25">
      <c r="A83" s="1"/>
      <c r="B83" s="1">
        <f>IF(OR(B$52=0,INDEX('April'!$B$34:$AF$34,DAY(DATE(Jahr,5,0)))="",B34=""),0,IFERROR(IF(AND(INDEX(Arten,MATCH(INDEX('April'!$B$34:$AF$34,DAY(DATE(Jahr,5,0))),Codes,0))="Arbeit",INDEX(Arten,MATCH(B34,Codes,0))="Arbeit"),IF(ROUND((1+INDEX(Beginne,MATCH(B34,Codes,0))-INDEX(EndeRel,MATCH(INDEX('April'!$B$34:$AF$34,DAY(DATE(Jahr,5,0))),Codes,0)))*1440,0)&lt;660,1,0),0),0))</f>
      </c>
      <c r="C83" s="1">
        <f>IF(OR(C$52=0,B34="",C34=""),0,IFERROR(IF(AND(INDEX(Arten,MATCH(B34,Codes,0))="Arbeit",INDEX(Arten,MATCH(C34,Codes,0))="Arbeit"),IF(ROUND((1+INDEX(Beginne,MATCH(C34,Codes,0))-INDEX(EndeRel,MATCH(B34,Codes,0)))*1440,0)&lt;660,1,0),0),0))</f>
      </c>
      <c r="D83" s="1">
        <f>IF(OR(D$52=0,C34="",D34=""),0,IFERROR(IF(AND(INDEX(Arten,MATCH(C34,Codes,0))="Arbeit",INDEX(Arten,MATCH(D34,Codes,0))="Arbeit"),IF(ROUND((1+INDEX(Beginne,MATCH(D34,Codes,0))-INDEX(EndeRel,MATCH(C34,Codes,0)))*1440,0)&lt;660,1,0),0),0))</f>
      </c>
      <c r="E83" s="1">
        <f>IF(OR(E$52=0,D34="",E34=""),0,IFERROR(IF(AND(INDEX(Arten,MATCH(D34,Codes,0))="Arbeit",INDEX(Arten,MATCH(E34,Codes,0))="Arbeit"),IF(ROUND((1+INDEX(Beginne,MATCH(E34,Codes,0))-INDEX(EndeRel,MATCH(D34,Codes,0)))*1440,0)&lt;660,1,0),0),0))</f>
      </c>
      <c r="F83" s="1">
        <f>IF(OR(F$52=0,E34="",F34=""),0,IFERROR(IF(AND(INDEX(Arten,MATCH(E34,Codes,0))="Arbeit",INDEX(Arten,MATCH(F34,Codes,0))="Arbeit"),IF(ROUND((1+INDEX(Beginne,MATCH(F34,Codes,0))-INDEX(EndeRel,MATCH(E34,Codes,0)))*1440,0)&lt;660,1,0),0),0))</f>
      </c>
      <c r="G83" s="1">
        <f>IF(OR(G$52=0,F34="",G34=""),0,IFERROR(IF(AND(INDEX(Arten,MATCH(F34,Codes,0))="Arbeit",INDEX(Arten,MATCH(G34,Codes,0))="Arbeit"),IF(ROUND((1+INDEX(Beginne,MATCH(G34,Codes,0))-INDEX(EndeRel,MATCH(F34,Codes,0)))*1440,0)&lt;660,1,0),0),0))</f>
      </c>
      <c r="H83" s="1">
        <f>IF(OR(H$52=0,G34="",H34=""),0,IFERROR(IF(AND(INDEX(Arten,MATCH(G34,Codes,0))="Arbeit",INDEX(Arten,MATCH(H34,Codes,0))="Arbeit"),IF(ROUND((1+INDEX(Beginne,MATCH(H34,Codes,0))-INDEX(EndeRel,MATCH(G34,Codes,0)))*1440,0)&lt;660,1,0),0),0))</f>
      </c>
      <c r="I83" s="1">
        <f>IF(OR(I$52=0,H34="",I34=""),0,IFERROR(IF(AND(INDEX(Arten,MATCH(H34,Codes,0))="Arbeit",INDEX(Arten,MATCH(I34,Codes,0))="Arbeit"),IF(ROUND((1+INDEX(Beginne,MATCH(I34,Codes,0))-INDEX(EndeRel,MATCH(H34,Codes,0)))*1440,0)&lt;660,1,0),0),0))</f>
      </c>
      <c r="J83" s="1">
        <f>IF(OR(J$52=0,I34="",J34=""),0,IFERROR(IF(AND(INDEX(Arten,MATCH(I34,Codes,0))="Arbeit",INDEX(Arten,MATCH(J34,Codes,0))="Arbeit"),IF(ROUND((1+INDEX(Beginne,MATCH(J34,Codes,0))-INDEX(EndeRel,MATCH(I34,Codes,0)))*1440,0)&lt;660,1,0),0),0))</f>
      </c>
      <c r="K83" s="1">
        <f>IF(OR(K$52=0,J34="",K34=""),0,IFERROR(IF(AND(INDEX(Arten,MATCH(J34,Codes,0))="Arbeit",INDEX(Arten,MATCH(K34,Codes,0))="Arbeit"),IF(ROUND((1+INDEX(Beginne,MATCH(K34,Codes,0))-INDEX(EndeRel,MATCH(J34,Codes,0)))*1440,0)&lt;660,1,0),0),0))</f>
      </c>
      <c r="L83" s="1">
        <f>IF(OR(L$52=0,K34="",L34=""),0,IFERROR(IF(AND(INDEX(Arten,MATCH(K34,Codes,0))="Arbeit",INDEX(Arten,MATCH(L34,Codes,0))="Arbeit"),IF(ROUND((1+INDEX(Beginne,MATCH(L34,Codes,0))-INDEX(EndeRel,MATCH(K34,Codes,0)))*1440,0)&lt;660,1,0),0),0))</f>
      </c>
      <c r="M83" s="1">
        <f>IF(OR(M$52=0,L34="",M34=""),0,IFERROR(IF(AND(INDEX(Arten,MATCH(L34,Codes,0))="Arbeit",INDEX(Arten,MATCH(M34,Codes,0))="Arbeit"),IF(ROUND((1+INDEX(Beginne,MATCH(M34,Codes,0))-INDEX(EndeRel,MATCH(L34,Codes,0)))*1440,0)&lt;660,1,0),0),0))</f>
      </c>
      <c r="N83" s="1">
        <f>IF(OR(N$52=0,M34="",N34=""),0,IFERROR(IF(AND(INDEX(Arten,MATCH(M34,Codes,0))="Arbeit",INDEX(Arten,MATCH(N34,Codes,0))="Arbeit"),IF(ROUND((1+INDEX(Beginne,MATCH(N34,Codes,0))-INDEX(EndeRel,MATCH(M34,Codes,0)))*1440,0)&lt;660,1,0),0),0))</f>
      </c>
      <c r="O83" s="1">
        <f>IF(OR(O$52=0,N34="",O34=""),0,IFERROR(IF(AND(INDEX(Arten,MATCH(N34,Codes,0))="Arbeit",INDEX(Arten,MATCH(O34,Codes,0))="Arbeit"),IF(ROUND((1+INDEX(Beginne,MATCH(O34,Codes,0))-INDEX(EndeRel,MATCH(N34,Codes,0)))*1440,0)&lt;660,1,0),0),0))</f>
      </c>
      <c r="P83" s="1">
        <f>IF(OR(P$52=0,O34="",P34=""),0,IFERROR(IF(AND(INDEX(Arten,MATCH(O34,Codes,0))="Arbeit",INDEX(Arten,MATCH(P34,Codes,0))="Arbeit"),IF(ROUND((1+INDEX(Beginne,MATCH(P34,Codes,0))-INDEX(EndeRel,MATCH(O34,Codes,0)))*1440,0)&lt;660,1,0),0),0))</f>
      </c>
      <c r="Q83" s="1">
        <f>IF(OR(Q$52=0,P34="",Q34=""),0,IFERROR(IF(AND(INDEX(Arten,MATCH(P34,Codes,0))="Arbeit",INDEX(Arten,MATCH(Q34,Codes,0))="Arbeit"),IF(ROUND((1+INDEX(Beginne,MATCH(Q34,Codes,0))-INDEX(EndeRel,MATCH(P34,Codes,0)))*1440,0)&lt;660,1,0),0),0))</f>
      </c>
      <c r="R83" s="1">
        <f>IF(OR(R$52=0,Q34="",R34=""),0,IFERROR(IF(AND(INDEX(Arten,MATCH(Q34,Codes,0))="Arbeit",INDEX(Arten,MATCH(R34,Codes,0))="Arbeit"),IF(ROUND((1+INDEX(Beginne,MATCH(R34,Codes,0))-INDEX(EndeRel,MATCH(Q34,Codes,0)))*1440,0)&lt;660,1,0),0),0))</f>
      </c>
      <c r="S83" s="1">
        <f>IF(OR(S$52=0,R34="",S34=""),0,IFERROR(IF(AND(INDEX(Arten,MATCH(R34,Codes,0))="Arbeit",INDEX(Arten,MATCH(S34,Codes,0))="Arbeit"),IF(ROUND((1+INDEX(Beginne,MATCH(S34,Codes,0))-INDEX(EndeRel,MATCH(R34,Codes,0)))*1440,0)&lt;660,1,0),0),0))</f>
      </c>
      <c r="T83" s="1">
        <f>IF(OR(T$52=0,S34="",T34=""),0,IFERROR(IF(AND(INDEX(Arten,MATCH(S34,Codes,0))="Arbeit",INDEX(Arten,MATCH(T34,Codes,0))="Arbeit"),IF(ROUND((1+INDEX(Beginne,MATCH(T34,Codes,0))-INDEX(EndeRel,MATCH(S34,Codes,0)))*1440,0)&lt;660,1,0),0),0))</f>
      </c>
      <c r="U83" s="1">
        <f>IF(OR(U$52=0,T34="",U34=""),0,IFERROR(IF(AND(INDEX(Arten,MATCH(T34,Codes,0))="Arbeit",INDEX(Arten,MATCH(U34,Codes,0))="Arbeit"),IF(ROUND((1+INDEX(Beginne,MATCH(U34,Codes,0))-INDEX(EndeRel,MATCH(T34,Codes,0)))*1440,0)&lt;660,1,0),0),0))</f>
      </c>
      <c r="V83" s="1">
        <f>IF(OR(V$52=0,U34="",V34=""),0,IFERROR(IF(AND(INDEX(Arten,MATCH(U34,Codes,0))="Arbeit",INDEX(Arten,MATCH(V34,Codes,0))="Arbeit"),IF(ROUND((1+INDEX(Beginne,MATCH(V34,Codes,0))-INDEX(EndeRel,MATCH(U34,Codes,0)))*1440,0)&lt;660,1,0),0),0))</f>
      </c>
      <c r="W83" s="1">
        <f>IF(OR(W$52=0,V34="",W34=""),0,IFERROR(IF(AND(INDEX(Arten,MATCH(V34,Codes,0))="Arbeit",INDEX(Arten,MATCH(W34,Codes,0))="Arbeit"),IF(ROUND((1+INDEX(Beginne,MATCH(W34,Codes,0))-INDEX(EndeRel,MATCH(V34,Codes,0)))*1440,0)&lt;660,1,0),0),0))</f>
      </c>
      <c r="X83" s="1">
        <f>IF(OR(X$52=0,W34="",X34=""),0,IFERROR(IF(AND(INDEX(Arten,MATCH(W34,Codes,0))="Arbeit",INDEX(Arten,MATCH(X34,Codes,0))="Arbeit"),IF(ROUND((1+INDEX(Beginne,MATCH(X34,Codes,0))-INDEX(EndeRel,MATCH(W34,Codes,0)))*1440,0)&lt;660,1,0),0),0))</f>
      </c>
      <c r="Y83" s="1">
        <f>IF(OR(Y$52=0,X34="",Y34=""),0,IFERROR(IF(AND(INDEX(Arten,MATCH(X34,Codes,0))="Arbeit",INDEX(Arten,MATCH(Y34,Codes,0))="Arbeit"),IF(ROUND((1+INDEX(Beginne,MATCH(Y34,Codes,0))-INDEX(EndeRel,MATCH(X34,Codes,0)))*1440,0)&lt;660,1,0),0),0))</f>
      </c>
      <c r="Z83" s="1">
        <f>IF(OR(Z$52=0,Y34="",Z34=""),0,IFERROR(IF(AND(INDEX(Arten,MATCH(Y34,Codes,0))="Arbeit",INDEX(Arten,MATCH(Z34,Codes,0))="Arbeit"),IF(ROUND((1+INDEX(Beginne,MATCH(Z34,Codes,0))-INDEX(EndeRel,MATCH(Y34,Codes,0)))*1440,0)&lt;660,1,0),0),0))</f>
      </c>
      <c r="AA83" s="1">
        <f>IF(OR(AA$52=0,Z34="",AA34=""),0,IFERROR(IF(AND(INDEX(Arten,MATCH(Z34,Codes,0))="Arbeit",INDEX(Arten,MATCH(AA34,Codes,0))="Arbeit"),IF(ROUND((1+INDEX(Beginne,MATCH(AA34,Codes,0))-INDEX(EndeRel,MATCH(Z34,Codes,0)))*1440,0)&lt;660,1,0),0),0))</f>
      </c>
      <c r="AB83" s="1">
        <f>IF(OR(AB$52=0,AA34="",AB34=""),0,IFERROR(IF(AND(INDEX(Arten,MATCH(AA34,Codes,0))="Arbeit",INDEX(Arten,MATCH(AB34,Codes,0))="Arbeit"),IF(ROUND((1+INDEX(Beginne,MATCH(AB34,Codes,0))-INDEX(EndeRel,MATCH(AA34,Codes,0)))*1440,0)&lt;660,1,0),0),0))</f>
      </c>
      <c r="AC83" s="1">
        <f>IF(OR(AC$52=0,AB34="",AC34=""),0,IFERROR(IF(AND(INDEX(Arten,MATCH(AB34,Codes,0))="Arbeit",INDEX(Arten,MATCH(AC34,Codes,0))="Arbeit"),IF(ROUND((1+INDEX(Beginne,MATCH(AC34,Codes,0))-INDEX(EndeRel,MATCH(AB34,Codes,0)))*1440,0)&lt;660,1,0),0),0))</f>
      </c>
      <c r="AD83" s="1">
        <f>IF(OR(AD$52=0,AC34="",AD34=""),0,IFERROR(IF(AND(INDEX(Arten,MATCH(AC34,Codes,0))="Arbeit",INDEX(Arten,MATCH(AD34,Codes,0))="Arbeit"),IF(ROUND((1+INDEX(Beginne,MATCH(AD34,Codes,0))-INDEX(EndeRel,MATCH(AC34,Codes,0)))*1440,0)&lt;660,1,0),0),0))</f>
      </c>
      <c r="AE83" s="1">
        <f>IF(OR(AE$52=0,AD34="",AE34=""),0,IFERROR(IF(AND(INDEX(Arten,MATCH(AD34,Codes,0))="Arbeit",INDEX(Arten,MATCH(AE34,Codes,0))="Arbeit"),IF(ROUND((1+INDEX(Beginne,MATCH(AE34,Codes,0))-INDEX(EndeRel,MATCH(AD34,Codes,0)))*1440,0)&lt;660,1,0),0),0))</f>
      </c>
      <c r="AF83" s="1">
        <f>IF(OR(AF$52=0,AE34="",AF34=""),0,IFERROR(IF(AND(INDEX(Arten,MATCH(AE34,Codes,0))="Arbeit",INDEX(Arten,MATCH(AF34,Codes,0))="Arbeit"),IF(ROUND((1+INDEX(Beginne,MATCH(AF34,Codes,0))-INDEX(EndeRel,MATCH(AE34,Codes,0)))*1440,0)&lt;660,1,0),0),0))</f>
      </c>
    </row>
    <row r="84" hidden="1" spans="1:32" x14ac:dyDescent="0.25">
      <c r="A84" s="1"/>
      <c r="B84" s="1">
        <f>IF(OR(B$52=0,INDEX('April'!$B$35:$AF$35,DAY(DATE(Jahr,5,0)))="",B35=""),0,IFERROR(IF(AND(INDEX(Arten,MATCH(INDEX('April'!$B$35:$AF$35,DAY(DATE(Jahr,5,0))),Codes,0))="Arbeit",INDEX(Arten,MATCH(B35,Codes,0))="Arbeit"),IF(ROUND((1+INDEX(Beginne,MATCH(B35,Codes,0))-INDEX(EndeRel,MATCH(INDEX('April'!$B$35:$AF$35,DAY(DATE(Jahr,5,0))),Codes,0)))*1440,0)&lt;660,1,0),0),0))</f>
      </c>
      <c r="C84" s="1">
        <f>IF(OR(C$52=0,B35="",C35=""),0,IFERROR(IF(AND(INDEX(Arten,MATCH(B35,Codes,0))="Arbeit",INDEX(Arten,MATCH(C35,Codes,0))="Arbeit"),IF(ROUND((1+INDEX(Beginne,MATCH(C35,Codes,0))-INDEX(EndeRel,MATCH(B35,Codes,0)))*1440,0)&lt;660,1,0),0),0))</f>
      </c>
      <c r="D84" s="1">
        <f>IF(OR(D$52=0,C35="",D35=""),0,IFERROR(IF(AND(INDEX(Arten,MATCH(C35,Codes,0))="Arbeit",INDEX(Arten,MATCH(D35,Codes,0))="Arbeit"),IF(ROUND((1+INDEX(Beginne,MATCH(D35,Codes,0))-INDEX(EndeRel,MATCH(C35,Codes,0)))*1440,0)&lt;660,1,0),0),0))</f>
      </c>
      <c r="E84" s="1">
        <f>IF(OR(E$52=0,D35="",E35=""),0,IFERROR(IF(AND(INDEX(Arten,MATCH(D35,Codes,0))="Arbeit",INDEX(Arten,MATCH(E35,Codes,0))="Arbeit"),IF(ROUND((1+INDEX(Beginne,MATCH(E35,Codes,0))-INDEX(EndeRel,MATCH(D35,Codes,0)))*1440,0)&lt;660,1,0),0),0))</f>
      </c>
      <c r="F84" s="1">
        <f>IF(OR(F$52=0,E35="",F35=""),0,IFERROR(IF(AND(INDEX(Arten,MATCH(E35,Codes,0))="Arbeit",INDEX(Arten,MATCH(F35,Codes,0))="Arbeit"),IF(ROUND((1+INDEX(Beginne,MATCH(F35,Codes,0))-INDEX(EndeRel,MATCH(E35,Codes,0)))*1440,0)&lt;660,1,0),0),0))</f>
      </c>
      <c r="G84" s="1">
        <f>IF(OR(G$52=0,F35="",G35=""),0,IFERROR(IF(AND(INDEX(Arten,MATCH(F35,Codes,0))="Arbeit",INDEX(Arten,MATCH(G35,Codes,0))="Arbeit"),IF(ROUND((1+INDEX(Beginne,MATCH(G35,Codes,0))-INDEX(EndeRel,MATCH(F35,Codes,0)))*1440,0)&lt;660,1,0),0),0))</f>
      </c>
      <c r="H84" s="1">
        <f>IF(OR(H$52=0,G35="",H35=""),0,IFERROR(IF(AND(INDEX(Arten,MATCH(G35,Codes,0))="Arbeit",INDEX(Arten,MATCH(H35,Codes,0))="Arbeit"),IF(ROUND((1+INDEX(Beginne,MATCH(H35,Codes,0))-INDEX(EndeRel,MATCH(G35,Codes,0)))*1440,0)&lt;660,1,0),0),0))</f>
      </c>
      <c r="I84" s="1">
        <f>IF(OR(I$52=0,H35="",I35=""),0,IFERROR(IF(AND(INDEX(Arten,MATCH(H35,Codes,0))="Arbeit",INDEX(Arten,MATCH(I35,Codes,0))="Arbeit"),IF(ROUND((1+INDEX(Beginne,MATCH(I35,Codes,0))-INDEX(EndeRel,MATCH(H35,Codes,0)))*1440,0)&lt;660,1,0),0),0))</f>
      </c>
      <c r="J84" s="1">
        <f>IF(OR(J$52=0,I35="",J35=""),0,IFERROR(IF(AND(INDEX(Arten,MATCH(I35,Codes,0))="Arbeit",INDEX(Arten,MATCH(J35,Codes,0))="Arbeit"),IF(ROUND((1+INDEX(Beginne,MATCH(J35,Codes,0))-INDEX(EndeRel,MATCH(I35,Codes,0)))*1440,0)&lt;660,1,0),0),0))</f>
      </c>
      <c r="K84" s="1">
        <f>IF(OR(K$52=0,J35="",K35=""),0,IFERROR(IF(AND(INDEX(Arten,MATCH(J35,Codes,0))="Arbeit",INDEX(Arten,MATCH(K35,Codes,0))="Arbeit"),IF(ROUND((1+INDEX(Beginne,MATCH(K35,Codes,0))-INDEX(EndeRel,MATCH(J35,Codes,0)))*1440,0)&lt;660,1,0),0),0))</f>
      </c>
      <c r="L84" s="1">
        <f>IF(OR(L$52=0,K35="",L35=""),0,IFERROR(IF(AND(INDEX(Arten,MATCH(K35,Codes,0))="Arbeit",INDEX(Arten,MATCH(L35,Codes,0))="Arbeit"),IF(ROUND((1+INDEX(Beginne,MATCH(L35,Codes,0))-INDEX(EndeRel,MATCH(K35,Codes,0)))*1440,0)&lt;660,1,0),0),0))</f>
      </c>
      <c r="M84" s="1">
        <f>IF(OR(M$52=0,L35="",M35=""),0,IFERROR(IF(AND(INDEX(Arten,MATCH(L35,Codes,0))="Arbeit",INDEX(Arten,MATCH(M35,Codes,0))="Arbeit"),IF(ROUND((1+INDEX(Beginne,MATCH(M35,Codes,0))-INDEX(EndeRel,MATCH(L35,Codes,0)))*1440,0)&lt;660,1,0),0),0))</f>
      </c>
      <c r="N84" s="1">
        <f>IF(OR(N$52=0,M35="",N35=""),0,IFERROR(IF(AND(INDEX(Arten,MATCH(M35,Codes,0))="Arbeit",INDEX(Arten,MATCH(N35,Codes,0))="Arbeit"),IF(ROUND((1+INDEX(Beginne,MATCH(N35,Codes,0))-INDEX(EndeRel,MATCH(M35,Codes,0)))*1440,0)&lt;660,1,0),0),0))</f>
      </c>
      <c r="O84" s="1">
        <f>IF(OR(O$52=0,N35="",O35=""),0,IFERROR(IF(AND(INDEX(Arten,MATCH(N35,Codes,0))="Arbeit",INDEX(Arten,MATCH(O35,Codes,0))="Arbeit"),IF(ROUND((1+INDEX(Beginne,MATCH(O35,Codes,0))-INDEX(EndeRel,MATCH(N35,Codes,0)))*1440,0)&lt;660,1,0),0),0))</f>
      </c>
      <c r="P84" s="1">
        <f>IF(OR(P$52=0,O35="",P35=""),0,IFERROR(IF(AND(INDEX(Arten,MATCH(O35,Codes,0))="Arbeit",INDEX(Arten,MATCH(P35,Codes,0))="Arbeit"),IF(ROUND((1+INDEX(Beginne,MATCH(P35,Codes,0))-INDEX(EndeRel,MATCH(O35,Codes,0)))*1440,0)&lt;660,1,0),0),0))</f>
      </c>
      <c r="Q84" s="1">
        <f>IF(OR(Q$52=0,P35="",Q35=""),0,IFERROR(IF(AND(INDEX(Arten,MATCH(P35,Codes,0))="Arbeit",INDEX(Arten,MATCH(Q35,Codes,0))="Arbeit"),IF(ROUND((1+INDEX(Beginne,MATCH(Q35,Codes,0))-INDEX(EndeRel,MATCH(P35,Codes,0)))*1440,0)&lt;660,1,0),0),0))</f>
      </c>
      <c r="R84" s="1">
        <f>IF(OR(R$52=0,Q35="",R35=""),0,IFERROR(IF(AND(INDEX(Arten,MATCH(Q35,Codes,0))="Arbeit",INDEX(Arten,MATCH(R35,Codes,0))="Arbeit"),IF(ROUND((1+INDEX(Beginne,MATCH(R35,Codes,0))-INDEX(EndeRel,MATCH(Q35,Codes,0)))*1440,0)&lt;660,1,0),0),0))</f>
      </c>
      <c r="S84" s="1">
        <f>IF(OR(S$52=0,R35="",S35=""),0,IFERROR(IF(AND(INDEX(Arten,MATCH(R35,Codes,0))="Arbeit",INDEX(Arten,MATCH(S35,Codes,0))="Arbeit"),IF(ROUND((1+INDEX(Beginne,MATCH(S35,Codes,0))-INDEX(EndeRel,MATCH(R35,Codes,0)))*1440,0)&lt;660,1,0),0),0))</f>
      </c>
      <c r="T84" s="1">
        <f>IF(OR(T$52=0,S35="",T35=""),0,IFERROR(IF(AND(INDEX(Arten,MATCH(S35,Codes,0))="Arbeit",INDEX(Arten,MATCH(T35,Codes,0))="Arbeit"),IF(ROUND((1+INDEX(Beginne,MATCH(T35,Codes,0))-INDEX(EndeRel,MATCH(S35,Codes,0)))*1440,0)&lt;660,1,0),0),0))</f>
      </c>
      <c r="U84" s="1">
        <f>IF(OR(U$52=0,T35="",U35=""),0,IFERROR(IF(AND(INDEX(Arten,MATCH(T35,Codes,0))="Arbeit",INDEX(Arten,MATCH(U35,Codes,0))="Arbeit"),IF(ROUND((1+INDEX(Beginne,MATCH(U35,Codes,0))-INDEX(EndeRel,MATCH(T35,Codes,0)))*1440,0)&lt;660,1,0),0),0))</f>
      </c>
      <c r="V84" s="1">
        <f>IF(OR(V$52=0,U35="",V35=""),0,IFERROR(IF(AND(INDEX(Arten,MATCH(U35,Codes,0))="Arbeit",INDEX(Arten,MATCH(V35,Codes,0))="Arbeit"),IF(ROUND((1+INDEX(Beginne,MATCH(V35,Codes,0))-INDEX(EndeRel,MATCH(U35,Codes,0)))*1440,0)&lt;660,1,0),0),0))</f>
      </c>
      <c r="W84" s="1">
        <f>IF(OR(W$52=0,V35="",W35=""),0,IFERROR(IF(AND(INDEX(Arten,MATCH(V35,Codes,0))="Arbeit",INDEX(Arten,MATCH(W35,Codes,0))="Arbeit"),IF(ROUND((1+INDEX(Beginne,MATCH(W35,Codes,0))-INDEX(EndeRel,MATCH(V35,Codes,0)))*1440,0)&lt;660,1,0),0),0))</f>
      </c>
      <c r="X84" s="1">
        <f>IF(OR(X$52=0,W35="",X35=""),0,IFERROR(IF(AND(INDEX(Arten,MATCH(W35,Codes,0))="Arbeit",INDEX(Arten,MATCH(X35,Codes,0))="Arbeit"),IF(ROUND((1+INDEX(Beginne,MATCH(X35,Codes,0))-INDEX(EndeRel,MATCH(W35,Codes,0)))*1440,0)&lt;660,1,0),0),0))</f>
      </c>
      <c r="Y84" s="1">
        <f>IF(OR(Y$52=0,X35="",Y35=""),0,IFERROR(IF(AND(INDEX(Arten,MATCH(X35,Codes,0))="Arbeit",INDEX(Arten,MATCH(Y35,Codes,0))="Arbeit"),IF(ROUND((1+INDEX(Beginne,MATCH(Y35,Codes,0))-INDEX(EndeRel,MATCH(X35,Codes,0)))*1440,0)&lt;660,1,0),0),0))</f>
      </c>
      <c r="Z84" s="1">
        <f>IF(OR(Z$52=0,Y35="",Z35=""),0,IFERROR(IF(AND(INDEX(Arten,MATCH(Y35,Codes,0))="Arbeit",INDEX(Arten,MATCH(Z35,Codes,0))="Arbeit"),IF(ROUND((1+INDEX(Beginne,MATCH(Z35,Codes,0))-INDEX(EndeRel,MATCH(Y35,Codes,0)))*1440,0)&lt;660,1,0),0),0))</f>
      </c>
      <c r="AA84" s="1">
        <f>IF(OR(AA$52=0,Z35="",AA35=""),0,IFERROR(IF(AND(INDEX(Arten,MATCH(Z35,Codes,0))="Arbeit",INDEX(Arten,MATCH(AA35,Codes,0))="Arbeit"),IF(ROUND((1+INDEX(Beginne,MATCH(AA35,Codes,0))-INDEX(EndeRel,MATCH(Z35,Codes,0)))*1440,0)&lt;660,1,0),0),0))</f>
      </c>
      <c r="AB84" s="1">
        <f>IF(OR(AB$52=0,AA35="",AB35=""),0,IFERROR(IF(AND(INDEX(Arten,MATCH(AA35,Codes,0))="Arbeit",INDEX(Arten,MATCH(AB35,Codes,0))="Arbeit"),IF(ROUND((1+INDEX(Beginne,MATCH(AB35,Codes,0))-INDEX(EndeRel,MATCH(AA35,Codes,0)))*1440,0)&lt;660,1,0),0),0))</f>
      </c>
      <c r="AC84" s="1">
        <f>IF(OR(AC$52=0,AB35="",AC35=""),0,IFERROR(IF(AND(INDEX(Arten,MATCH(AB35,Codes,0))="Arbeit",INDEX(Arten,MATCH(AC35,Codes,0))="Arbeit"),IF(ROUND((1+INDEX(Beginne,MATCH(AC35,Codes,0))-INDEX(EndeRel,MATCH(AB35,Codes,0)))*1440,0)&lt;660,1,0),0),0))</f>
      </c>
      <c r="AD84" s="1">
        <f>IF(OR(AD$52=0,AC35="",AD35=""),0,IFERROR(IF(AND(INDEX(Arten,MATCH(AC35,Codes,0))="Arbeit",INDEX(Arten,MATCH(AD35,Codes,0))="Arbeit"),IF(ROUND((1+INDEX(Beginne,MATCH(AD35,Codes,0))-INDEX(EndeRel,MATCH(AC35,Codes,0)))*1440,0)&lt;660,1,0),0),0))</f>
      </c>
      <c r="AE84" s="1">
        <f>IF(OR(AE$52=0,AD35="",AE35=""),0,IFERROR(IF(AND(INDEX(Arten,MATCH(AD35,Codes,0))="Arbeit",INDEX(Arten,MATCH(AE35,Codes,0))="Arbeit"),IF(ROUND((1+INDEX(Beginne,MATCH(AE35,Codes,0))-INDEX(EndeRel,MATCH(AD35,Codes,0)))*1440,0)&lt;660,1,0),0),0))</f>
      </c>
      <c r="AF84" s="1">
        <f>IF(OR(AF$52=0,AE35="",AF35=""),0,IFERROR(IF(AND(INDEX(Arten,MATCH(AE35,Codes,0))="Arbeit",INDEX(Arten,MATCH(AF35,Codes,0))="Arbeit"),IF(ROUND((1+INDEX(Beginne,MATCH(AF35,Codes,0))-INDEX(EndeRel,MATCH(AE35,Codes,0)))*1440,0)&lt;660,1,0),0),0))</f>
      </c>
    </row>
    <row r="86" hidden="1" spans="1:32" x14ac:dyDescent="0.25">
      <c r="A86" s="1"/>
      <c r="B86" s="1">
        <f>IF($AM38="","",IF(OR(B$51&gt;=6,B$50=1),N(INDEX(MinFrei,MATCH(1,ArbeitNr,0))),N(INDEX(MinWerktag,MATCH(1,ArbeitNr,0)))))</f>
      </c>
      <c r="C86" s="1">
        <f>IF($AM38="","",IF(OR(C$51&gt;=6,C$50=1),N(INDEX(MinFrei,MATCH(1,ArbeitNr,0))),N(INDEX(MinWerktag,MATCH(1,ArbeitNr,0)))))</f>
      </c>
      <c r="D86" s="1">
        <f>IF($AM38="","",IF(OR(D$51&gt;=6,D$50=1),N(INDEX(MinFrei,MATCH(1,ArbeitNr,0))),N(INDEX(MinWerktag,MATCH(1,ArbeitNr,0)))))</f>
      </c>
      <c r="E86" s="1">
        <f>IF($AM38="","",IF(OR(E$51&gt;=6,E$50=1),N(INDEX(MinFrei,MATCH(1,ArbeitNr,0))),N(INDEX(MinWerktag,MATCH(1,ArbeitNr,0)))))</f>
      </c>
      <c r="F86" s="1">
        <f>IF($AM38="","",IF(OR(F$51&gt;=6,F$50=1),N(INDEX(MinFrei,MATCH(1,ArbeitNr,0))),N(INDEX(MinWerktag,MATCH(1,ArbeitNr,0)))))</f>
      </c>
      <c r="G86" s="1">
        <f>IF($AM38="","",IF(OR(G$51&gt;=6,G$50=1),N(INDEX(MinFrei,MATCH(1,ArbeitNr,0))),N(INDEX(MinWerktag,MATCH(1,ArbeitNr,0)))))</f>
      </c>
      <c r="H86" s="1">
        <f>IF($AM38="","",IF(OR(H$51&gt;=6,H$50=1),N(INDEX(MinFrei,MATCH(1,ArbeitNr,0))),N(INDEX(MinWerktag,MATCH(1,ArbeitNr,0)))))</f>
      </c>
      <c r="I86" s="1">
        <f>IF($AM38="","",IF(OR(I$51&gt;=6,I$50=1),N(INDEX(MinFrei,MATCH(1,ArbeitNr,0))),N(INDEX(MinWerktag,MATCH(1,ArbeitNr,0)))))</f>
      </c>
      <c r="J86" s="1">
        <f>IF($AM38="","",IF(OR(J$51&gt;=6,J$50=1),N(INDEX(MinFrei,MATCH(1,ArbeitNr,0))),N(INDEX(MinWerktag,MATCH(1,ArbeitNr,0)))))</f>
      </c>
      <c r="K86" s="1">
        <f>IF($AM38="","",IF(OR(K$51&gt;=6,K$50=1),N(INDEX(MinFrei,MATCH(1,ArbeitNr,0))),N(INDEX(MinWerktag,MATCH(1,ArbeitNr,0)))))</f>
      </c>
      <c r="L86" s="1">
        <f>IF($AM38="","",IF(OR(L$51&gt;=6,L$50=1),N(INDEX(MinFrei,MATCH(1,ArbeitNr,0))),N(INDEX(MinWerktag,MATCH(1,ArbeitNr,0)))))</f>
      </c>
      <c r="M86" s="1">
        <f>IF($AM38="","",IF(OR(M$51&gt;=6,M$50=1),N(INDEX(MinFrei,MATCH(1,ArbeitNr,0))),N(INDEX(MinWerktag,MATCH(1,ArbeitNr,0)))))</f>
      </c>
      <c r="N86" s="1">
        <f>IF($AM38="","",IF(OR(N$51&gt;=6,N$50=1),N(INDEX(MinFrei,MATCH(1,ArbeitNr,0))),N(INDEX(MinWerktag,MATCH(1,ArbeitNr,0)))))</f>
      </c>
      <c r="O86" s="1">
        <f>IF($AM38="","",IF(OR(O$51&gt;=6,O$50=1),N(INDEX(MinFrei,MATCH(1,ArbeitNr,0))),N(INDEX(MinWerktag,MATCH(1,ArbeitNr,0)))))</f>
      </c>
      <c r="P86" s="1">
        <f>IF($AM38="","",IF(OR(P$51&gt;=6,P$50=1),N(INDEX(MinFrei,MATCH(1,ArbeitNr,0))),N(INDEX(MinWerktag,MATCH(1,ArbeitNr,0)))))</f>
      </c>
      <c r="Q86" s="1">
        <f>IF($AM38="","",IF(OR(Q$51&gt;=6,Q$50=1),N(INDEX(MinFrei,MATCH(1,ArbeitNr,0))),N(INDEX(MinWerktag,MATCH(1,ArbeitNr,0)))))</f>
      </c>
      <c r="R86" s="1">
        <f>IF($AM38="","",IF(OR(R$51&gt;=6,R$50=1),N(INDEX(MinFrei,MATCH(1,ArbeitNr,0))),N(INDEX(MinWerktag,MATCH(1,ArbeitNr,0)))))</f>
      </c>
      <c r="S86" s="1">
        <f>IF($AM38="","",IF(OR(S$51&gt;=6,S$50=1),N(INDEX(MinFrei,MATCH(1,ArbeitNr,0))),N(INDEX(MinWerktag,MATCH(1,ArbeitNr,0)))))</f>
      </c>
      <c r="T86" s="1">
        <f>IF($AM38="","",IF(OR(T$51&gt;=6,T$50=1),N(INDEX(MinFrei,MATCH(1,ArbeitNr,0))),N(INDEX(MinWerktag,MATCH(1,ArbeitNr,0)))))</f>
      </c>
      <c r="U86" s="1">
        <f>IF($AM38="","",IF(OR(U$51&gt;=6,U$50=1),N(INDEX(MinFrei,MATCH(1,ArbeitNr,0))),N(INDEX(MinWerktag,MATCH(1,ArbeitNr,0)))))</f>
      </c>
      <c r="V86" s="1">
        <f>IF($AM38="","",IF(OR(V$51&gt;=6,V$50=1),N(INDEX(MinFrei,MATCH(1,ArbeitNr,0))),N(INDEX(MinWerktag,MATCH(1,ArbeitNr,0)))))</f>
      </c>
      <c r="W86" s="1">
        <f>IF($AM38="","",IF(OR(W$51&gt;=6,W$50=1),N(INDEX(MinFrei,MATCH(1,ArbeitNr,0))),N(INDEX(MinWerktag,MATCH(1,ArbeitNr,0)))))</f>
      </c>
      <c r="X86" s="1">
        <f>IF($AM38="","",IF(OR(X$51&gt;=6,X$50=1),N(INDEX(MinFrei,MATCH(1,ArbeitNr,0))),N(INDEX(MinWerktag,MATCH(1,ArbeitNr,0)))))</f>
      </c>
      <c r="Y86" s="1">
        <f>IF($AM38="","",IF(OR(Y$51&gt;=6,Y$50=1),N(INDEX(MinFrei,MATCH(1,ArbeitNr,0))),N(INDEX(MinWerktag,MATCH(1,ArbeitNr,0)))))</f>
      </c>
      <c r="Z86" s="1">
        <f>IF($AM38="","",IF(OR(Z$51&gt;=6,Z$50=1),N(INDEX(MinFrei,MATCH(1,ArbeitNr,0))),N(INDEX(MinWerktag,MATCH(1,ArbeitNr,0)))))</f>
      </c>
      <c r="AA86" s="1">
        <f>IF($AM38="","",IF(OR(AA$51&gt;=6,AA$50=1),N(INDEX(MinFrei,MATCH(1,ArbeitNr,0))),N(INDEX(MinWerktag,MATCH(1,ArbeitNr,0)))))</f>
      </c>
      <c r="AB86" s="1">
        <f>IF($AM38="","",IF(OR(AB$51&gt;=6,AB$50=1),N(INDEX(MinFrei,MATCH(1,ArbeitNr,0))),N(INDEX(MinWerktag,MATCH(1,ArbeitNr,0)))))</f>
      </c>
      <c r="AC86" s="1">
        <f>IF($AM38="","",IF(OR(AC$51&gt;=6,AC$50=1),N(INDEX(MinFrei,MATCH(1,ArbeitNr,0))),N(INDEX(MinWerktag,MATCH(1,ArbeitNr,0)))))</f>
      </c>
      <c r="AD86" s="1">
        <f>IF($AM38="","",IF(OR(AD$51&gt;=6,AD$50=1),N(INDEX(MinFrei,MATCH(1,ArbeitNr,0))),N(INDEX(MinWerktag,MATCH(1,ArbeitNr,0)))))</f>
      </c>
      <c r="AE86" s="1">
        <f>IF($AM38="","",IF(OR(AE$51&gt;=6,AE$50=1),N(INDEX(MinFrei,MATCH(1,ArbeitNr,0))),N(INDEX(MinWerktag,MATCH(1,ArbeitNr,0)))))</f>
      </c>
      <c r="AF86" s="1">
        <f>IF($AM38="","",IF(OR(AF$51&gt;=6,AF$50=1),N(INDEX(MinFrei,MATCH(1,ArbeitNr,0))),N(INDEX(MinWerktag,MATCH(1,ArbeitNr,0)))))</f>
      </c>
    </row>
    <row r="87" hidden="1" spans="1:32" x14ac:dyDescent="0.25">
      <c r="A87" s="1"/>
      <c r="B87" s="1">
        <f>IF($AM39="","",IF(OR(B$51&gt;=6,B$50=1),N(INDEX(MinFrei,MATCH(2,ArbeitNr,0))),N(INDEX(MinWerktag,MATCH(2,ArbeitNr,0)))))</f>
      </c>
      <c r="C87" s="1">
        <f>IF($AM39="","",IF(OR(C$51&gt;=6,C$50=1),N(INDEX(MinFrei,MATCH(2,ArbeitNr,0))),N(INDEX(MinWerktag,MATCH(2,ArbeitNr,0)))))</f>
      </c>
      <c r="D87" s="1">
        <f>IF($AM39="","",IF(OR(D$51&gt;=6,D$50=1),N(INDEX(MinFrei,MATCH(2,ArbeitNr,0))),N(INDEX(MinWerktag,MATCH(2,ArbeitNr,0)))))</f>
      </c>
      <c r="E87" s="1">
        <f>IF($AM39="","",IF(OR(E$51&gt;=6,E$50=1),N(INDEX(MinFrei,MATCH(2,ArbeitNr,0))),N(INDEX(MinWerktag,MATCH(2,ArbeitNr,0)))))</f>
      </c>
      <c r="F87" s="1">
        <f>IF($AM39="","",IF(OR(F$51&gt;=6,F$50=1),N(INDEX(MinFrei,MATCH(2,ArbeitNr,0))),N(INDEX(MinWerktag,MATCH(2,ArbeitNr,0)))))</f>
      </c>
      <c r="G87" s="1">
        <f>IF($AM39="","",IF(OR(G$51&gt;=6,G$50=1),N(INDEX(MinFrei,MATCH(2,ArbeitNr,0))),N(INDEX(MinWerktag,MATCH(2,ArbeitNr,0)))))</f>
      </c>
      <c r="H87" s="1">
        <f>IF($AM39="","",IF(OR(H$51&gt;=6,H$50=1),N(INDEX(MinFrei,MATCH(2,ArbeitNr,0))),N(INDEX(MinWerktag,MATCH(2,ArbeitNr,0)))))</f>
      </c>
      <c r="I87" s="1">
        <f>IF($AM39="","",IF(OR(I$51&gt;=6,I$50=1),N(INDEX(MinFrei,MATCH(2,ArbeitNr,0))),N(INDEX(MinWerktag,MATCH(2,ArbeitNr,0)))))</f>
      </c>
      <c r="J87" s="1">
        <f>IF($AM39="","",IF(OR(J$51&gt;=6,J$50=1),N(INDEX(MinFrei,MATCH(2,ArbeitNr,0))),N(INDEX(MinWerktag,MATCH(2,ArbeitNr,0)))))</f>
      </c>
      <c r="K87" s="1">
        <f>IF($AM39="","",IF(OR(K$51&gt;=6,K$50=1),N(INDEX(MinFrei,MATCH(2,ArbeitNr,0))),N(INDEX(MinWerktag,MATCH(2,ArbeitNr,0)))))</f>
      </c>
      <c r="L87" s="1">
        <f>IF($AM39="","",IF(OR(L$51&gt;=6,L$50=1),N(INDEX(MinFrei,MATCH(2,ArbeitNr,0))),N(INDEX(MinWerktag,MATCH(2,ArbeitNr,0)))))</f>
      </c>
      <c r="M87" s="1">
        <f>IF($AM39="","",IF(OR(M$51&gt;=6,M$50=1),N(INDEX(MinFrei,MATCH(2,ArbeitNr,0))),N(INDEX(MinWerktag,MATCH(2,ArbeitNr,0)))))</f>
      </c>
      <c r="N87" s="1">
        <f>IF($AM39="","",IF(OR(N$51&gt;=6,N$50=1),N(INDEX(MinFrei,MATCH(2,ArbeitNr,0))),N(INDEX(MinWerktag,MATCH(2,ArbeitNr,0)))))</f>
      </c>
      <c r="O87" s="1">
        <f>IF($AM39="","",IF(OR(O$51&gt;=6,O$50=1),N(INDEX(MinFrei,MATCH(2,ArbeitNr,0))),N(INDEX(MinWerktag,MATCH(2,ArbeitNr,0)))))</f>
      </c>
      <c r="P87" s="1">
        <f>IF($AM39="","",IF(OR(P$51&gt;=6,P$50=1),N(INDEX(MinFrei,MATCH(2,ArbeitNr,0))),N(INDEX(MinWerktag,MATCH(2,ArbeitNr,0)))))</f>
      </c>
      <c r="Q87" s="1">
        <f>IF($AM39="","",IF(OR(Q$51&gt;=6,Q$50=1),N(INDEX(MinFrei,MATCH(2,ArbeitNr,0))),N(INDEX(MinWerktag,MATCH(2,ArbeitNr,0)))))</f>
      </c>
      <c r="R87" s="1">
        <f>IF($AM39="","",IF(OR(R$51&gt;=6,R$50=1),N(INDEX(MinFrei,MATCH(2,ArbeitNr,0))),N(INDEX(MinWerktag,MATCH(2,ArbeitNr,0)))))</f>
      </c>
      <c r="S87" s="1">
        <f>IF($AM39="","",IF(OR(S$51&gt;=6,S$50=1),N(INDEX(MinFrei,MATCH(2,ArbeitNr,0))),N(INDEX(MinWerktag,MATCH(2,ArbeitNr,0)))))</f>
      </c>
      <c r="T87" s="1">
        <f>IF($AM39="","",IF(OR(T$51&gt;=6,T$50=1),N(INDEX(MinFrei,MATCH(2,ArbeitNr,0))),N(INDEX(MinWerktag,MATCH(2,ArbeitNr,0)))))</f>
      </c>
      <c r="U87" s="1">
        <f>IF($AM39="","",IF(OR(U$51&gt;=6,U$50=1),N(INDEX(MinFrei,MATCH(2,ArbeitNr,0))),N(INDEX(MinWerktag,MATCH(2,ArbeitNr,0)))))</f>
      </c>
      <c r="V87" s="1">
        <f>IF($AM39="","",IF(OR(V$51&gt;=6,V$50=1),N(INDEX(MinFrei,MATCH(2,ArbeitNr,0))),N(INDEX(MinWerktag,MATCH(2,ArbeitNr,0)))))</f>
      </c>
      <c r="W87" s="1">
        <f>IF($AM39="","",IF(OR(W$51&gt;=6,W$50=1),N(INDEX(MinFrei,MATCH(2,ArbeitNr,0))),N(INDEX(MinWerktag,MATCH(2,ArbeitNr,0)))))</f>
      </c>
      <c r="X87" s="1">
        <f>IF($AM39="","",IF(OR(X$51&gt;=6,X$50=1),N(INDEX(MinFrei,MATCH(2,ArbeitNr,0))),N(INDEX(MinWerktag,MATCH(2,ArbeitNr,0)))))</f>
      </c>
      <c r="Y87" s="1">
        <f>IF($AM39="","",IF(OR(Y$51&gt;=6,Y$50=1),N(INDEX(MinFrei,MATCH(2,ArbeitNr,0))),N(INDEX(MinWerktag,MATCH(2,ArbeitNr,0)))))</f>
      </c>
      <c r="Z87" s="1">
        <f>IF($AM39="","",IF(OR(Z$51&gt;=6,Z$50=1),N(INDEX(MinFrei,MATCH(2,ArbeitNr,0))),N(INDEX(MinWerktag,MATCH(2,ArbeitNr,0)))))</f>
      </c>
      <c r="AA87" s="1">
        <f>IF($AM39="","",IF(OR(AA$51&gt;=6,AA$50=1),N(INDEX(MinFrei,MATCH(2,ArbeitNr,0))),N(INDEX(MinWerktag,MATCH(2,ArbeitNr,0)))))</f>
      </c>
      <c r="AB87" s="1">
        <f>IF($AM39="","",IF(OR(AB$51&gt;=6,AB$50=1),N(INDEX(MinFrei,MATCH(2,ArbeitNr,0))),N(INDEX(MinWerktag,MATCH(2,ArbeitNr,0)))))</f>
      </c>
      <c r="AC87" s="1">
        <f>IF($AM39="","",IF(OR(AC$51&gt;=6,AC$50=1),N(INDEX(MinFrei,MATCH(2,ArbeitNr,0))),N(INDEX(MinWerktag,MATCH(2,ArbeitNr,0)))))</f>
      </c>
      <c r="AD87" s="1">
        <f>IF($AM39="","",IF(OR(AD$51&gt;=6,AD$50=1),N(INDEX(MinFrei,MATCH(2,ArbeitNr,0))),N(INDEX(MinWerktag,MATCH(2,ArbeitNr,0)))))</f>
      </c>
      <c r="AE87" s="1">
        <f>IF($AM39="","",IF(OR(AE$51&gt;=6,AE$50=1),N(INDEX(MinFrei,MATCH(2,ArbeitNr,0))),N(INDEX(MinWerktag,MATCH(2,ArbeitNr,0)))))</f>
      </c>
      <c r="AF87" s="1">
        <f>IF($AM39="","",IF(OR(AF$51&gt;=6,AF$50=1),N(INDEX(MinFrei,MATCH(2,ArbeitNr,0))),N(INDEX(MinWerktag,MATCH(2,ArbeitNr,0)))))</f>
      </c>
    </row>
    <row r="88" hidden="1" spans="1:32" x14ac:dyDescent="0.25">
      <c r="A88" s="1"/>
      <c r="B88" s="1">
        <f>IF($AM40="","",IF(OR(B$51&gt;=6,B$50=1),N(INDEX(MinFrei,MATCH(3,ArbeitNr,0))),N(INDEX(MinWerktag,MATCH(3,ArbeitNr,0)))))</f>
      </c>
      <c r="C88" s="1">
        <f>IF($AM40="","",IF(OR(C$51&gt;=6,C$50=1),N(INDEX(MinFrei,MATCH(3,ArbeitNr,0))),N(INDEX(MinWerktag,MATCH(3,ArbeitNr,0)))))</f>
      </c>
      <c r="D88" s="1">
        <f>IF($AM40="","",IF(OR(D$51&gt;=6,D$50=1),N(INDEX(MinFrei,MATCH(3,ArbeitNr,0))),N(INDEX(MinWerktag,MATCH(3,ArbeitNr,0)))))</f>
      </c>
      <c r="E88" s="1">
        <f>IF($AM40="","",IF(OR(E$51&gt;=6,E$50=1),N(INDEX(MinFrei,MATCH(3,ArbeitNr,0))),N(INDEX(MinWerktag,MATCH(3,ArbeitNr,0)))))</f>
      </c>
      <c r="F88" s="1">
        <f>IF($AM40="","",IF(OR(F$51&gt;=6,F$50=1),N(INDEX(MinFrei,MATCH(3,ArbeitNr,0))),N(INDEX(MinWerktag,MATCH(3,ArbeitNr,0)))))</f>
      </c>
      <c r="G88" s="1">
        <f>IF($AM40="","",IF(OR(G$51&gt;=6,G$50=1),N(INDEX(MinFrei,MATCH(3,ArbeitNr,0))),N(INDEX(MinWerktag,MATCH(3,ArbeitNr,0)))))</f>
      </c>
      <c r="H88" s="1">
        <f>IF($AM40="","",IF(OR(H$51&gt;=6,H$50=1),N(INDEX(MinFrei,MATCH(3,ArbeitNr,0))),N(INDEX(MinWerktag,MATCH(3,ArbeitNr,0)))))</f>
      </c>
      <c r="I88" s="1">
        <f>IF($AM40="","",IF(OR(I$51&gt;=6,I$50=1),N(INDEX(MinFrei,MATCH(3,ArbeitNr,0))),N(INDEX(MinWerktag,MATCH(3,ArbeitNr,0)))))</f>
      </c>
      <c r="J88" s="1">
        <f>IF($AM40="","",IF(OR(J$51&gt;=6,J$50=1),N(INDEX(MinFrei,MATCH(3,ArbeitNr,0))),N(INDEX(MinWerktag,MATCH(3,ArbeitNr,0)))))</f>
      </c>
      <c r="K88" s="1">
        <f>IF($AM40="","",IF(OR(K$51&gt;=6,K$50=1),N(INDEX(MinFrei,MATCH(3,ArbeitNr,0))),N(INDEX(MinWerktag,MATCH(3,ArbeitNr,0)))))</f>
      </c>
      <c r="L88" s="1">
        <f>IF($AM40="","",IF(OR(L$51&gt;=6,L$50=1),N(INDEX(MinFrei,MATCH(3,ArbeitNr,0))),N(INDEX(MinWerktag,MATCH(3,ArbeitNr,0)))))</f>
      </c>
      <c r="M88" s="1">
        <f>IF($AM40="","",IF(OR(M$51&gt;=6,M$50=1),N(INDEX(MinFrei,MATCH(3,ArbeitNr,0))),N(INDEX(MinWerktag,MATCH(3,ArbeitNr,0)))))</f>
      </c>
      <c r="N88" s="1">
        <f>IF($AM40="","",IF(OR(N$51&gt;=6,N$50=1),N(INDEX(MinFrei,MATCH(3,ArbeitNr,0))),N(INDEX(MinWerktag,MATCH(3,ArbeitNr,0)))))</f>
      </c>
      <c r="O88" s="1">
        <f>IF($AM40="","",IF(OR(O$51&gt;=6,O$50=1),N(INDEX(MinFrei,MATCH(3,ArbeitNr,0))),N(INDEX(MinWerktag,MATCH(3,ArbeitNr,0)))))</f>
      </c>
      <c r="P88" s="1">
        <f>IF($AM40="","",IF(OR(P$51&gt;=6,P$50=1),N(INDEX(MinFrei,MATCH(3,ArbeitNr,0))),N(INDEX(MinWerktag,MATCH(3,ArbeitNr,0)))))</f>
      </c>
      <c r="Q88" s="1">
        <f>IF($AM40="","",IF(OR(Q$51&gt;=6,Q$50=1),N(INDEX(MinFrei,MATCH(3,ArbeitNr,0))),N(INDEX(MinWerktag,MATCH(3,ArbeitNr,0)))))</f>
      </c>
      <c r="R88" s="1">
        <f>IF($AM40="","",IF(OR(R$51&gt;=6,R$50=1),N(INDEX(MinFrei,MATCH(3,ArbeitNr,0))),N(INDEX(MinWerktag,MATCH(3,ArbeitNr,0)))))</f>
      </c>
      <c r="S88" s="1">
        <f>IF($AM40="","",IF(OR(S$51&gt;=6,S$50=1),N(INDEX(MinFrei,MATCH(3,ArbeitNr,0))),N(INDEX(MinWerktag,MATCH(3,ArbeitNr,0)))))</f>
      </c>
      <c r="T88" s="1">
        <f>IF($AM40="","",IF(OR(T$51&gt;=6,T$50=1),N(INDEX(MinFrei,MATCH(3,ArbeitNr,0))),N(INDEX(MinWerktag,MATCH(3,ArbeitNr,0)))))</f>
      </c>
      <c r="U88" s="1">
        <f>IF($AM40="","",IF(OR(U$51&gt;=6,U$50=1),N(INDEX(MinFrei,MATCH(3,ArbeitNr,0))),N(INDEX(MinWerktag,MATCH(3,ArbeitNr,0)))))</f>
      </c>
      <c r="V88" s="1">
        <f>IF($AM40="","",IF(OR(V$51&gt;=6,V$50=1),N(INDEX(MinFrei,MATCH(3,ArbeitNr,0))),N(INDEX(MinWerktag,MATCH(3,ArbeitNr,0)))))</f>
      </c>
      <c r="W88" s="1">
        <f>IF($AM40="","",IF(OR(W$51&gt;=6,W$50=1),N(INDEX(MinFrei,MATCH(3,ArbeitNr,0))),N(INDEX(MinWerktag,MATCH(3,ArbeitNr,0)))))</f>
      </c>
      <c r="X88" s="1">
        <f>IF($AM40="","",IF(OR(X$51&gt;=6,X$50=1),N(INDEX(MinFrei,MATCH(3,ArbeitNr,0))),N(INDEX(MinWerktag,MATCH(3,ArbeitNr,0)))))</f>
      </c>
      <c r="Y88" s="1">
        <f>IF($AM40="","",IF(OR(Y$51&gt;=6,Y$50=1),N(INDEX(MinFrei,MATCH(3,ArbeitNr,0))),N(INDEX(MinWerktag,MATCH(3,ArbeitNr,0)))))</f>
      </c>
      <c r="Z88" s="1">
        <f>IF($AM40="","",IF(OR(Z$51&gt;=6,Z$50=1),N(INDEX(MinFrei,MATCH(3,ArbeitNr,0))),N(INDEX(MinWerktag,MATCH(3,ArbeitNr,0)))))</f>
      </c>
      <c r="AA88" s="1">
        <f>IF($AM40="","",IF(OR(AA$51&gt;=6,AA$50=1),N(INDEX(MinFrei,MATCH(3,ArbeitNr,0))),N(INDEX(MinWerktag,MATCH(3,ArbeitNr,0)))))</f>
      </c>
      <c r="AB88" s="1">
        <f>IF($AM40="","",IF(OR(AB$51&gt;=6,AB$50=1),N(INDEX(MinFrei,MATCH(3,ArbeitNr,0))),N(INDEX(MinWerktag,MATCH(3,ArbeitNr,0)))))</f>
      </c>
      <c r="AC88" s="1">
        <f>IF($AM40="","",IF(OR(AC$51&gt;=6,AC$50=1),N(INDEX(MinFrei,MATCH(3,ArbeitNr,0))),N(INDEX(MinWerktag,MATCH(3,ArbeitNr,0)))))</f>
      </c>
      <c r="AD88" s="1">
        <f>IF($AM40="","",IF(OR(AD$51&gt;=6,AD$50=1),N(INDEX(MinFrei,MATCH(3,ArbeitNr,0))),N(INDEX(MinWerktag,MATCH(3,ArbeitNr,0)))))</f>
      </c>
      <c r="AE88" s="1">
        <f>IF($AM40="","",IF(OR(AE$51&gt;=6,AE$50=1),N(INDEX(MinFrei,MATCH(3,ArbeitNr,0))),N(INDEX(MinWerktag,MATCH(3,ArbeitNr,0)))))</f>
      </c>
      <c r="AF88" s="1">
        <f>IF($AM40="","",IF(OR(AF$51&gt;=6,AF$50=1),N(INDEX(MinFrei,MATCH(3,ArbeitNr,0))),N(INDEX(MinWerktag,MATCH(3,ArbeitNr,0)))))</f>
      </c>
    </row>
    <row r="89" hidden="1" spans="1:32" x14ac:dyDescent="0.25">
      <c r="A89" s="1"/>
      <c r="B89" s="1">
        <f>IF($AM41="","",IF(OR(B$51&gt;=6,B$50=1),N(INDEX(MinFrei,MATCH(4,ArbeitNr,0))),N(INDEX(MinWerktag,MATCH(4,ArbeitNr,0)))))</f>
      </c>
      <c r="C89" s="1">
        <f>IF($AM41="","",IF(OR(C$51&gt;=6,C$50=1),N(INDEX(MinFrei,MATCH(4,ArbeitNr,0))),N(INDEX(MinWerktag,MATCH(4,ArbeitNr,0)))))</f>
      </c>
      <c r="D89" s="1">
        <f>IF($AM41="","",IF(OR(D$51&gt;=6,D$50=1),N(INDEX(MinFrei,MATCH(4,ArbeitNr,0))),N(INDEX(MinWerktag,MATCH(4,ArbeitNr,0)))))</f>
      </c>
      <c r="E89" s="1">
        <f>IF($AM41="","",IF(OR(E$51&gt;=6,E$50=1),N(INDEX(MinFrei,MATCH(4,ArbeitNr,0))),N(INDEX(MinWerktag,MATCH(4,ArbeitNr,0)))))</f>
      </c>
      <c r="F89" s="1">
        <f>IF($AM41="","",IF(OR(F$51&gt;=6,F$50=1),N(INDEX(MinFrei,MATCH(4,ArbeitNr,0))),N(INDEX(MinWerktag,MATCH(4,ArbeitNr,0)))))</f>
      </c>
      <c r="G89" s="1">
        <f>IF($AM41="","",IF(OR(G$51&gt;=6,G$50=1),N(INDEX(MinFrei,MATCH(4,ArbeitNr,0))),N(INDEX(MinWerktag,MATCH(4,ArbeitNr,0)))))</f>
      </c>
      <c r="H89" s="1">
        <f>IF($AM41="","",IF(OR(H$51&gt;=6,H$50=1),N(INDEX(MinFrei,MATCH(4,ArbeitNr,0))),N(INDEX(MinWerktag,MATCH(4,ArbeitNr,0)))))</f>
      </c>
      <c r="I89" s="1">
        <f>IF($AM41="","",IF(OR(I$51&gt;=6,I$50=1),N(INDEX(MinFrei,MATCH(4,ArbeitNr,0))),N(INDEX(MinWerktag,MATCH(4,ArbeitNr,0)))))</f>
      </c>
      <c r="J89" s="1">
        <f>IF($AM41="","",IF(OR(J$51&gt;=6,J$50=1),N(INDEX(MinFrei,MATCH(4,ArbeitNr,0))),N(INDEX(MinWerktag,MATCH(4,ArbeitNr,0)))))</f>
      </c>
      <c r="K89" s="1">
        <f>IF($AM41="","",IF(OR(K$51&gt;=6,K$50=1),N(INDEX(MinFrei,MATCH(4,ArbeitNr,0))),N(INDEX(MinWerktag,MATCH(4,ArbeitNr,0)))))</f>
      </c>
      <c r="L89" s="1">
        <f>IF($AM41="","",IF(OR(L$51&gt;=6,L$50=1),N(INDEX(MinFrei,MATCH(4,ArbeitNr,0))),N(INDEX(MinWerktag,MATCH(4,ArbeitNr,0)))))</f>
      </c>
      <c r="M89" s="1">
        <f>IF($AM41="","",IF(OR(M$51&gt;=6,M$50=1),N(INDEX(MinFrei,MATCH(4,ArbeitNr,0))),N(INDEX(MinWerktag,MATCH(4,ArbeitNr,0)))))</f>
      </c>
      <c r="N89" s="1">
        <f>IF($AM41="","",IF(OR(N$51&gt;=6,N$50=1),N(INDEX(MinFrei,MATCH(4,ArbeitNr,0))),N(INDEX(MinWerktag,MATCH(4,ArbeitNr,0)))))</f>
      </c>
      <c r="O89" s="1">
        <f>IF($AM41="","",IF(OR(O$51&gt;=6,O$50=1),N(INDEX(MinFrei,MATCH(4,ArbeitNr,0))),N(INDEX(MinWerktag,MATCH(4,ArbeitNr,0)))))</f>
      </c>
      <c r="P89" s="1">
        <f>IF($AM41="","",IF(OR(P$51&gt;=6,P$50=1),N(INDEX(MinFrei,MATCH(4,ArbeitNr,0))),N(INDEX(MinWerktag,MATCH(4,ArbeitNr,0)))))</f>
      </c>
      <c r="Q89" s="1">
        <f>IF($AM41="","",IF(OR(Q$51&gt;=6,Q$50=1),N(INDEX(MinFrei,MATCH(4,ArbeitNr,0))),N(INDEX(MinWerktag,MATCH(4,ArbeitNr,0)))))</f>
      </c>
      <c r="R89" s="1">
        <f>IF($AM41="","",IF(OR(R$51&gt;=6,R$50=1),N(INDEX(MinFrei,MATCH(4,ArbeitNr,0))),N(INDEX(MinWerktag,MATCH(4,ArbeitNr,0)))))</f>
      </c>
      <c r="S89" s="1">
        <f>IF($AM41="","",IF(OR(S$51&gt;=6,S$50=1),N(INDEX(MinFrei,MATCH(4,ArbeitNr,0))),N(INDEX(MinWerktag,MATCH(4,ArbeitNr,0)))))</f>
      </c>
      <c r="T89" s="1">
        <f>IF($AM41="","",IF(OR(T$51&gt;=6,T$50=1),N(INDEX(MinFrei,MATCH(4,ArbeitNr,0))),N(INDEX(MinWerktag,MATCH(4,ArbeitNr,0)))))</f>
      </c>
      <c r="U89" s="1">
        <f>IF($AM41="","",IF(OR(U$51&gt;=6,U$50=1),N(INDEX(MinFrei,MATCH(4,ArbeitNr,0))),N(INDEX(MinWerktag,MATCH(4,ArbeitNr,0)))))</f>
      </c>
      <c r="V89" s="1">
        <f>IF($AM41="","",IF(OR(V$51&gt;=6,V$50=1),N(INDEX(MinFrei,MATCH(4,ArbeitNr,0))),N(INDEX(MinWerktag,MATCH(4,ArbeitNr,0)))))</f>
      </c>
      <c r="W89" s="1">
        <f>IF($AM41="","",IF(OR(W$51&gt;=6,W$50=1),N(INDEX(MinFrei,MATCH(4,ArbeitNr,0))),N(INDEX(MinWerktag,MATCH(4,ArbeitNr,0)))))</f>
      </c>
      <c r="X89" s="1">
        <f>IF($AM41="","",IF(OR(X$51&gt;=6,X$50=1),N(INDEX(MinFrei,MATCH(4,ArbeitNr,0))),N(INDEX(MinWerktag,MATCH(4,ArbeitNr,0)))))</f>
      </c>
      <c r="Y89" s="1">
        <f>IF($AM41="","",IF(OR(Y$51&gt;=6,Y$50=1),N(INDEX(MinFrei,MATCH(4,ArbeitNr,0))),N(INDEX(MinWerktag,MATCH(4,ArbeitNr,0)))))</f>
      </c>
      <c r="Z89" s="1">
        <f>IF($AM41="","",IF(OR(Z$51&gt;=6,Z$50=1),N(INDEX(MinFrei,MATCH(4,ArbeitNr,0))),N(INDEX(MinWerktag,MATCH(4,ArbeitNr,0)))))</f>
      </c>
      <c r="AA89" s="1">
        <f>IF($AM41="","",IF(OR(AA$51&gt;=6,AA$50=1),N(INDEX(MinFrei,MATCH(4,ArbeitNr,0))),N(INDEX(MinWerktag,MATCH(4,ArbeitNr,0)))))</f>
      </c>
      <c r="AB89" s="1">
        <f>IF($AM41="","",IF(OR(AB$51&gt;=6,AB$50=1),N(INDEX(MinFrei,MATCH(4,ArbeitNr,0))),N(INDEX(MinWerktag,MATCH(4,ArbeitNr,0)))))</f>
      </c>
      <c r="AC89" s="1">
        <f>IF($AM41="","",IF(OR(AC$51&gt;=6,AC$50=1),N(INDEX(MinFrei,MATCH(4,ArbeitNr,0))),N(INDEX(MinWerktag,MATCH(4,ArbeitNr,0)))))</f>
      </c>
      <c r="AD89" s="1">
        <f>IF($AM41="","",IF(OR(AD$51&gt;=6,AD$50=1),N(INDEX(MinFrei,MATCH(4,ArbeitNr,0))),N(INDEX(MinWerktag,MATCH(4,ArbeitNr,0)))))</f>
      </c>
      <c r="AE89" s="1">
        <f>IF($AM41="","",IF(OR(AE$51&gt;=6,AE$50=1),N(INDEX(MinFrei,MATCH(4,ArbeitNr,0))),N(INDEX(MinWerktag,MATCH(4,ArbeitNr,0)))))</f>
      </c>
      <c r="AF89" s="1">
        <f>IF($AM41="","",IF(OR(AF$51&gt;=6,AF$50=1),N(INDEX(MinFrei,MATCH(4,ArbeitNr,0))),N(INDEX(MinWerktag,MATCH(4,ArbeitNr,0)))))</f>
      </c>
    </row>
    <row r="90" hidden="1" spans="1:32" x14ac:dyDescent="0.25">
      <c r="A90" s="1"/>
      <c r="B90" s="1">
        <f>IF($AM42="","",IF(OR(B$51&gt;=6,B$50=1),N(INDEX(MinFrei,MATCH(5,ArbeitNr,0))),N(INDEX(MinWerktag,MATCH(5,ArbeitNr,0)))))</f>
      </c>
      <c r="C90" s="1">
        <f>IF($AM42="","",IF(OR(C$51&gt;=6,C$50=1),N(INDEX(MinFrei,MATCH(5,ArbeitNr,0))),N(INDEX(MinWerktag,MATCH(5,ArbeitNr,0)))))</f>
      </c>
      <c r="D90" s="1">
        <f>IF($AM42="","",IF(OR(D$51&gt;=6,D$50=1),N(INDEX(MinFrei,MATCH(5,ArbeitNr,0))),N(INDEX(MinWerktag,MATCH(5,ArbeitNr,0)))))</f>
      </c>
      <c r="E90" s="1">
        <f>IF($AM42="","",IF(OR(E$51&gt;=6,E$50=1),N(INDEX(MinFrei,MATCH(5,ArbeitNr,0))),N(INDEX(MinWerktag,MATCH(5,ArbeitNr,0)))))</f>
      </c>
      <c r="F90" s="1">
        <f>IF($AM42="","",IF(OR(F$51&gt;=6,F$50=1),N(INDEX(MinFrei,MATCH(5,ArbeitNr,0))),N(INDEX(MinWerktag,MATCH(5,ArbeitNr,0)))))</f>
      </c>
      <c r="G90" s="1">
        <f>IF($AM42="","",IF(OR(G$51&gt;=6,G$50=1),N(INDEX(MinFrei,MATCH(5,ArbeitNr,0))),N(INDEX(MinWerktag,MATCH(5,ArbeitNr,0)))))</f>
      </c>
      <c r="H90" s="1">
        <f>IF($AM42="","",IF(OR(H$51&gt;=6,H$50=1),N(INDEX(MinFrei,MATCH(5,ArbeitNr,0))),N(INDEX(MinWerktag,MATCH(5,ArbeitNr,0)))))</f>
      </c>
      <c r="I90" s="1">
        <f>IF($AM42="","",IF(OR(I$51&gt;=6,I$50=1),N(INDEX(MinFrei,MATCH(5,ArbeitNr,0))),N(INDEX(MinWerktag,MATCH(5,ArbeitNr,0)))))</f>
      </c>
      <c r="J90" s="1">
        <f>IF($AM42="","",IF(OR(J$51&gt;=6,J$50=1),N(INDEX(MinFrei,MATCH(5,ArbeitNr,0))),N(INDEX(MinWerktag,MATCH(5,ArbeitNr,0)))))</f>
      </c>
      <c r="K90" s="1">
        <f>IF($AM42="","",IF(OR(K$51&gt;=6,K$50=1),N(INDEX(MinFrei,MATCH(5,ArbeitNr,0))),N(INDEX(MinWerktag,MATCH(5,ArbeitNr,0)))))</f>
      </c>
      <c r="L90" s="1">
        <f>IF($AM42="","",IF(OR(L$51&gt;=6,L$50=1),N(INDEX(MinFrei,MATCH(5,ArbeitNr,0))),N(INDEX(MinWerktag,MATCH(5,ArbeitNr,0)))))</f>
      </c>
      <c r="M90" s="1">
        <f>IF($AM42="","",IF(OR(M$51&gt;=6,M$50=1),N(INDEX(MinFrei,MATCH(5,ArbeitNr,0))),N(INDEX(MinWerktag,MATCH(5,ArbeitNr,0)))))</f>
      </c>
      <c r="N90" s="1">
        <f>IF($AM42="","",IF(OR(N$51&gt;=6,N$50=1),N(INDEX(MinFrei,MATCH(5,ArbeitNr,0))),N(INDEX(MinWerktag,MATCH(5,ArbeitNr,0)))))</f>
      </c>
      <c r="O90" s="1">
        <f>IF($AM42="","",IF(OR(O$51&gt;=6,O$50=1),N(INDEX(MinFrei,MATCH(5,ArbeitNr,0))),N(INDEX(MinWerktag,MATCH(5,ArbeitNr,0)))))</f>
      </c>
      <c r="P90" s="1">
        <f>IF($AM42="","",IF(OR(P$51&gt;=6,P$50=1),N(INDEX(MinFrei,MATCH(5,ArbeitNr,0))),N(INDEX(MinWerktag,MATCH(5,ArbeitNr,0)))))</f>
      </c>
      <c r="Q90" s="1">
        <f>IF($AM42="","",IF(OR(Q$51&gt;=6,Q$50=1),N(INDEX(MinFrei,MATCH(5,ArbeitNr,0))),N(INDEX(MinWerktag,MATCH(5,ArbeitNr,0)))))</f>
      </c>
      <c r="R90" s="1">
        <f>IF($AM42="","",IF(OR(R$51&gt;=6,R$50=1),N(INDEX(MinFrei,MATCH(5,ArbeitNr,0))),N(INDEX(MinWerktag,MATCH(5,ArbeitNr,0)))))</f>
      </c>
      <c r="S90" s="1">
        <f>IF($AM42="","",IF(OR(S$51&gt;=6,S$50=1),N(INDEX(MinFrei,MATCH(5,ArbeitNr,0))),N(INDEX(MinWerktag,MATCH(5,ArbeitNr,0)))))</f>
      </c>
      <c r="T90" s="1">
        <f>IF($AM42="","",IF(OR(T$51&gt;=6,T$50=1),N(INDEX(MinFrei,MATCH(5,ArbeitNr,0))),N(INDEX(MinWerktag,MATCH(5,ArbeitNr,0)))))</f>
      </c>
      <c r="U90" s="1">
        <f>IF($AM42="","",IF(OR(U$51&gt;=6,U$50=1),N(INDEX(MinFrei,MATCH(5,ArbeitNr,0))),N(INDEX(MinWerktag,MATCH(5,ArbeitNr,0)))))</f>
      </c>
      <c r="V90" s="1">
        <f>IF($AM42="","",IF(OR(V$51&gt;=6,V$50=1),N(INDEX(MinFrei,MATCH(5,ArbeitNr,0))),N(INDEX(MinWerktag,MATCH(5,ArbeitNr,0)))))</f>
      </c>
      <c r="W90" s="1">
        <f>IF($AM42="","",IF(OR(W$51&gt;=6,W$50=1),N(INDEX(MinFrei,MATCH(5,ArbeitNr,0))),N(INDEX(MinWerktag,MATCH(5,ArbeitNr,0)))))</f>
      </c>
      <c r="X90" s="1">
        <f>IF($AM42="","",IF(OR(X$51&gt;=6,X$50=1),N(INDEX(MinFrei,MATCH(5,ArbeitNr,0))),N(INDEX(MinWerktag,MATCH(5,ArbeitNr,0)))))</f>
      </c>
      <c r="Y90" s="1">
        <f>IF($AM42="","",IF(OR(Y$51&gt;=6,Y$50=1),N(INDEX(MinFrei,MATCH(5,ArbeitNr,0))),N(INDEX(MinWerktag,MATCH(5,ArbeitNr,0)))))</f>
      </c>
      <c r="Z90" s="1">
        <f>IF($AM42="","",IF(OR(Z$51&gt;=6,Z$50=1),N(INDEX(MinFrei,MATCH(5,ArbeitNr,0))),N(INDEX(MinWerktag,MATCH(5,ArbeitNr,0)))))</f>
      </c>
      <c r="AA90" s="1">
        <f>IF($AM42="","",IF(OR(AA$51&gt;=6,AA$50=1),N(INDEX(MinFrei,MATCH(5,ArbeitNr,0))),N(INDEX(MinWerktag,MATCH(5,ArbeitNr,0)))))</f>
      </c>
      <c r="AB90" s="1">
        <f>IF($AM42="","",IF(OR(AB$51&gt;=6,AB$50=1),N(INDEX(MinFrei,MATCH(5,ArbeitNr,0))),N(INDEX(MinWerktag,MATCH(5,ArbeitNr,0)))))</f>
      </c>
      <c r="AC90" s="1">
        <f>IF($AM42="","",IF(OR(AC$51&gt;=6,AC$50=1),N(INDEX(MinFrei,MATCH(5,ArbeitNr,0))),N(INDEX(MinWerktag,MATCH(5,ArbeitNr,0)))))</f>
      </c>
      <c r="AD90" s="1">
        <f>IF($AM42="","",IF(OR(AD$51&gt;=6,AD$50=1),N(INDEX(MinFrei,MATCH(5,ArbeitNr,0))),N(INDEX(MinWerktag,MATCH(5,ArbeitNr,0)))))</f>
      </c>
      <c r="AE90" s="1">
        <f>IF($AM42="","",IF(OR(AE$51&gt;=6,AE$50=1),N(INDEX(MinFrei,MATCH(5,ArbeitNr,0))),N(INDEX(MinWerktag,MATCH(5,ArbeitNr,0)))))</f>
      </c>
      <c r="AF90" s="1">
        <f>IF($AM42="","",IF(OR(AF$51&gt;=6,AF$50=1),N(INDEX(MinFrei,MATCH(5,ArbeitNr,0))),N(INDEX(MinWerktag,MATCH(5,ArbeitNr,0)))))</f>
      </c>
    </row>
    <row r="91" hidden="1" spans="1:32" x14ac:dyDescent="0.25">
      <c r="A91" s="1"/>
      <c r="B91" s="1">
        <f>IF($AM43="","",IF(OR(B$51&gt;=6,B$50=1),N(INDEX(MinFrei,MATCH(6,ArbeitNr,0))),N(INDEX(MinWerktag,MATCH(6,ArbeitNr,0)))))</f>
      </c>
      <c r="C91" s="1">
        <f>IF($AM43="","",IF(OR(C$51&gt;=6,C$50=1),N(INDEX(MinFrei,MATCH(6,ArbeitNr,0))),N(INDEX(MinWerktag,MATCH(6,ArbeitNr,0)))))</f>
      </c>
      <c r="D91" s="1">
        <f>IF($AM43="","",IF(OR(D$51&gt;=6,D$50=1),N(INDEX(MinFrei,MATCH(6,ArbeitNr,0))),N(INDEX(MinWerktag,MATCH(6,ArbeitNr,0)))))</f>
      </c>
      <c r="E91" s="1">
        <f>IF($AM43="","",IF(OR(E$51&gt;=6,E$50=1),N(INDEX(MinFrei,MATCH(6,ArbeitNr,0))),N(INDEX(MinWerktag,MATCH(6,ArbeitNr,0)))))</f>
      </c>
      <c r="F91" s="1">
        <f>IF($AM43="","",IF(OR(F$51&gt;=6,F$50=1),N(INDEX(MinFrei,MATCH(6,ArbeitNr,0))),N(INDEX(MinWerktag,MATCH(6,ArbeitNr,0)))))</f>
      </c>
      <c r="G91" s="1">
        <f>IF($AM43="","",IF(OR(G$51&gt;=6,G$50=1),N(INDEX(MinFrei,MATCH(6,ArbeitNr,0))),N(INDEX(MinWerktag,MATCH(6,ArbeitNr,0)))))</f>
      </c>
      <c r="H91" s="1">
        <f>IF($AM43="","",IF(OR(H$51&gt;=6,H$50=1),N(INDEX(MinFrei,MATCH(6,ArbeitNr,0))),N(INDEX(MinWerktag,MATCH(6,ArbeitNr,0)))))</f>
      </c>
      <c r="I91" s="1">
        <f>IF($AM43="","",IF(OR(I$51&gt;=6,I$50=1),N(INDEX(MinFrei,MATCH(6,ArbeitNr,0))),N(INDEX(MinWerktag,MATCH(6,ArbeitNr,0)))))</f>
      </c>
      <c r="J91" s="1">
        <f>IF($AM43="","",IF(OR(J$51&gt;=6,J$50=1),N(INDEX(MinFrei,MATCH(6,ArbeitNr,0))),N(INDEX(MinWerktag,MATCH(6,ArbeitNr,0)))))</f>
      </c>
      <c r="K91" s="1">
        <f>IF($AM43="","",IF(OR(K$51&gt;=6,K$50=1),N(INDEX(MinFrei,MATCH(6,ArbeitNr,0))),N(INDEX(MinWerktag,MATCH(6,ArbeitNr,0)))))</f>
      </c>
      <c r="L91" s="1">
        <f>IF($AM43="","",IF(OR(L$51&gt;=6,L$50=1),N(INDEX(MinFrei,MATCH(6,ArbeitNr,0))),N(INDEX(MinWerktag,MATCH(6,ArbeitNr,0)))))</f>
      </c>
      <c r="M91" s="1">
        <f>IF($AM43="","",IF(OR(M$51&gt;=6,M$50=1),N(INDEX(MinFrei,MATCH(6,ArbeitNr,0))),N(INDEX(MinWerktag,MATCH(6,ArbeitNr,0)))))</f>
      </c>
      <c r="N91" s="1">
        <f>IF($AM43="","",IF(OR(N$51&gt;=6,N$50=1),N(INDEX(MinFrei,MATCH(6,ArbeitNr,0))),N(INDEX(MinWerktag,MATCH(6,ArbeitNr,0)))))</f>
      </c>
      <c r="O91" s="1">
        <f>IF($AM43="","",IF(OR(O$51&gt;=6,O$50=1),N(INDEX(MinFrei,MATCH(6,ArbeitNr,0))),N(INDEX(MinWerktag,MATCH(6,ArbeitNr,0)))))</f>
      </c>
      <c r="P91" s="1">
        <f>IF($AM43="","",IF(OR(P$51&gt;=6,P$50=1),N(INDEX(MinFrei,MATCH(6,ArbeitNr,0))),N(INDEX(MinWerktag,MATCH(6,ArbeitNr,0)))))</f>
      </c>
      <c r="Q91" s="1">
        <f>IF($AM43="","",IF(OR(Q$51&gt;=6,Q$50=1),N(INDEX(MinFrei,MATCH(6,ArbeitNr,0))),N(INDEX(MinWerktag,MATCH(6,ArbeitNr,0)))))</f>
      </c>
      <c r="R91" s="1">
        <f>IF($AM43="","",IF(OR(R$51&gt;=6,R$50=1),N(INDEX(MinFrei,MATCH(6,ArbeitNr,0))),N(INDEX(MinWerktag,MATCH(6,ArbeitNr,0)))))</f>
      </c>
      <c r="S91" s="1">
        <f>IF($AM43="","",IF(OR(S$51&gt;=6,S$50=1),N(INDEX(MinFrei,MATCH(6,ArbeitNr,0))),N(INDEX(MinWerktag,MATCH(6,ArbeitNr,0)))))</f>
      </c>
      <c r="T91" s="1">
        <f>IF($AM43="","",IF(OR(T$51&gt;=6,T$50=1),N(INDEX(MinFrei,MATCH(6,ArbeitNr,0))),N(INDEX(MinWerktag,MATCH(6,ArbeitNr,0)))))</f>
      </c>
      <c r="U91" s="1">
        <f>IF($AM43="","",IF(OR(U$51&gt;=6,U$50=1),N(INDEX(MinFrei,MATCH(6,ArbeitNr,0))),N(INDEX(MinWerktag,MATCH(6,ArbeitNr,0)))))</f>
      </c>
      <c r="V91" s="1">
        <f>IF($AM43="","",IF(OR(V$51&gt;=6,V$50=1),N(INDEX(MinFrei,MATCH(6,ArbeitNr,0))),N(INDEX(MinWerktag,MATCH(6,ArbeitNr,0)))))</f>
      </c>
      <c r="W91" s="1">
        <f>IF($AM43="","",IF(OR(W$51&gt;=6,W$50=1),N(INDEX(MinFrei,MATCH(6,ArbeitNr,0))),N(INDEX(MinWerktag,MATCH(6,ArbeitNr,0)))))</f>
      </c>
      <c r="X91" s="1">
        <f>IF($AM43="","",IF(OR(X$51&gt;=6,X$50=1),N(INDEX(MinFrei,MATCH(6,ArbeitNr,0))),N(INDEX(MinWerktag,MATCH(6,ArbeitNr,0)))))</f>
      </c>
      <c r="Y91" s="1">
        <f>IF($AM43="","",IF(OR(Y$51&gt;=6,Y$50=1),N(INDEX(MinFrei,MATCH(6,ArbeitNr,0))),N(INDEX(MinWerktag,MATCH(6,ArbeitNr,0)))))</f>
      </c>
      <c r="Z91" s="1">
        <f>IF($AM43="","",IF(OR(Z$51&gt;=6,Z$50=1),N(INDEX(MinFrei,MATCH(6,ArbeitNr,0))),N(INDEX(MinWerktag,MATCH(6,ArbeitNr,0)))))</f>
      </c>
      <c r="AA91" s="1">
        <f>IF($AM43="","",IF(OR(AA$51&gt;=6,AA$50=1),N(INDEX(MinFrei,MATCH(6,ArbeitNr,0))),N(INDEX(MinWerktag,MATCH(6,ArbeitNr,0)))))</f>
      </c>
      <c r="AB91" s="1">
        <f>IF($AM43="","",IF(OR(AB$51&gt;=6,AB$50=1),N(INDEX(MinFrei,MATCH(6,ArbeitNr,0))),N(INDEX(MinWerktag,MATCH(6,ArbeitNr,0)))))</f>
      </c>
      <c r="AC91" s="1">
        <f>IF($AM43="","",IF(OR(AC$51&gt;=6,AC$50=1),N(INDEX(MinFrei,MATCH(6,ArbeitNr,0))),N(INDEX(MinWerktag,MATCH(6,ArbeitNr,0)))))</f>
      </c>
      <c r="AD91" s="1">
        <f>IF($AM43="","",IF(OR(AD$51&gt;=6,AD$50=1),N(INDEX(MinFrei,MATCH(6,ArbeitNr,0))),N(INDEX(MinWerktag,MATCH(6,ArbeitNr,0)))))</f>
      </c>
      <c r="AE91" s="1">
        <f>IF($AM43="","",IF(OR(AE$51&gt;=6,AE$50=1),N(INDEX(MinFrei,MATCH(6,ArbeitNr,0))),N(INDEX(MinWerktag,MATCH(6,ArbeitNr,0)))))</f>
      </c>
      <c r="AF91" s="1">
        <f>IF($AM43="","",IF(OR(AF$51&gt;=6,AF$50=1),N(INDEX(MinFrei,MATCH(6,ArbeitNr,0))),N(INDEX(MinWerktag,MATCH(6,ArbeitNr,0)))))</f>
      </c>
    </row>
    <row r="92" hidden="1" spans="1:32" x14ac:dyDescent="0.25">
      <c r="A92" s="1"/>
      <c r="B92" s="1">
        <f>IF($AM44="","",IF(OR(B$51&gt;=6,B$50=1),N(INDEX(MinFrei,MATCH(7,ArbeitNr,0))),N(INDEX(MinWerktag,MATCH(7,ArbeitNr,0)))))</f>
      </c>
      <c r="C92" s="1">
        <f>IF($AM44="","",IF(OR(C$51&gt;=6,C$50=1),N(INDEX(MinFrei,MATCH(7,ArbeitNr,0))),N(INDEX(MinWerktag,MATCH(7,ArbeitNr,0)))))</f>
      </c>
      <c r="D92" s="1">
        <f>IF($AM44="","",IF(OR(D$51&gt;=6,D$50=1),N(INDEX(MinFrei,MATCH(7,ArbeitNr,0))),N(INDEX(MinWerktag,MATCH(7,ArbeitNr,0)))))</f>
      </c>
      <c r="E92" s="1">
        <f>IF($AM44="","",IF(OR(E$51&gt;=6,E$50=1),N(INDEX(MinFrei,MATCH(7,ArbeitNr,0))),N(INDEX(MinWerktag,MATCH(7,ArbeitNr,0)))))</f>
      </c>
      <c r="F92" s="1">
        <f>IF($AM44="","",IF(OR(F$51&gt;=6,F$50=1),N(INDEX(MinFrei,MATCH(7,ArbeitNr,0))),N(INDEX(MinWerktag,MATCH(7,ArbeitNr,0)))))</f>
      </c>
      <c r="G92" s="1">
        <f>IF($AM44="","",IF(OR(G$51&gt;=6,G$50=1),N(INDEX(MinFrei,MATCH(7,ArbeitNr,0))),N(INDEX(MinWerktag,MATCH(7,ArbeitNr,0)))))</f>
      </c>
      <c r="H92" s="1">
        <f>IF($AM44="","",IF(OR(H$51&gt;=6,H$50=1),N(INDEX(MinFrei,MATCH(7,ArbeitNr,0))),N(INDEX(MinWerktag,MATCH(7,ArbeitNr,0)))))</f>
      </c>
      <c r="I92" s="1">
        <f>IF($AM44="","",IF(OR(I$51&gt;=6,I$50=1),N(INDEX(MinFrei,MATCH(7,ArbeitNr,0))),N(INDEX(MinWerktag,MATCH(7,ArbeitNr,0)))))</f>
      </c>
      <c r="J92" s="1">
        <f>IF($AM44="","",IF(OR(J$51&gt;=6,J$50=1),N(INDEX(MinFrei,MATCH(7,ArbeitNr,0))),N(INDEX(MinWerktag,MATCH(7,ArbeitNr,0)))))</f>
      </c>
      <c r="K92" s="1">
        <f>IF($AM44="","",IF(OR(K$51&gt;=6,K$50=1),N(INDEX(MinFrei,MATCH(7,ArbeitNr,0))),N(INDEX(MinWerktag,MATCH(7,ArbeitNr,0)))))</f>
      </c>
      <c r="L92" s="1">
        <f>IF($AM44="","",IF(OR(L$51&gt;=6,L$50=1),N(INDEX(MinFrei,MATCH(7,ArbeitNr,0))),N(INDEX(MinWerktag,MATCH(7,ArbeitNr,0)))))</f>
      </c>
      <c r="M92" s="1">
        <f>IF($AM44="","",IF(OR(M$51&gt;=6,M$50=1),N(INDEX(MinFrei,MATCH(7,ArbeitNr,0))),N(INDEX(MinWerktag,MATCH(7,ArbeitNr,0)))))</f>
      </c>
      <c r="N92" s="1">
        <f>IF($AM44="","",IF(OR(N$51&gt;=6,N$50=1),N(INDEX(MinFrei,MATCH(7,ArbeitNr,0))),N(INDEX(MinWerktag,MATCH(7,ArbeitNr,0)))))</f>
      </c>
      <c r="O92" s="1">
        <f>IF($AM44="","",IF(OR(O$51&gt;=6,O$50=1),N(INDEX(MinFrei,MATCH(7,ArbeitNr,0))),N(INDEX(MinWerktag,MATCH(7,ArbeitNr,0)))))</f>
      </c>
      <c r="P92" s="1">
        <f>IF($AM44="","",IF(OR(P$51&gt;=6,P$50=1),N(INDEX(MinFrei,MATCH(7,ArbeitNr,0))),N(INDEX(MinWerktag,MATCH(7,ArbeitNr,0)))))</f>
      </c>
      <c r="Q92" s="1">
        <f>IF($AM44="","",IF(OR(Q$51&gt;=6,Q$50=1),N(INDEX(MinFrei,MATCH(7,ArbeitNr,0))),N(INDEX(MinWerktag,MATCH(7,ArbeitNr,0)))))</f>
      </c>
      <c r="R92" s="1">
        <f>IF($AM44="","",IF(OR(R$51&gt;=6,R$50=1),N(INDEX(MinFrei,MATCH(7,ArbeitNr,0))),N(INDEX(MinWerktag,MATCH(7,ArbeitNr,0)))))</f>
      </c>
      <c r="S92" s="1">
        <f>IF($AM44="","",IF(OR(S$51&gt;=6,S$50=1),N(INDEX(MinFrei,MATCH(7,ArbeitNr,0))),N(INDEX(MinWerktag,MATCH(7,ArbeitNr,0)))))</f>
      </c>
      <c r="T92" s="1">
        <f>IF($AM44="","",IF(OR(T$51&gt;=6,T$50=1),N(INDEX(MinFrei,MATCH(7,ArbeitNr,0))),N(INDEX(MinWerktag,MATCH(7,ArbeitNr,0)))))</f>
      </c>
      <c r="U92" s="1">
        <f>IF($AM44="","",IF(OR(U$51&gt;=6,U$50=1),N(INDEX(MinFrei,MATCH(7,ArbeitNr,0))),N(INDEX(MinWerktag,MATCH(7,ArbeitNr,0)))))</f>
      </c>
      <c r="V92" s="1">
        <f>IF($AM44="","",IF(OR(V$51&gt;=6,V$50=1),N(INDEX(MinFrei,MATCH(7,ArbeitNr,0))),N(INDEX(MinWerktag,MATCH(7,ArbeitNr,0)))))</f>
      </c>
      <c r="W92" s="1">
        <f>IF($AM44="","",IF(OR(W$51&gt;=6,W$50=1),N(INDEX(MinFrei,MATCH(7,ArbeitNr,0))),N(INDEX(MinWerktag,MATCH(7,ArbeitNr,0)))))</f>
      </c>
      <c r="X92" s="1">
        <f>IF($AM44="","",IF(OR(X$51&gt;=6,X$50=1),N(INDEX(MinFrei,MATCH(7,ArbeitNr,0))),N(INDEX(MinWerktag,MATCH(7,ArbeitNr,0)))))</f>
      </c>
      <c r="Y92" s="1">
        <f>IF($AM44="","",IF(OR(Y$51&gt;=6,Y$50=1),N(INDEX(MinFrei,MATCH(7,ArbeitNr,0))),N(INDEX(MinWerktag,MATCH(7,ArbeitNr,0)))))</f>
      </c>
      <c r="Z92" s="1">
        <f>IF($AM44="","",IF(OR(Z$51&gt;=6,Z$50=1),N(INDEX(MinFrei,MATCH(7,ArbeitNr,0))),N(INDEX(MinWerktag,MATCH(7,ArbeitNr,0)))))</f>
      </c>
      <c r="AA92" s="1">
        <f>IF($AM44="","",IF(OR(AA$51&gt;=6,AA$50=1),N(INDEX(MinFrei,MATCH(7,ArbeitNr,0))),N(INDEX(MinWerktag,MATCH(7,ArbeitNr,0)))))</f>
      </c>
      <c r="AB92" s="1">
        <f>IF($AM44="","",IF(OR(AB$51&gt;=6,AB$50=1),N(INDEX(MinFrei,MATCH(7,ArbeitNr,0))),N(INDEX(MinWerktag,MATCH(7,ArbeitNr,0)))))</f>
      </c>
      <c r="AC92" s="1">
        <f>IF($AM44="","",IF(OR(AC$51&gt;=6,AC$50=1),N(INDEX(MinFrei,MATCH(7,ArbeitNr,0))),N(INDEX(MinWerktag,MATCH(7,ArbeitNr,0)))))</f>
      </c>
      <c r="AD92" s="1">
        <f>IF($AM44="","",IF(OR(AD$51&gt;=6,AD$50=1),N(INDEX(MinFrei,MATCH(7,ArbeitNr,0))),N(INDEX(MinWerktag,MATCH(7,ArbeitNr,0)))))</f>
      </c>
      <c r="AE92" s="1">
        <f>IF($AM44="","",IF(OR(AE$51&gt;=6,AE$50=1),N(INDEX(MinFrei,MATCH(7,ArbeitNr,0))),N(INDEX(MinWerktag,MATCH(7,ArbeitNr,0)))))</f>
      </c>
      <c r="AF92" s="1">
        <f>IF($AM44="","",IF(OR(AF$51&gt;=6,AF$50=1),N(INDEX(MinFrei,MATCH(7,ArbeitNr,0))),N(INDEX(MinWerktag,MATCH(7,ArbeitNr,0)))))</f>
      </c>
    </row>
    <row r="93" hidden="1" spans="1:32" x14ac:dyDescent="0.25">
      <c r="A93" s="1"/>
      <c r="B93" s="1">
        <f>IF($AM45="","",IF(OR(B$51&gt;=6,B$50=1),N(INDEX(MinFrei,MATCH(8,ArbeitNr,0))),N(INDEX(MinWerktag,MATCH(8,ArbeitNr,0)))))</f>
      </c>
      <c r="C93" s="1">
        <f>IF($AM45="","",IF(OR(C$51&gt;=6,C$50=1),N(INDEX(MinFrei,MATCH(8,ArbeitNr,0))),N(INDEX(MinWerktag,MATCH(8,ArbeitNr,0)))))</f>
      </c>
      <c r="D93" s="1">
        <f>IF($AM45="","",IF(OR(D$51&gt;=6,D$50=1),N(INDEX(MinFrei,MATCH(8,ArbeitNr,0))),N(INDEX(MinWerktag,MATCH(8,ArbeitNr,0)))))</f>
      </c>
      <c r="E93" s="1">
        <f>IF($AM45="","",IF(OR(E$51&gt;=6,E$50=1),N(INDEX(MinFrei,MATCH(8,ArbeitNr,0))),N(INDEX(MinWerktag,MATCH(8,ArbeitNr,0)))))</f>
      </c>
      <c r="F93" s="1">
        <f>IF($AM45="","",IF(OR(F$51&gt;=6,F$50=1),N(INDEX(MinFrei,MATCH(8,ArbeitNr,0))),N(INDEX(MinWerktag,MATCH(8,ArbeitNr,0)))))</f>
      </c>
      <c r="G93" s="1">
        <f>IF($AM45="","",IF(OR(G$51&gt;=6,G$50=1),N(INDEX(MinFrei,MATCH(8,ArbeitNr,0))),N(INDEX(MinWerktag,MATCH(8,ArbeitNr,0)))))</f>
      </c>
      <c r="H93" s="1">
        <f>IF($AM45="","",IF(OR(H$51&gt;=6,H$50=1),N(INDEX(MinFrei,MATCH(8,ArbeitNr,0))),N(INDEX(MinWerktag,MATCH(8,ArbeitNr,0)))))</f>
      </c>
      <c r="I93" s="1">
        <f>IF($AM45="","",IF(OR(I$51&gt;=6,I$50=1),N(INDEX(MinFrei,MATCH(8,ArbeitNr,0))),N(INDEX(MinWerktag,MATCH(8,ArbeitNr,0)))))</f>
      </c>
      <c r="J93" s="1">
        <f>IF($AM45="","",IF(OR(J$51&gt;=6,J$50=1),N(INDEX(MinFrei,MATCH(8,ArbeitNr,0))),N(INDEX(MinWerktag,MATCH(8,ArbeitNr,0)))))</f>
      </c>
      <c r="K93" s="1">
        <f>IF($AM45="","",IF(OR(K$51&gt;=6,K$50=1),N(INDEX(MinFrei,MATCH(8,ArbeitNr,0))),N(INDEX(MinWerktag,MATCH(8,ArbeitNr,0)))))</f>
      </c>
      <c r="L93" s="1">
        <f>IF($AM45="","",IF(OR(L$51&gt;=6,L$50=1),N(INDEX(MinFrei,MATCH(8,ArbeitNr,0))),N(INDEX(MinWerktag,MATCH(8,ArbeitNr,0)))))</f>
      </c>
      <c r="M93" s="1">
        <f>IF($AM45="","",IF(OR(M$51&gt;=6,M$50=1),N(INDEX(MinFrei,MATCH(8,ArbeitNr,0))),N(INDEX(MinWerktag,MATCH(8,ArbeitNr,0)))))</f>
      </c>
      <c r="N93" s="1">
        <f>IF($AM45="","",IF(OR(N$51&gt;=6,N$50=1),N(INDEX(MinFrei,MATCH(8,ArbeitNr,0))),N(INDEX(MinWerktag,MATCH(8,ArbeitNr,0)))))</f>
      </c>
      <c r="O93" s="1">
        <f>IF($AM45="","",IF(OR(O$51&gt;=6,O$50=1),N(INDEX(MinFrei,MATCH(8,ArbeitNr,0))),N(INDEX(MinWerktag,MATCH(8,ArbeitNr,0)))))</f>
      </c>
      <c r="P93" s="1">
        <f>IF($AM45="","",IF(OR(P$51&gt;=6,P$50=1),N(INDEX(MinFrei,MATCH(8,ArbeitNr,0))),N(INDEX(MinWerktag,MATCH(8,ArbeitNr,0)))))</f>
      </c>
      <c r="Q93" s="1">
        <f>IF($AM45="","",IF(OR(Q$51&gt;=6,Q$50=1),N(INDEX(MinFrei,MATCH(8,ArbeitNr,0))),N(INDEX(MinWerktag,MATCH(8,ArbeitNr,0)))))</f>
      </c>
      <c r="R93" s="1">
        <f>IF($AM45="","",IF(OR(R$51&gt;=6,R$50=1),N(INDEX(MinFrei,MATCH(8,ArbeitNr,0))),N(INDEX(MinWerktag,MATCH(8,ArbeitNr,0)))))</f>
      </c>
      <c r="S93" s="1">
        <f>IF($AM45="","",IF(OR(S$51&gt;=6,S$50=1),N(INDEX(MinFrei,MATCH(8,ArbeitNr,0))),N(INDEX(MinWerktag,MATCH(8,ArbeitNr,0)))))</f>
      </c>
      <c r="T93" s="1">
        <f>IF($AM45="","",IF(OR(T$51&gt;=6,T$50=1),N(INDEX(MinFrei,MATCH(8,ArbeitNr,0))),N(INDEX(MinWerktag,MATCH(8,ArbeitNr,0)))))</f>
      </c>
      <c r="U93" s="1">
        <f>IF($AM45="","",IF(OR(U$51&gt;=6,U$50=1),N(INDEX(MinFrei,MATCH(8,ArbeitNr,0))),N(INDEX(MinWerktag,MATCH(8,ArbeitNr,0)))))</f>
      </c>
      <c r="V93" s="1">
        <f>IF($AM45="","",IF(OR(V$51&gt;=6,V$50=1),N(INDEX(MinFrei,MATCH(8,ArbeitNr,0))),N(INDEX(MinWerktag,MATCH(8,ArbeitNr,0)))))</f>
      </c>
      <c r="W93" s="1">
        <f>IF($AM45="","",IF(OR(W$51&gt;=6,W$50=1),N(INDEX(MinFrei,MATCH(8,ArbeitNr,0))),N(INDEX(MinWerktag,MATCH(8,ArbeitNr,0)))))</f>
      </c>
      <c r="X93" s="1">
        <f>IF($AM45="","",IF(OR(X$51&gt;=6,X$50=1),N(INDEX(MinFrei,MATCH(8,ArbeitNr,0))),N(INDEX(MinWerktag,MATCH(8,ArbeitNr,0)))))</f>
      </c>
      <c r="Y93" s="1">
        <f>IF($AM45="","",IF(OR(Y$51&gt;=6,Y$50=1),N(INDEX(MinFrei,MATCH(8,ArbeitNr,0))),N(INDEX(MinWerktag,MATCH(8,ArbeitNr,0)))))</f>
      </c>
      <c r="Z93" s="1">
        <f>IF($AM45="","",IF(OR(Z$51&gt;=6,Z$50=1),N(INDEX(MinFrei,MATCH(8,ArbeitNr,0))),N(INDEX(MinWerktag,MATCH(8,ArbeitNr,0)))))</f>
      </c>
      <c r="AA93" s="1">
        <f>IF($AM45="","",IF(OR(AA$51&gt;=6,AA$50=1),N(INDEX(MinFrei,MATCH(8,ArbeitNr,0))),N(INDEX(MinWerktag,MATCH(8,ArbeitNr,0)))))</f>
      </c>
      <c r="AB93" s="1">
        <f>IF($AM45="","",IF(OR(AB$51&gt;=6,AB$50=1),N(INDEX(MinFrei,MATCH(8,ArbeitNr,0))),N(INDEX(MinWerktag,MATCH(8,ArbeitNr,0)))))</f>
      </c>
      <c r="AC93" s="1">
        <f>IF($AM45="","",IF(OR(AC$51&gt;=6,AC$50=1),N(INDEX(MinFrei,MATCH(8,ArbeitNr,0))),N(INDEX(MinWerktag,MATCH(8,ArbeitNr,0)))))</f>
      </c>
      <c r="AD93" s="1">
        <f>IF($AM45="","",IF(OR(AD$51&gt;=6,AD$50=1),N(INDEX(MinFrei,MATCH(8,ArbeitNr,0))),N(INDEX(MinWerktag,MATCH(8,ArbeitNr,0)))))</f>
      </c>
      <c r="AE93" s="1">
        <f>IF($AM45="","",IF(OR(AE$51&gt;=6,AE$50=1),N(INDEX(MinFrei,MATCH(8,ArbeitNr,0))),N(INDEX(MinWerktag,MATCH(8,ArbeitNr,0)))))</f>
      </c>
      <c r="AF93" s="1">
        <f>IF($AM45="","",IF(OR(AF$51&gt;=6,AF$50=1),N(INDEX(MinFrei,MATCH(8,ArbeitNr,0))),N(INDEX(MinWerktag,MATCH(8,ArbeitNr,0)))))</f>
      </c>
    </row>
  </sheetData>
  <sheetProtection sheet="1" formatCells="0" formatColumns="0" formatRows="0"/>
  <mergeCells count="1">
    <mergeCell ref="B48:U48"/>
  </mergeCells>
  <conditionalFormatting sqref="B6:AF35">
    <cfRule type="expression" dxfId="80" priority="1">
      <formula>B$52=0</formula>
    </cfRule>
    <cfRule type="expression" dxfId="81" priority="2">
      <formula>B55=1</formula>
    </cfRule>
    <cfRule type="expression" dxfId="82" priority="3">
      <formula>AND(B6&lt;&gt;"",UPPER(B6)=UPPER(Einstellungen!$A$9))</formula>
    </cfRule>
    <cfRule type="expression" dxfId="83" priority="4">
      <formula>AND(B6&lt;&gt;"",UPPER(B6)=UPPER(Einstellungen!$A$10))</formula>
    </cfRule>
    <cfRule type="expression" dxfId="84" priority="5">
      <formula>AND(B6&lt;&gt;"",UPPER(B6)=UPPER(Einstellungen!$A$11))</formula>
    </cfRule>
    <cfRule type="expression" dxfId="85" priority="6">
      <formula>AND(B6&lt;&gt;"",UPPER(B6)=UPPER(Einstellungen!$A$12))</formula>
    </cfRule>
    <cfRule type="expression" dxfId="86" priority="7">
      <formula>AND(B6&lt;&gt;"",UPPER(B6)=UPPER(Einstellungen!$A$13))</formula>
    </cfRule>
    <cfRule type="expression" dxfId="87" priority="8">
      <formula>AND(B6&lt;&gt;"",UPPER(B6)=UPPER(Einstellungen!$A$14))</formula>
    </cfRule>
    <cfRule type="expression" dxfId="88" priority="9">
      <formula>AND(B6&lt;&gt;"",UPPER(B6)=UPPER(Einstellungen!$A$15))</formula>
    </cfRule>
    <cfRule type="expression" dxfId="89" priority="10">
      <formula>AND(B6&lt;&gt;"",UPPER(B6)=UPPER(Einstellungen!$A$16))</formula>
    </cfRule>
    <cfRule type="expression" dxfId="90" priority="11">
      <formula>AND(B6&lt;&gt;"",UPPER(B6)=UPPER(Einstellungen!$A$17))</formula>
    </cfRule>
    <cfRule type="expression" dxfId="91" priority="12">
      <formula>AND(B6&lt;&gt;"",UPPER(B6)=UPPER(Einstellungen!$A$18))</formula>
    </cfRule>
    <cfRule type="expression" dxfId="92" priority="13">
      <formula>AND(B6&lt;&gt;"",UPPER(B6)=UPPER(Einstellungen!$A$19))</formula>
    </cfRule>
    <cfRule type="expression" dxfId="93" priority="14">
      <formula>AND(B6&lt;&gt;"",UPPER(B6)=UPPER(Einstellungen!$A$20))</formula>
    </cfRule>
    <cfRule type="expression" dxfId="94" priority="20">
      <formula>B$50=1</formula>
    </cfRule>
    <cfRule type="expression" dxfId="95" priority="21">
      <formula>B$51&gt;=6</formula>
    </cfRule>
  </conditionalFormatting>
  <conditionalFormatting sqref="B4:AF5">
    <cfRule type="expression" dxfId="96" priority="22">
      <formula>B$52=0</formula>
    </cfRule>
    <cfRule type="expression" dxfId="97" priority="23">
      <formula>B$50=1</formula>
    </cfRule>
    <cfRule type="expression" dxfId="98" priority="24">
      <formula>B$51&gt;=6</formula>
    </cfRule>
  </conditionalFormatting>
  <conditionalFormatting sqref="B38:AF45">
    <cfRule type="expression" dxfId="99" priority="25">
      <formula>AND(B38&lt;&gt;"",N(B38)&lt;N(B86))</formula>
    </cfRule>
  </conditionalFormatting>
  <dataValidations count="4">
    <dataValidation type="list" allowBlank="1" showErrorMessage="1" errorTitle="Schicht" error="Bitte ein Kürzel aus den Einstellungen wählen (z. B. F, S, N, U, K)." sqref="AA10:AF35">
      <formula1>Codes</formula1>
    </dataValidation>
    <dataValidation type="list" allowBlank="1" showErrorMessage="1" errorTitle="Schicht" error="Bitte ein Kürzel aus den Einstellungen wählen (z. B. F, S, N, U, K)." sqref="AA6:AF35">
      <formula1>Codes</formula1>
    </dataValidation>
    <dataValidation type="list" allowBlank="1" showErrorMessage="1" errorTitle="Schicht" error="Bitte ein Kürzel aus den Einstellungen wählen (z. B. F, S, N, U, K)." sqref="B10:AF35">
      <formula1>Codes</formula1>
    </dataValidation>
    <dataValidation type="list" allowBlank="1" showErrorMessage="1" errorTitle="Schicht" error="Bitte ein Kürzel aus den Einstellungen wählen (z. B. F, S, N, U, K)." sqref="B6:AF35">
      <formula1>Codes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93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32" width="4.2" customWidth="1"/>
    <col min="36" max="37" width="7" customWidth="1"/>
    <col min="38" max="38" width="30" customWidth="1"/>
    <col min="39" max="39" width="9" hidden="1" customWidth="1"/>
  </cols>
  <sheetData>
    <row r="1" spans="1:1" x14ac:dyDescent="0.25">
      <c r="A1" s="5">
        <f>"Dienstplan Juni "&amp;Jahr&amp;IF(Team="",""," · "&amp;Team)</f>
      </c>
    </row>
    <row r="2" spans="1:1" x14ac:dyDescent="0.25">
      <c r="A2" s="7">
        <f>IF(Bundesland="","Bitte in den Einstellungen das Bundesland wählen, damit die Feiertage stimmen.","Feiertage: "&amp;Bundesland)</f>
      </c>
    </row>
    <row r="3" spans="1:1" x14ac:dyDescent="0.25">
      <c r="A3" s="30">
        <f>Legende</f>
      </c>
    </row>
    <row r="4" spans="1:32" x14ac:dyDescent="0.25">
      <c r="A4" s="1"/>
      <c r="B4" s="31">
        <f>IF(B$5="","",CHOOSE(WEEKDAY(B$5,2),"Mo","Di","Mi","Do","Fr","Sa","So"))</f>
      </c>
      <c r="C4" s="31">
        <f>IF(C$5="","",CHOOSE(WEEKDAY(C$5,2),"Mo","Di","Mi","Do","Fr","Sa","So"))</f>
      </c>
      <c r="D4" s="31">
        <f>IF(D$5="","",CHOOSE(WEEKDAY(D$5,2),"Mo","Di","Mi","Do","Fr","Sa","So"))</f>
      </c>
      <c r="E4" s="31">
        <f>IF(E$5="","",CHOOSE(WEEKDAY(E$5,2),"Mo","Di","Mi","Do","Fr","Sa","So"))</f>
      </c>
      <c r="F4" s="31">
        <f>IF(F$5="","",CHOOSE(WEEKDAY(F$5,2),"Mo","Di","Mi","Do","Fr","Sa","So"))</f>
      </c>
      <c r="G4" s="31">
        <f>IF(G$5="","",CHOOSE(WEEKDAY(G$5,2),"Mo","Di","Mi","Do","Fr","Sa","So"))</f>
      </c>
      <c r="H4" s="31">
        <f>IF(H$5="","",CHOOSE(WEEKDAY(H$5,2),"Mo","Di","Mi","Do","Fr","Sa","So"))</f>
      </c>
      <c r="I4" s="31">
        <f>IF(I$5="","",CHOOSE(WEEKDAY(I$5,2),"Mo","Di","Mi","Do","Fr","Sa","So"))</f>
      </c>
      <c r="J4" s="31">
        <f>IF(J$5="","",CHOOSE(WEEKDAY(J$5,2),"Mo","Di","Mi","Do","Fr","Sa","So"))</f>
      </c>
      <c r="K4" s="31">
        <f>IF(K$5="","",CHOOSE(WEEKDAY(K$5,2),"Mo","Di","Mi","Do","Fr","Sa","So"))</f>
      </c>
      <c r="L4" s="31">
        <f>IF(L$5="","",CHOOSE(WEEKDAY(L$5,2),"Mo","Di","Mi","Do","Fr","Sa","So"))</f>
      </c>
      <c r="M4" s="31">
        <f>IF(M$5="","",CHOOSE(WEEKDAY(M$5,2),"Mo","Di","Mi","Do","Fr","Sa","So"))</f>
      </c>
      <c r="N4" s="31">
        <f>IF(N$5="","",CHOOSE(WEEKDAY(N$5,2),"Mo","Di","Mi","Do","Fr","Sa","So"))</f>
      </c>
      <c r="O4" s="31">
        <f>IF(O$5="","",CHOOSE(WEEKDAY(O$5,2),"Mo","Di","Mi","Do","Fr","Sa","So"))</f>
      </c>
      <c r="P4" s="31">
        <f>IF(P$5="","",CHOOSE(WEEKDAY(P$5,2),"Mo","Di","Mi","Do","Fr","Sa","So"))</f>
      </c>
      <c r="Q4" s="31">
        <f>IF(Q$5="","",CHOOSE(WEEKDAY(Q$5,2),"Mo","Di","Mi","Do","Fr","Sa","So"))</f>
      </c>
      <c r="R4" s="31">
        <f>IF(R$5="","",CHOOSE(WEEKDAY(R$5,2),"Mo","Di","Mi","Do","Fr","Sa","So"))</f>
      </c>
      <c r="S4" s="31">
        <f>IF(S$5="","",CHOOSE(WEEKDAY(S$5,2),"Mo","Di","Mi","Do","Fr","Sa","So"))</f>
      </c>
      <c r="T4" s="31">
        <f>IF(T$5="","",CHOOSE(WEEKDAY(T$5,2),"Mo","Di","Mi","Do","Fr","Sa","So"))</f>
      </c>
      <c r="U4" s="31">
        <f>IF(U$5="","",CHOOSE(WEEKDAY(U$5,2),"Mo","Di","Mi","Do","Fr","Sa","So"))</f>
      </c>
      <c r="V4" s="31">
        <f>IF(V$5="","",CHOOSE(WEEKDAY(V$5,2),"Mo","Di","Mi","Do","Fr","Sa","So"))</f>
      </c>
      <c r="W4" s="31">
        <f>IF(W$5="","",CHOOSE(WEEKDAY(W$5,2),"Mo","Di","Mi","Do","Fr","Sa","So"))</f>
      </c>
      <c r="X4" s="31">
        <f>IF(X$5="","",CHOOSE(WEEKDAY(X$5,2),"Mo","Di","Mi","Do","Fr","Sa","So"))</f>
      </c>
      <c r="Y4" s="31">
        <f>IF(Y$5="","",CHOOSE(WEEKDAY(Y$5,2),"Mo","Di","Mi","Do","Fr","Sa","So"))</f>
      </c>
      <c r="Z4" s="31">
        <f>IF(Z$5="","",CHOOSE(WEEKDAY(Z$5,2),"Mo","Di","Mi","Do","Fr","Sa","So"))</f>
      </c>
      <c r="AA4" s="31">
        <f>IF(AA$5="","",CHOOSE(WEEKDAY(AA$5,2),"Mo","Di","Mi","Do","Fr","Sa","So"))</f>
      </c>
      <c r="AB4" s="31">
        <f>IF(AB$5="","",CHOOSE(WEEKDAY(AB$5,2),"Mo","Di","Mi","Do","Fr","Sa","So"))</f>
      </c>
      <c r="AC4" s="31">
        <f>IF(AC$5="","",CHOOSE(WEEKDAY(AC$5,2),"Mo","Di","Mi","Do","Fr","Sa","So"))</f>
      </c>
      <c r="AD4" s="31">
        <f>IF(AD$5="","",CHOOSE(WEEKDAY(AD$5,2),"Mo","Di","Mi","Do","Fr","Sa","So"))</f>
      </c>
      <c r="AE4" s="31">
        <f>IF(AE$5="","",CHOOSE(WEEKDAY(AE$5,2),"Mo","Di","Mi","Do","Fr","Sa","So"))</f>
      </c>
      <c r="AF4" s="31">
        <f>IF(AF$5="","",CHOOSE(WEEKDAY(AF$5,2),"Mo","Di","Mi","Do","Fr","Sa","So"))</f>
      </c>
    </row>
    <row r="5" ht="18" customHeight="1" spans="1:38" x14ac:dyDescent="0.25">
      <c r="A5" s="10" t="s">
        <v>52</v>
      </c>
      <c r="B5" s="32">
        <f>IF(MONTH(DATE(Jahr,6,1))=6,DATE(Jahr,6,1),"")</f>
      </c>
      <c r="C5" s="32">
        <f>IF(MONTH(DATE(Jahr,6,2))=6,DATE(Jahr,6,2),"")</f>
      </c>
      <c r="D5" s="32">
        <f>IF(MONTH(DATE(Jahr,6,3))=6,DATE(Jahr,6,3),"")</f>
      </c>
      <c r="E5" s="32">
        <f>IF(MONTH(DATE(Jahr,6,4))=6,DATE(Jahr,6,4),"")</f>
      </c>
      <c r="F5" s="32">
        <f>IF(MONTH(DATE(Jahr,6,5))=6,DATE(Jahr,6,5),"")</f>
      </c>
      <c r="G5" s="32">
        <f>IF(MONTH(DATE(Jahr,6,6))=6,DATE(Jahr,6,6),"")</f>
      </c>
      <c r="H5" s="32">
        <f>IF(MONTH(DATE(Jahr,6,7))=6,DATE(Jahr,6,7),"")</f>
      </c>
      <c r="I5" s="32">
        <f>IF(MONTH(DATE(Jahr,6,8))=6,DATE(Jahr,6,8),"")</f>
      </c>
      <c r="J5" s="32">
        <f>IF(MONTH(DATE(Jahr,6,9))=6,DATE(Jahr,6,9),"")</f>
      </c>
      <c r="K5" s="32">
        <f>IF(MONTH(DATE(Jahr,6,10))=6,DATE(Jahr,6,10),"")</f>
      </c>
      <c r="L5" s="32">
        <f>IF(MONTH(DATE(Jahr,6,11))=6,DATE(Jahr,6,11),"")</f>
      </c>
      <c r="M5" s="32">
        <f>IF(MONTH(DATE(Jahr,6,12))=6,DATE(Jahr,6,12),"")</f>
      </c>
      <c r="N5" s="32">
        <f>IF(MONTH(DATE(Jahr,6,13))=6,DATE(Jahr,6,13),"")</f>
      </c>
      <c r="O5" s="32">
        <f>IF(MONTH(DATE(Jahr,6,14))=6,DATE(Jahr,6,14),"")</f>
      </c>
      <c r="P5" s="32">
        <f>IF(MONTH(DATE(Jahr,6,15))=6,DATE(Jahr,6,15),"")</f>
      </c>
      <c r="Q5" s="32">
        <f>IF(MONTH(DATE(Jahr,6,16))=6,DATE(Jahr,6,16),"")</f>
      </c>
      <c r="R5" s="32">
        <f>IF(MONTH(DATE(Jahr,6,17))=6,DATE(Jahr,6,17),"")</f>
      </c>
      <c r="S5" s="32">
        <f>IF(MONTH(DATE(Jahr,6,18))=6,DATE(Jahr,6,18),"")</f>
      </c>
      <c r="T5" s="32">
        <f>IF(MONTH(DATE(Jahr,6,19))=6,DATE(Jahr,6,19),"")</f>
      </c>
      <c r="U5" s="32">
        <f>IF(MONTH(DATE(Jahr,6,20))=6,DATE(Jahr,6,20),"")</f>
      </c>
      <c r="V5" s="32">
        <f>IF(MONTH(DATE(Jahr,6,21))=6,DATE(Jahr,6,21),"")</f>
      </c>
      <c r="W5" s="32">
        <f>IF(MONTH(DATE(Jahr,6,22))=6,DATE(Jahr,6,22),"")</f>
      </c>
      <c r="X5" s="32">
        <f>IF(MONTH(DATE(Jahr,6,23))=6,DATE(Jahr,6,23),"")</f>
      </c>
      <c r="Y5" s="32">
        <f>IF(MONTH(DATE(Jahr,6,24))=6,DATE(Jahr,6,24),"")</f>
      </c>
      <c r="Z5" s="32">
        <f>IF(MONTH(DATE(Jahr,6,25))=6,DATE(Jahr,6,25),"")</f>
      </c>
      <c r="AA5" s="32">
        <f>IF(MONTH(DATE(Jahr,6,26))=6,DATE(Jahr,6,26),"")</f>
      </c>
      <c r="AB5" s="32">
        <f>IF(MONTH(DATE(Jahr,6,27))=6,DATE(Jahr,6,27),"")</f>
      </c>
      <c r="AC5" s="32">
        <f>IF(MONTH(DATE(Jahr,6,28))=6,DATE(Jahr,6,28),"")</f>
      </c>
      <c r="AD5" s="32">
        <f>IF(MONTH(DATE(Jahr,6,29))=6,DATE(Jahr,6,29),"")</f>
      </c>
      <c r="AE5" s="32">
        <f>IF(MONTH(DATE(Jahr,6,30))=6,DATE(Jahr,6,30),"")</f>
      </c>
      <c r="AF5" s="32">
        <f>IF(MONTH(DATE(Jahr,6,31))=6,DATE(Jahr,6,31),"")</f>
      </c>
      <c r="AG5" s="10" t="s">
        <v>60</v>
      </c>
      <c r="AH5" s="10" t="s">
        <v>61</v>
      </c>
      <c r="AI5" s="10" t="s">
        <v>62</v>
      </c>
      <c r="AJ5" s="10" t="s">
        <v>44</v>
      </c>
      <c r="AK5" s="10" t="s">
        <v>46</v>
      </c>
      <c r="AL5" s="10" t="s">
        <v>33</v>
      </c>
    </row>
    <row r="6" spans="1:38" x14ac:dyDescent="0.25">
      <c r="A6" s="33">
        <f>Mitarbeiter!$A$5&amp;""</f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5">
        <f>IF($A6="","",SUMPRODUCT(COUNTIFS(B6:AF6,Codes,$B$52:$AF$52,1)*(Arten="Arbeit")*Erste*NettoTage)+SUMPRODUCT(COUNTIFS(B6:AF6,Codes,$B$53:$AF$53,1)*((Arten="Urlaub")+(Arten="Krank")+(Arten="Bezahlt abwesend"))*Erste)*N(Mitarbeiter!$B$5)/5/24)</f>
      </c>
      <c r="AH6" s="35">
        <f>IF($A6="","",N(Mitarbeiter!$B$5)/5/24*SUM($B$53:$AF$53))</f>
      </c>
      <c r="AI6" s="36">
        <f>IF($A6="","",IF((AG6-AH6)&lt;0,"-","+")&amp;TEXT(ABS((AG6-AH6)),"[h]:mm"))</f>
      </c>
      <c r="AJ6" s="37">
        <f>IF($A6="","",SUMPRODUCT(COUNTIFS(B6:AF6,Codes,$B$53:$AF$53,1)*(Arten="Urlaub")*Erste))</f>
      </c>
      <c r="AK6" s="37">
        <f>IF($A6="","",SUMPRODUCT(COUNTIFS(B6:AF6,Codes,$B$53:$AF$53,1)*(Arten="Krank")*Erste))</f>
      </c>
      <c r="AL6" s="38">
        <f>IF($A6="","",IF(COUNTIF(B55:AF55,1)&gt;0,COUNTIF(B55:AF55,1)&amp;"× Ruhezeit unter 11 Std. (§ 5)","")&amp;IF((COUNTIFS(B6:AF6,"?*",$B$52:$AF$52,1)-SUMPRODUCT(COUNTIFS(B6:AF6,Codes,$B$52:$AF$52,1)*(Codes&lt;&gt;"")*Erste))&gt;0,IF(COUNTIF(B55:AF55,1)&gt;0,"; ","")&amp;(COUNTIFS(B6:AF6,"?*",$B$52:$AF$52,1)-SUMPRODUCT(COUNTIFS(B6:AF6,Codes,$B$52:$AF$52,1)*(Codes&lt;&gt;"")*Erste))&amp;"× unbekanntes Kürzel",""))</f>
      </c>
    </row>
    <row r="7" spans="1:38" x14ac:dyDescent="0.25">
      <c r="A7" s="33">
        <f>Mitarbeiter!$A$6&amp;""</f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5">
        <f>IF($A7="","",SUMPRODUCT(COUNTIFS(B7:AF7,Codes,$B$52:$AF$52,1)*(Arten="Arbeit")*Erste*NettoTage)+SUMPRODUCT(COUNTIFS(B7:AF7,Codes,$B$53:$AF$53,1)*((Arten="Urlaub")+(Arten="Krank")+(Arten="Bezahlt abwesend"))*Erste)*N(Mitarbeiter!$B$6)/5/24)</f>
      </c>
      <c r="AH7" s="35">
        <f>IF($A7="","",N(Mitarbeiter!$B$6)/5/24*SUM($B$53:$AF$53))</f>
      </c>
      <c r="AI7" s="36">
        <f>IF($A7="","",IF((AG7-AH7)&lt;0,"-","+")&amp;TEXT(ABS((AG7-AH7)),"[h]:mm"))</f>
      </c>
      <c r="AJ7" s="37">
        <f>IF($A7="","",SUMPRODUCT(COUNTIFS(B7:AF7,Codes,$B$53:$AF$53,1)*(Arten="Urlaub")*Erste))</f>
      </c>
      <c r="AK7" s="37">
        <f>IF($A7="","",SUMPRODUCT(COUNTIFS(B7:AF7,Codes,$B$53:$AF$53,1)*(Arten="Krank")*Erste))</f>
      </c>
      <c r="AL7" s="38">
        <f>IF($A7="","",IF(COUNTIF(B56:AF56,1)&gt;0,COUNTIF(B56:AF56,1)&amp;"× Ruhezeit unter 11 Std. (§ 5)","")&amp;IF((COUNTIFS(B7:AF7,"?*",$B$52:$AF$52,1)-SUMPRODUCT(COUNTIFS(B7:AF7,Codes,$B$52:$AF$52,1)*(Codes&lt;&gt;"")*Erste))&gt;0,IF(COUNTIF(B56:AF56,1)&gt;0,"; ","")&amp;(COUNTIFS(B7:AF7,"?*",$B$52:$AF$52,1)-SUMPRODUCT(COUNTIFS(B7:AF7,Codes,$B$52:$AF$52,1)*(Codes&lt;&gt;"")*Erste))&amp;"× unbekanntes Kürzel",""))</f>
      </c>
    </row>
    <row r="8" spans="1:38" x14ac:dyDescent="0.25">
      <c r="A8" s="33">
        <f>Mitarbeiter!$A$7&amp;""</f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5">
        <f>IF($A8="","",SUMPRODUCT(COUNTIFS(B8:AF8,Codes,$B$52:$AF$52,1)*(Arten="Arbeit")*Erste*NettoTage)+SUMPRODUCT(COUNTIFS(B8:AF8,Codes,$B$53:$AF$53,1)*((Arten="Urlaub")+(Arten="Krank")+(Arten="Bezahlt abwesend"))*Erste)*N(Mitarbeiter!$B$7)/5/24)</f>
      </c>
      <c r="AH8" s="35">
        <f>IF($A8="","",N(Mitarbeiter!$B$7)/5/24*SUM($B$53:$AF$53))</f>
      </c>
      <c r="AI8" s="36">
        <f>IF($A8="","",IF((AG8-AH8)&lt;0,"-","+")&amp;TEXT(ABS((AG8-AH8)),"[h]:mm"))</f>
      </c>
      <c r="AJ8" s="37">
        <f>IF($A8="","",SUMPRODUCT(COUNTIFS(B8:AF8,Codes,$B$53:$AF$53,1)*(Arten="Urlaub")*Erste))</f>
      </c>
      <c r="AK8" s="37">
        <f>IF($A8="","",SUMPRODUCT(COUNTIFS(B8:AF8,Codes,$B$53:$AF$53,1)*(Arten="Krank")*Erste))</f>
      </c>
      <c r="AL8" s="38">
        <f>IF($A8="","",IF(COUNTIF(B57:AF57,1)&gt;0,COUNTIF(B57:AF57,1)&amp;"× Ruhezeit unter 11 Std. (§ 5)","")&amp;IF((COUNTIFS(B8:AF8,"?*",$B$52:$AF$52,1)-SUMPRODUCT(COUNTIFS(B8:AF8,Codes,$B$52:$AF$52,1)*(Codes&lt;&gt;"")*Erste))&gt;0,IF(COUNTIF(B57:AF57,1)&gt;0,"; ","")&amp;(COUNTIFS(B8:AF8,"?*",$B$52:$AF$52,1)-SUMPRODUCT(COUNTIFS(B8:AF8,Codes,$B$52:$AF$52,1)*(Codes&lt;&gt;"")*Erste))&amp;"× unbekanntes Kürzel",""))</f>
      </c>
    </row>
    <row r="9" spans="1:38" x14ac:dyDescent="0.25">
      <c r="A9" s="33">
        <f>Mitarbeiter!$A$8&amp;""</f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5">
        <f>IF($A9="","",SUMPRODUCT(COUNTIFS(B9:AF9,Codes,$B$52:$AF$52,1)*(Arten="Arbeit")*Erste*NettoTage)+SUMPRODUCT(COUNTIFS(B9:AF9,Codes,$B$53:$AF$53,1)*((Arten="Urlaub")+(Arten="Krank")+(Arten="Bezahlt abwesend"))*Erste)*N(Mitarbeiter!$B$8)/5/24)</f>
      </c>
      <c r="AH9" s="35">
        <f>IF($A9="","",N(Mitarbeiter!$B$8)/5/24*SUM($B$53:$AF$53))</f>
      </c>
      <c r="AI9" s="36">
        <f>IF($A9="","",IF((AG9-AH9)&lt;0,"-","+")&amp;TEXT(ABS((AG9-AH9)),"[h]:mm"))</f>
      </c>
      <c r="AJ9" s="37">
        <f>IF($A9="","",SUMPRODUCT(COUNTIFS(B9:AF9,Codes,$B$53:$AF$53,1)*(Arten="Urlaub")*Erste))</f>
      </c>
      <c r="AK9" s="37">
        <f>IF($A9="","",SUMPRODUCT(COUNTIFS(B9:AF9,Codes,$B$53:$AF$53,1)*(Arten="Krank")*Erste))</f>
      </c>
      <c r="AL9" s="38">
        <f>IF($A9="","",IF(COUNTIF(B58:AF58,1)&gt;0,COUNTIF(B58:AF58,1)&amp;"× Ruhezeit unter 11 Std. (§ 5)","")&amp;IF((COUNTIFS(B9:AF9,"?*",$B$52:$AF$52,1)-SUMPRODUCT(COUNTIFS(B9:AF9,Codes,$B$52:$AF$52,1)*(Codes&lt;&gt;"")*Erste))&gt;0,IF(COUNTIF(B58:AF58,1)&gt;0,"; ","")&amp;(COUNTIFS(B9:AF9,"?*",$B$52:$AF$52,1)-SUMPRODUCT(COUNTIFS(B9:AF9,Codes,$B$52:$AF$52,1)*(Codes&lt;&gt;"")*Erste))&amp;"× unbekanntes Kürzel",""))</f>
      </c>
    </row>
    <row r="10" spans="1:38" x14ac:dyDescent="0.25">
      <c r="A10" s="33">
        <f>Mitarbeiter!$A$9&amp;""</f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5">
        <f>IF($A10="","",SUMPRODUCT(COUNTIFS(B10:AF10,Codes,$B$52:$AF$52,1)*(Arten="Arbeit")*Erste*NettoTage)+SUMPRODUCT(COUNTIFS(B10:AF10,Codes,$B$53:$AF$53,1)*((Arten="Urlaub")+(Arten="Krank")+(Arten="Bezahlt abwesend"))*Erste)*N(Mitarbeiter!$B$9)/5/24)</f>
      </c>
      <c r="AH10" s="35">
        <f>IF($A10="","",N(Mitarbeiter!$B$9)/5/24*SUM($B$53:$AF$53))</f>
      </c>
      <c r="AI10" s="36">
        <f>IF($A10="","",IF((AG10-AH10)&lt;0,"-","+")&amp;TEXT(ABS((AG10-AH10)),"[h]:mm"))</f>
      </c>
      <c r="AJ10" s="37">
        <f>IF($A10="","",SUMPRODUCT(COUNTIFS(B10:AF10,Codes,$B$53:$AF$53,1)*(Arten="Urlaub")*Erste))</f>
      </c>
      <c r="AK10" s="37">
        <f>IF($A10="","",SUMPRODUCT(COUNTIFS(B10:AF10,Codes,$B$53:$AF$53,1)*(Arten="Krank")*Erste))</f>
      </c>
      <c r="AL10" s="38">
        <f>IF($A10="","",IF(COUNTIF(B59:AF59,1)&gt;0,COUNTIF(B59:AF59,1)&amp;"× Ruhezeit unter 11 Std. (§ 5)","")&amp;IF((COUNTIFS(B10:AF10,"?*",$B$52:$AF$52,1)-SUMPRODUCT(COUNTIFS(B10:AF10,Codes,$B$52:$AF$52,1)*(Codes&lt;&gt;"")*Erste))&gt;0,IF(COUNTIF(B59:AF59,1)&gt;0,"; ","")&amp;(COUNTIFS(B10:AF10,"?*",$B$52:$AF$52,1)-SUMPRODUCT(COUNTIFS(B10:AF10,Codes,$B$52:$AF$52,1)*(Codes&lt;&gt;"")*Erste))&amp;"× unbekanntes Kürzel",""))</f>
      </c>
    </row>
    <row r="11" spans="1:38" x14ac:dyDescent="0.25">
      <c r="A11" s="33">
        <f>Mitarbeiter!$A$10&amp;""</f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5">
        <f>IF($A11="","",SUMPRODUCT(COUNTIFS(B11:AF11,Codes,$B$52:$AF$52,1)*(Arten="Arbeit")*Erste*NettoTage)+SUMPRODUCT(COUNTIFS(B11:AF11,Codes,$B$53:$AF$53,1)*((Arten="Urlaub")+(Arten="Krank")+(Arten="Bezahlt abwesend"))*Erste)*N(Mitarbeiter!$B$10)/5/24)</f>
      </c>
      <c r="AH11" s="35">
        <f>IF($A11="","",N(Mitarbeiter!$B$10)/5/24*SUM($B$53:$AF$53))</f>
      </c>
      <c r="AI11" s="36">
        <f>IF($A11="","",IF((AG11-AH11)&lt;0,"-","+")&amp;TEXT(ABS((AG11-AH11)),"[h]:mm"))</f>
      </c>
      <c r="AJ11" s="37">
        <f>IF($A11="","",SUMPRODUCT(COUNTIFS(B11:AF11,Codes,$B$53:$AF$53,1)*(Arten="Urlaub")*Erste))</f>
      </c>
      <c r="AK11" s="37">
        <f>IF($A11="","",SUMPRODUCT(COUNTIFS(B11:AF11,Codes,$B$53:$AF$53,1)*(Arten="Krank")*Erste))</f>
      </c>
      <c r="AL11" s="38">
        <f>IF($A11="","",IF(COUNTIF(B60:AF60,1)&gt;0,COUNTIF(B60:AF60,1)&amp;"× Ruhezeit unter 11 Std. (§ 5)","")&amp;IF((COUNTIFS(B11:AF11,"?*",$B$52:$AF$52,1)-SUMPRODUCT(COUNTIFS(B11:AF11,Codes,$B$52:$AF$52,1)*(Codes&lt;&gt;"")*Erste))&gt;0,IF(COUNTIF(B60:AF60,1)&gt;0,"; ","")&amp;(COUNTIFS(B11:AF11,"?*",$B$52:$AF$52,1)-SUMPRODUCT(COUNTIFS(B11:AF11,Codes,$B$52:$AF$52,1)*(Codes&lt;&gt;"")*Erste))&amp;"× unbekanntes Kürzel",""))</f>
      </c>
    </row>
    <row r="12" spans="1:38" x14ac:dyDescent="0.25">
      <c r="A12" s="33">
        <f>Mitarbeiter!$A$11&amp;""</f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5">
        <f>IF($A12="","",SUMPRODUCT(COUNTIFS(B12:AF12,Codes,$B$52:$AF$52,1)*(Arten="Arbeit")*Erste*NettoTage)+SUMPRODUCT(COUNTIFS(B12:AF12,Codes,$B$53:$AF$53,1)*((Arten="Urlaub")+(Arten="Krank")+(Arten="Bezahlt abwesend"))*Erste)*N(Mitarbeiter!$B$11)/5/24)</f>
      </c>
      <c r="AH12" s="35">
        <f>IF($A12="","",N(Mitarbeiter!$B$11)/5/24*SUM($B$53:$AF$53))</f>
      </c>
      <c r="AI12" s="36">
        <f>IF($A12="","",IF((AG12-AH12)&lt;0,"-","+")&amp;TEXT(ABS((AG12-AH12)),"[h]:mm"))</f>
      </c>
      <c r="AJ12" s="37">
        <f>IF($A12="","",SUMPRODUCT(COUNTIFS(B12:AF12,Codes,$B$53:$AF$53,1)*(Arten="Urlaub")*Erste))</f>
      </c>
      <c r="AK12" s="37">
        <f>IF($A12="","",SUMPRODUCT(COUNTIFS(B12:AF12,Codes,$B$53:$AF$53,1)*(Arten="Krank")*Erste))</f>
      </c>
      <c r="AL12" s="38">
        <f>IF($A12="","",IF(COUNTIF(B61:AF61,1)&gt;0,COUNTIF(B61:AF61,1)&amp;"× Ruhezeit unter 11 Std. (§ 5)","")&amp;IF((COUNTIFS(B12:AF12,"?*",$B$52:$AF$52,1)-SUMPRODUCT(COUNTIFS(B12:AF12,Codes,$B$52:$AF$52,1)*(Codes&lt;&gt;"")*Erste))&gt;0,IF(COUNTIF(B61:AF61,1)&gt;0,"; ","")&amp;(COUNTIFS(B12:AF12,"?*",$B$52:$AF$52,1)-SUMPRODUCT(COUNTIFS(B12:AF12,Codes,$B$52:$AF$52,1)*(Codes&lt;&gt;"")*Erste))&amp;"× unbekanntes Kürzel",""))</f>
      </c>
    </row>
    <row r="13" spans="1:38" x14ac:dyDescent="0.25">
      <c r="A13" s="33">
        <f>Mitarbeiter!$A$12&amp;""</f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5">
        <f>IF($A13="","",SUMPRODUCT(COUNTIFS(B13:AF13,Codes,$B$52:$AF$52,1)*(Arten="Arbeit")*Erste*NettoTage)+SUMPRODUCT(COUNTIFS(B13:AF13,Codes,$B$53:$AF$53,1)*((Arten="Urlaub")+(Arten="Krank")+(Arten="Bezahlt abwesend"))*Erste)*N(Mitarbeiter!$B$12)/5/24)</f>
      </c>
      <c r="AH13" s="35">
        <f>IF($A13="","",N(Mitarbeiter!$B$12)/5/24*SUM($B$53:$AF$53))</f>
      </c>
      <c r="AI13" s="36">
        <f>IF($A13="","",IF((AG13-AH13)&lt;0,"-","+")&amp;TEXT(ABS((AG13-AH13)),"[h]:mm"))</f>
      </c>
      <c r="AJ13" s="37">
        <f>IF($A13="","",SUMPRODUCT(COUNTIFS(B13:AF13,Codes,$B$53:$AF$53,1)*(Arten="Urlaub")*Erste))</f>
      </c>
      <c r="AK13" s="37">
        <f>IF($A13="","",SUMPRODUCT(COUNTIFS(B13:AF13,Codes,$B$53:$AF$53,1)*(Arten="Krank")*Erste))</f>
      </c>
      <c r="AL13" s="38">
        <f>IF($A13="","",IF(COUNTIF(B62:AF62,1)&gt;0,COUNTIF(B62:AF62,1)&amp;"× Ruhezeit unter 11 Std. (§ 5)","")&amp;IF((COUNTIFS(B13:AF13,"?*",$B$52:$AF$52,1)-SUMPRODUCT(COUNTIFS(B13:AF13,Codes,$B$52:$AF$52,1)*(Codes&lt;&gt;"")*Erste))&gt;0,IF(COUNTIF(B62:AF62,1)&gt;0,"; ","")&amp;(COUNTIFS(B13:AF13,"?*",$B$52:$AF$52,1)-SUMPRODUCT(COUNTIFS(B13:AF13,Codes,$B$52:$AF$52,1)*(Codes&lt;&gt;"")*Erste))&amp;"× unbekanntes Kürzel",""))</f>
      </c>
    </row>
    <row r="14" spans="1:38" x14ac:dyDescent="0.25">
      <c r="A14" s="33">
        <f>Mitarbeiter!$A$13&amp;""</f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5">
        <f>IF($A14="","",SUMPRODUCT(COUNTIFS(B14:AF14,Codes,$B$52:$AF$52,1)*(Arten="Arbeit")*Erste*NettoTage)+SUMPRODUCT(COUNTIFS(B14:AF14,Codes,$B$53:$AF$53,1)*((Arten="Urlaub")+(Arten="Krank")+(Arten="Bezahlt abwesend"))*Erste)*N(Mitarbeiter!$B$13)/5/24)</f>
      </c>
      <c r="AH14" s="35">
        <f>IF($A14="","",N(Mitarbeiter!$B$13)/5/24*SUM($B$53:$AF$53))</f>
      </c>
      <c r="AI14" s="36">
        <f>IF($A14="","",IF((AG14-AH14)&lt;0,"-","+")&amp;TEXT(ABS((AG14-AH14)),"[h]:mm"))</f>
      </c>
      <c r="AJ14" s="37">
        <f>IF($A14="","",SUMPRODUCT(COUNTIFS(B14:AF14,Codes,$B$53:$AF$53,1)*(Arten="Urlaub")*Erste))</f>
      </c>
      <c r="AK14" s="37">
        <f>IF($A14="","",SUMPRODUCT(COUNTIFS(B14:AF14,Codes,$B$53:$AF$53,1)*(Arten="Krank")*Erste))</f>
      </c>
      <c r="AL14" s="38">
        <f>IF($A14="","",IF(COUNTIF(B63:AF63,1)&gt;0,COUNTIF(B63:AF63,1)&amp;"× Ruhezeit unter 11 Std. (§ 5)","")&amp;IF((COUNTIFS(B14:AF14,"?*",$B$52:$AF$52,1)-SUMPRODUCT(COUNTIFS(B14:AF14,Codes,$B$52:$AF$52,1)*(Codes&lt;&gt;"")*Erste))&gt;0,IF(COUNTIF(B63:AF63,1)&gt;0,"; ","")&amp;(COUNTIFS(B14:AF14,"?*",$B$52:$AF$52,1)-SUMPRODUCT(COUNTIFS(B14:AF14,Codes,$B$52:$AF$52,1)*(Codes&lt;&gt;"")*Erste))&amp;"× unbekanntes Kürzel",""))</f>
      </c>
    </row>
    <row r="15" spans="1:38" x14ac:dyDescent="0.25">
      <c r="A15" s="33">
        <f>Mitarbeiter!$A$14&amp;""</f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5">
        <f>IF($A15="","",SUMPRODUCT(COUNTIFS(B15:AF15,Codes,$B$52:$AF$52,1)*(Arten="Arbeit")*Erste*NettoTage)+SUMPRODUCT(COUNTIFS(B15:AF15,Codes,$B$53:$AF$53,1)*((Arten="Urlaub")+(Arten="Krank")+(Arten="Bezahlt abwesend"))*Erste)*N(Mitarbeiter!$B$14)/5/24)</f>
      </c>
      <c r="AH15" s="35">
        <f>IF($A15="","",N(Mitarbeiter!$B$14)/5/24*SUM($B$53:$AF$53))</f>
      </c>
      <c r="AI15" s="36">
        <f>IF($A15="","",IF((AG15-AH15)&lt;0,"-","+")&amp;TEXT(ABS((AG15-AH15)),"[h]:mm"))</f>
      </c>
      <c r="AJ15" s="37">
        <f>IF($A15="","",SUMPRODUCT(COUNTIFS(B15:AF15,Codes,$B$53:$AF$53,1)*(Arten="Urlaub")*Erste))</f>
      </c>
      <c r="AK15" s="37">
        <f>IF($A15="","",SUMPRODUCT(COUNTIFS(B15:AF15,Codes,$B$53:$AF$53,1)*(Arten="Krank")*Erste))</f>
      </c>
      <c r="AL15" s="38">
        <f>IF($A15="","",IF(COUNTIF(B64:AF64,1)&gt;0,COUNTIF(B64:AF64,1)&amp;"× Ruhezeit unter 11 Std. (§ 5)","")&amp;IF((COUNTIFS(B15:AF15,"?*",$B$52:$AF$52,1)-SUMPRODUCT(COUNTIFS(B15:AF15,Codes,$B$52:$AF$52,1)*(Codes&lt;&gt;"")*Erste))&gt;0,IF(COUNTIF(B64:AF64,1)&gt;0,"; ","")&amp;(COUNTIFS(B15:AF15,"?*",$B$52:$AF$52,1)-SUMPRODUCT(COUNTIFS(B15:AF15,Codes,$B$52:$AF$52,1)*(Codes&lt;&gt;"")*Erste))&amp;"× unbekanntes Kürzel",""))</f>
      </c>
    </row>
    <row r="16" spans="1:38" x14ac:dyDescent="0.25">
      <c r="A16" s="33">
        <f>Mitarbeiter!$A$15&amp;""</f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5">
        <f>IF($A16="","",SUMPRODUCT(COUNTIFS(B16:AF16,Codes,$B$52:$AF$52,1)*(Arten="Arbeit")*Erste*NettoTage)+SUMPRODUCT(COUNTIFS(B16:AF16,Codes,$B$53:$AF$53,1)*((Arten="Urlaub")+(Arten="Krank")+(Arten="Bezahlt abwesend"))*Erste)*N(Mitarbeiter!$B$15)/5/24)</f>
      </c>
      <c r="AH16" s="35">
        <f>IF($A16="","",N(Mitarbeiter!$B$15)/5/24*SUM($B$53:$AF$53))</f>
      </c>
      <c r="AI16" s="36">
        <f>IF($A16="","",IF((AG16-AH16)&lt;0,"-","+")&amp;TEXT(ABS((AG16-AH16)),"[h]:mm"))</f>
      </c>
      <c r="AJ16" s="37">
        <f>IF($A16="","",SUMPRODUCT(COUNTIFS(B16:AF16,Codes,$B$53:$AF$53,1)*(Arten="Urlaub")*Erste))</f>
      </c>
      <c r="AK16" s="37">
        <f>IF($A16="","",SUMPRODUCT(COUNTIFS(B16:AF16,Codes,$B$53:$AF$53,1)*(Arten="Krank")*Erste))</f>
      </c>
      <c r="AL16" s="38">
        <f>IF($A16="","",IF(COUNTIF(B65:AF65,1)&gt;0,COUNTIF(B65:AF65,1)&amp;"× Ruhezeit unter 11 Std. (§ 5)","")&amp;IF((COUNTIFS(B16:AF16,"?*",$B$52:$AF$52,1)-SUMPRODUCT(COUNTIFS(B16:AF16,Codes,$B$52:$AF$52,1)*(Codes&lt;&gt;"")*Erste))&gt;0,IF(COUNTIF(B65:AF65,1)&gt;0,"; ","")&amp;(COUNTIFS(B16:AF16,"?*",$B$52:$AF$52,1)-SUMPRODUCT(COUNTIFS(B16:AF16,Codes,$B$52:$AF$52,1)*(Codes&lt;&gt;"")*Erste))&amp;"× unbekanntes Kürzel",""))</f>
      </c>
    </row>
    <row r="17" spans="1:38" x14ac:dyDescent="0.25">
      <c r="A17" s="33">
        <f>Mitarbeiter!$A$16&amp;""</f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5">
        <f>IF($A17="","",SUMPRODUCT(COUNTIFS(B17:AF17,Codes,$B$52:$AF$52,1)*(Arten="Arbeit")*Erste*NettoTage)+SUMPRODUCT(COUNTIFS(B17:AF17,Codes,$B$53:$AF$53,1)*((Arten="Urlaub")+(Arten="Krank")+(Arten="Bezahlt abwesend"))*Erste)*N(Mitarbeiter!$B$16)/5/24)</f>
      </c>
      <c r="AH17" s="35">
        <f>IF($A17="","",N(Mitarbeiter!$B$16)/5/24*SUM($B$53:$AF$53))</f>
      </c>
      <c r="AI17" s="36">
        <f>IF($A17="","",IF((AG17-AH17)&lt;0,"-","+")&amp;TEXT(ABS((AG17-AH17)),"[h]:mm"))</f>
      </c>
      <c r="AJ17" s="37">
        <f>IF($A17="","",SUMPRODUCT(COUNTIFS(B17:AF17,Codes,$B$53:$AF$53,1)*(Arten="Urlaub")*Erste))</f>
      </c>
      <c r="AK17" s="37">
        <f>IF($A17="","",SUMPRODUCT(COUNTIFS(B17:AF17,Codes,$B$53:$AF$53,1)*(Arten="Krank")*Erste))</f>
      </c>
      <c r="AL17" s="38">
        <f>IF($A17="","",IF(COUNTIF(B66:AF66,1)&gt;0,COUNTIF(B66:AF66,1)&amp;"× Ruhezeit unter 11 Std. (§ 5)","")&amp;IF((COUNTIFS(B17:AF17,"?*",$B$52:$AF$52,1)-SUMPRODUCT(COUNTIFS(B17:AF17,Codes,$B$52:$AF$52,1)*(Codes&lt;&gt;"")*Erste))&gt;0,IF(COUNTIF(B66:AF66,1)&gt;0,"; ","")&amp;(COUNTIFS(B17:AF17,"?*",$B$52:$AF$52,1)-SUMPRODUCT(COUNTIFS(B17:AF17,Codes,$B$52:$AF$52,1)*(Codes&lt;&gt;"")*Erste))&amp;"× unbekanntes Kürzel",""))</f>
      </c>
    </row>
    <row r="18" spans="1:38" x14ac:dyDescent="0.25">
      <c r="A18" s="33">
        <f>Mitarbeiter!$A$17&amp;""</f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5">
        <f>IF($A18="","",SUMPRODUCT(COUNTIFS(B18:AF18,Codes,$B$52:$AF$52,1)*(Arten="Arbeit")*Erste*NettoTage)+SUMPRODUCT(COUNTIFS(B18:AF18,Codes,$B$53:$AF$53,1)*((Arten="Urlaub")+(Arten="Krank")+(Arten="Bezahlt abwesend"))*Erste)*N(Mitarbeiter!$B$17)/5/24)</f>
      </c>
      <c r="AH18" s="35">
        <f>IF($A18="","",N(Mitarbeiter!$B$17)/5/24*SUM($B$53:$AF$53))</f>
      </c>
      <c r="AI18" s="36">
        <f>IF($A18="","",IF((AG18-AH18)&lt;0,"-","+")&amp;TEXT(ABS((AG18-AH18)),"[h]:mm"))</f>
      </c>
      <c r="AJ18" s="37">
        <f>IF($A18="","",SUMPRODUCT(COUNTIFS(B18:AF18,Codes,$B$53:$AF$53,1)*(Arten="Urlaub")*Erste))</f>
      </c>
      <c r="AK18" s="37">
        <f>IF($A18="","",SUMPRODUCT(COUNTIFS(B18:AF18,Codes,$B$53:$AF$53,1)*(Arten="Krank")*Erste))</f>
      </c>
      <c r="AL18" s="38">
        <f>IF($A18="","",IF(COUNTIF(B67:AF67,1)&gt;0,COUNTIF(B67:AF67,1)&amp;"× Ruhezeit unter 11 Std. (§ 5)","")&amp;IF((COUNTIFS(B18:AF18,"?*",$B$52:$AF$52,1)-SUMPRODUCT(COUNTIFS(B18:AF18,Codes,$B$52:$AF$52,1)*(Codes&lt;&gt;"")*Erste))&gt;0,IF(COUNTIF(B67:AF67,1)&gt;0,"; ","")&amp;(COUNTIFS(B18:AF18,"?*",$B$52:$AF$52,1)-SUMPRODUCT(COUNTIFS(B18:AF18,Codes,$B$52:$AF$52,1)*(Codes&lt;&gt;"")*Erste))&amp;"× unbekanntes Kürzel",""))</f>
      </c>
    </row>
    <row r="19" spans="1:38" x14ac:dyDescent="0.25">
      <c r="A19" s="33">
        <f>Mitarbeiter!$A$18&amp;""</f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5">
        <f>IF($A19="","",SUMPRODUCT(COUNTIFS(B19:AF19,Codes,$B$52:$AF$52,1)*(Arten="Arbeit")*Erste*NettoTage)+SUMPRODUCT(COUNTIFS(B19:AF19,Codes,$B$53:$AF$53,1)*((Arten="Urlaub")+(Arten="Krank")+(Arten="Bezahlt abwesend"))*Erste)*N(Mitarbeiter!$B$18)/5/24)</f>
      </c>
      <c r="AH19" s="35">
        <f>IF($A19="","",N(Mitarbeiter!$B$18)/5/24*SUM($B$53:$AF$53))</f>
      </c>
      <c r="AI19" s="36">
        <f>IF($A19="","",IF((AG19-AH19)&lt;0,"-","+")&amp;TEXT(ABS((AG19-AH19)),"[h]:mm"))</f>
      </c>
      <c r="AJ19" s="37">
        <f>IF($A19="","",SUMPRODUCT(COUNTIFS(B19:AF19,Codes,$B$53:$AF$53,1)*(Arten="Urlaub")*Erste))</f>
      </c>
      <c r="AK19" s="37">
        <f>IF($A19="","",SUMPRODUCT(COUNTIFS(B19:AF19,Codes,$B$53:$AF$53,1)*(Arten="Krank")*Erste))</f>
      </c>
      <c r="AL19" s="38">
        <f>IF($A19="","",IF(COUNTIF(B68:AF68,1)&gt;0,COUNTIF(B68:AF68,1)&amp;"× Ruhezeit unter 11 Std. (§ 5)","")&amp;IF((COUNTIFS(B19:AF19,"?*",$B$52:$AF$52,1)-SUMPRODUCT(COUNTIFS(B19:AF19,Codes,$B$52:$AF$52,1)*(Codes&lt;&gt;"")*Erste))&gt;0,IF(COUNTIF(B68:AF68,1)&gt;0,"; ","")&amp;(COUNTIFS(B19:AF19,"?*",$B$52:$AF$52,1)-SUMPRODUCT(COUNTIFS(B19:AF19,Codes,$B$52:$AF$52,1)*(Codes&lt;&gt;"")*Erste))&amp;"× unbekanntes Kürzel",""))</f>
      </c>
    </row>
    <row r="20" spans="1:38" x14ac:dyDescent="0.25">
      <c r="A20" s="33">
        <f>Mitarbeiter!$A$19&amp;""</f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5">
        <f>IF($A20="","",SUMPRODUCT(COUNTIFS(B20:AF20,Codes,$B$52:$AF$52,1)*(Arten="Arbeit")*Erste*NettoTage)+SUMPRODUCT(COUNTIFS(B20:AF20,Codes,$B$53:$AF$53,1)*((Arten="Urlaub")+(Arten="Krank")+(Arten="Bezahlt abwesend"))*Erste)*N(Mitarbeiter!$B$19)/5/24)</f>
      </c>
      <c r="AH20" s="35">
        <f>IF($A20="","",N(Mitarbeiter!$B$19)/5/24*SUM($B$53:$AF$53))</f>
      </c>
      <c r="AI20" s="36">
        <f>IF($A20="","",IF((AG20-AH20)&lt;0,"-","+")&amp;TEXT(ABS((AG20-AH20)),"[h]:mm"))</f>
      </c>
      <c r="AJ20" s="37">
        <f>IF($A20="","",SUMPRODUCT(COUNTIFS(B20:AF20,Codes,$B$53:$AF$53,1)*(Arten="Urlaub")*Erste))</f>
      </c>
      <c r="AK20" s="37">
        <f>IF($A20="","",SUMPRODUCT(COUNTIFS(B20:AF20,Codes,$B$53:$AF$53,1)*(Arten="Krank")*Erste))</f>
      </c>
      <c r="AL20" s="38">
        <f>IF($A20="","",IF(COUNTIF(B69:AF69,1)&gt;0,COUNTIF(B69:AF69,1)&amp;"× Ruhezeit unter 11 Std. (§ 5)","")&amp;IF((COUNTIFS(B20:AF20,"?*",$B$52:$AF$52,1)-SUMPRODUCT(COUNTIFS(B20:AF20,Codes,$B$52:$AF$52,1)*(Codes&lt;&gt;"")*Erste))&gt;0,IF(COUNTIF(B69:AF69,1)&gt;0,"; ","")&amp;(COUNTIFS(B20:AF20,"?*",$B$52:$AF$52,1)-SUMPRODUCT(COUNTIFS(B20:AF20,Codes,$B$52:$AF$52,1)*(Codes&lt;&gt;"")*Erste))&amp;"× unbekanntes Kürzel",""))</f>
      </c>
    </row>
    <row r="21" spans="1:38" x14ac:dyDescent="0.25">
      <c r="A21" s="33">
        <f>Mitarbeiter!$A$20&amp;""</f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5">
        <f>IF($A21="","",SUMPRODUCT(COUNTIFS(B21:AF21,Codes,$B$52:$AF$52,1)*(Arten="Arbeit")*Erste*NettoTage)+SUMPRODUCT(COUNTIFS(B21:AF21,Codes,$B$53:$AF$53,1)*((Arten="Urlaub")+(Arten="Krank")+(Arten="Bezahlt abwesend"))*Erste)*N(Mitarbeiter!$B$20)/5/24)</f>
      </c>
      <c r="AH21" s="35">
        <f>IF($A21="","",N(Mitarbeiter!$B$20)/5/24*SUM($B$53:$AF$53))</f>
      </c>
      <c r="AI21" s="36">
        <f>IF($A21="","",IF((AG21-AH21)&lt;0,"-","+")&amp;TEXT(ABS((AG21-AH21)),"[h]:mm"))</f>
      </c>
      <c r="AJ21" s="37">
        <f>IF($A21="","",SUMPRODUCT(COUNTIFS(B21:AF21,Codes,$B$53:$AF$53,1)*(Arten="Urlaub")*Erste))</f>
      </c>
      <c r="AK21" s="37">
        <f>IF($A21="","",SUMPRODUCT(COUNTIFS(B21:AF21,Codes,$B$53:$AF$53,1)*(Arten="Krank")*Erste))</f>
      </c>
      <c r="AL21" s="38">
        <f>IF($A21="","",IF(COUNTIF(B70:AF70,1)&gt;0,COUNTIF(B70:AF70,1)&amp;"× Ruhezeit unter 11 Std. (§ 5)","")&amp;IF((COUNTIFS(B21:AF21,"?*",$B$52:$AF$52,1)-SUMPRODUCT(COUNTIFS(B21:AF21,Codes,$B$52:$AF$52,1)*(Codes&lt;&gt;"")*Erste))&gt;0,IF(COUNTIF(B70:AF70,1)&gt;0,"; ","")&amp;(COUNTIFS(B21:AF21,"?*",$B$52:$AF$52,1)-SUMPRODUCT(COUNTIFS(B21:AF21,Codes,$B$52:$AF$52,1)*(Codes&lt;&gt;"")*Erste))&amp;"× unbekanntes Kürzel",""))</f>
      </c>
    </row>
    <row r="22" spans="1:38" x14ac:dyDescent="0.25">
      <c r="A22" s="33">
        <f>Mitarbeiter!$A$21&amp;""</f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5">
        <f>IF($A22="","",SUMPRODUCT(COUNTIFS(B22:AF22,Codes,$B$52:$AF$52,1)*(Arten="Arbeit")*Erste*NettoTage)+SUMPRODUCT(COUNTIFS(B22:AF22,Codes,$B$53:$AF$53,1)*((Arten="Urlaub")+(Arten="Krank")+(Arten="Bezahlt abwesend"))*Erste)*N(Mitarbeiter!$B$21)/5/24)</f>
      </c>
      <c r="AH22" s="35">
        <f>IF($A22="","",N(Mitarbeiter!$B$21)/5/24*SUM($B$53:$AF$53))</f>
      </c>
      <c r="AI22" s="36">
        <f>IF($A22="","",IF((AG22-AH22)&lt;0,"-","+")&amp;TEXT(ABS((AG22-AH22)),"[h]:mm"))</f>
      </c>
      <c r="AJ22" s="37">
        <f>IF($A22="","",SUMPRODUCT(COUNTIFS(B22:AF22,Codes,$B$53:$AF$53,1)*(Arten="Urlaub")*Erste))</f>
      </c>
      <c r="AK22" s="37">
        <f>IF($A22="","",SUMPRODUCT(COUNTIFS(B22:AF22,Codes,$B$53:$AF$53,1)*(Arten="Krank")*Erste))</f>
      </c>
      <c r="AL22" s="38">
        <f>IF($A22="","",IF(COUNTIF(B71:AF71,1)&gt;0,COUNTIF(B71:AF71,1)&amp;"× Ruhezeit unter 11 Std. (§ 5)","")&amp;IF((COUNTIFS(B22:AF22,"?*",$B$52:$AF$52,1)-SUMPRODUCT(COUNTIFS(B22:AF22,Codes,$B$52:$AF$52,1)*(Codes&lt;&gt;"")*Erste))&gt;0,IF(COUNTIF(B71:AF71,1)&gt;0,"; ","")&amp;(COUNTIFS(B22:AF22,"?*",$B$52:$AF$52,1)-SUMPRODUCT(COUNTIFS(B22:AF22,Codes,$B$52:$AF$52,1)*(Codes&lt;&gt;"")*Erste))&amp;"× unbekanntes Kürzel",""))</f>
      </c>
    </row>
    <row r="23" spans="1:38" x14ac:dyDescent="0.25">
      <c r="A23" s="33">
        <f>Mitarbeiter!$A$22&amp;""</f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5">
        <f>IF($A23="","",SUMPRODUCT(COUNTIFS(B23:AF23,Codes,$B$52:$AF$52,1)*(Arten="Arbeit")*Erste*NettoTage)+SUMPRODUCT(COUNTIFS(B23:AF23,Codes,$B$53:$AF$53,1)*((Arten="Urlaub")+(Arten="Krank")+(Arten="Bezahlt abwesend"))*Erste)*N(Mitarbeiter!$B$22)/5/24)</f>
      </c>
      <c r="AH23" s="35">
        <f>IF($A23="","",N(Mitarbeiter!$B$22)/5/24*SUM($B$53:$AF$53))</f>
      </c>
      <c r="AI23" s="36">
        <f>IF($A23="","",IF((AG23-AH23)&lt;0,"-","+")&amp;TEXT(ABS((AG23-AH23)),"[h]:mm"))</f>
      </c>
      <c r="AJ23" s="37">
        <f>IF($A23="","",SUMPRODUCT(COUNTIFS(B23:AF23,Codes,$B$53:$AF$53,1)*(Arten="Urlaub")*Erste))</f>
      </c>
      <c r="AK23" s="37">
        <f>IF($A23="","",SUMPRODUCT(COUNTIFS(B23:AF23,Codes,$B$53:$AF$53,1)*(Arten="Krank")*Erste))</f>
      </c>
      <c r="AL23" s="38">
        <f>IF($A23="","",IF(COUNTIF(B72:AF72,1)&gt;0,COUNTIF(B72:AF72,1)&amp;"× Ruhezeit unter 11 Std. (§ 5)","")&amp;IF((COUNTIFS(B23:AF23,"?*",$B$52:$AF$52,1)-SUMPRODUCT(COUNTIFS(B23:AF23,Codes,$B$52:$AF$52,1)*(Codes&lt;&gt;"")*Erste))&gt;0,IF(COUNTIF(B72:AF72,1)&gt;0,"; ","")&amp;(COUNTIFS(B23:AF23,"?*",$B$52:$AF$52,1)-SUMPRODUCT(COUNTIFS(B23:AF23,Codes,$B$52:$AF$52,1)*(Codes&lt;&gt;"")*Erste))&amp;"× unbekanntes Kürzel",""))</f>
      </c>
    </row>
    <row r="24" spans="1:38" x14ac:dyDescent="0.25">
      <c r="A24" s="33">
        <f>Mitarbeiter!$A$23&amp;""</f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5">
        <f>IF($A24="","",SUMPRODUCT(COUNTIFS(B24:AF24,Codes,$B$52:$AF$52,1)*(Arten="Arbeit")*Erste*NettoTage)+SUMPRODUCT(COUNTIFS(B24:AF24,Codes,$B$53:$AF$53,1)*((Arten="Urlaub")+(Arten="Krank")+(Arten="Bezahlt abwesend"))*Erste)*N(Mitarbeiter!$B$23)/5/24)</f>
      </c>
      <c r="AH24" s="35">
        <f>IF($A24="","",N(Mitarbeiter!$B$23)/5/24*SUM($B$53:$AF$53))</f>
      </c>
      <c r="AI24" s="36">
        <f>IF($A24="","",IF((AG24-AH24)&lt;0,"-","+")&amp;TEXT(ABS((AG24-AH24)),"[h]:mm"))</f>
      </c>
      <c r="AJ24" s="37">
        <f>IF($A24="","",SUMPRODUCT(COUNTIFS(B24:AF24,Codes,$B$53:$AF$53,1)*(Arten="Urlaub")*Erste))</f>
      </c>
      <c r="AK24" s="37">
        <f>IF($A24="","",SUMPRODUCT(COUNTIFS(B24:AF24,Codes,$B$53:$AF$53,1)*(Arten="Krank")*Erste))</f>
      </c>
      <c r="AL24" s="38">
        <f>IF($A24="","",IF(COUNTIF(B73:AF73,1)&gt;0,COUNTIF(B73:AF73,1)&amp;"× Ruhezeit unter 11 Std. (§ 5)","")&amp;IF((COUNTIFS(B24:AF24,"?*",$B$52:$AF$52,1)-SUMPRODUCT(COUNTIFS(B24:AF24,Codes,$B$52:$AF$52,1)*(Codes&lt;&gt;"")*Erste))&gt;0,IF(COUNTIF(B73:AF73,1)&gt;0,"; ","")&amp;(COUNTIFS(B24:AF24,"?*",$B$52:$AF$52,1)-SUMPRODUCT(COUNTIFS(B24:AF24,Codes,$B$52:$AF$52,1)*(Codes&lt;&gt;"")*Erste))&amp;"× unbekanntes Kürzel",""))</f>
      </c>
    </row>
    <row r="25" spans="1:38" x14ac:dyDescent="0.25">
      <c r="A25" s="33">
        <f>Mitarbeiter!$A$24&amp;""</f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5">
        <f>IF($A25="","",SUMPRODUCT(COUNTIFS(B25:AF25,Codes,$B$52:$AF$52,1)*(Arten="Arbeit")*Erste*NettoTage)+SUMPRODUCT(COUNTIFS(B25:AF25,Codes,$B$53:$AF$53,1)*((Arten="Urlaub")+(Arten="Krank")+(Arten="Bezahlt abwesend"))*Erste)*N(Mitarbeiter!$B$24)/5/24)</f>
      </c>
      <c r="AH25" s="35">
        <f>IF($A25="","",N(Mitarbeiter!$B$24)/5/24*SUM($B$53:$AF$53))</f>
      </c>
      <c r="AI25" s="36">
        <f>IF($A25="","",IF((AG25-AH25)&lt;0,"-","+")&amp;TEXT(ABS((AG25-AH25)),"[h]:mm"))</f>
      </c>
      <c r="AJ25" s="37">
        <f>IF($A25="","",SUMPRODUCT(COUNTIFS(B25:AF25,Codes,$B$53:$AF$53,1)*(Arten="Urlaub")*Erste))</f>
      </c>
      <c r="AK25" s="37">
        <f>IF($A25="","",SUMPRODUCT(COUNTIFS(B25:AF25,Codes,$B$53:$AF$53,1)*(Arten="Krank")*Erste))</f>
      </c>
      <c r="AL25" s="38">
        <f>IF($A25="","",IF(COUNTIF(B74:AF74,1)&gt;0,COUNTIF(B74:AF74,1)&amp;"× Ruhezeit unter 11 Std. (§ 5)","")&amp;IF((COUNTIFS(B25:AF25,"?*",$B$52:$AF$52,1)-SUMPRODUCT(COUNTIFS(B25:AF25,Codes,$B$52:$AF$52,1)*(Codes&lt;&gt;"")*Erste))&gt;0,IF(COUNTIF(B74:AF74,1)&gt;0,"; ","")&amp;(COUNTIFS(B25:AF25,"?*",$B$52:$AF$52,1)-SUMPRODUCT(COUNTIFS(B25:AF25,Codes,$B$52:$AF$52,1)*(Codes&lt;&gt;"")*Erste))&amp;"× unbekanntes Kürzel",""))</f>
      </c>
    </row>
    <row r="26" spans="1:38" x14ac:dyDescent="0.25">
      <c r="A26" s="33">
        <f>Mitarbeiter!$A$25&amp;""</f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5">
        <f>IF($A26="","",SUMPRODUCT(COUNTIFS(B26:AF26,Codes,$B$52:$AF$52,1)*(Arten="Arbeit")*Erste*NettoTage)+SUMPRODUCT(COUNTIFS(B26:AF26,Codes,$B$53:$AF$53,1)*((Arten="Urlaub")+(Arten="Krank")+(Arten="Bezahlt abwesend"))*Erste)*N(Mitarbeiter!$B$25)/5/24)</f>
      </c>
      <c r="AH26" s="35">
        <f>IF($A26="","",N(Mitarbeiter!$B$25)/5/24*SUM($B$53:$AF$53))</f>
      </c>
      <c r="AI26" s="36">
        <f>IF($A26="","",IF((AG26-AH26)&lt;0,"-","+")&amp;TEXT(ABS((AG26-AH26)),"[h]:mm"))</f>
      </c>
      <c r="AJ26" s="37">
        <f>IF($A26="","",SUMPRODUCT(COUNTIFS(B26:AF26,Codes,$B$53:$AF$53,1)*(Arten="Urlaub")*Erste))</f>
      </c>
      <c r="AK26" s="37">
        <f>IF($A26="","",SUMPRODUCT(COUNTIFS(B26:AF26,Codes,$B$53:$AF$53,1)*(Arten="Krank")*Erste))</f>
      </c>
      <c r="AL26" s="38">
        <f>IF($A26="","",IF(COUNTIF(B75:AF75,1)&gt;0,COUNTIF(B75:AF75,1)&amp;"× Ruhezeit unter 11 Std. (§ 5)","")&amp;IF((COUNTIFS(B26:AF26,"?*",$B$52:$AF$52,1)-SUMPRODUCT(COUNTIFS(B26:AF26,Codes,$B$52:$AF$52,1)*(Codes&lt;&gt;"")*Erste))&gt;0,IF(COUNTIF(B75:AF75,1)&gt;0,"; ","")&amp;(COUNTIFS(B26:AF26,"?*",$B$52:$AF$52,1)-SUMPRODUCT(COUNTIFS(B26:AF26,Codes,$B$52:$AF$52,1)*(Codes&lt;&gt;"")*Erste))&amp;"× unbekanntes Kürzel",""))</f>
      </c>
    </row>
    <row r="27" spans="1:38" x14ac:dyDescent="0.25">
      <c r="A27" s="33">
        <f>Mitarbeiter!$A$26&amp;""</f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5">
        <f>IF($A27="","",SUMPRODUCT(COUNTIFS(B27:AF27,Codes,$B$52:$AF$52,1)*(Arten="Arbeit")*Erste*NettoTage)+SUMPRODUCT(COUNTIFS(B27:AF27,Codes,$B$53:$AF$53,1)*((Arten="Urlaub")+(Arten="Krank")+(Arten="Bezahlt abwesend"))*Erste)*N(Mitarbeiter!$B$26)/5/24)</f>
      </c>
      <c r="AH27" s="35">
        <f>IF($A27="","",N(Mitarbeiter!$B$26)/5/24*SUM($B$53:$AF$53))</f>
      </c>
      <c r="AI27" s="36">
        <f>IF($A27="","",IF((AG27-AH27)&lt;0,"-","+")&amp;TEXT(ABS((AG27-AH27)),"[h]:mm"))</f>
      </c>
      <c r="AJ27" s="37">
        <f>IF($A27="","",SUMPRODUCT(COUNTIFS(B27:AF27,Codes,$B$53:$AF$53,1)*(Arten="Urlaub")*Erste))</f>
      </c>
      <c r="AK27" s="37">
        <f>IF($A27="","",SUMPRODUCT(COUNTIFS(B27:AF27,Codes,$B$53:$AF$53,1)*(Arten="Krank")*Erste))</f>
      </c>
      <c r="AL27" s="38">
        <f>IF($A27="","",IF(COUNTIF(B76:AF76,1)&gt;0,COUNTIF(B76:AF76,1)&amp;"× Ruhezeit unter 11 Std. (§ 5)","")&amp;IF((COUNTIFS(B27:AF27,"?*",$B$52:$AF$52,1)-SUMPRODUCT(COUNTIFS(B27:AF27,Codes,$B$52:$AF$52,1)*(Codes&lt;&gt;"")*Erste))&gt;0,IF(COUNTIF(B76:AF76,1)&gt;0,"; ","")&amp;(COUNTIFS(B27:AF27,"?*",$B$52:$AF$52,1)-SUMPRODUCT(COUNTIFS(B27:AF27,Codes,$B$52:$AF$52,1)*(Codes&lt;&gt;"")*Erste))&amp;"× unbekanntes Kürzel",""))</f>
      </c>
    </row>
    <row r="28" spans="1:38" x14ac:dyDescent="0.25">
      <c r="A28" s="33">
        <f>Mitarbeiter!$A$27&amp;""</f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5">
        <f>IF($A28="","",SUMPRODUCT(COUNTIFS(B28:AF28,Codes,$B$52:$AF$52,1)*(Arten="Arbeit")*Erste*NettoTage)+SUMPRODUCT(COUNTIFS(B28:AF28,Codes,$B$53:$AF$53,1)*((Arten="Urlaub")+(Arten="Krank")+(Arten="Bezahlt abwesend"))*Erste)*N(Mitarbeiter!$B$27)/5/24)</f>
      </c>
      <c r="AH28" s="35">
        <f>IF($A28="","",N(Mitarbeiter!$B$27)/5/24*SUM($B$53:$AF$53))</f>
      </c>
      <c r="AI28" s="36">
        <f>IF($A28="","",IF((AG28-AH28)&lt;0,"-","+")&amp;TEXT(ABS((AG28-AH28)),"[h]:mm"))</f>
      </c>
      <c r="AJ28" s="37">
        <f>IF($A28="","",SUMPRODUCT(COUNTIFS(B28:AF28,Codes,$B$53:$AF$53,1)*(Arten="Urlaub")*Erste))</f>
      </c>
      <c r="AK28" s="37">
        <f>IF($A28="","",SUMPRODUCT(COUNTIFS(B28:AF28,Codes,$B$53:$AF$53,1)*(Arten="Krank")*Erste))</f>
      </c>
      <c r="AL28" s="38">
        <f>IF($A28="","",IF(COUNTIF(B77:AF77,1)&gt;0,COUNTIF(B77:AF77,1)&amp;"× Ruhezeit unter 11 Std. (§ 5)","")&amp;IF((COUNTIFS(B28:AF28,"?*",$B$52:$AF$52,1)-SUMPRODUCT(COUNTIFS(B28:AF28,Codes,$B$52:$AF$52,1)*(Codes&lt;&gt;"")*Erste))&gt;0,IF(COUNTIF(B77:AF77,1)&gt;0,"; ","")&amp;(COUNTIFS(B28:AF28,"?*",$B$52:$AF$52,1)-SUMPRODUCT(COUNTIFS(B28:AF28,Codes,$B$52:$AF$52,1)*(Codes&lt;&gt;"")*Erste))&amp;"× unbekanntes Kürzel",""))</f>
      </c>
    </row>
    <row r="29" spans="1:38" x14ac:dyDescent="0.25">
      <c r="A29" s="33">
        <f>Mitarbeiter!$A$28&amp;""</f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5">
        <f>IF($A29="","",SUMPRODUCT(COUNTIFS(B29:AF29,Codes,$B$52:$AF$52,1)*(Arten="Arbeit")*Erste*NettoTage)+SUMPRODUCT(COUNTIFS(B29:AF29,Codes,$B$53:$AF$53,1)*((Arten="Urlaub")+(Arten="Krank")+(Arten="Bezahlt abwesend"))*Erste)*N(Mitarbeiter!$B$28)/5/24)</f>
      </c>
      <c r="AH29" s="35">
        <f>IF($A29="","",N(Mitarbeiter!$B$28)/5/24*SUM($B$53:$AF$53))</f>
      </c>
      <c r="AI29" s="36">
        <f>IF($A29="","",IF((AG29-AH29)&lt;0,"-","+")&amp;TEXT(ABS((AG29-AH29)),"[h]:mm"))</f>
      </c>
      <c r="AJ29" s="37">
        <f>IF($A29="","",SUMPRODUCT(COUNTIFS(B29:AF29,Codes,$B$53:$AF$53,1)*(Arten="Urlaub")*Erste))</f>
      </c>
      <c r="AK29" s="37">
        <f>IF($A29="","",SUMPRODUCT(COUNTIFS(B29:AF29,Codes,$B$53:$AF$53,1)*(Arten="Krank")*Erste))</f>
      </c>
      <c r="AL29" s="38">
        <f>IF($A29="","",IF(COUNTIF(B78:AF78,1)&gt;0,COUNTIF(B78:AF78,1)&amp;"× Ruhezeit unter 11 Std. (§ 5)","")&amp;IF((COUNTIFS(B29:AF29,"?*",$B$52:$AF$52,1)-SUMPRODUCT(COUNTIFS(B29:AF29,Codes,$B$52:$AF$52,1)*(Codes&lt;&gt;"")*Erste))&gt;0,IF(COUNTIF(B78:AF78,1)&gt;0,"; ","")&amp;(COUNTIFS(B29:AF29,"?*",$B$52:$AF$52,1)-SUMPRODUCT(COUNTIFS(B29:AF29,Codes,$B$52:$AF$52,1)*(Codes&lt;&gt;"")*Erste))&amp;"× unbekanntes Kürzel",""))</f>
      </c>
    </row>
    <row r="30" spans="1:38" x14ac:dyDescent="0.25">
      <c r="A30" s="33">
        <f>Mitarbeiter!$A$29&amp;""</f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5">
        <f>IF($A30="","",SUMPRODUCT(COUNTIFS(B30:AF30,Codes,$B$52:$AF$52,1)*(Arten="Arbeit")*Erste*NettoTage)+SUMPRODUCT(COUNTIFS(B30:AF30,Codes,$B$53:$AF$53,1)*((Arten="Urlaub")+(Arten="Krank")+(Arten="Bezahlt abwesend"))*Erste)*N(Mitarbeiter!$B$29)/5/24)</f>
      </c>
      <c r="AH30" s="35">
        <f>IF($A30="","",N(Mitarbeiter!$B$29)/5/24*SUM($B$53:$AF$53))</f>
      </c>
      <c r="AI30" s="36">
        <f>IF($A30="","",IF((AG30-AH30)&lt;0,"-","+")&amp;TEXT(ABS((AG30-AH30)),"[h]:mm"))</f>
      </c>
      <c r="AJ30" s="37">
        <f>IF($A30="","",SUMPRODUCT(COUNTIFS(B30:AF30,Codes,$B$53:$AF$53,1)*(Arten="Urlaub")*Erste))</f>
      </c>
      <c r="AK30" s="37">
        <f>IF($A30="","",SUMPRODUCT(COUNTIFS(B30:AF30,Codes,$B$53:$AF$53,1)*(Arten="Krank")*Erste))</f>
      </c>
      <c r="AL30" s="38">
        <f>IF($A30="","",IF(COUNTIF(B79:AF79,1)&gt;0,COUNTIF(B79:AF79,1)&amp;"× Ruhezeit unter 11 Std. (§ 5)","")&amp;IF((COUNTIFS(B30:AF30,"?*",$B$52:$AF$52,1)-SUMPRODUCT(COUNTIFS(B30:AF30,Codes,$B$52:$AF$52,1)*(Codes&lt;&gt;"")*Erste))&gt;0,IF(COUNTIF(B79:AF79,1)&gt;0,"; ","")&amp;(COUNTIFS(B30:AF30,"?*",$B$52:$AF$52,1)-SUMPRODUCT(COUNTIFS(B30:AF30,Codes,$B$52:$AF$52,1)*(Codes&lt;&gt;"")*Erste))&amp;"× unbekanntes Kürzel",""))</f>
      </c>
    </row>
    <row r="31" spans="1:38" x14ac:dyDescent="0.25">
      <c r="A31" s="33">
        <f>Mitarbeiter!$A$30&amp;""</f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5">
        <f>IF($A31="","",SUMPRODUCT(COUNTIFS(B31:AF31,Codes,$B$52:$AF$52,1)*(Arten="Arbeit")*Erste*NettoTage)+SUMPRODUCT(COUNTIFS(B31:AF31,Codes,$B$53:$AF$53,1)*((Arten="Urlaub")+(Arten="Krank")+(Arten="Bezahlt abwesend"))*Erste)*N(Mitarbeiter!$B$30)/5/24)</f>
      </c>
      <c r="AH31" s="35">
        <f>IF($A31="","",N(Mitarbeiter!$B$30)/5/24*SUM($B$53:$AF$53))</f>
      </c>
      <c r="AI31" s="36">
        <f>IF($A31="","",IF((AG31-AH31)&lt;0,"-","+")&amp;TEXT(ABS((AG31-AH31)),"[h]:mm"))</f>
      </c>
      <c r="AJ31" s="37">
        <f>IF($A31="","",SUMPRODUCT(COUNTIFS(B31:AF31,Codes,$B$53:$AF$53,1)*(Arten="Urlaub")*Erste))</f>
      </c>
      <c r="AK31" s="37">
        <f>IF($A31="","",SUMPRODUCT(COUNTIFS(B31:AF31,Codes,$B$53:$AF$53,1)*(Arten="Krank")*Erste))</f>
      </c>
      <c r="AL31" s="38">
        <f>IF($A31="","",IF(COUNTIF(B80:AF80,1)&gt;0,COUNTIF(B80:AF80,1)&amp;"× Ruhezeit unter 11 Std. (§ 5)","")&amp;IF((COUNTIFS(B31:AF31,"?*",$B$52:$AF$52,1)-SUMPRODUCT(COUNTIFS(B31:AF31,Codes,$B$52:$AF$52,1)*(Codes&lt;&gt;"")*Erste))&gt;0,IF(COUNTIF(B80:AF80,1)&gt;0,"; ","")&amp;(COUNTIFS(B31:AF31,"?*",$B$52:$AF$52,1)-SUMPRODUCT(COUNTIFS(B31:AF31,Codes,$B$52:$AF$52,1)*(Codes&lt;&gt;"")*Erste))&amp;"× unbekanntes Kürzel",""))</f>
      </c>
    </row>
    <row r="32" spans="1:38" x14ac:dyDescent="0.25">
      <c r="A32" s="33">
        <f>Mitarbeiter!$A$31&amp;""</f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5">
        <f>IF($A32="","",SUMPRODUCT(COUNTIFS(B32:AF32,Codes,$B$52:$AF$52,1)*(Arten="Arbeit")*Erste*NettoTage)+SUMPRODUCT(COUNTIFS(B32:AF32,Codes,$B$53:$AF$53,1)*((Arten="Urlaub")+(Arten="Krank")+(Arten="Bezahlt abwesend"))*Erste)*N(Mitarbeiter!$B$31)/5/24)</f>
      </c>
      <c r="AH32" s="35">
        <f>IF($A32="","",N(Mitarbeiter!$B$31)/5/24*SUM($B$53:$AF$53))</f>
      </c>
      <c r="AI32" s="36">
        <f>IF($A32="","",IF((AG32-AH32)&lt;0,"-","+")&amp;TEXT(ABS((AG32-AH32)),"[h]:mm"))</f>
      </c>
      <c r="AJ32" s="37">
        <f>IF($A32="","",SUMPRODUCT(COUNTIFS(B32:AF32,Codes,$B$53:$AF$53,1)*(Arten="Urlaub")*Erste))</f>
      </c>
      <c r="AK32" s="37">
        <f>IF($A32="","",SUMPRODUCT(COUNTIFS(B32:AF32,Codes,$B$53:$AF$53,1)*(Arten="Krank")*Erste))</f>
      </c>
      <c r="AL32" s="38">
        <f>IF($A32="","",IF(COUNTIF(B81:AF81,1)&gt;0,COUNTIF(B81:AF81,1)&amp;"× Ruhezeit unter 11 Std. (§ 5)","")&amp;IF((COUNTIFS(B32:AF32,"?*",$B$52:$AF$52,1)-SUMPRODUCT(COUNTIFS(B32:AF32,Codes,$B$52:$AF$52,1)*(Codes&lt;&gt;"")*Erste))&gt;0,IF(COUNTIF(B81:AF81,1)&gt;0,"; ","")&amp;(COUNTIFS(B32:AF32,"?*",$B$52:$AF$52,1)-SUMPRODUCT(COUNTIFS(B32:AF32,Codes,$B$52:$AF$52,1)*(Codes&lt;&gt;"")*Erste))&amp;"× unbekanntes Kürzel",""))</f>
      </c>
    </row>
    <row r="33" spans="1:38" x14ac:dyDescent="0.25">
      <c r="A33" s="33">
        <f>Mitarbeiter!$A$32&amp;""</f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5">
        <f>IF($A33="","",SUMPRODUCT(COUNTIFS(B33:AF33,Codes,$B$52:$AF$52,1)*(Arten="Arbeit")*Erste*NettoTage)+SUMPRODUCT(COUNTIFS(B33:AF33,Codes,$B$53:$AF$53,1)*((Arten="Urlaub")+(Arten="Krank")+(Arten="Bezahlt abwesend"))*Erste)*N(Mitarbeiter!$B$32)/5/24)</f>
      </c>
      <c r="AH33" s="35">
        <f>IF($A33="","",N(Mitarbeiter!$B$32)/5/24*SUM($B$53:$AF$53))</f>
      </c>
      <c r="AI33" s="36">
        <f>IF($A33="","",IF((AG33-AH33)&lt;0,"-","+")&amp;TEXT(ABS((AG33-AH33)),"[h]:mm"))</f>
      </c>
      <c r="AJ33" s="37">
        <f>IF($A33="","",SUMPRODUCT(COUNTIFS(B33:AF33,Codes,$B$53:$AF$53,1)*(Arten="Urlaub")*Erste))</f>
      </c>
      <c r="AK33" s="37">
        <f>IF($A33="","",SUMPRODUCT(COUNTIFS(B33:AF33,Codes,$B$53:$AF$53,1)*(Arten="Krank")*Erste))</f>
      </c>
      <c r="AL33" s="38">
        <f>IF($A33="","",IF(COUNTIF(B82:AF82,1)&gt;0,COUNTIF(B82:AF82,1)&amp;"× Ruhezeit unter 11 Std. (§ 5)","")&amp;IF((COUNTIFS(B33:AF33,"?*",$B$52:$AF$52,1)-SUMPRODUCT(COUNTIFS(B33:AF33,Codes,$B$52:$AF$52,1)*(Codes&lt;&gt;"")*Erste))&gt;0,IF(COUNTIF(B82:AF82,1)&gt;0,"; ","")&amp;(COUNTIFS(B33:AF33,"?*",$B$52:$AF$52,1)-SUMPRODUCT(COUNTIFS(B33:AF33,Codes,$B$52:$AF$52,1)*(Codes&lt;&gt;"")*Erste))&amp;"× unbekanntes Kürzel",""))</f>
      </c>
    </row>
    <row r="34" spans="1:38" x14ac:dyDescent="0.25">
      <c r="A34" s="33">
        <f>Mitarbeiter!$A$33&amp;""</f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5">
        <f>IF($A34="","",SUMPRODUCT(COUNTIFS(B34:AF34,Codes,$B$52:$AF$52,1)*(Arten="Arbeit")*Erste*NettoTage)+SUMPRODUCT(COUNTIFS(B34:AF34,Codes,$B$53:$AF$53,1)*((Arten="Urlaub")+(Arten="Krank")+(Arten="Bezahlt abwesend"))*Erste)*N(Mitarbeiter!$B$33)/5/24)</f>
      </c>
      <c r="AH34" s="35">
        <f>IF($A34="","",N(Mitarbeiter!$B$33)/5/24*SUM($B$53:$AF$53))</f>
      </c>
      <c r="AI34" s="36">
        <f>IF($A34="","",IF((AG34-AH34)&lt;0,"-","+")&amp;TEXT(ABS((AG34-AH34)),"[h]:mm"))</f>
      </c>
      <c r="AJ34" s="37">
        <f>IF($A34="","",SUMPRODUCT(COUNTIFS(B34:AF34,Codes,$B$53:$AF$53,1)*(Arten="Urlaub")*Erste))</f>
      </c>
      <c r="AK34" s="37">
        <f>IF($A34="","",SUMPRODUCT(COUNTIFS(B34:AF34,Codes,$B$53:$AF$53,1)*(Arten="Krank")*Erste))</f>
      </c>
      <c r="AL34" s="38">
        <f>IF($A34="","",IF(COUNTIF(B83:AF83,1)&gt;0,COUNTIF(B83:AF83,1)&amp;"× Ruhezeit unter 11 Std. (§ 5)","")&amp;IF((COUNTIFS(B34:AF34,"?*",$B$52:$AF$52,1)-SUMPRODUCT(COUNTIFS(B34:AF34,Codes,$B$52:$AF$52,1)*(Codes&lt;&gt;"")*Erste))&gt;0,IF(COUNTIF(B83:AF83,1)&gt;0,"; ","")&amp;(COUNTIFS(B34:AF34,"?*",$B$52:$AF$52,1)-SUMPRODUCT(COUNTIFS(B34:AF34,Codes,$B$52:$AF$52,1)*(Codes&lt;&gt;"")*Erste))&amp;"× unbekanntes Kürzel",""))</f>
      </c>
    </row>
    <row r="35" spans="1:38" x14ac:dyDescent="0.25">
      <c r="A35" s="33">
        <f>Mitarbeiter!$A$34&amp;""</f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5">
        <f>IF($A35="","",SUMPRODUCT(COUNTIFS(B35:AF35,Codes,$B$52:$AF$52,1)*(Arten="Arbeit")*Erste*NettoTage)+SUMPRODUCT(COUNTIFS(B35:AF35,Codes,$B$53:$AF$53,1)*((Arten="Urlaub")+(Arten="Krank")+(Arten="Bezahlt abwesend"))*Erste)*N(Mitarbeiter!$B$34)/5/24)</f>
      </c>
      <c r="AH35" s="35">
        <f>IF($A35="","",N(Mitarbeiter!$B$34)/5/24*SUM($B$53:$AF$53))</f>
      </c>
      <c r="AI35" s="36">
        <f>IF($A35="","",IF((AG35-AH35)&lt;0,"-","+")&amp;TEXT(ABS((AG35-AH35)),"[h]:mm"))</f>
      </c>
      <c r="AJ35" s="37">
        <f>IF($A35="","",SUMPRODUCT(COUNTIFS(B35:AF35,Codes,$B$53:$AF$53,1)*(Arten="Urlaub")*Erste))</f>
      </c>
      <c r="AK35" s="37">
        <f>IF($A35="","",SUMPRODUCT(COUNTIFS(B35:AF35,Codes,$B$53:$AF$53,1)*(Arten="Krank")*Erste))</f>
      </c>
      <c r="AL35" s="38">
        <f>IF($A35="","",IF(COUNTIF(B84:AF84,1)&gt;0,COUNTIF(B84:AF84,1)&amp;"× Ruhezeit unter 11 Std. (§ 5)","")&amp;IF((COUNTIFS(B35:AF35,"?*",$B$52:$AF$52,1)-SUMPRODUCT(COUNTIFS(B35:AF35,Codes,$B$52:$AF$52,1)*(Codes&lt;&gt;"")*Erste))&gt;0,IF(COUNTIF(B84:AF84,1)&gt;0,"; ","")&amp;(COUNTIFS(B35:AF35,"?*",$B$52:$AF$52,1)-SUMPRODUCT(COUNTIFS(B35:AF35,Codes,$B$52:$AF$52,1)*(Codes&lt;&gt;"")*Erste))&amp;"× unbekanntes Kürzel",""))</f>
      </c>
    </row>
    <row r="37" spans="1:1" x14ac:dyDescent="0.25">
      <c r="A37" s="39" t="s">
        <v>63</v>
      </c>
    </row>
    <row r="38" spans="1:39" x14ac:dyDescent="0.25">
      <c r="A38" s="40">
        <f>IFERROR(INDEX(Codes,MATCH(1,ArbeitNr,0))&amp;" "&amp;INDEX(Bezeichnungen,MATCH(1,ArbeitNr,0)),"")</f>
      </c>
      <c r="B38" s="41">
        <f>IF(OR($AM38="",B$52=0),"",COUNTIF(B$6:B$35,$AM38))</f>
      </c>
      <c r="C38" s="41">
        <f>IF(OR($AM38="",C$52=0),"",COUNTIF(C$6:C$35,$AM38))</f>
      </c>
      <c r="D38" s="41">
        <f>IF(OR($AM38="",D$52=0),"",COUNTIF(D$6:D$35,$AM38))</f>
      </c>
      <c r="E38" s="41">
        <f>IF(OR($AM38="",E$52=0),"",COUNTIF(E$6:E$35,$AM38))</f>
      </c>
      <c r="F38" s="41">
        <f>IF(OR($AM38="",F$52=0),"",COUNTIF(F$6:F$35,$AM38))</f>
      </c>
      <c r="G38" s="41">
        <f>IF(OR($AM38="",G$52=0),"",COUNTIF(G$6:G$35,$AM38))</f>
      </c>
      <c r="H38" s="41">
        <f>IF(OR($AM38="",H$52=0),"",COUNTIF(H$6:H$35,$AM38))</f>
      </c>
      <c r="I38" s="41">
        <f>IF(OR($AM38="",I$52=0),"",COUNTIF(I$6:I$35,$AM38))</f>
      </c>
      <c r="J38" s="41">
        <f>IF(OR($AM38="",J$52=0),"",COUNTIF(J$6:J$35,$AM38))</f>
      </c>
      <c r="K38" s="41">
        <f>IF(OR($AM38="",K$52=0),"",COUNTIF(K$6:K$35,$AM38))</f>
      </c>
      <c r="L38" s="41">
        <f>IF(OR($AM38="",L$52=0),"",COUNTIF(L$6:L$35,$AM38))</f>
      </c>
      <c r="M38" s="41">
        <f>IF(OR($AM38="",M$52=0),"",COUNTIF(M$6:M$35,$AM38))</f>
      </c>
      <c r="N38" s="41">
        <f>IF(OR($AM38="",N$52=0),"",COUNTIF(N$6:N$35,$AM38))</f>
      </c>
      <c r="O38" s="41">
        <f>IF(OR($AM38="",O$52=0),"",COUNTIF(O$6:O$35,$AM38))</f>
      </c>
      <c r="P38" s="41">
        <f>IF(OR($AM38="",P$52=0),"",COUNTIF(P$6:P$35,$AM38))</f>
      </c>
      <c r="Q38" s="41">
        <f>IF(OR($AM38="",Q$52=0),"",COUNTIF(Q$6:Q$35,$AM38))</f>
      </c>
      <c r="R38" s="41">
        <f>IF(OR($AM38="",R$52=0),"",COUNTIF(R$6:R$35,$AM38))</f>
      </c>
      <c r="S38" s="41">
        <f>IF(OR($AM38="",S$52=0),"",COUNTIF(S$6:S$35,$AM38))</f>
      </c>
      <c r="T38" s="41">
        <f>IF(OR($AM38="",T$52=0),"",COUNTIF(T$6:T$35,$AM38))</f>
      </c>
      <c r="U38" s="41">
        <f>IF(OR($AM38="",U$52=0),"",COUNTIF(U$6:U$35,$AM38))</f>
      </c>
      <c r="V38" s="41">
        <f>IF(OR($AM38="",V$52=0),"",COUNTIF(V$6:V$35,$AM38))</f>
      </c>
      <c r="W38" s="41">
        <f>IF(OR($AM38="",W$52=0),"",COUNTIF(W$6:W$35,$AM38))</f>
      </c>
      <c r="X38" s="41">
        <f>IF(OR($AM38="",X$52=0),"",COUNTIF(X$6:X$35,$AM38))</f>
      </c>
      <c r="Y38" s="41">
        <f>IF(OR($AM38="",Y$52=0),"",COUNTIF(Y$6:Y$35,$AM38))</f>
      </c>
      <c r="Z38" s="41">
        <f>IF(OR($AM38="",Z$52=0),"",COUNTIF(Z$6:Z$35,$AM38))</f>
      </c>
      <c r="AA38" s="41">
        <f>IF(OR($AM38="",AA$52=0),"",COUNTIF(AA$6:AA$35,$AM38))</f>
      </c>
      <c r="AB38" s="41">
        <f>IF(OR($AM38="",AB$52=0),"",COUNTIF(AB$6:AB$35,$AM38))</f>
      </c>
      <c r="AC38" s="41">
        <f>IF(OR($AM38="",AC$52=0),"",COUNTIF(AC$6:AC$35,$AM38))</f>
      </c>
      <c r="AD38" s="41">
        <f>IF(OR($AM38="",AD$52=0),"",COUNTIF(AD$6:AD$35,$AM38))</f>
      </c>
      <c r="AE38" s="41">
        <f>IF(OR($AM38="",AE$52=0),"",COUNTIF(AE$6:AE$35,$AM38))</f>
      </c>
      <c r="AF38" s="41">
        <f>IF(OR($AM38="",AF$52=0),"",COUNTIF(AF$6:AF$35,$AM38))</f>
      </c>
      <c r="AG38" s="1"/>
      <c r="AH38" s="1"/>
      <c r="AI38" s="1"/>
      <c r="AJ38" s="1"/>
      <c r="AK38" s="1"/>
      <c r="AL38" s="1"/>
      <c r="AM38" s="1">
        <f>IFERROR(INDEX(Codes,MATCH(1,ArbeitNr,0)),"")</f>
      </c>
    </row>
    <row r="39" spans="1:39" x14ac:dyDescent="0.25">
      <c r="A39" s="40">
        <f>IFERROR(INDEX(Codes,MATCH(2,ArbeitNr,0))&amp;" "&amp;INDEX(Bezeichnungen,MATCH(2,ArbeitNr,0)),"")</f>
      </c>
      <c r="B39" s="41">
        <f>IF(OR($AM39="",B$52=0),"",COUNTIF(B$6:B$35,$AM39))</f>
      </c>
      <c r="C39" s="41">
        <f>IF(OR($AM39="",C$52=0),"",COUNTIF(C$6:C$35,$AM39))</f>
      </c>
      <c r="D39" s="41">
        <f>IF(OR($AM39="",D$52=0),"",COUNTIF(D$6:D$35,$AM39))</f>
      </c>
      <c r="E39" s="41">
        <f>IF(OR($AM39="",E$52=0),"",COUNTIF(E$6:E$35,$AM39))</f>
      </c>
      <c r="F39" s="41">
        <f>IF(OR($AM39="",F$52=0),"",COUNTIF(F$6:F$35,$AM39))</f>
      </c>
      <c r="G39" s="41">
        <f>IF(OR($AM39="",G$52=0),"",COUNTIF(G$6:G$35,$AM39))</f>
      </c>
      <c r="H39" s="41">
        <f>IF(OR($AM39="",H$52=0),"",COUNTIF(H$6:H$35,$AM39))</f>
      </c>
      <c r="I39" s="41">
        <f>IF(OR($AM39="",I$52=0),"",COUNTIF(I$6:I$35,$AM39))</f>
      </c>
      <c r="J39" s="41">
        <f>IF(OR($AM39="",J$52=0),"",COUNTIF(J$6:J$35,$AM39))</f>
      </c>
      <c r="K39" s="41">
        <f>IF(OR($AM39="",K$52=0),"",COUNTIF(K$6:K$35,$AM39))</f>
      </c>
      <c r="L39" s="41">
        <f>IF(OR($AM39="",L$52=0),"",COUNTIF(L$6:L$35,$AM39))</f>
      </c>
      <c r="M39" s="41">
        <f>IF(OR($AM39="",M$52=0),"",COUNTIF(M$6:M$35,$AM39))</f>
      </c>
      <c r="N39" s="41">
        <f>IF(OR($AM39="",N$52=0),"",COUNTIF(N$6:N$35,$AM39))</f>
      </c>
      <c r="O39" s="41">
        <f>IF(OR($AM39="",O$52=0),"",COUNTIF(O$6:O$35,$AM39))</f>
      </c>
      <c r="P39" s="41">
        <f>IF(OR($AM39="",P$52=0),"",COUNTIF(P$6:P$35,$AM39))</f>
      </c>
      <c r="Q39" s="41">
        <f>IF(OR($AM39="",Q$52=0),"",COUNTIF(Q$6:Q$35,$AM39))</f>
      </c>
      <c r="R39" s="41">
        <f>IF(OR($AM39="",R$52=0),"",COUNTIF(R$6:R$35,$AM39))</f>
      </c>
      <c r="S39" s="41">
        <f>IF(OR($AM39="",S$52=0),"",COUNTIF(S$6:S$35,$AM39))</f>
      </c>
      <c r="T39" s="41">
        <f>IF(OR($AM39="",T$52=0),"",COUNTIF(T$6:T$35,$AM39))</f>
      </c>
      <c r="U39" s="41">
        <f>IF(OR($AM39="",U$52=0),"",COUNTIF(U$6:U$35,$AM39))</f>
      </c>
      <c r="V39" s="41">
        <f>IF(OR($AM39="",V$52=0),"",COUNTIF(V$6:V$35,$AM39))</f>
      </c>
      <c r="W39" s="41">
        <f>IF(OR($AM39="",W$52=0),"",COUNTIF(W$6:W$35,$AM39))</f>
      </c>
      <c r="X39" s="41">
        <f>IF(OR($AM39="",X$52=0),"",COUNTIF(X$6:X$35,$AM39))</f>
      </c>
      <c r="Y39" s="41">
        <f>IF(OR($AM39="",Y$52=0),"",COUNTIF(Y$6:Y$35,$AM39))</f>
      </c>
      <c r="Z39" s="41">
        <f>IF(OR($AM39="",Z$52=0),"",COUNTIF(Z$6:Z$35,$AM39))</f>
      </c>
      <c r="AA39" s="41">
        <f>IF(OR($AM39="",AA$52=0),"",COUNTIF(AA$6:AA$35,$AM39))</f>
      </c>
      <c r="AB39" s="41">
        <f>IF(OR($AM39="",AB$52=0),"",COUNTIF(AB$6:AB$35,$AM39))</f>
      </c>
      <c r="AC39" s="41">
        <f>IF(OR($AM39="",AC$52=0),"",COUNTIF(AC$6:AC$35,$AM39))</f>
      </c>
      <c r="AD39" s="41">
        <f>IF(OR($AM39="",AD$52=0),"",COUNTIF(AD$6:AD$35,$AM39))</f>
      </c>
      <c r="AE39" s="41">
        <f>IF(OR($AM39="",AE$52=0),"",COUNTIF(AE$6:AE$35,$AM39))</f>
      </c>
      <c r="AF39" s="41">
        <f>IF(OR($AM39="",AF$52=0),"",COUNTIF(AF$6:AF$35,$AM39))</f>
      </c>
      <c r="AG39" s="1"/>
      <c r="AH39" s="1"/>
      <c r="AI39" s="1"/>
      <c r="AJ39" s="1"/>
      <c r="AK39" s="1"/>
      <c r="AL39" s="1"/>
      <c r="AM39" s="1">
        <f>IFERROR(INDEX(Codes,MATCH(2,ArbeitNr,0)),"")</f>
      </c>
    </row>
    <row r="40" spans="1:39" x14ac:dyDescent="0.25">
      <c r="A40" s="40">
        <f>IFERROR(INDEX(Codes,MATCH(3,ArbeitNr,0))&amp;" "&amp;INDEX(Bezeichnungen,MATCH(3,ArbeitNr,0)),"")</f>
      </c>
      <c r="B40" s="41">
        <f>IF(OR($AM40="",B$52=0),"",COUNTIF(B$6:B$35,$AM40))</f>
      </c>
      <c r="C40" s="41">
        <f>IF(OR($AM40="",C$52=0),"",COUNTIF(C$6:C$35,$AM40))</f>
      </c>
      <c r="D40" s="41">
        <f>IF(OR($AM40="",D$52=0),"",COUNTIF(D$6:D$35,$AM40))</f>
      </c>
      <c r="E40" s="41">
        <f>IF(OR($AM40="",E$52=0),"",COUNTIF(E$6:E$35,$AM40))</f>
      </c>
      <c r="F40" s="41">
        <f>IF(OR($AM40="",F$52=0),"",COUNTIF(F$6:F$35,$AM40))</f>
      </c>
      <c r="G40" s="41">
        <f>IF(OR($AM40="",G$52=0),"",COUNTIF(G$6:G$35,$AM40))</f>
      </c>
      <c r="H40" s="41">
        <f>IF(OR($AM40="",H$52=0),"",COUNTIF(H$6:H$35,$AM40))</f>
      </c>
      <c r="I40" s="41">
        <f>IF(OR($AM40="",I$52=0),"",COUNTIF(I$6:I$35,$AM40))</f>
      </c>
      <c r="J40" s="41">
        <f>IF(OR($AM40="",J$52=0),"",COUNTIF(J$6:J$35,$AM40))</f>
      </c>
      <c r="K40" s="41">
        <f>IF(OR($AM40="",K$52=0),"",COUNTIF(K$6:K$35,$AM40))</f>
      </c>
      <c r="L40" s="41">
        <f>IF(OR($AM40="",L$52=0),"",COUNTIF(L$6:L$35,$AM40))</f>
      </c>
      <c r="M40" s="41">
        <f>IF(OR($AM40="",M$52=0),"",COUNTIF(M$6:M$35,$AM40))</f>
      </c>
      <c r="N40" s="41">
        <f>IF(OR($AM40="",N$52=0),"",COUNTIF(N$6:N$35,$AM40))</f>
      </c>
      <c r="O40" s="41">
        <f>IF(OR($AM40="",O$52=0),"",COUNTIF(O$6:O$35,$AM40))</f>
      </c>
      <c r="P40" s="41">
        <f>IF(OR($AM40="",P$52=0),"",COUNTIF(P$6:P$35,$AM40))</f>
      </c>
      <c r="Q40" s="41">
        <f>IF(OR($AM40="",Q$52=0),"",COUNTIF(Q$6:Q$35,$AM40))</f>
      </c>
      <c r="R40" s="41">
        <f>IF(OR($AM40="",R$52=0),"",COUNTIF(R$6:R$35,$AM40))</f>
      </c>
      <c r="S40" s="41">
        <f>IF(OR($AM40="",S$52=0),"",COUNTIF(S$6:S$35,$AM40))</f>
      </c>
      <c r="T40" s="41">
        <f>IF(OR($AM40="",T$52=0),"",COUNTIF(T$6:T$35,$AM40))</f>
      </c>
      <c r="U40" s="41">
        <f>IF(OR($AM40="",U$52=0),"",COUNTIF(U$6:U$35,$AM40))</f>
      </c>
      <c r="V40" s="41">
        <f>IF(OR($AM40="",V$52=0),"",COUNTIF(V$6:V$35,$AM40))</f>
      </c>
      <c r="W40" s="41">
        <f>IF(OR($AM40="",W$52=0),"",COUNTIF(W$6:W$35,$AM40))</f>
      </c>
      <c r="X40" s="41">
        <f>IF(OR($AM40="",X$52=0),"",COUNTIF(X$6:X$35,$AM40))</f>
      </c>
      <c r="Y40" s="41">
        <f>IF(OR($AM40="",Y$52=0),"",COUNTIF(Y$6:Y$35,$AM40))</f>
      </c>
      <c r="Z40" s="41">
        <f>IF(OR($AM40="",Z$52=0),"",COUNTIF(Z$6:Z$35,$AM40))</f>
      </c>
      <c r="AA40" s="41">
        <f>IF(OR($AM40="",AA$52=0),"",COUNTIF(AA$6:AA$35,$AM40))</f>
      </c>
      <c r="AB40" s="41">
        <f>IF(OR($AM40="",AB$52=0),"",COUNTIF(AB$6:AB$35,$AM40))</f>
      </c>
      <c r="AC40" s="41">
        <f>IF(OR($AM40="",AC$52=0),"",COUNTIF(AC$6:AC$35,$AM40))</f>
      </c>
      <c r="AD40" s="41">
        <f>IF(OR($AM40="",AD$52=0),"",COUNTIF(AD$6:AD$35,$AM40))</f>
      </c>
      <c r="AE40" s="41">
        <f>IF(OR($AM40="",AE$52=0),"",COUNTIF(AE$6:AE$35,$AM40))</f>
      </c>
      <c r="AF40" s="41">
        <f>IF(OR($AM40="",AF$52=0),"",COUNTIF(AF$6:AF$35,$AM40))</f>
      </c>
      <c r="AG40" s="1"/>
      <c r="AH40" s="1"/>
      <c r="AI40" s="1"/>
      <c r="AJ40" s="1"/>
      <c r="AK40" s="1"/>
      <c r="AL40" s="1"/>
      <c r="AM40" s="1">
        <f>IFERROR(INDEX(Codes,MATCH(3,ArbeitNr,0)),"")</f>
      </c>
    </row>
    <row r="41" spans="1:39" x14ac:dyDescent="0.25">
      <c r="A41" s="40">
        <f>IFERROR(INDEX(Codes,MATCH(4,ArbeitNr,0))&amp;" "&amp;INDEX(Bezeichnungen,MATCH(4,ArbeitNr,0)),"")</f>
      </c>
      <c r="B41" s="41">
        <f>IF(OR($AM41="",B$52=0),"",COUNTIF(B$6:B$35,$AM41))</f>
      </c>
      <c r="C41" s="41">
        <f>IF(OR($AM41="",C$52=0),"",COUNTIF(C$6:C$35,$AM41))</f>
      </c>
      <c r="D41" s="41">
        <f>IF(OR($AM41="",D$52=0),"",COUNTIF(D$6:D$35,$AM41))</f>
      </c>
      <c r="E41" s="41">
        <f>IF(OR($AM41="",E$52=0),"",COUNTIF(E$6:E$35,$AM41))</f>
      </c>
      <c r="F41" s="41">
        <f>IF(OR($AM41="",F$52=0),"",COUNTIF(F$6:F$35,$AM41))</f>
      </c>
      <c r="G41" s="41">
        <f>IF(OR($AM41="",G$52=0),"",COUNTIF(G$6:G$35,$AM41))</f>
      </c>
      <c r="H41" s="41">
        <f>IF(OR($AM41="",H$52=0),"",COUNTIF(H$6:H$35,$AM41))</f>
      </c>
      <c r="I41" s="41">
        <f>IF(OR($AM41="",I$52=0),"",COUNTIF(I$6:I$35,$AM41))</f>
      </c>
      <c r="J41" s="41">
        <f>IF(OR($AM41="",J$52=0),"",COUNTIF(J$6:J$35,$AM41))</f>
      </c>
      <c r="K41" s="41">
        <f>IF(OR($AM41="",K$52=0),"",COUNTIF(K$6:K$35,$AM41))</f>
      </c>
      <c r="L41" s="41">
        <f>IF(OR($AM41="",L$52=0),"",COUNTIF(L$6:L$35,$AM41))</f>
      </c>
      <c r="M41" s="41">
        <f>IF(OR($AM41="",M$52=0),"",COUNTIF(M$6:M$35,$AM41))</f>
      </c>
      <c r="N41" s="41">
        <f>IF(OR($AM41="",N$52=0),"",COUNTIF(N$6:N$35,$AM41))</f>
      </c>
      <c r="O41" s="41">
        <f>IF(OR($AM41="",O$52=0),"",COUNTIF(O$6:O$35,$AM41))</f>
      </c>
      <c r="P41" s="41">
        <f>IF(OR($AM41="",P$52=0),"",COUNTIF(P$6:P$35,$AM41))</f>
      </c>
      <c r="Q41" s="41">
        <f>IF(OR($AM41="",Q$52=0),"",COUNTIF(Q$6:Q$35,$AM41))</f>
      </c>
      <c r="R41" s="41">
        <f>IF(OR($AM41="",R$52=0),"",COUNTIF(R$6:R$35,$AM41))</f>
      </c>
      <c r="S41" s="41">
        <f>IF(OR($AM41="",S$52=0),"",COUNTIF(S$6:S$35,$AM41))</f>
      </c>
      <c r="T41" s="41">
        <f>IF(OR($AM41="",T$52=0),"",COUNTIF(T$6:T$35,$AM41))</f>
      </c>
      <c r="U41" s="41">
        <f>IF(OR($AM41="",U$52=0),"",COUNTIF(U$6:U$35,$AM41))</f>
      </c>
      <c r="V41" s="41">
        <f>IF(OR($AM41="",V$52=0),"",COUNTIF(V$6:V$35,$AM41))</f>
      </c>
      <c r="W41" s="41">
        <f>IF(OR($AM41="",W$52=0),"",COUNTIF(W$6:W$35,$AM41))</f>
      </c>
      <c r="X41" s="41">
        <f>IF(OR($AM41="",X$52=0),"",COUNTIF(X$6:X$35,$AM41))</f>
      </c>
      <c r="Y41" s="41">
        <f>IF(OR($AM41="",Y$52=0),"",COUNTIF(Y$6:Y$35,$AM41))</f>
      </c>
      <c r="Z41" s="41">
        <f>IF(OR($AM41="",Z$52=0),"",COUNTIF(Z$6:Z$35,$AM41))</f>
      </c>
      <c r="AA41" s="41">
        <f>IF(OR($AM41="",AA$52=0),"",COUNTIF(AA$6:AA$35,$AM41))</f>
      </c>
      <c r="AB41" s="41">
        <f>IF(OR($AM41="",AB$52=0),"",COUNTIF(AB$6:AB$35,$AM41))</f>
      </c>
      <c r="AC41" s="41">
        <f>IF(OR($AM41="",AC$52=0),"",COUNTIF(AC$6:AC$35,$AM41))</f>
      </c>
      <c r="AD41" s="41">
        <f>IF(OR($AM41="",AD$52=0),"",COUNTIF(AD$6:AD$35,$AM41))</f>
      </c>
      <c r="AE41" s="41">
        <f>IF(OR($AM41="",AE$52=0),"",COUNTIF(AE$6:AE$35,$AM41))</f>
      </c>
      <c r="AF41" s="41">
        <f>IF(OR($AM41="",AF$52=0),"",COUNTIF(AF$6:AF$35,$AM41))</f>
      </c>
      <c r="AG41" s="1"/>
      <c r="AH41" s="1"/>
      <c r="AI41" s="1"/>
      <c r="AJ41" s="1"/>
      <c r="AK41" s="1"/>
      <c r="AL41" s="1"/>
      <c r="AM41" s="1">
        <f>IFERROR(INDEX(Codes,MATCH(4,ArbeitNr,0)),"")</f>
      </c>
    </row>
    <row r="42" spans="1:39" x14ac:dyDescent="0.25">
      <c r="A42" s="40">
        <f>IFERROR(INDEX(Codes,MATCH(5,ArbeitNr,0))&amp;" "&amp;INDEX(Bezeichnungen,MATCH(5,ArbeitNr,0)),"")</f>
      </c>
      <c r="B42" s="41">
        <f>IF(OR($AM42="",B$52=0),"",COUNTIF(B$6:B$35,$AM42))</f>
      </c>
      <c r="C42" s="41">
        <f>IF(OR($AM42="",C$52=0),"",COUNTIF(C$6:C$35,$AM42))</f>
      </c>
      <c r="D42" s="41">
        <f>IF(OR($AM42="",D$52=0),"",COUNTIF(D$6:D$35,$AM42))</f>
      </c>
      <c r="E42" s="41">
        <f>IF(OR($AM42="",E$52=0),"",COUNTIF(E$6:E$35,$AM42))</f>
      </c>
      <c r="F42" s="41">
        <f>IF(OR($AM42="",F$52=0),"",COUNTIF(F$6:F$35,$AM42))</f>
      </c>
      <c r="G42" s="41">
        <f>IF(OR($AM42="",G$52=0),"",COUNTIF(G$6:G$35,$AM42))</f>
      </c>
      <c r="H42" s="41">
        <f>IF(OR($AM42="",H$52=0),"",COUNTIF(H$6:H$35,$AM42))</f>
      </c>
      <c r="I42" s="41">
        <f>IF(OR($AM42="",I$52=0),"",COUNTIF(I$6:I$35,$AM42))</f>
      </c>
      <c r="J42" s="41">
        <f>IF(OR($AM42="",J$52=0),"",COUNTIF(J$6:J$35,$AM42))</f>
      </c>
      <c r="K42" s="41">
        <f>IF(OR($AM42="",K$52=0),"",COUNTIF(K$6:K$35,$AM42))</f>
      </c>
      <c r="L42" s="41">
        <f>IF(OR($AM42="",L$52=0),"",COUNTIF(L$6:L$35,$AM42))</f>
      </c>
      <c r="M42" s="41">
        <f>IF(OR($AM42="",M$52=0),"",COUNTIF(M$6:M$35,$AM42))</f>
      </c>
      <c r="N42" s="41">
        <f>IF(OR($AM42="",N$52=0),"",COUNTIF(N$6:N$35,$AM42))</f>
      </c>
      <c r="O42" s="41">
        <f>IF(OR($AM42="",O$52=0),"",COUNTIF(O$6:O$35,$AM42))</f>
      </c>
      <c r="P42" s="41">
        <f>IF(OR($AM42="",P$52=0),"",COUNTIF(P$6:P$35,$AM42))</f>
      </c>
      <c r="Q42" s="41">
        <f>IF(OR($AM42="",Q$52=0),"",COUNTIF(Q$6:Q$35,$AM42))</f>
      </c>
      <c r="R42" s="41">
        <f>IF(OR($AM42="",R$52=0),"",COUNTIF(R$6:R$35,$AM42))</f>
      </c>
      <c r="S42" s="41">
        <f>IF(OR($AM42="",S$52=0),"",COUNTIF(S$6:S$35,$AM42))</f>
      </c>
      <c r="T42" s="41">
        <f>IF(OR($AM42="",T$52=0),"",COUNTIF(T$6:T$35,$AM42))</f>
      </c>
      <c r="U42" s="41">
        <f>IF(OR($AM42="",U$52=0),"",COUNTIF(U$6:U$35,$AM42))</f>
      </c>
      <c r="V42" s="41">
        <f>IF(OR($AM42="",V$52=0),"",COUNTIF(V$6:V$35,$AM42))</f>
      </c>
      <c r="W42" s="41">
        <f>IF(OR($AM42="",W$52=0),"",COUNTIF(W$6:W$35,$AM42))</f>
      </c>
      <c r="X42" s="41">
        <f>IF(OR($AM42="",X$52=0),"",COUNTIF(X$6:X$35,$AM42))</f>
      </c>
      <c r="Y42" s="41">
        <f>IF(OR($AM42="",Y$52=0),"",COUNTIF(Y$6:Y$35,$AM42))</f>
      </c>
      <c r="Z42" s="41">
        <f>IF(OR($AM42="",Z$52=0),"",COUNTIF(Z$6:Z$35,$AM42))</f>
      </c>
      <c r="AA42" s="41">
        <f>IF(OR($AM42="",AA$52=0),"",COUNTIF(AA$6:AA$35,$AM42))</f>
      </c>
      <c r="AB42" s="41">
        <f>IF(OR($AM42="",AB$52=0),"",COUNTIF(AB$6:AB$35,$AM42))</f>
      </c>
      <c r="AC42" s="41">
        <f>IF(OR($AM42="",AC$52=0),"",COUNTIF(AC$6:AC$35,$AM42))</f>
      </c>
      <c r="AD42" s="41">
        <f>IF(OR($AM42="",AD$52=0),"",COUNTIF(AD$6:AD$35,$AM42))</f>
      </c>
      <c r="AE42" s="41">
        <f>IF(OR($AM42="",AE$52=0),"",COUNTIF(AE$6:AE$35,$AM42))</f>
      </c>
      <c r="AF42" s="41">
        <f>IF(OR($AM42="",AF$52=0),"",COUNTIF(AF$6:AF$35,$AM42))</f>
      </c>
      <c r="AG42" s="1"/>
      <c r="AH42" s="1"/>
      <c r="AI42" s="1"/>
      <c r="AJ42" s="1"/>
      <c r="AK42" s="1"/>
      <c r="AL42" s="1"/>
      <c r="AM42" s="1">
        <f>IFERROR(INDEX(Codes,MATCH(5,ArbeitNr,0)),"")</f>
      </c>
    </row>
    <row r="43" spans="1:39" x14ac:dyDescent="0.25">
      <c r="A43" s="40">
        <f>IFERROR(INDEX(Codes,MATCH(6,ArbeitNr,0))&amp;" "&amp;INDEX(Bezeichnungen,MATCH(6,ArbeitNr,0)),"")</f>
      </c>
      <c r="B43" s="41">
        <f>IF(OR($AM43="",B$52=0),"",COUNTIF(B$6:B$35,$AM43))</f>
      </c>
      <c r="C43" s="41">
        <f>IF(OR($AM43="",C$52=0),"",COUNTIF(C$6:C$35,$AM43))</f>
      </c>
      <c r="D43" s="41">
        <f>IF(OR($AM43="",D$52=0),"",COUNTIF(D$6:D$35,$AM43))</f>
      </c>
      <c r="E43" s="41">
        <f>IF(OR($AM43="",E$52=0),"",COUNTIF(E$6:E$35,$AM43))</f>
      </c>
      <c r="F43" s="41">
        <f>IF(OR($AM43="",F$52=0),"",COUNTIF(F$6:F$35,$AM43))</f>
      </c>
      <c r="G43" s="41">
        <f>IF(OR($AM43="",G$52=0),"",COUNTIF(G$6:G$35,$AM43))</f>
      </c>
      <c r="H43" s="41">
        <f>IF(OR($AM43="",H$52=0),"",COUNTIF(H$6:H$35,$AM43))</f>
      </c>
      <c r="I43" s="41">
        <f>IF(OR($AM43="",I$52=0),"",COUNTIF(I$6:I$35,$AM43))</f>
      </c>
      <c r="J43" s="41">
        <f>IF(OR($AM43="",J$52=0),"",COUNTIF(J$6:J$35,$AM43))</f>
      </c>
      <c r="K43" s="41">
        <f>IF(OR($AM43="",K$52=0),"",COUNTIF(K$6:K$35,$AM43))</f>
      </c>
      <c r="L43" s="41">
        <f>IF(OR($AM43="",L$52=0),"",COUNTIF(L$6:L$35,$AM43))</f>
      </c>
      <c r="M43" s="41">
        <f>IF(OR($AM43="",M$52=0),"",COUNTIF(M$6:M$35,$AM43))</f>
      </c>
      <c r="N43" s="41">
        <f>IF(OR($AM43="",N$52=0),"",COUNTIF(N$6:N$35,$AM43))</f>
      </c>
      <c r="O43" s="41">
        <f>IF(OR($AM43="",O$52=0),"",COUNTIF(O$6:O$35,$AM43))</f>
      </c>
      <c r="P43" s="41">
        <f>IF(OR($AM43="",P$52=0),"",COUNTIF(P$6:P$35,$AM43))</f>
      </c>
      <c r="Q43" s="41">
        <f>IF(OR($AM43="",Q$52=0),"",COUNTIF(Q$6:Q$35,$AM43))</f>
      </c>
      <c r="R43" s="41">
        <f>IF(OR($AM43="",R$52=0),"",COUNTIF(R$6:R$35,$AM43))</f>
      </c>
      <c r="S43" s="41">
        <f>IF(OR($AM43="",S$52=0),"",COUNTIF(S$6:S$35,$AM43))</f>
      </c>
      <c r="T43" s="41">
        <f>IF(OR($AM43="",T$52=0),"",COUNTIF(T$6:T$35,$AM43))</f>
      </c>
      <c r="U43" s="41">
        <f>IF(OR($AM43="",U$52=0),"",COUNTIF(U$6:U$35,$AM43))</f>
      </c>
      <c r="V43" s="41">
        <f>IF(OR($AM43="",V$52=0),"",COUNTIF(V$6:V$35,$AM43))</f>
      </c>
      <c r="W43" s="41">
        <f>IF(OR($AM43="",W$52=0),"",COUNTIF(W$6:W$35,$AM43))</f>
      </c>
      <c r="X43" s="41">
        <f>IF(OR($AM43="",X$52=0),"",COUNTIF(X$6:X$35,$AM43))</f>
      </c>
      <c r="Y43" s="41">
        <f>IF(OR($AM43="",Y$52=0),"",COUNTIF(Y$6:Y$35,$AM43))</f>
      </c>
      <c r="Z43" s="41">
        <f>IF(OR($AM43="",Z$52=0),"",COUNTIF(Z$6:Z$35,$AM43))</f>
      </c>
      <c r="AA43" s="41">
        <f>IF(OR($AM43="",AA$52=0),"",COUNTIF(AA$6:AA$35,$AM43))</f>
      </c>
      <c r="AB43" s="41">
        <f>IF(OR($AM43="",AB$52=0),"",COUNTIF(AB$6:AB$35,$AM43))</f>
      </c>
      <c r="AC43" s="41">
        <f>IF(OR($AM43="",AC$52=0),"",COUNTIF(AC$6:AC$35,$AM43))</f>
      </c>
      <c r="AD43" s="41">
        <f>IF(OR($AM43="",AD$52=0),"",COUNTIF(AD$6:AD$35,$AM43))</f>
      </c>
      <c r="AE43" s="41">
        <f>IF(OR($AM43="",AE$52=0),"",COUNTIF(AE$6:AE$35,$AM43))</f>
      </c>
      <c r="AF43" s="41">
        <f>IF(OR($AM43="",AF$52=0),"",COUNTIF(AF$6:AF$35,$AM43))</f>
      </c>
      <c r="AG43" s="1"/>
      <c r="AH43" s="1"/>
      <c r="AI43" s="1"/>
      <c r="AJ43" s="1"/>
      <c r="AK43" s="1"/>
      <c r="AL43" s="1"/>
      <c r="AM43" s="1">
        <f>IFERROR(INDEX(Codes,MATCH(6,ArbeitNr,0)),"")</f>
      </c>
    </row>
    <row r="44" spans="1:39" x14ac:dyDescent="0.25">
      <c r="A44" s="40">
        <f>IFERROR(INDEX(Codes,MATCH(7,ArbeitNr,0))&amp;" "&amp;INDEX(Bezeichnungen,MATCH(7,ArbeitNr,0)),"")</f>
      </c>
      <c r="B44" s="41">
        <f>IF(OR($AM44="",B$52=0),"",COUNTIF(B$6:B$35,$AM44))</f>
      </c>
      <c r="C44" s="41">
        <f>IF(OR($AM44="",C$52=0),"",COUNTIF(C$6:C$35,$AM44))</f>
      </c>
      <c r="D44" s="41">
        <f>IF(OR($AM44="",D$52=0),"",COUNTIF(D$6:D$35,$AM44))</f>
      </c>
      <c r="E44" s="41">
        <f>IF(OR($AM44="",E$52=0),"",COUNTIF(E$6:E$35,$AM44))</f>
      </c>
      <c r="F44" s="41">
        <f>IF(OR($AM44="",F$52=0),"",COUNTIF(F$6:F$35,$AM44))</f>
      </c>
      <c r="G44" s="41">
        <f>IF(OR($AM44="",G$52=0),"",COUNTIF(G$6:G$35,$AM44))</f>
      </c>
      <c r="H44" s="41">
        <f>IF(OR($AM44="",H$52=0),"",COUNTIF(H$6:H$35,$AM44))</f>
      </c>
      <c r="I44" s="41">
        <f>IF(OR($AM44="",I$52=0),"",COUNTIF(I$6:I$35,$AM44))</f>
      </c>
      <c r="J44" s="41">
        <f>IF(OR($AM44="",J$52=0),"",COUNTIF(J$6:J$35,$AM44))</f>
      </c>
      <c r="K44" s="41">
        <f>IF(OR($AM44="",K$52=0),"",COUNTIF(K$6:K$35,$AM44))</f>
      </c>
      <c r="L44" s="41">
        <f>IF(OR($AM44="",L$52=0),"",COUNTIF(L$6:L$35,$AM44))</f>
      </c>
      <c r="M44" s="41">
        <f>IF(OR($AM44="",M$52=0),"",COUNTIF(M$6:M$35,$AM44))</f>
      </c>
      <c r="N44" s="41">
        <f>IF(OR($AM44="",N$52=0),"",COUNTIF(N$6:N$35,$AM44))</f>
      </c>
      <c r="O44" s="41">
        <f>IF(OR($AM44="",O$52=0),"",COUNTIF(O$6:O$35,$AM44))</f>
      </c>
      <c r="P44" s="41">
        <f>IF(OR($AM44="",P$52=0),"",COUNTIF(P$6:P$35,$AM44))</f>
      </c>
      <c r="Q44" s="41">
        <f>IF(OR($AM44="",Q$52=0),"",COUNTIF(Q$6:Q$35,$AM44))</f>
      </c>
      <c r="R44" s="41">
        <f>IF(OR($AM44="",R$52=0),"",COUNTIF(R$6:R$35,$AM44))</f>
      </c>
      <c r="S44" s="41">
        <f>IF(OR($AM44="",S$52=0),"",COUNTIF(S$6:S$35,$AM44))</f>
      </c>
      <c r="T44" s="41">
        <f>IF(OR($AM44="",T$52=0),"",COUNTIF(T$6:T$35,$AM44))</f>
      </c>
      <c r="U44" s="41">
        <f>IF(OR($AM44="",U$52=0),"",COUNTIF(U$6:U$35,$AM44))</f>
      </c>
      <c r="V44" s="41">
        <f>IF(OR($AM44="",V$52=0),"",COUNTIF(V$6:V$35,$AM44))</f>
      </c>
      <c r="W44" s="41">
        <f>IF(OR($AM44="",W$52=0),"",COUNTIF(W$6:W$35,$AM44))</f>
      </c>
      <c r="X44" s="41">
        <f>IF(OR($AM44="",X$52=0),"",COUNTIF(X$6:X$35,$AM44))</f>
      </c>
      <c r="Y44" s="41">
        <f>IF(OR($AM44="",Y$52=0),"",COUNTIF(Y$6:Y$35,$AM44))</f>
      </c>
      <c r="Z44" s="41">
        <f>IF(OR($AM44="",Z$52=0),"",COUNTIF(Z$6:Z$35,$AM44))</f>
      </c>
      <c r="AA44" s="41">
        <f>IF(OR($AM44="",AA$52=0),"",COUNTIF(AA$6:AA$35,$AM44))</f>
      </c>
      <c r="AB44" s="41">
        <f>IF(OR($AM44="",AB$52=0),"",COUNTIF(AB$6:AB$35,$AM44))</f>
      </c>
      <c r="AC44" s="41">
        <f>IF(OR($AM44="",AC$52=0),"",COUNTIF(AC$6:AC$35,$AM44))</f>
      </c>
      <c r="AD44" s="41">
        <f>IF(OR($AM44="",AD$52=0),"",COUNTIF(AD$6:AD$35,$AM44))</f>
      </c>
      <c r="AE44" s="41">
        <f>IF(OR($AM44="",AE$52=0),"",COUNTIF(AE$6:AE$35,$AM44))</f>
      </c>
      <c r="AF44" s="41">
        <f>IF(OR($AM44="",AF$52=0),"",COUNTIF(AF$6:AF$35,$AM44))</f>
      </c>
      <c r="AG44" s="1"/>
      <c r="AH44" s="1"/>
      <c r="AI44" s="1"/>
      <c r="AJ44" s="1"/>
      <c r="AK44" s="1"/>
      <c r="AL44" s="1"/>
      <c r="AM44" s="1">
        <f>IFERROR(INDEX(Codes,MATCH(7,ArbeitNr,0)),"")</f>
      </c>
    </row>
    <row r="45" spans="1:39" x14ac:dyDescent="0.25">
      <c r="A45" s="40">
        <f>IFERROR(INDEX(Codes,MATCH(8,ArbeitNr,0))&amp;" "&amp;INDEX(Bezeichnungen,MATCH(8,ArbeitNr,0)),"")</f>
      </c>
      <c r="B45" s="41">
        <f>IF(OR($AM45="",B$52=0),"",COUNTIF(B$6:B$35,$AM45))</f>
      </c>
      <c r="C45" s="41">
        <f>IF(OR($AM45="",C$52=0),"",COUNTIF(C$6:C$35,$AM45))</f>
      </c>
      <c r="D45" s="41">
        <f>IF(OR($AM45="",D$52=0),"",COUNTIF(D$6:D$35,$AM45))</f>
      </c>
      <c r="E45" s="41">
        <f>IF(OR($AM45="",E$52=0),"",COUNTIF(E$6:E$35,$AM45))</f>
      </c>
      <c r="F45" s="41">
        <f>IF(OR($AM45="",F$52=0),"",COUNTIF(F$6:F$35,$AM45))</f>
      </c>
      <c r="G45" s="41">
        <f>IF(OR($AM45="",G$52=0),"",COUNTIF(G$6:G$35,$AM45))</f>
      </c>
      <c r="H45" s="41">
        <f>IF(OR($AM45="",H$52=0),"",COUNTIF(H$6:H$35,$AM45))</f>
      </c>
      <c r="I45" s="41">
        <f>IF(OR($AM45="",I$52=0),"",COUNTIF(I$6:I$35,$AM45))</f>
      </c>
      <c r="J45" s="41">
        <f>IF(OR($AM45="",J$52=0),"",COUNTIF(J$6:J$35,$AM45))</f>
      </c>
      <c r="K45" s="41">
        <f>IF(OR($AM45="",K$52=0),"",COUNTIF(K$6:K$35,$AM45))</f>
      </c>
      <c r="L45" s="41">
        <f>IF(OR($AM45="",L$52=0),"",COUNTIF(L$6:L$35,$AM45))</f>
      </c>
      <c r="M45" s="41">
        <f>IF(OR($AM45="",M$52=0),"",COUNTIF(M$6:M$35,$AM45))</f>
      </c>
      <c r="N45" s="41">
        <f>IF(OR($AM45="",N$52=0),"",COUNTIF(N$6:N$35,$AM45))</f>
      </c>
      <c r="O45" s="41">
        <f>IF(OR($AM45="",O$52=0),"",COUNTIF(O$6:O$35,$AM45))</f>
      </c>
      <c r="P45" s="41">
        <f>IF(OR($AM45="",P$52=0),"",COUNTIF(P$6:P$35,$AM45))</f>
      </c>
      <c r="Q45" s="41">
        <f>IF(OR($AM45="",Q$52=0),"",COUNTIF(Q$6:Q$35,$AM45))</f>
      </c>
      <c r="R45" s="41">
        <f>IF(OR($AM45="",R$52=0),"",COUNTIF(R$6:R$35,$AM45))</f>
      </c>
      <c r="S45" s="41">
        <f>IF(OR($AM45="",S$52=0),"",COUNTIF(S$6:S$35,$AM45))</f>
      </c>
      <c r="T45" s="41">
        <f>IF(OR($AM45="",T$52=0),"",COUNTIF(T$6:T$35,$AM45))</f>
      </c>
      <c r="U45" s="41">
        <f>IF(OR($AM45="",U$52=0),"",COUNTIF(U$6:U$35,$AM45))</f>
      </c>
      <c r="V45" s="41">
        <f>IF(OR($AM45="",V$52=0),"",COUNTIF(V$6:V$35,$AM45))</f>
      </c>
      <c r="W45" s="41">
        <f>IF(OR($AM45="",W$52=0),"",COUNTIF(W$6:W$35,$AM45))</f>
      </c>
      <c r="X45" s="41">
        <f>IF(OR($AM45="",X$52=0),"",COUNTIF(X$6:X$35,$AM45))</f>
      </c>
      <c r="Y45" s="41">
        <f>IF(OR($AM45="",Y$52=0),"",COUNTIF(Y$6:Y$35,$AM45))</f>
      </c>
      <c r="Z45" s="41">
        <f>IF(OR($AM45="",Z$52=0),"",COUNTIF(Z$6:Z$35,$AM45))</f>
      </c>
      <c r="AA45" s="41">
        <f>IF(OR($AM45="",AA$52=0),"",COUNTIF(AA$6:AA$35,$AM45))</f>
      </c>
      <c r="AB45" s="41">
        <f>IF(OR($AM45="",AB$52=0),"",COUNTIF(AB$6:AB$35,$AM45))</f>
      </c>
      <c r="AC45" s="41">
        <f>IF(OR($AM45="",AC$52=0),"",COUNTIF(AC$6:AC$35,$AM45))</f>
      </c>
      <c r="AD45" s="41">
        <f>IF(OR($AM45="",AD$52=0),"",COUNTIF(AD$6:AD$35,$AM45))</f>
      </c>
      <c r="AE45" s="41">
        <f>IF(OR($AM45="",AE$52=0),"",COUNTIF(AE$6:AE$35,$AM45))</f>
      </c>
      <c r="AF45" s="41">
        <f>IF(OR($AM45="",AF$52=0),"",COUNTIF(AF$6:AF$35,$AM45))</f>
      </c>
      <c r="AG45" s="1"/>
      <c r="AH45" s="1"/>
      <c r="AI45" s="1"/>
      <c r="AJ45" s="1"/>
      <c r="AK45" s="1"/>
      <c r="AL45" s="1"/>
      <c r="AM45" s="1">
        <f>IFERROR(INDEX(Codes,MATCH(8,ArbeitNr,0)),"")</f>
      </c>
    </row>
    <row r="46" ht="22" customHeight="1" spans="1:32" x14ac:dyDescent="0.25">
      <c r="A46" s="42" t="s">
        <v>64</v>
      </c>
      <c r="B46" s="43">
        <f>TRIM(IF(AND(B38&lt;&gt;"",N(B38)&lt;N(B86)),$AM38&amp;" ","")&amp;IF(AND(B39&lt;&gt;"",N(B39)&lt;N(B87)),$AM39&amp;" ","")&amp;IF(AND(B40&lt;&gt;"",N(B40)&lt;N(B88)),$AM40&amp;" ","")&amp;IF(AND(B41&lt;&gt;"",N(B41)&lt;N(B89)),$AM41&amp;" ","")&amp;IF(AND(B42&lt;&gt;"",N(B42)&lt;N(B90)),$AM42&amp;" ","")&amp;IF(AND(B43&lt;&gt;"",N(B43)&lt;N(B91)),$AM43&amp;" ","")&amp;IF(AND(B44&lt;&gt;"",N(B44)&lt;N(B92)),$AM44&amp;" ","")&amp;IF(AND(B45&lt;&gt;"",N(B45)&lt;N(B93)),$AM45&amp;" ",""))</f>
      </c>
      <c r="C46" s="43">
        <f>TRIM(IF(AND(C38&lt;&gt;"",N(C38)&lt;N(C86)),$AM38&amp;" ","")&amp;IF(AND(C39&lt;&gt;"",N(C39)&lt;N(C87)),$AM39&amp;" ","")&amp;IF(AND(C40&lt;&gt;"",N(C40)&lt;N(C88)),$AM40&amp;" ","")&amp;IF(AND(C41&lt;&gt;"",N(C41)&lt;N(C89)),$AM41&amp;" ","")&amp;IF(AND(C42&lt;&gt;"",N(C42)&lt;N(C90)),$AM42&amp;" ","")&amp;IF(AND(C43&lt;&gt;"",N(C43)&lt;N(C91)),$AM43&amp;" ","")&amp;IF(AND(C44&lt;&gt;"",N(C44)&lt;N(C92)),$AM44&amp;" ","")&amp;IF(AND(C45&lt;&gt;"",N(C45)&lt;N(C93)),$AM45&amp;" ",""))</f>
      </c>
      <c r="D46" s="43">
        <f>TRIM(IF(AND(D38&lt;&gt;"",N(D38)&lt;N(D86)),$AM38&amp;" ","")&amp;IF(AND(D39&lt;&gt;"",N(D39)&lt;N(D87)),$AM39&amp;" ","")&amp;IF(AND(D40&lt;&gt;"",N(D40)&lt;N(D88)),$AM40&amp;" ","")&amp;IF(AND(D41&lt;&gt;"",N(D41)&lt;N(D89)),$AM41&amp;" ","")&amp;IF(AND(D42&lt;&gt;"",N(D42)&lt;N(D90)),$AM42&amp;" ","")&amp;IF(AND(D43&lt;&gt;"",N(D43)&lt;N(D91)),$AM43&amp;" ","")&amp;IF(AND(D44&lt;&gt;"",N(D44)&lt;N(D92)),$AM44&amp;" ","")&amp;IF(AND(D45&lt;&gt;"",N(D45)&lt;N(D93)),$AM45&amp;" ",""))</f>
      </c>
      <c r="E46" s="43">
        <f>TRIM(IF(AND(E38&lt;&gt;"",N(E38)&lt;N(E86)),$AM38&amp;" ","")&amp;IF(AND(E39&lt;&gt;"",N(E39)&lt;N(E87)),$AM39&amp;" ","")&amp;IF(AND(E40&lt;&gt;"",N(E40)&lt;N(E88)),$AM40&amp;" ","")&amp;IF(AND(E41&lt;&gt;"",N(E41)&lt;N(E89)),$AM41&amp;" ","")&amp;IF(AND(E42&lt;&gt;"",N(E42)&lt;N(E90)),$AM42&amp;" ","")&amp;IF(AND(E43&lt;&gt;"",N(E43)&lt;N(E91)),$AM43&amp;" ","")&amp;IF(AND(E44&lt;&gt;"",N(E44)&lt;N(E92)),$AM44&amp;" ","")&amp;IF(AND(E45&lt;&gt;"",N(E45)&lt;N(E93)),$AM45&amp;" ",""))</f>
      </c>
      <c r="F46" s="43">
        <f>TRIM(IF(AND(F38&lt;&gt;"",N(F38)&lt;N(F86)),$AM38&amp;" ","")&amp;IF(AND(F39&lt;&gt;"",N(F39)&lt;N(F87)),$AM39&amp;" ","")&amp;IF(AND(F40&lt;&gt;"",N(F40)&lt;N(F88)),$AM40&amp;" ","")&amp;IF(AND(F41&lt;&gt;"",N(F41)&lt;N(F89)),$AM41&amp;" ","")&amp;IF(AND(F42&lt;&gt;"",N(F42)&lt;N(F90)),$AM42&amp;" ","")&amp;IF(AND(F43&lt;&gt;"",N(F43)&lt;N(F91)),$AM43&amp;" ","")&amp;IF(AND(F44&lt;&gt;"",N(F44)&lt;N(F92)),$AM44&amp;" ","")&amp;IF(AND(F45&lt;&gt;"",N(F45)&lt;N(F93)),$AM45&amp;" ",""))</f>
      </c>
      <c r="G46" s="43">
        <f>TRIM(IF(AND(G38&lt;&gt;"",N(G38)&lt;N(G86)),$AM38&amp;" ","")&amp;IF(AND(G39&lt;&gt;"",N(G39)&lt;N(G87)),$AM39&amp;" ","")&amp;IF(AND(G40&lt;&gt;"",N(G40)&lt;N(G88)),$AM40&amp;" ","")&amp;IF(AND(G41&lt;&gt;"",N(G41)&lt;N(G89)),$AM41&amp;" ","")&amp;IF(AND(G42&lt;&gt;"",N(G42)&lt;N(G90)),$AM42&amp;" ","")&amp;IF(AND(G43&lt;&gt;"",N(G43)&lt;N(G91)),$AM43&amp;" ","")&amp;IF(AND(G44&lt;&gt;"",N(G44)&lt;N(G92)),$AM44&amp;" ","")&amp;IF(AND(G45&lt;&gt;"",N(G45)&lt;N(G93)),$AM45&amp;" ",""))</f>
      </c>
      <c r="H46" s="43">
        <f>TRIM(IF(AND(H38&lt;&gt;"",N(H38)&lt;N(H86)),$AM38&amp;" ","")&amp;IF(AND(H39&lt;&gt;"",N(H39)&lt;N(H87)),$AM39&amp;" ","")&amp;IF(AND(H40&lt;&gt;"",N(H40)&lt;N(H88)),$AM40&amp;" ","")&amp;IF(AND(H41&lt;&gt;"",N(H41)&lt;N(H89)),$AM41&amp;" ","")&amp;IF(AND(H42&lt;&gt;"",N(H42)&lt;N(H90)),$AM42&amp;" ","")&amp;IF(AND(H43&lt;&gt;"",N(H43)&lt;N(H91)),$AM43&amp;" ","")&amp;IF(AND(H44&lt;&gt;"",N(H44)&lt;N(H92)),$AM44&amp;" ","")&amp;IF(AND(H45&lt;&gt;"",N(H45)&lt;N(H93)),$AM45&amp;" ",""))</f>
      </c>
      <c r="I46" s="43">
        <f>TRIM(IF(AND(I38&lt;&gt;"",N(I38)&lt;N(I86)),$AM38&amp;" ","")&amp;IF(AND(I39&lt;&gt;"",N(I39)&lt;N(I87)),$AM39&amp;" ","")&amp;IF(AND(I40&lt;&gt;"",N(I40)&lt;N(I88)),$AM40&amp;" ","")&amp;IF(AND(I41&lt;&gt;"",N(I41)&lt;N(I89)),$AM41&amp;" ","")&amp;IF(AND(I42&lt;&gt;"",N(I42)&lt;N(I90)),$AM42&amp;" ","")&amp;IF(AND(I43&lt;&gt;"",N(I43)&lt;N(I91)),$AM43&amp;" ","")&amp;IF(AND(I44&lt;&gt;"",N(I44)&lt;N(I92)),$AM44&amp;" ","")&amp;IF(AND(I45&lt;&gt;"",N(I45)&lt;N(I93)),$AM45&amp;" ",""))</f>
      </c>
      <c r="J46" s="43">
        <f>TRIM(IF(AND(J38&lt;&gt;"",N(J38)&lt;N(J86)),$AM38&amp;" ","")&amp;IF(AND(J39&lt;&gt;"",N(J39)&lt;N(J87)),$AM39&amp;" ","")&amp;IF(AND(J40&lt;&gt;"",N(J40)&lt;N(J88)),$AM40&amp;" ","")&amp;IF(AND(J41&lt;&gt;"",N(J41)&lt;N(J89)),$AM41&amp;" ","")&amp;IF(AND(J42&lt;&gt;"",N(J42)&lt;N(J90)),$AM42&amp;" ","")&amp;IF(AND(J43&lt;&gt;"",N(J43)&lt;N(J91)),$AM43&amp;" ","")&amp;IF(AND(J44&lt;&gt;"",N(J44)&lt;N(J92)),$AM44&amp;" ","")&amp;IF(AND(J45&lt;&gt;"",N(J45)&lt;N(J93)),$AM45&amp;" ",""))</f>
      </c>
      <c r="K46" s="43">
        <f>TRIM(IF(AND(K38&lt;&gt;"",N(K38)&lt;N(K86)),$AM38&amp;" ","")&amp;IF(AND(K39&lt;&gt;"",N(K39)&lt;N(K87)),$AM39&amp;" ","")&amp;IF(AND(K40&lt;&gt;"",N(K40)&lt;N(K88)),$AM40&amp;" ","")&amp;IF(AND(K41&lt;&gt;"",N(K41)&lt;N(K89)),$AM41&amp;" ","")&amp;IF(AND(K42&lt;&gt;"",N(K42)&lt;N(K90)),$AM42&amp;" ","")&amp;IF(AND(K43&lt;&gt;"",N(K43)&lt;N(K91)),$AM43&amp;" ","")&amp;IF(AND(K44&lt;&gt;"",N(K44)&lt;N(K92)),$AM44&amp;" ","")&amp;IF(AND(K45&lt;&gt;"",N(K45)&lt;N(K93)),$AM45&amp;" ",""))</f>
      </c>
      <c r="L46" s="43">
        <f>TRIM(IF(AND(L38&lt;&gt;"",N(L38)&lt;N(L86)),$AM38&amp;" ","")&amp;IF(AND(L39&lt;&gt;"",N(L39)&lt;N(L87)),$AM39&amp;" ","")&amp;IF(AND(L40&lt;&gt;"",N(L40)&lt;N(L88)),$AM40&amp;" ","")&amp;IF(AND(L41&lt;&gt;"",N(L41)&lt;N(L89)),$AM41&amp;" ","")&amp;IF(AND(L42&lt;&gt;"",N(L42)&lt;N(L90)),$AM42&amp;" ","")&amp;IF(AND(L43&lt;&gt;"",N(L43)&lt;N(L91)),$AM43&amp;" ","")&amp;IF(AND(L44&lt;&gt;"",N(L44)&lt;N(L92)),$AM44&amp;" ","")&amp;IF(AND(L45&lt;&gt;"",N(L45)&lt;N(L93)),$AM45&amp;" ",""))</f>
      </c>
      <c r="M46" s="43">
        <f>TRIM(IF(AND(M38&lt;&gt;"",N(M38)&lt;N(M86)),$AM38&amp;" ","")&amp;IF(AND(M39&lt;&gt;"",N(M39)&lt;N(M87)),$AM39&amp;" ","")&amp;IF(AND(M40&lt;&gt;"",N(M40)&lt;N(M88)),$AM40&amp;" ","")&amp;IF(AND(M41&lt;&gt;"",N(M41)&lt;N(M89)),$AM41&amp;" ","")&amp;IF(AND(M42&lt;&gt;"",N(M42)&lt;N(M90)),$AM42&amp;" ","")&amp;IF(AND(M43&lt;&gt;"",N(M43)&lt;N(M91)),$AM43&amp;" ","")&amp;IF(AND(M44&lt;&gt;"",N(M44)&lt;N(M92)),$AM44&amp;" ","")&amp;IF(AND(M45&lt;&gt;"",N(M45)&lt;N(M93)),$AM45&amp;" ",""))</f>
      </c>
      <c r="N46" s="43">
        <f>TRIM(IF(AND(N38&lt;&gt;"",N(N38)&lt;N(N86)),$AM38&amp;" ","")&amp;IF(AND(N39&lt;&gt;"",N(N39)&lt;N(N87)),$AM39&amp;" ","")&amp;IF(AND(N40&lt;&gt;"",N(N40)&lt;N(N88)),$AM40&amp;" ","")&amp;IF(AND(N41&lt;&gt;"",N(N41)&lt;N(N89)),$AM41&amp;" ","")&amp;IF(AND(N42&lt;&gt;"",N(N42)&lt;N(N90)),$AM42&amp;" ","")&amp;IF(AND(N43&lt;&gt;"",N(N43)&lt;N(N91)),$AM43&amp;" ","")&amp;IF(AND(N44&lt;&gt;"",N(N44)&lt;N(N92)),$AM44&amp;" ","")&amp;IF(AND(N45&lt;&gt;"",N(N45)&lt;N(N93)),$AM45&amp;" ",""))</f>
      </c>
      <c r="O46" s="43">
        <f>TRIM(IF(AND(O38&lt;&gt;"",N(O38)&lt;N(O86)),$AM38&amp;" ","")&amp;IF(AND(O39&lt;&gt;"",N(O39)&lt;N(O87)),$AM39&amp;" ","")&amp;IF(AND(O40&lt;&gt;"",N(O40)&lt;N(O88)),$AM40&amp;" ","")&amp;IF(AND(O41&lt;&gt;"",N(O41)&lt;N(O89)),$AM41&amp;" ","")&amp;IF(AND(O42&lt;&gt;"",N(O42)&lt;N(O90)),$AM42&amp;" ","")&amp;IF(AND(O43&lt;&gt;"",N(O43)&lt;N(O91)),$AM43&amp;" ","")&amp;IF(AND(O44&lt;&gt;"",N(O44)&lt;N(O92)),$AM44&amp;" ","")&amp;IF(AND(O45&lt;&gt;"",N(O45)&lt;N(O93)),$AM45&amp;" ",""))</f>
      </c>
      <c r="P46" s="43">
        <f>TRIM(IF(AND(P38&lt;&gt;"",N(P38)&lt;N(P86)),$AM38&amp;" ","")&amp;IF(AND(P39&lt;&gt;"",N(P39)&lt;N(P87)),$AM39&amp;" ","")&amp;IF(AND(P40&lt;&gt;"",N(P40)&lt;N(P88)),$AM40&amp;" ","")&amp;IF(AND(P41&lt;&gt;"",N(P41)&lt;N(P89)),$AM41&amp;" ","")&amp;IF(AND(P42&lt;&gt;"",N(P42)&lt;N(P90)),$AM42&amp;" ","")&amp;IF(AND(P43&lt;&gt;"",N(P43)&lt;N(P91)),$AM43&amp;" ","")&amp;IF(AND(P44&lt;&gt;"",N(P44)&lt;N(P92)),$AM44&amp;" ","")&amp;IF(AND(P45&lt;&gt;"",N(P45)&lt;N(P93)),$AM45&amp;" ",""))</f>
      </c>
      <c r="Q46" s="43">
        <f>TRIM(IF(AND(Q38&lt;&gt;"",N(Q38)&lt;N(Q86)),$AM38&amp;" ","")&amp;IF(AND(Q39&lt;&gt;"",N(Q39)&lt;N(Q87)),$AM39&amp;" ","")&amp;IF(AND(Q40&lt;&gt;"",N(Q40)&lt;N(Q88)),$AM40&amp;" ","")&amp;IF(AND(Q41&lt;&gt;"",N(Q41)&lt;N(Q89)),$AM41&amp;" ","")&amp;IF(AND(Q42&lt;&gt;"",N(Q42)&lt;N(Q90)),$AM42&amp;" ","")&amp;IF(AND(Q43&lt;&gt;"",N(Q43)&lt;N(Q91)),$AM43&amp;" ","")&amp;IF(AND(Q44&lt;&gt;"",N(Q44)&lt;N(Q92)),$AM44&amp;" ","")&amp;IF(AND(Q45&lt;&gt;"",N(Q45)&lt;N(Q93)),$AM45&amp;" ",""))</f>
      </c>
      <c r="R46" s="43">
        <f>TRIM(IF(AND(R38&lt;&gt;"",N(R38)&lt;N(R86)),$AM38&amp;" ","")&amp;IF(AND(R39&lt;&gt;"",N(R39)&lt;N(R87)),$AM39&amp;" ","")&amp;IF(AND(R40&lt;&gt;"",N(R40)&lt;N(R88)),$AM40&amp;" ","")&amp;IF(AND(R41&lt;&gt;"",N(R41)&lt;N(R89)),$AM41&amp;" ","")&amp;IF(AND(R42&lt;&gt;"",N(R42)&lt;N(R90)),$AM42&amp;" ","")&amp;IF(AND(R43&lt;&gt;"",N(R43)&lt;N(R91)),$AM43&amp;" ","")&amp;IF(AND(R44&lt;&gt;"",N(R44)&lt;N(R92)),$AM44&amp;" ","")&amp;IF(AND(R45&lt;&gt;"",N(R45)&lt;N(R93)),$AM45&amp;" ",""))</f>
      </c>
      <c r="S46" s="43">
        <f>TRIM(IF(AND(S38&lt;&gt;"",N(S38)&lt;N(S86)),$AM38&amp;" ","")&amp;IF(AND(S39&lt;&gt;"",N(S39)&lt;N(S87)),$AM39&amp;" ","")&amp;IF(AND(S40&lt;&gt;"",N(S40)&lt;N(S88)),$AM40&amp;" ","")&amp;IF(AND(S41&lt;&gt;"",N(S41)&lt;N(S89)),$AM41&amp;" ","")&amp;IF(AND(S42&lt;&gt;"",N(S42)&lt;N(S90)),$AM42&amp;" ","")&amp;IF(AND(S43&lt;&gt;"",N(S43)&lt;N(S91)),$AM43&amp;" ","")&amp;IF(AND(S44&lt;&gt;"",N(S44)&lt;N(S92)),$AM44&amp;" ","")&amp;IF(AND(S45&lt;&gt;"",N(S45)&lt;N(S93)),$AM45&amp;" ",""))</f>
      </c>
      <c r="T46" s="43">
        <f>TRIM(IF(AND(T38&lt;&gt;"",N(T38)&lt;N(T86)),$AM38&amp;" ","")&amp;IF(AND(T39&lt;&gt;"",N(T39)&lt;N(T87)),$AM39&amp;" ","")&amp;IF(AND(T40&lt;&gt;"",N(T40)&lt;N(T88)),$AM40&amp;" ","")&amp;IF(AND(T41&lt;&gt;"",N(T41)&lt;N(T89)),$AM41&amp;" ","")&amp;IF(AND(T42&lt;&gt;"",N(T42)&lt;N(T90)),$AM42&amp;" ","")&amp;IF(AND(T43&lt;&gt;"",N(T43)&lt;N(T91)),$AM43&amp;" ","")&amp;IF(AND(T44&lt;&gt;"",N(T44)&lt;N(T92)),$AM44&amp;" ","")&amp;IF(AND(T45&lt;&gt;"",N(T45)&lt;N(T93)),$AM45&amp;" ",""))</f>
      </c>
      <c r="U46" s="43">
        <f>TRIM(IF(AND(U38&lt;&gt;"",N(U38)&lt;N(U86)),$AM38&amp;" ","")&amp;IF(AND(U39&lt;&gt;"",N(U39)&lt;N(U87)),$AM39&amp;" ","")&amp;IF(AND(U40&lt;&gt;"",N(U40)&lt;N(U88)),$AM40&amp;" ","")&amp;IF(AND(U41&lt;&gt;"",N(U41)&lt;N(U89)),$AM41&amp;" ","")&amp;IF(AND(U42&lt;&gt;"",N(U42)&lt;N(U90)),$AM42&amp;" ","")&amp;IF(AND(U43&lt;&gt;"",N(U43)&lt;N(U91)),$AM43&amp;" ","")&amp;IF(AND(U44&lt;&gt;"",N(U44)&lt;N(U92)),$AM44&amp;" ","")&amp;IF(AND(U45&lt;&gt;"",N(U45)&lt;N(U93)),$AM45&amp;" ",""))</f>
      </c>
      <c r="V46" s="43">
        <f>TRIM(IF(AND(V38&lt;&gt;"",N(V38)&lt;N(V86)),$AM38&amp;" ","")&amp;IF(AND(V39&lt;&gt;"",N(V39)&lt;N(V87)),$AM39&amp;" ","")&amp;IF(AND(V40&lt;&gt;"",N(V40)&lt;N(V88)),$AM40&amp;" ","")&amp;IF(AND(V41&lt;&gt;"",N(V41)&lt;N(V89)),$AM41&amp;" ","")&amp;IF(AND(V42&lt;&gt;"",N(V42)&lt;N(V90)),$AM42&amp;" ","")&amp;IF(AND(V43&lt;&gt;"",N(V43)&lt;N(V91)),$AM43&amp;" ","")&amp;IF(AND(V44&lt;&gt;"",N(V44)&lt;N(V92)),$AM44&amp;" ","")&amp;IF(AND(V45&lt;&gt;"",N(V45)&lt;N(V93)),$AM45&amp;" ",""))</f>
      </c>
      <c r="W46" s="43">
        <f>TRIM(IF(AND(W38&lt;&gt;"",N(W38)&lt;N(W86)),$AM38&amp;" ","")&amp;IF(AND(W39&lt;&gt;"",N(W39)&lt;N(W87)),$AM39&amp;" ","")&amp;IF(AND(W40&lt;&gt;"",N(W40)&lt;N(W88)),$AM40&amp;" ","")&amp;IF(AND(W41&lt;&gt;"",N(W41)&lt;N(W89)),$AM41&amp;" ","")&amp;IF(AND(W42&lt;&gt;"",N(W42)&lt;N(W90)),$AM42&amp;" ","")&amp;IF(AND(W43&lt;&gt;"",N(W43)&lt;N(W91)),$AM43&amp;" ","")&amp;IF(AND(W44&lt;&gt;"",N(W44)&lt;N(W92)),$AM44&amp;" ","")&amp;IF(AND(W45&lt;&gt;"",N(W45)&lt;N(W93)),$AM45&amp;" ",""))</f>
      </c>
      <c r="X46" s="43">
        <f>TRIM(IF(AND(X38&lt;&gt;"",N(X38)&lt;N(X86)),$AM38&amp;" ","")&amp;IF(AND(X39&lt;&gt;"",N(X39)&lt;N(X87)),$AM39&amp;" ","")&amp;IF(AND(X40&lt;&gt;"",N(X40)&lt;N(X88)),$AM40&amp;" ","")&amp;IF(AND(X41&lt;&gt;"",N(X41)&lt;N(X89)),$AM41&amp;" ","")&amp;IF(AND(X42&lt;&gt;"",N(X42)&lt;N(X90)),$AM42&amp;" ","")&amp;IF(AND(X43&lt;&gt;"",N(X43)&lt;N(X91)),$AM43&amp;" ","")&amp;IF(AND(X44&lt;&gt;"",N(X44)&lt;N(X92)),$AM44&amp;" ","")&amp;IF(AND(X45&lt;&gt;"",N(X45)&lt;N(X93)),$AM45&amp;" ",""))</f>
      </c>
      <c r="Y46" s="43">
        <f>TRIM(IF(AND(Y38&lt;&gt;"",N(Y38)&lt;N(Y86)),$AM38&amp;" ","")&amp;IF(AND(Y39&lt;&gt;"",N(Y39)&lt;N(Y87)),$AM39&amp;" ","")&amp;IF(AND(Y40&lt;&gt;"",N(Y40)&lt;N(Y88)),$AM40&amp;" ","")&amp;IF(AND(Y41&lt;&gt;"",N(Y41)&lt;N(Y89)),$AM41&amp;" ","")&amp;IF(AND(Y42&lt;&gt;"",N(Y42)&lt;N(Y90)),$AM42&amp;" ","")&amp;IF(AND(Y43&lt;&gt;"",N(Y43)&lt;N(Y91)),$AM43&amp;" ","")&amp;IF(AND(Y44&lt;&gt;"",N(Y44)&lt;N(Y92)),$AM44&amp;" ","")&amp;IF(AND(Y45&lt;&gt;"",N(Y45)&lt;N(Y93)),$AM45&amp;" ",""))</f>
      </c>
      <c r="Z46" s="43">
        <f>TRIM(IF(AND(Z38&lt;&gt;"",N(Z38)&lt;N(Z86)),$AM38&amp;" ","")&amp;IF(AND(Z39&lt;&gt;"",N(Z39)&lt;N(Z87)),$AM39&amp;" ","")&amp;IF(AND(Z40&lt;&gt;"",N(Z40)&lt;N(Z88)),$AM40&amp;" ","")&amp;IF(AND(Z41&lt;&gt;"",N(Z41)&lt;N(Z89)),$AM41&amp;" ","")&amp;IF(AND(Z42&lt;&gt;"",N(Z42)&lt;N(Z90)),$AM42&amp;" ","")&amp;IF(AND(Z43&lt;&gt;"",N(Z43)&lt;N(Z91)),$AM43&amp;" ","")&amp;IF(AND(Z44&lt;&gt;"",N(Z44)&lt;N(Z92)),$AM44&amp;" ","")&amp;IF(AND(Z45&lt;&gt;"",N(Z45)&lt;N(Z93)),$AM45&amp;" ",""))</f>
      </c>
      <c r="AA46" s="43">
        <f>TRIM(IF(AND(AA38&lt;&gt;"",N(AA38)&lt;N(AA86)),$AM38&amp;" ","")&amp;IF(AND(AA39&lt;&gt;"",N(AA39)&lt;N(AA87)),$AM39&amp;" ","")&amp;IF(AND(AA40&lt;&gt;"",N(AA40)&lt;N(AA88)),$AM40&amp;" ","")&amp;IF(AND(AA41&lt;&gt;"",N(AA41)&lt;N(AA89)),$AM41&amp;" ","")&amp;IF(AND(AA42&lt;&gt;"",N(AA42)&lt;N(AA90)),$AM42&amp;" ","")&amp;IF(AND(AA43&lt;&gt;"",N(AA43)&lt;N(AA91)),$AM43&amp;" ","")&amp;IF(AND(AA44&lt;&gt;"",N(AA44)&lt;N(AA92)),$AM44&amp;" ","")&amp;IF(AND(AA45&lt;&gt;"",N(AA45)&lt;N(AA93)),$AM45&amp;" ",""))</f>
      </c>
      <c r="AB46" s="43">
        <f>TRIM(IF(AND(AB38&lt;&gt;"",N(AB38)&lt;N(AB86)),$AM38&amp;" ","")&amp;IF(AND(AB39&lt;&gt;"",N(AB39)&lt;N(AB87)),$AM39&amp;" ","")&amp;IF(AND(AB40&lt;&gt;"",N(AB40)&lt;N(AB88)),$AM40&amp;" ","")&amp;IF(AND(AB41&lt;&gt;"",N(AB41)&lt;N(AB89)),$AM41&amp;" ","")&amp;IF(AND(AB42&lt;&gt;"",N(AB42)&lt;N(AB90)),$AM42&amp;" ","")&amp;IF(AND(AB43&lt;&gt;"",N(AB43)&lt;N(AB91)),$AM43&amp;" ","")&amp;IF(AND(AB44&lt;&gt;"",N(AB44)&lt;N(AB92)),$AM44&amp;" ","")&amp;IF(AND(AB45&lt;&gt;"",N(AB45)&lt;N(AB93)),$AM45&amp;" ",""))</f>
      </c>
      <c r="AC46" s="43">
        <f>TRIM(IF(AND(AC38&lt;&gt;"",N(AC38)&lt;N(AC86)),$AM38&amp;" ","")&amp;IF(AND(AC39&lt;&gt;"",N(AC39)&lt;N(AC87)),$AM39&amp;" ","")&amp;IF(AND(AC40&lt;&gt;"",N(AC40)&lt;N(AC88)),$AM40&amp;" ","")&amp;IF(AND(AC41&lt;&gt;"",N(AC41)&lt;N(AC89)),$AM41&amp;" ","")&amp;IF(AND(AC42&lt;&gt;"",N(AC42)&lt;N(AC90)),$AM42&amp;" ","")&amp;IF(AND(AC43&lt;&gt;"",N(AC43)&lt;N(AC91)),$AM43&amp;" ","")&amp;IF(AND(AC44&lt;&gt;"",N(AC44)&lt;N(AC92)),$AM44&amp;" ","")&amp;IF(AND(AC45&lt;&gt;"",N(AC45)&lt;N(AC93)),$AM45&amp;" ",""))</f>
      </c>
      <c r="AD46" s="43">
        <f>TRIM(IF(AND(AD38&lt;&gt;"",N(AD38)&lt;N(AD86)),$AM38&amp;" ","")&amp;IF(AND(AD39&lt;&gt;"",N(AD39)&lt;N(AD87)),$AM39&amp;" ","")&amp;IF(AND(AD40&lt;&gt;"",N(AD40)&lt;N(AD88)),$AM40&amp;" ","")&amp;IF(AND(AD41&lt;&gt;"",N(AD41)&lt;N(AD89)),$AM41&amp;" ","")&amp;IF(AND(AD42&lt;&gt;"",N(AD42)&lt;N(AD90)),$AM42&amp;" ","")&amp;IF(AND(AD43&lt;&gt;"",N(AD43)&lt;N(AD91)),$AM43&amp;" ","")&amp;IF(AND(AD44&lt;&gt;"",N(AD44)&lt;N(AD92)),$AM44&amp;" ","")&amp;IF(AND(AD45&lt;&gt;"",N(AD45)&lt;N(AD93)),$AM45&amp;" ",""))</f>
      </c>
      <c r="AE46" s="43">
        <f>TRIM(IF(AND(AE38&lt;&gt;"",N(AE38)&lt;N(AE86)),$AM38&amp;" ","")&amp;IF(AND(AE39&lt;&gt;"",N(AE39)&lt;N(AE87)),$AM39&amp;" ","")&amp;IF(AND(AE40&lt;&gt;"",N(AE40)&lt;N(AE88)),$AM40&amp;" ","")&amp;IF(AND(AE41&lt;&gt;"",N(AE41)&lt;N(AE89)),$AM41&amp;" ","")&amp;IF(AND(AE42&lt;&gt;"",N(AE42)&lt;N(AE90)),$AM42&amp;" ","")&amp;IF(AND(AE43&lt;&gt;"",N(AE43)&lt;N(AE91)),$AM43&amp;" ","")&amp;IF(AND(AE44&lt;&gt;"",N(AE44)&lt;N(AE92)),$AM44&amp;" ","")&amp;IF(AND(AE45&lt;&gt;"",N(AE45)&lt;N(AE93)),$AM45&amp;" ",""))</f>
      </c>
      <c r="AF46" s="43">
        <f>TRIM(IF(AND(AF38&lt;&gt;"",N(AF38)&lt;N(AF86)),$AM38&amp;" ","")&amp;IF(AND(AF39&lt;&gt;"",N(AF39)&lt;N(AF87)),$AM39&amp;" ","")&amp;IF(AND(AF40&lt;&gt;"",N(AF40)&lt;N(AF88)),$AM40&amp;" ","")&amp;IF(AND(AF41&lt;&gt;"",N(AF41)&lt;N(AF89)),$AM41&amp;" ","")&amp;IF(AND(AF42&lt;&gt;"",N(AF42)&lt;N(AF90)),$AM42&amp;" ","")&amp;IF(AND(AF43&lt;&gt;"",N(AF43)&lt;N(AF91)),$AM43&amp;" ","")&amp;IF(AND(AF44&lt;&gt;"",N(AF44)&lt;N(AF92)),$AM44&amp;" ","")&amp;IF(AND(AF45&lt;&gt;"",N(AF45)&lt;N(AF93)),$AM45&amp;" ",""))</f>
      </c>
    </row>
    <row r="48" spans="1:38" x14ac:dyDescent="0.25">
      <c r="A48" s="7" t="s">
        <v>65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1"/>
      <c r="W48" s="1"/>
      <c r="X48" s="7" t="s">
        <v>66</v>
      </c>
      <c r="Y48" s="1"/>
      <c r="Z48" s="1"/>
      <c r="AA48" s="1"/>
      <c r="AB48" s="1"/>
      <c r="AC48" s="1"/>
      <c r="AD48" s="1"/>
      <c r="AE48" s="1"/>
      <c r="AF48" s="1"/>
      <c r="AG48" s="44"/>
      <c r="AH48" s="44"/>
      <c r="AI48" s="44"/>
      <c r="AJ48" s="44"/>
      <c r="AK48" s="44"/>
      <c r="AL48" s="44"/>
    </row>
    <row r="50" hidden="1" spans="1:32" x14ac:dyDescent="0.25">
      <c r="A50" s="1"/>
      <c r="B50" s="1">
        <f>IF(B$5="",0,IF(ISNUMBER(MATCH(B$5,FeiertagDaten,0)),1,0))</f>
      </c>
      <c r="C50" s="1">
        <f>IF(C$5="",0,IF(ISNUMBER(MATCH(C$5,FeiertagDaten,0)),1,0))</f>
      </c>
      <c r="D50" s="1">
        <f>IF(D$5="",0,IF(ISNUMBER(MATCH(D$5,FeiertagDaten,0)),1,0))</f>
      </c>
      <c r="E50" s="1">
        <f>IF(E$5="",0,IF(ISNUMBER(MATCH(E$5,FeiertagDaten,0)),1,0))</f>
      </c>
      <c r="F50" s="1">
        <f>IF(F$5="",0,IF(ISNUMBER(MATCH(F$5,FeiertagDaten,0)),1,0))</f>
      </c>
      <c r="G50" s="1">
        <f>IF(G$5="",0,IF(ISNUMBER(MATCH(G$5,FeiertagDaten,0)),1,0))</f>
      </c>
      <c r="H50" s="1">
        <f>IF(H$5="",0,IF(ISNUMBER(MATCH(H$5,FeiertagDaten,0)),1,0))</f>
      </c>
      <c r="I50" s="1">
        <f>IF(I$5="",0,IF(ISNUMBER(MATCH(I$5,FeiertagDaten,0)),1,0))</f>
      </c>
      <c r="J50" s="1">
        <f>IF(J$5="",0,IF(ISNUMBER(MATCH(J$5,FeiertagDaten,0)),1,0))</f>
      </c>
      <c r="K50" s="1">
        <f>IF(K$5="",0,IF(ISNUMBER(MATCH(K$5,FeiertagDaten,0)),1,0))</f>
      </c>
      <c r="L50" s="1">
        <f>IF(L$5="",0,IF(ISNUMBER(MATCH(L$5,FeiertagDaten,0)),1,0))</f>
      </c>
      <c r="M50" s="1">
        <f>IF(M$5="",0,IF(ISNUMBER(MATCH(M$5,FeiertagDaten,0)),1,0))</f>
      </c>
      <c r="N50" s="1">
        <f>IF(N$5="",0,IF(ISNUMBER(MATCH(N$5,FeiertagDaten,0)),1,0))</f>
      </c>
      <c r="O50" s="1">
        <f>IF(O$5="",0,IF(ISNUMBER(MATCH(O$5,FeiertagDaten,0)),1,0))</f>
      </c>
      <c r="P50" s="1">
        <f>IF(P$5="",0,IF(ISNUMBER(MATCH(P$5,FeiertagDaten,0)),1,0))</f>
      </c>
      <c r="Q50" s="1">
        <f>IF(Q$5="",0,IF(ISNUMBER(MATCH(Q$5,FeiertagDaten,0)),1,0))</f>
      </c>
      <c r="R50" s="1">
        <f>IF(R$5="",0,IF(ISNUMBER(MATCH(R$5,FeiertagDaten,0)),1,0))</f>
      </c>
      <c r="S50" s="1">
        <f>IF(S$5="",0,IF(ISNUMBER(MATCH(S$5,FeiertagDaten,0)),1,0))</f>
      </c>
      <c r="T50" s="1">
        <f>IF(T$5="",0,IF(ISNUMBER(MATCH(T$5,FeiertagDaten,0)),1,0))</f>
      </c>
      <c r="U50" s="1">
        <f>IF(U$5="",0,IF(ISNUMBER(MATCH(U$5,FeiertagDaten,0)),1,0))</f>
      </c>
      <c r="V50" s="1">
        <f>IF(V$5="",0,IF(ISNUMBER(MATCH(V$5,FeiertagDaten,0)),1,0))</f>
      </c>
      <c r="W50" s="1">
        <f>IF(W$5="",0,IF(ISNUMBER(MATCH(W$5,FeiertagDaten,0)),1,0))</f>
      </c>
      <c r="X50" s="1">
        <f>IF(X$5="",0,IF(ISNUMBER(MATCH(X$5,FeiertagDaten,0)),1,0))</f>
      </c>
      <c r="Y50" s="1">
        <f>IF(Y$5="",0,IF(ISNUMBER(MATCH(Y$5,FeiertagDaten,0)),1,0))</f>
      </c>
      <c r="Z50" s="1">
        <f>IF(Z$5="",0,IF(ISNUMBER(MATCH(Z$5,FeiertagDaten,0)),1,0))</f>
      </c>
      <c r="AA50" s="1">
        <f>IF(AA$5="",0,IF(ISNUMBER(MATCH(AA$5,FeiertagDaten,0)),1,0))</f>
      </c>
      <c r="AB50" s="1">
        <f>IF(AB$5="",0,IF(ISNUMBER(MATCH(AB$5,FeiertagDaten,0)),1,0))</f>
      </c>
      <c r="AC50" s="1">
        <f>IF(AC$5="",0,IF(ISNUMBER(MATCH(AC$5,FeiertagDaten,0)),1,0))</f>
      </c>
      <c r="AD50" s="1">
        <f>IF(AD$5="",0,IF(ISNUMBER(MATCH(AD$5,FeiertagDaten,0)),1,0))</f>
      </c>
      <c r="AE50" s="1">
        <f>IF(AE$5="",0,IF(ISNUMBER(MATCH(AE$5,FeiertagDaten,0)),1,0))</f>
      </c>
      <c r="AF50" s="1">
        <f>IF(AF$5="",0,IF(ISNUMBER(MATCH(AF$5,FeiertagDaten,0)),1,0))</f>
      </c>
    </row>
    <row r="51" hidden="1" spans="1:32" x14ac:dyDescent="0.25">
      <c r="A51" s="1"/>
      <c r="B51" s="1">
        <f>IF(B$5="",0,WEEKDAY(B$5,2))</f>
      </c>
      <c r="C51" s="1">
        <f>IF(C$5="",0,WEEKDAY(C$5,2))</f>
      </c>
      <c r="D51" s="1">
        <f>IF(D$5="",0,WEEKDAY(D$5,2))</f>
      </c>
      <c r="E51" s="1">
        <f>IF(E$5="",0,WEEKDAY(E$5,2))</f>
      </c>
      <c r="F51" s="1">
        <f>IF(F$5="",0,WEEKDAY(F$5,2))</f>
      </c>
      <c r="G51" s="1">
        <f>IF(G$5="",0,WEEKDAY(G$5,2))</f>
      </c>
      <c r="H51" s="1">
        <f>IF(H$5="",0,WEEKDAY(H$5,2))</f>
      </c>
      <c r="I51" s="1">
        <f>IF(I$5="",0,WEEKDAY(I$5,2))</f>
      </c>
      <c r="J51" s="1">
        <f>IF(J$5="",0,WEEKDAY(J$5,2))</f>
      </c>
      <c r="K51" s="1">
        <f>IF(K$5="",0,WEEKDAY(K$5,2))</f>
      </c>
      <c r="L51" s="1">
        <f>IF(L$5="",0,WEEKDAY(L$5,2))</f>
      </c>
      <c r="M51" s="1">
        <f>IF(M$5="",0,WEEKDAY(M$5,2))</f>
      </c>
      <c r="N51" s="1">
        <f>IF(N$5="",0,WEEKDAY(N$5,2))</f>
      </c>
      <c r="O51" s="1">
        <f>IF(O$5="",0,WEEKDAY(O$5,2))</f>
      </c>
      <c r="P51" s="1">
        <f>IF(P$5="",0,WEEKDAY(P$5,2))</f>
      </c>
      <c r="Q51" s="1">
        <f>IF(Q$5="",0,WEEKDAY(Q$5,2))</f>
      </c>
      <c r="R51" s="1">
        <f>IF(R$5="",0,WEEKDAY(R$5,2))</f>
      </c>
      <c r="S51" s="1">
        <f>IF(S$5="",0,WEEKDAY(S$5,2))</f>
      </c>
      <c r="T51" s="1">
        <f>IF(T$5="",0,WEEKDAY(T$5,2))</f>
      </c>
      <c r="U51" s="1">
        <f>IF(U$5="",0,WEEKDAY(U$5,2))</f>
      </c>
      <c r="V51" s="1">
        <f>IF(V$5="",0,WEEKDAY(V$5,2))</f>
      </c>
      <c r="W51" s="1">
        <f>IF(W$5="",0,WEEKDAY(W$5,2))</f>
      </c>
      <c r="X51" s="1">
        <f>IF(X$5="",0,WEEKDAY(X$5,2))</f>
      </c>
      <c r="Y51" s="1">
        <f>IF(Y$5="",0,WEEKDAY(Y$5,2))</f>
      </c>
      <c r="Z51" s="1">
        <f>IF(Z$5="",0,WEEKDAY(Z$5,2))</f>
      </c>
      <c r="AA51" s="1">
        <f>IF(AA$5="",0,WEEKDAY(AA$5,2))</f>
      </c>
      <c r="AB51" s="1">
        <f>IF(AB$5="",0,WEEKDAY(AB$5,2))</f>
      </c>
      <c r="AC51" s="1">
        <f>IF(AC$5="",0,WEEKDAY(AC$5,2))</f>
      </c>
      <c r="AD51" s="1">
        <f>IF(AD$5="",0,WEEKDAY(AD$5,2))</f>
      </c>
      <c r="AE51" s="1">
        <f>IF(AE$5="",0,WEEKDAY(AE$5,2))</f>
      </c>
      <c r="AF51" s="1">
        <f>IF(AF$5="",0,WEEKDAY(AF$5,2))</f>
      </c>
    </row>
    <row r="52" hidden="1" spans="1:32" x14ac:dyDescent="0.25">
      <c r="A52" s="1"/>
      <c r="B52" s="1">
        <f>IF(B$5="",0,1)</f>
      </c>
      <c r="C52" s="1">
        <f>IF(C$5="",0,1)</f>
      </c>
      <c r="D52" s="1">
        <f>IF(D$5="",0,1)</f>
      </c>
      <c r="E52" s="1">
        <f>IF(E$5="",0,1)</f>
      </c>
      <c r="F52" s="1">
        <f>IF(F$5="",0,1)</f>
      </c>
      <c r="G52" s="1">
        <f>IF(G$5="",0,1)</f>
      </c>
      <c r="H52" s="1">
        <f>IF(H$5="",0,1)</f>
      </c>
      <c r="I52" s="1">
        <f>IF(I$5="",0,1)</f>
      </c>
      <c r="J52" s="1">
        <f>IF(J$5="",0,1)</f>
      </c>
      <c r="K52" s="1">
        <f>IF(K$5="",0,1)</f>
      </c>
      <c r="L52" s="1">
        <f>IF(L$5="",0,1)</f>
      </c>
      <c r="M52" s="1">
        <f>IF(M$5="",0,1)</f>
      </c>
      <c r="N52" s="1">
        <f>IF(N$5="",0,1)</f>
      </c>
      <c r="O52" s="1">
        <f>IF(O$5="",0,1)</f>
      </c>
      <c r="P52" s="1">
        <f>IF(P$5="",0,1)</f>
      </c>
      <c r="Q52" s="1">
        <f>IF(Q$5="",0,1)</f>
      </c>
      <c r="R52" s="1">
        <f>IF(R$5="",0,1)</f>
      </c>
      <c r="S52" s="1">
        <f>IF(S$5="",0,1)</f>
      </c>
      <c r="T52" s="1">
        <f>IF(T$5="",0,1)</f>
      </c>
      <c r="U52" s="1">
        <f>IF(U$5="",0,1)</f>
      </c>
      <c r="V52" s="1">
        <f>IF(V$5="",0,1)</f>
      </c>
      <c r="W52" s="1">
        <f>IF(W$5="",0,1)</f>
      </c>
      <c r="X52" s="1">
        <f>IF(X$5="",0,1)</f>
      </c>
      <c r="Y52" s="1">
        <f>IF(Y$5="",0,1)</f>
      </c>
      <c r="Z52" s="1">
        <f>IF(Z$5="",0,1)</f>
      </c>
      <c r="AA52" s="1">
        <f>IF(AA$5="",0,1)</f>
      </c>
      <c r="AB52" s="1">
        <f>IF(AB$5="",0,1)</f>
      </c>
      <c r="AC52" s="1">
        <f>IF(AC$5="",0,1)</f>
      </c>
      <c r="AD52" s="1">
        <f>IF(AD$5="",0,1)</f>
      </c>
      <c r="AE52" s="1">
        <f>IF(AE$5="",0,1)</f>
      </c>
      <c r="AF52" s="1">
        <f>IF(AF$5="",0,1)</f>
      </c>
    </row>
    <row r="53" hidden="1" spans="1:32" x14ac:dyDescent="0.25">
      <c r="A53" s="1"/>
      <c r="B53" s="1">
        <f>IF(AND(B51&gt;=1,B51&lt;=5,B50=0),1,0)</f>
      </c>
      <c r="C53" s="1">
        <f>IF(AND(C51&gt;=1,C51&lt;=5,C50=0),1,0)</f>
      </c>
      <c r="D53" s="1">
        <f>IF(AND(D51&gt;=1,D51&lt;=5,D50=0),1,0)</f>
      </c>
      <c r="E53" s="1">
        <f>IF(AND(E51&gt;=1,E51&lt;=5,E50=0),1,0)</f>
      </c>
      <c r="F53" s="1">
        <f>IF(AND(F51&gt;=1,F51&lt;=5,F50=0),1,0)</f>
      </c>
      <c r="G53" s="1">
        <f>IF(AND(G51&gt;=1,G51&lt;=5,G50=0),1,0)</f>
      </c>
      <c r="H53" s="1">
        <f>IF(AND(H51&gt;=1,H51&lt;=5,H50=0),1,0)</f>
      </c>
      <c r="I53" s="1">
        <f>IF(AND(I51&gt;=1,I51&lt;=5,I50=0),1,0)</f>
      </c>
      <c r="J53" s="1">
        <f>IF(AND(J51&gt;=1,J51&lt;=5,J50=0),1,0)</f>
      </c>
      <c r="K53" s="1">
        <f>IF(AND(K51&gt;=1,K51&lt;=5,K50=0),1,0)</f>
      </c>
      <c r="L53" s="1">
        <f>IF(AND(L51&gt;=1,L51&lt;=5,L50=0),1,0)</f>
      </c>
      <c r="M53" s="1">
        <f>IF(AND(M51&gt;=1,M51&lt;=5,M50=0),1,0)</f>
      </c>
      <c r="N53" s="1">
        <f>IF(AND(N51&gt;=1,N51&lt;=5,N50=0),1,0)</f>
      </c>
      <c r="O53" s="1">
        <f>IF(AND(O51&gt;=1,O51&lt;=5,O50=0),1,0)</f>
      </c>
      <c r="P53" s="1">
        <f>IF(AND(P51&gt;=1,P51&lt;=5,P50=0),1,0)</f>
      </c>
      <c r="Q53" s="1">
        <f>IF(AND(Q51&gt;=1,Q51&lt;=5,Q50=0),1,0)</f>
      </c>
      <c r="R53" s="1">
        <f>IF(AND(R51&gt;=1,R51&lt;=5,R50=0),1,0)</f>
      </c>
      <c r="S53" s="1">
        <f>IF(AND(S51&gt;=1,S51&lt;=5,S50=0),1,0)</f>
      </c>
      <c r="T53" s="1">
        <f>IF(AND(T51&gt;=1,T51&lt;=5,T50=0),1,0)</f>
      </c>
      <c r="U53" s="1">
        <f>IF(AND(U51&gt;=1,U51&lt;=5,U50=0),1,0)</f>
      </c>
      <c r="V53" s="1">
        <f>IF(AND(V51&gt;=1,V51&lt;=5,V50=0),1,0)</f>
      </c>
      <c r="W53" s="1">
        <f>IF(AND(W51&gt;=1,W51&lt;=5,W50=0),1,0)</f>
      </c>
      <c r="X53" s="1">
        <f>IF(AND(X51&gt;=1,X51&lt;=5,X50=0),1,0)</f>
      </c>
      <c r="Y53" s="1">
        <f>IF(AND(Y51&gt;=1,Y51&lt;=5,Y50=0),1,0)</f>
      </c>
      <c r="Z53" s="1">
        <f>IF(AND(Z51&gt;=1,Z51&lt;=5,Z50=0),1,0)</f>
      </c>
      <c r="AA53" s="1">
        <f>IF(AND(AA51&gt;=1,AA51&lt;=5,AA50=0),1,0)</f>
      </c>
      <c r="AB53" s="1">
        <f>IF(AND(AB51&gt;=1,AB51&lt;=5,AB50=0),1,0)</f>
      </c>
      <c r="AC53" s="1">
        <f>IF(AND(AC51&gt;=1,AC51&lt;=5,AC50=0),1,0)</f>
      </c>
      <c r="AD53" s="1">
        <f>IF(AND(AD51&gt;=1,AD51&lt;=5,AD50=0),1,0)</f>
      </c>
      <c r="AE53" s="1">
        <f>IF(AND(AE51&gt;=1,AE51&lt;=5,AE50=0),1,0)</f>
      </c>
      <c r="AF53" s="1">
        <f>IF(AND(AF51&gt;=1,AF51&lt;=5,AF50=0),1,0)</f>
      </c>
    </row>
    <row r="55" hidden="1" spans="1:32" x14ac:dyDescent="0.25">
      <c r="A55" s="1"/>
      <c r="B55" s="1">
        <f>IF(OR(B$52=0,INDEX('Mai'!$B$6:$AF$6,DAY(DATE(Jahr,6,0)))="",B6=""),0,IFERROR(IF(AND(INDEX(Arten,MATCH(INDEX('Mai'!$B$6:$AF$6,DAY(DATE(Jahr,6,0))),Codes,0))="Arbeit",INDEX(Arten,MATCH(B6,Codes,0))="Arbeit"),IF(ROUND((1+INDEX(Beginne,MATCH(B6,Codes,0))-INDEX(EndeRel,MATCH(INDEX('Mai'!$B$6:$AF$6,DAY(DATE(Jahr,6,0))),Codes,0)))*1440,0)&lt;660,1,0),0),0))</f>
      </c>
      <c r="C55" s="1">
        <f>IF(OR(C$52=0,B6="",C6=""),0,IFERROR(IF(AND(INDEX(Arten,MATCH(B6,Codes,0))="Arbeit",INDEX(Arten,MATCH(C6,Codes,0))="Arbeit"),IF(ROUND((1+INDEX(Beginne,MATCH(C6,Codes,0))-INDEX(EndeRel,MATCH(B6,Codes,0)))*1440,0)&lt;660,1,0),0),0))</f>
      </c>
      <c r="D55" s="1">
        <f>IF(OR(D$52=0,C6="",D6=""),0,IFERROR(IF(AND(INDEX(Arten,MATCH(C6,Codes,0))="Arbeit",INDEX(Arten,MATCH(D6,Codes,0))="Arbeit"),IF(ROUND((1+INDEX(Beginne,MATCH(D6,Codes,0))-INDEX(EndeRel,MATCH(C6,Codes,0)))*1440,0)&lt;660,1,0),0),0))</f>
      </c>
      <c r="E55" s="1">
        <f>IF(OR(E$52=0,D6="",E6=""),0,IFERROR(IF(AND(INDEX(Arten,MATCH(D6,Codes,0))="Arbeit",INDEX(Arten,MATCH(E6,Codes,0))="Arbeit"),IF(ROUND((1+INDEX(Beginne,MATCH(E6,Codes,0))-INDEX(EndeRel,MATCH(D6,Codes,0)))*1440,0)&lt;660,1,0),0),0))</f>
      </c>
      <c r="F55" s="1">
        <f>IF(OR(F$52=0,E6="",F6=""),0,IFERROR(IF(AND(INDEX(Arten,MATCH(E6,Codes,0))="Arbeit",INDEX(Arten,MATCH(F6,Codes,0))="Arbeit"),IF(ROUND((1+INDEX(Beginne,MATCH(F6,Codes,0))-INDEX(EndeRel,MATCH(E6,Codes,0)))*1440,0)&lt;660,1,0),0),0))</f>
      </c>
      <c r="G55" s="1">
        <f>IF(OR(G$52=0,F6="",G6=""),0,IFERROR(IF(AND(INDEX(Arten,MATCH(F6,Codes,0))="Arbeit",INDEX(Arten,MATCH(G6,Codes,0))="Arbeit"),IF(ROUND((1+INDEX(Beginne,MATCH(G6,Codes,0))-INDEX(EndeRel,MATCH(F6,Codes,0)))*1440,0)&lt;660,1,0),0),0))</f>
      </c>
      <c r="H55" s="1">
        <f>IF(OR(H$52=0,G6="",H6=""),0,IFERROR(IF(AND(INDEX(Arten,MATCH(G6,Codes,0))="Arbeit",INDEX(Arten,MATCH(H6,Codes,0))="Arbeit"),IF(ROUND((1+INDEX(Beginne,MATCH(H6,Codes,0))-INDEX(EndeRel,MATCH(G6,Codes,0)))*1440,0)&lt;660,1,0),0),0))</f>
      </c>
      <c r="I55" s="1">
        <f>IF(OR(I$52=0,H6="",I6=""),0,IFERROR(IF(AND(INDEX(Arten,MATCH(H6,Codes,0))="Arbeit",INDEX(Arten,MATCH(I6,Codes,0))="Arbeit"),IF(ROUND((1+INDEX(Beginne,MATCH(I6,Codes,0))-INDEX(EndeRel,MATCH(H6,Codes,0)))*1440,0)&lt;660,1,0),0),0))</f>
      </c>
      <c r="J55" s="1">
        <f>IF(OR(J$52=0,I6="",J6=""),0,IFERROR(IF(AND(INDEX(Arten,MATCH(I6,Codes,0))="Arbeit",INDEX(Arten,MATCH(J6,Codes,0))="Arbeit"),IF(ROUND((1+INDEX(Beginne,MATCH(J6,Codes,0))-INDEX(EndeRel,MATCH(I6,Codes,0)))*1440,0)&lt;660,1,0),0),0))</f>
      </c>
      <c r="K55" s="1">
        <f>IF(OR(K$52=0,J6="",K6=""),0,IFERROR(IF(AND(INDEX(Arten,MATCH(J6,Codes,0))="Arbeit",INDEX(Arten,MATCH(K6,Codes,0))="Arbeit"),IF(ROUND((1+INDEX(Beginne,MATCH(K6,Codes,0))-INDEX(EndeRel,MATCH(J6,Codes,0)))*1440,0)&lt;660,1,0),0),0))</f>
      </c>
      <c r="L55" s="1">
        <f>IF(OR(L$52=0,K6="",L6=""),0,IFERROR(IF(AND(INDEX(Arten,MATCH(K6,Codes,0))="Arbeit",INDEX(Arten,MATCH(L6,Codes,0))="Arbeit"),IF(ROUND((1+INDEX(Beginne,MATCH(L6,Codes,0))-INDEX(EndeRel,MATCH(K6,Codes,0)))*1440,0)&lt;660,1,0),0),0))</f>
      </c>
      <c r="M55" s="1">
        <f>IF(OR(M$52=0,L6="",M6=""),0,IFERROR(IF(AND(INDEX(Arten,MATCH(L6,Codes,0))="Arbeit",INDEX(Arten,MATCH(M6,Codes,0))="Arbeit"),IF(ROUND((1+INDEX(Beginne,MATCH(M6,Codes,0))-INDEX(EndeRel,MATCH(L6,Codes,0)))*1440,0)&lt;660,1,0),0),0))</f>
      </c>
      <c r="N55" s="1">
        <f>IF(OR(N$52=0,M6="",N6=""),0,IFERROR(IF(AND(INDEX(Arten,MATCH(M6,Codes,0))="Arbeit",INDEX(Arten,MATCH(N6,Codes,0))="Arbeit"),IF(ROUND((1+INDEX(Beginne,MATCH(N6,Codes,0))-INDEX(EndeRel,MATCH(M6,Codes,0)))*1440,0)&lt;660,1,0),0),0))</f>
      </c>
      <c r="O55" s="1">
        <f>IF(OR(O$52=0,N6="",O6=""),0,IFERROR(IF(AND(INDEX(Arten,MATCH(N6,Codes,0))="Arbeit",INDEX(Arten,MATCH(O6,Codes,0))="Arbeit"),IF(ROUND((1+INDEX(Beginne,MATCH(O6,Codes,0))-INDEX(EndeRel,MATCH(N6,Codes,0)))*1440,0)&lt;660,1,0),0),0))</f>
      </c>
      <c r="P55" s="1">
        <f>IF(OR(P$52=0,O6="",P6=""),0,IFERROR(IF(AND(INDEX(Arten,MATCH(O6,Codes,0))="Arbeit",INDEX(Arten,MATCH(P6,Codes,0))="Arbeit"),IF(ROUND((1+INDEX(Beginne,MATCH(P6,Codes,0))-INDEX(EndeRel,MATCH(O6,Codes,0)))*1440,0)&lt;660,1,0),0),0))</f>
      </c>
      <c r="Q55" s="1">
        <f>IF(OR(Q$52=0,P6="",Q6=""),0,IFERROR(IF(AND(INDEX(Arten,MATCH(P6,Codes,0))="Arbeit",INDEX(Arten,MATCH(Q6,Codes,0))="Arbeit"),IF(ROUND((1+INDEX(Beginne,MATCH(Q6,Codes,0))-INDEX(EndeRel,MATCH(P6,Codes,0)))*1440,0)&lt;660,1,0),0),0))</f>
      </c>
      <c r="R55" s="1">
        <f>IF(OR(R$52=0,Q6="",R6=""),0,IFERROR(IF(AND(INDEX(Arten,MATCH(Q6,Codes,0))="Arbeit",INDEX(Arten,MATCH(R6,Codes,0))="Arbeit"),IF(ROUND((1+INDEX(Beginne,MATCH(R6,Codes,0))-INDEX(EndeRel,MATCH(Q6,Codes,0)))*1440,0)&lt;660,1,0),0),0))</f>
      </c>
      <c r="S55" s="1">
        <f>IF(OR(S$52=0,R6="",S6=""),0,IFERROR(IF(AND(INDEX(Arten,MATCH(R6,Codes,0))="Arbeit",INDEX(Arten,MATCH(S6,Codes,0))="Arbeit"),IF(ROUND((1+INDEX(Beginne,MATCH(S6,Codes,0))-INDEX(EndeRel,MATCH(R6,Codes,0)))*1440,0)&lt;660,1,0),0),0))</f>
      </c>
      <c r="T55" s="1">
        <f>IF(OR(T$52=0,S6="",T6=""),0,IFERROR(IF(AND(INDEX(Arten,MATCH(S6,Codes,0))="Arbeit",INDEX(Arten,MATCH(T6,Codes,0))="Arbeit"),IF(ROUND((1+INDEX(Beginne,MATCH(T6,Codes,0))-INDEX(EndeRel,MATCH(S6,Codes,0)))*1440,0)&lt;660,1,0),0),0))</f>
      </c>
      <c r="U55" s="1">
        <f>IF(OR(U$52=0,T6="",U6=""),0,IFERROR(IF(AND(INDEX(Arten,MATCH(T6,Codes,0))="Arbeit",INDEX(Arten,MATCH(U6,Codes,0))="Arbeit"),IF(ROUND((1+INDEX(Beginne,MATCH(U6,Codes,0))-INDEX(EndeRel,MATCH(T6,Codes,0)))*1440,0)&lt;660,1,0),0),0))</f>
      </c>
      <c r="V55" s="1">
        <f>IF(OR(V$52=0,U6="",V6=""),0,IFERROR(IF(AND(INDEX(Arten,MATCH(U6,Codes,0))="Arbeit",INDEX(Arten,MATCH(V6,Codes,0))="Arbeit"),IF(ROUND((1+INDEX(Beginne,MATCH(V6,Codes,0))-INDEX(EndeRel,MATCH(U6,Codes,0)))*1440,0)&lt;660,1,0),0),0))</f>
      </c>
      <c r="W55" s="1">
        <f>IF(OR(W$52=0,V6="",W6=""),0,IFERROR(IF(AND(INDEX(Arten,MATCH(V6,Codes,0))="Arbeit",INDEX(Arten,MATCH(W6,Codes,0))="Arbeit"),IF(ROUND((1+INDEX(Beginne,MATCH(W6,Codes,0))-INDEX(EndeRel,MATCH(V6,Codes,0)))*1440,0)&lt;660,1,0),0),0))</f>
      </c>
      <c r="X55" s="1">
        <f>IF(OR(X$52=0,W6="",X6=""),0,IFERROR(IF(AND(INDEX(Arten,MATCH(W6,Codes,0))="Arbeit",INDEX(Arten,MATCH(X6,Codes,0))="Arbeit"),IF(ROUND((1+INDEX(Beginne,MATCH(X6,Codes,0))-INDEX(EndeRel,MATCH(W6,Codes,0)))*1440,0)&lt;660,1,0),0),0))</f>
      </c>
      <c r="Y55" s="1">
        <f>IF(OR(Y$52=0,X6="",Y6=""),0,IFERROR(IF(AND(INDEX(Arten,MATCH(X6,Codes,0))="Arbeit",INDEX(Arten,MATCH(Y6,Codes,0))="Arbeit"),IF(ROUND((1+INDEX(Beginne,MATCH(Y6,Codes,0))-INDEX(EndeRel,MATCH(X6,Codes,0)))*1440,0)&lt;660,1,0),0),0))</f>
      </c>
      <c r="Z55" s="1">
        <f>IF(OR(Z$52=0,Y6="",Z6=""),0,IFERROR(IF(AND(INDEX(Arten,MATCH(Y6,Codes,0))="Arbeit",INDEX(Arten,MATCH(Z6,Codes,0))="Arbeit"),IF(ROUND((1+INDEX(Beginne,MATCH(Z6,Codes,0))-INDEX(EndeRel,MATCH(Y6,Codes,0)))*1440,0)&lt;660,1,0),0),0))</f>
      </c>
      <c r="AA55" s="1">
        <f>IF(OR(AA$52=0,Z6="",AA6=""),0,IFERROR(IF(AND(INDEX(Arten,MATCH(Z6,Codes,0))="Arbeit",INDEX(Arten,MATCH(AA6,Codes,0))="Arbeit"),IF(ROUND((1+INDEX(Beginne,MATCH(AA6,Codes,0))-INDEX(EndeRel,MATCH(Z6,Codes,0)))*1440,0)&lt;660,1,0),0),0))</f>
      </c>
      <c r="AB55" s="1">
        <f>IF(OR(AB$52=0,AA6="",AB6=""),0,IFERROR(IF(AND(INDEX(Arten,MATCH(AA6,Codes,0))="Arbeit",INDEX(Arten,MATCH(AB6,Codes,0))="Arbeit"),IF(ROUND((1+INDEX(Beginne,MATCH(AB6,Codes,0))-INDEX(EndeRel,MATCH(AA6,Codes,0)))*1440,0)&lt;660,1,0),0),0))</f>
      </c>
      <c r="AC55" s="1">
        <f>IF(OR(AC$52=0,AB6="",AC6=""),0,IFERROR(IF(AND(INDEX(Arten,MATCH(AB6,Codes,0))="Arbeit",INDEX(Arten,MATCH(AC6,Codes,0))="Arbeit"),IF(ROUND((1+INDEX(Beginne,MATCH(AC6,Codes,0))-INDEX(EndeRel,MATCH(AB6,Codes,0)))*1440,0)&lt;660,1,0),0),0))</f>
      </c>
      <c r="AD55" s="1">
        <f>IF(OR(AD$52=0,AC6="",AD6=""),0,IFERROR(IF(AND(INDEX(Arten,MATCH(AC6,Codes,0))="Arbeit",INDEX(Arten,MATCH(AD6,Codes,0))="Arbeit"),IF(ROUND((1+INDEX(Beginne,MATCH(AD6,Codes,0))-INDEX(EndeRel,MATCH(AC6,Codes,0)))*1440,0)&lt;660,1,0),0),0))</f>
      </c>
      <c r="AE55" s="1">
        <f>IF(OR(AE$52=0,AD6="",AE6=""),0,IFERROR(IF(AND(INDEX(Arten,MATCH(AD6,Codes,0))="Arbeit",INDEX(Arten,MATCH(AE6,Codes,0))="Arbeit"),IF(ROUND((1+INDEX(Beginne,MATCH(AE6,Codes,0))-INDEX(EndeRel,MATCH(AD6,Codes,0)))*1440,0)&lt;660,1,0),0),0))</f>
      </c>
      <c r="AF55" s="1">
        <f>IF(OR(AF$52=0,AE6="",AF6=""),0,IFERROR(IF(AND(INDEX(Arten,MATCH(AE6,Codes,0))="Arbeit",INDEX(Arten,MATCH(AF6,Codes,0))="Arbeit"),IF(ROUND((1+INDEX(Beginne,MATCH(AF6,Codes,0))-INDEX(EndeRel,MATCH(AE6,Codes,0)))*1440,0)&lt;660,1,0),0),0))</f>
      </c>
    </row>
    <row r="56" hidden="1" spans="1:32" x14ac:dyDescent="0.25">
      <c r="A56" s="1"/>
      <c r="B56" s="1">
        <f>IF(OR(B$52=0,INDEX('Mai'!$B$7:$AF$7,DAY(DATE(Jahr,6,0)))="",B7=""),0,IFERROR(IF(AND(INDEX(Arten,MATCH(INDEX('Mai'!$B$7:$AF$7,DAY(DATE(Jahr,6,0))),Codes,0))="Arbeit",INDEX(Arten,MATCH(B7,Codes,0))="Arbeit"),IF(ROUND((1+INDEX(Beginne,MATCH(B7,Codes,0))-INDEX(EndeRel,MATCH(INDEX('Mai'!$B$7:$AF$7,DAY(DATE(Jahr,6,0))),Codes,0)))*1440,0)&lt;660,1,0),0),0))</f>
      </c>
      <c r="C56" s="1">
        <f>IF(OR(C$52=0,B7="",C7=""),0,IFERROR(IF(AND(INDEX(Arten,MATCH(B7,Codes,0))="Arbeit",INDEX(Arten,MATCH(C7,Codes,0))="Arbeit"),IF(ROUND((1+INDEX(Beginne,MATCH(C7,Codes,0))-INDEX(EndeRel,MATCH(B7,Codes,0)))*1440,0)&lt;660,1,0),0),0))</f>
      </c>
      <c r="D56" s="1">
        <f>IF(OR(D$52=0,C7="",D7=""),0,IFERROR(IF(AND(INDEX(Arten,MATCH(C7,Codes,0))="Arbeit",INDEX(Arten,MATCH(D7,Codes,0))="Arbeit"),IF(ROUND((1+INDEX(Beginne,MATCH(D7,Codes,0))-INDEX(EndeRel,MATCH(C7,Codes,0)))*1440,0)&lt;660,1,0),0),0))</f>
      </c>
      <c r="E56" s="1">
        <f>IF(OR(E$52=0,D7="",E7=""),0,IFERROR(IF(AND(INDEX(Arten,MATCH(D7,Codes,0))="Arbeit",INDEX(Arten,MATCH(E7,Codes,0))="Arbeit"),IF(ROUND((1+INDEX(Beginne,MATCH(E7,Codes,0))-INDEX(EndeRel,MATCH(D7,Codes,0)))*1440,0)&lt;660,1,0),0),0))</f>
      </c>
      <c r="F56" s="1">
        <f>IF(OR(F$52=0,E7="",F7=""),0,IFERROR(IF(AND(INDEX(Arten,MATCH(E7,Codes,0))="Arbeit",INDEX(Arten,MATCH(F7,Codes,0))="Arbeit"),IF(ROUND((1+INDEX(Beginne,MATCH(F7,Codes,0))-INDEX(EndeRel,MATCH(E7,Codes,0)))*1440,0)&lt;660,1,0),0),0))</f>
      </c>
      <c r="G56" s="1">
        <f>IF(OR(G$52=0,F7="",G7=""),0,IFERROR(IF(AND(INDEX(Arten,MATCH(F7,Codes,0))="Arbeit",INDEX(Arten,MATCH(G7,Codes,0))="Arbeit"),IF(ROUND((1+INDEX(Beginne,MATCH(G7,Codes,0))-INDEX(EndeRel,MATCH(F7,Codes,0)))*1440,0)&lt;660,1,0),0),0))</f>
      </c>
      <c r="H56" s="1">
        <f>IF(OR(H$52=0,G7="",H7=""),0,IFERROR(IF(AND(INDEX(Arten,MATCH(G7,Codes,0))="Arbeit",INDEX(Arten,MATCH(H7,Codes,0))="Arbeit"),IF(ROUND((1+INDEX(Beginne,MATCH(H7,Codes,0))-INDEX(EndeRel,MATCH(G7,Codes,0)))*1440,0)&lt;660,1,0),0),0))</f>
      </c>
      <c r="I56" s="1">
        <f>IF(OR(I$52=0,H7="",I7=""),0,IFERROR(IF(AND(INDEX(Arten,MATCH(H7,Codes,0))="Arbeit",INDEX(Arten,MATCH(I7,Codes,0))="Arbeit"),IF(ROUND((1+INDEX(Beginne,MATCH(I7,Codes,0))-INDEX(EndeRel,MATCH(H7,Codes,0)))*1440,0)&lt;660,1,0),0),0))</f>
      </c>
      <c r="J56" s="1">
        <f>IF(OR(J$52=0,I7="",J7=""),0,IFERROR(IF(AND(INDEX(Arten,MATCH(I7,Codes,0))="Arbeit",INDEX(Arten,MATCH(J7,Codes,0))="Arbeit"),IF(ROUND((1+INDEX(Beginne,MATCH(J7,Codes,0))-INDEX(EndeRel,MATCH(I7,Codes,0)))*1440,0)&lt;660,1,0),0),0))</f>
      </c>
      <c r="K56" s="1">
        <f>IF(OR(K$52=0,J7="",K7=""),0,IFERROR(IF(AND(INDEX(Arten,MATCH(J7,Codes,0))="Arbeit",INDEX(Arten,MATCH(K7,Codes,0))="Arbeit"),IF(ROUND((1+INDEX(Beginne,MATCH(K7,Codes,0))-INDEX(EndeRel,MATCH(J7,Codes,0)))*1440,0)&lt;660,1,0),0),0))</f>
      </c>
      <c r="L56" s="1">
        <f>IF(OR(L$52=0,K7="",L7=""),0,IFERROR(IF(AND(INDEX(Arten,MATCH(K7,Codes,0))="Arbeit",INDEX(Arten,MATCH(L7,Codes,0))="Arbeit"),IF(ROUND((1+INDEX(Beginne,MATCH(L7,Codes,0))-INDEX(EndeRel,MATCH(K7,Codes,0)))*1440,0)&lt;660,1,0),0),0))</f>
      </c>
      <c r="M56" s="1">
        <f>IF(OR(M$52=0,L7="",M7=""),0,IFERROR(IF(AND(INDEX(Arten,MATCH(L7,Codes,0))="Arbeit",INDEX(Arten,MATCH(M7,Codes,0))="Arbeit"),IF(ROUND((1+INDEX(Beginne,MATCH(M7,Codes,0))-INDEX(EndeRel,MATCH(L7,Codes,0)))*1440,0)&lt;660,1,0),0),0))</f>
      </c>
      <c r="N56" s="1">
        <f>IF(OR(N$52=0,M7="",N7=""),0,IFERROR(IF(AND(INDEX(Arten,MATCH(M7,Codes,0))="Arbeit",INDEX(Arten,MATCH(N7,Codes,0))="Arbeit"),IF(ROUND((1+INDEX(Beginne,MATCH(N7,Codes,0))-INDEX(EndeRel,MATCH(M7,Codes,0)))*1440,0)&lt;660,1,0),0),0))</f>
      </c>
      <c r="O56" s="1">
        <f>IF(OR(O$52=0,N7="",O7=""),0,IFERROR(IF(AND(INDEX(Arten,MATCH(N7,Codes,0))="Arbeit",INDEX(Arten,MATCH(O7,Codes,0))="Arbeit"),IF(ROUND((1+INDEX(Beginne,MATCH(O7,Codes,0))-INDEX(EndeRel,MATCH(N7,Codes,0)))*1440,0)&lt;660,1,0),0),0))</f>
      </c>
      <c r="P56" s="1">
        <f>IF(OR(P$52=0,O7="",P7=""),0,IFERROR(IF(AND(INDEX(Arten,MATCH(O7,Codes,0))="Arbeit",INDEX(Arten,MATCH(P7,Codes,0))="Arbeit"),IF(ROUND((1+INDEX(Beginne,MATCH(P7,Codes,0))-INDEX(EndeRel,MATCH(O7,Codes,0)))*1440,0)&lt;660,1,0),0),0))</f>
      </c>
      <c r="Q56" s="1">
        <f>IF(OR(Q$52=0,P7="",Q7=""),0,IFERROR(IF(AND(INDEX(Arten,MATCH(P7,Codes,0))="Arbeit",INDEX(Arten,MATCH(Q7,Codes,0))="Arbeit"),IF(ROUND((1+INDEX(Beginne,MATCH(Q7,Codes,0))-INDEX(EndeRel,MATCH(P7,Codes,0)))*1440,0)&lt;660,1,0),0),0))</f>
      </c>
      <c r="R56" s="1">
        <f>IF(OR(R$52=0,Q7="",R7=""),0,IFERROR(IF(AND(INDEX(Arten,MATCH(Q7,Codes,0))="Arbeit",INDEX(Arten,MATCH(R7,Codes,0))="Arbeit"),IF(ROUND((1+INDEX(Beginne,MATCH(R7,Codes,0))-INDEX(EndeRel,MATCH(Q7,Codes,0)))*1440,0)&lt;660,1,0),0),0))</f>
      </c>
      <c r="S56" s="1">
        <f>IF(OR(S$52=0,R7="",S7=""),0,IFERROR(IF(AND(INDEX(Arten,MATCH(R7,Codes,0))="Arbeit",INDEX(Arten,MATCH(S7,Codes,0))="Arbeit"),IF(ROUND((1+INDEX(Beginne,MATCH(S7,Codes,0))-INDEX(EndeRel,MATCH(R7,Codes,0)))*1440,0)&lt;660,1,0),0),0))</f>
      </c>
      <c r="T56" s="1">
        <f>IF(OR(T$52=0,S7="",T7=""),0,IFERROR(IF(AND(INDEX(Arten,MATCH(S7,Codes,0))="Arbeit",INDEX(Arten,MATCH(T7,Codes,0))="Arbeit"),IF(ROUND((1+INDEX(Beginne,MATCH(T7,Codes,0))-INDEX(EndeRel,MATCH(S7,Codes,0)))*1440,0)&lt;660,1,0),0),0))</f>
      </c>
      <c r="U56" s="1">
        <f>IF(OR(U$52=0,T7="",U7=""),0,IFERROR(IF(AND(INDEX(Arten,MATCH(T7,Codes,0))="Arbeit",INDEX(Arten,MATCH(U7,Codes,0))="Arbeit"),IF(ROUND((1+INDEX(Beginne,MATCH(U7,Codes,0))-INDEX(EndeRel,MATCH(T7,Codes,0)))*1440,0)&lt;660,1,0),0),0))</f>
      </c>
      <c r="V56" s="1">
        <f>IF(OR(V$52=0,U7="",V7=""),0,IFERROR(IF(AND(INDEX(Arten,MATCH(U7,Codes,0))="Arbeit",INDEX(Arten,MATCH(V7,Codes,0))="Arbeit"),IF(ROUND((1+INDEX(Beginne,MATCH(V7,Codes,0))-INDEX(EndeRel,MATCH(U7,Codes,0)))*1440,0)&lt;660,1,0),0),0))</f>
      </c>
      <c r="W56" s="1">
        <f>IF(OR(W$52=0,V7="",W7=""),0,IFERROR(IF(AND(INDEX(Arten,MATCH(V7,Codes,0))="Arbeit",INDEX(Arten,MATCH(W7,Codes,0))="Arbeit"),IF(ROUND((1+INDEX(Beginne,MATCH(W7,Codes,0))-INDEX(EndeRel,MATCH(V7,Codes,0)))*1440,0)&lt;660,1,0),0),0))</f>
      </c>
      <c r="X56" s="1">
        <f>IF(OR(X$52=0,W7="",X7=""),0,IFERROR(IF(AND(INDEX(Arten,MATCH(W7,Codes,0))="Arbeit",INDEX(Arten,MATCH(X7,Codes,0))="Arbeit"),IF(ROUND((1+INDEX(Beginne,MATCH(X7,Codes,0))-INDEX(EndeRel,MATCH(W7,Codes,0)))*1440,0)&lt;660,1,0),0),0))</f>
      </c>
      <c r="Y56" s="1">
        <f>IF(OR(Y$52=0,X7="",Y7=""),0,IFERROR(IF(AND(INDEX(Arten,MATCH(X7,Codes,0))="Arbeit",INDEX(Arten,MATCH(Y7,Codes,0))="Arbeit"),IF(ROUND((1+INDEX(Beginne,MATCH(Y7,Codes,0))-INDEX(EndeRel,MATCH(X7,Codes,0)))*1440,0)&lt;660,1,0),0),0))</f>
      </c>
      <c r="Z56" s="1">
        <f>IF(OR(Z$52=0,Y7="",Z7=""),0,IFERROR(IF(AND(INDEX(Arten,MATCH(Y7,Codes,0))="Arbeit",INDEX(Arten,MATCH(Z7,Codes,0))="Arbeit"),IF(ROUND((1+INDEX(Beginne,MATCH(Z7,Codes,0))-INDEX(EndeRel,MATCH(Y7,Codes,0)))*1440,0)&lt;660,1,0),0),0))</f>
      </c>
      <c r="AA56" s="1">
        <f>IF(OR(AA$52=0,Z7="",AA7=""),0,IFERROR(IF(AND(INDEX(Arten,MATCH(Z7,Codes,0))="Arbeit",INDEX(Arten,MATCH(AA7,Codes,0))="Arbeit"),IF(ROUND((1+INDEX(Beginne,MATCH(AA7,Codes,0))-INDEX(EndeRel,MATCH(Z7,Codes,0)))*1440,0)&lt;660,1,0),0),0))</f>
      </c>
      <c r="AB56" s="1">
        <f>IF(OR(AB$52=0,AA7="",AB7=""),0,IFERROR(IF(AND(INDEX(Arten,MATCH(AA7,Codes,0))="Arbeit",INDEX(Arten,MATCH(AB7,Codes,0))="Arbeit"),IF(ROUND((1+INDEX(Beginne,MATCH(AB7,Codes,0))-INDEX(EndeRel,MATCH(AA7,Codes,0)))*1440,0)&lt;660,1,0),0),0))</f>
      </c>
      <c r="AC56" s="1">
        <f>IF(OR(AC$52=0,AB7="",AC7=""),0,IFERROR(IF(AND(INDEX(Arten,MATCH(AB7,Codes,0))="Arbeit",INDEX(Arten,MATCH(AC7,Codes,0))="Arbeit"),IF(ROUND((1+INDEX(Beginne,MATCH(AC7,Codes,0))-INDEX(EndeRel,MATCH(AB7,Codes,0)))*1440,0)&lt;660,1,0),0),0))</f>
      </c>
      <c r="AD56" s="1">
        <f>IF(OR(AD$52=0,AC7="",AD7=""),0,IFERROR(IF(AND(INDEX(Arten,MATCH(AC7,Codes,0))="Arbeit",INDEX(Arten,MATCH(AD7,Codes,0))="Arbeit"),IF(ROUND((1+INDEX(Beginne,MATCH(AD7,Codes,0))-INDEX(EndeRel,MATCH(AC7,Codes,0)))*1440,0)&lt;660,1,0),0),0))</f>
      </c>
      <c r="AE56" s="1">
        <f>IF(OR(AE$52=0,AD7="",AE7=""),0,IFERROR(IF(AND(INDEX(Arten,MATCH(AD7,Codes,0))="Arbeit",INDEX(Arten,MATCH(AE7,Codes,0))="Arbeit"),IF(ROUND((1+INDEX(Beginne,MATCH(AE7,Codes,0))-INDEX(EndeRel,MATCH(AD7,Codes,0)))*1440,0)&lt;660,1,0),0),0))</f>
      </c>
      <c r="AF56" s="1">
        <f>IF(OR(AF$52=0,AE7="",AF7=""),0,IFERROR(IF(AND(INDEX(Arten,MATCH(AE7,Codes,0))="Arbeit",INDEX(Arten,MATCH(AF7,Codes,0))="Arbeit"),IF(ROUND((1+INDEX(Beginne,MATCH(AF7,Codes,0))-INDEX(EndeRel,MATCH(AE7,Codes,0)))*1440,0)&lt;660,1,0),0),0))</f>
      </c>
    </row>
    <row r="57" hidden="1" spans="1:32" x14ac:dyDescent="0.25">
      <c r="A57" s="1"/>
      <c r="B57" s="1">
        <f>IF(OR(B$52=0,INDEX('Mai'!$B$8:$AF$8,DAY(DATE(Jahr,6,0)))="",B8=""),0,IFERROR(IF(AND(INDEX(Arten,MATCH(INDEX('Mai'!$B$8:$AF$8,DAY(DATE(Jahr,6,0))),Codes,0))="Arbeit",INDEX(Arten,MATCH(B8,Codes,0))="Arbeit"),IF(ROUND((1+INDEX(Beginne,MATCH(B8,Codes,0))-INDEX(EndeRel,MATCH(INDEX('Mai'!$B$8:$AF$8,DAY(DATE(Jahr,6,0))),Codes,0)))*1440,0)&lt;660,1,0),0),0))</f>
      </c>
      <c r="C57" s="1">
        <f>IF(OR(C$52=0,B8="",C8=""),0,IFERROR(IF(AND(INDEX(Arten,MATCH(B8,Codes,0))="Arbeit",INDEX(Arten,MATCH(C8,Codes,0))="Arbeit"),IF(ROUND((1+INDEX(Beginne,MATCH(C8,Codes,0))-INDEX(EndeRel,MATCH(B8,Codes,0)))*1440,0)&lt;660,1,0),0),0))</f>
      </c>
      <c r="D57" s="1">
        <f>IF(OR(D$52=0,C8="",D8=""),0,IFERROR(IF(AND(INDEX(Arten,MATCH(C8,Codes,0))="Arbeit",INDEX(Arten,MATCH(D8,Codes,0))="Arbeit"),IF(ROUND((1+INDEX(Beginne,MATCH(D8,Codes,0))-INDEX(EndeRel,MATCH(C8,Codes,0)))*1440,0)&lt;660,1,0),0),0))</f>
      </c>
      <c r="E57" s="1">
        <f>IF(OR(E$52=0,D8="",E8=""),0,IFERROR(IF(AND(INDEX(Arten,MATCH(D8,Codes,0))="Arbeit",INDEX(Arten,MATCH(E8,Codes,0))="Arbeit"),IF(ROUND((1+INDEX(Beginne,MATCH(E8,Codes,0))-INDEX(EndeRel,MATCH(D8,Codes,0)))*1440,0)&lt;660,1,0),0),0))</f>
      </c>
      <c r="F57" s="1">
        <f>IF(OR(F$52=0,E8="",F8=""),0,IFERROR(IF(AND(INDEX(Arten,MATCH(E8,Codes,0))="Arbeit",INDEX(Arten,MATCH(F8,Codes,0))="Arbeit"),IF(ROUND((1+INDEX(Beginne,MATCH(F8,Codes,0))-INDEX(EndeRel,MATCH(E8,Codes,0)))*1440,0)&lt;660,1,0),0),0))</f>
      </c>
      <c r="G57" s="1">
        <f>IF(OR(G$52=0,F8="",G8=""),0,IFERROR(IF(AND(INDEX(Arten,MATCH(F8,Codes,0))="Arbeit",INDEX(Arten,MATCH(G8,Codes,0))="Arbeit"),IF(ROUND((1+INDEX(Beginne,MATCH(G8,Codes,0))-INDEX(EndeRel,MATCH(F8,Codes,0)))*1440,0)&lt;660,1,0),0),0))</f>
      </c>
      <c r="H57" s="1">
        <f>IF(OR(H$52=0,G8="",H8=""),0,IFERROR(IF(AND(INDEX(Arten,MATCH(G8,Codes,0))="Arbeit",INDEX(Arten,MATCH(H8,Codes,0))="Arbeit"),IF(ROUND((1+INDEX(Beginne,MATCH(H8,Codes,0))-INDEX(EndeRel,MATCH(G8,Codes,0)))*1440,0)&lt;660,1,0),0),0))</f>
      </c>
      <c r="I57" s="1">
        <f>IF(OR(I$52=0,H8="",I8=""),0,IFERROR(IF(AND(INDEX(Arten,MATCH(H8,Codes,0))="Arbeit",INDEX(Arten,MATCH(I8,Codes,0))="Arbeit"),IF(ROUND((1+INDEX(Beginne,MATCH(I8,Codes,0))-INDEX(EndeRel,MATCH(H8,Codes,0)))*1440,0)&lt;660,1,0),0),0))</f>
      </c>
      <c r="J57" s="1">
        <f>IF(OR(J$52=0,I8="",J8=""),0,IFERROR(IF(AND(INDEX(Arten,MATCH(I8,Codes,0))="Arbeit",INDEX(Arten,MATCH(J8,Codes,0))="Arbeit"),IF(ROUND((1+INDEX(Beginne,MATCH(J8,Codes,0))-INDEX(EndeRel,MATCH(I8,Codes,0)))*1440,0)&lt;660,1,0),0),0))</f>
      </c>
      <c r="K57" s="1">
        <f>IF(OR(K$52=0,J8="",K8=""),0,IFERROR(IF(AND(INDEX(Arten,MATCH(J8,Codes,0))="Arbeit",INDEX(Arten,MATCH(K8,Codes,0))="Arbeit"),IF(ROUND((1+INDEX(Beginne,MATCH(K8,Codes,0))-INDEX(EndeRel,MATCH(J8,Codes,0)))*1440,0)&lt;660,1,0),0),0))</f>
      </c>
      <c r="L57" s="1">
        <f>IF(OR(L$52=0,K8="",L8=""),0,IFERROR(IF(AND(INDEX(Arten,MATCH(K8,Codes,0))="Arbeit",INDEX(Arten,MATCH(L8,Codes,0))="Arbeit"),IF(ROUND((1+INDEX(Beginne,MATCH(L8,Codes,0))-INDEX(EndeRel,MATCH(K8,Codes,0)))*1440,0)&lt;660,1,0),0),0))</f>
      </c>
      <c r="M57" s="1">
        <f>IF(OR(M$52=0,L8="",M8=""),0,IFERROR(IF(AND(INDEX(Arten,MATCH(L8,Codes,0))="Arbeit",INDEX(Arten,MATCH(M8,Codes,0))="Arbeit"),IF(ROUND((1+INDEX(Beginne,MATCH(M8,Codes,0))-INDEX(EndeRel,MATCH(L8,Codes,0)))*1440,0)&lt;660,1,0),0),0))</f>
      </c>
      <c r="N57" s="1">
        <f>IF(OR(N$52=0,M8="",N8=""),0,IFERROR(IF(AND(INDEX(Arten,MATCH(M8,Codes,0))="Arbeit",INDEX(Arten,MATCH(N8,Codes,0))="Arbeit"),IF(ROUND((1+INDEX(Beginne,MATCH(N8,Codes,0))-INDEX(EndeRel,MATCH(M8,Codes,0)))*1440,0)&lt;660,1,0),0),0))</f>
      </c>
      <c r="O57" s="1">
        <f>IF(OR(O$52=0,N8="",O8=""),0,IFERROR(IF(AND(INDEX(Arten,MATCH(N8,Codes,0))="Arbeit",INDEX(Arten,MATCH(O8,Codes,0))="Arbeit"),IF(ROUND((1+INDEX(Beginne,MATCH(O8,Codes,0))-INDEX(EndeRel,MATCH(N8,Codes,0)))*1440,0)&lt;660,1,0),0),0))</f>
      </c>
      <c r="P57" s="1">
        <f>IF(OR(P$52=0,O8="",P8=""),0,IFERROR(IF(AND(INDEX(Arten,MATCH(O8,Codes,0))="Arbeit",INDEX(Arten,MATCH(P8,Codes,0))="Arbeit"),IF(ROUND((1+INDEX(Beginne,MATCH(P8,Codes,0))-INDEX(EndeRel,MATCH(O8,Codes,0)))*1440,0)&lt;660,1,0),0),0))</f>
      </c>
      <c r="Q57" s="1">
        <f>IF(OR(Q$52=0,P8="",Q8=""),0,IFERROR(IF(AND(INDEX(Arten,MATCH(P8,Codes,0))="Arbeit",INDEX(Arten,MATCH(Q8,Codes,0))="Arbeit"),IF(ROUND((1+INDEX(Beginne,MATCH(Q8,Codes,0))-INDEX(EndeRel,MATCH(P8,Codes,0)))*1440,0)&lt;660,1,0),0),0))</f>
      </c>
      <c r="R57" s="1">
        <f>IF(OR(R$52=0,Q8="",R8=""),0,IFERROR(IF(AND(INDEX(Arten,MATCH(Q8,Codes,0))="Arbeit",INDEX(Arten,MATCH(R8,Codes,0))="Arbeit"),IF(ROUND((1+INDEX(Beginne,MATCH(R8,Codes,0))-INDEX(EndeRel,MATCH(Q8,Codes,0)))*1440,0)&lt;660,1,0),0),0))</f>
      </c>
      <c r="S57" s="1">
        <f>IF(OR(S$52=0,R8="",S8=""),0,IFERROR(IF(AND(INDEX(Arten,MATCH(R8,Codes,0))="Arbeit",INDEX(Arten,MATCH(S8,Codes,0))="Arbeit"),IF(ROUND((1+INDEX(Beginne,MATCH(S8,Codes,0))-INDEX(EndeRel,MATCH(R8,Codes,0)))*1440,0)&lt;660,1,0),0),0))</f>
      </c>
      <c r="T57" s="1">
        <f>IF(OR(T$52=0,S8="",T8=""),0,IFERROR(IF(AND(INDEX(Arten,MATCH(S8,Codes,0))="Arbeit",INDEX(Arten,MATCH(T8,Codes,0))="Arbeit"),IF(ROUND((1+INDEX(Beginne,MATCH(T8,Codes,0))-INDEX(EndeRel,MATCH(S8,Codes,0)))*1440,0)&lt;660,1,0),0),0))</f>
      </c>
      <c r="U57" s="1">
        <f>IF(OR(U$52=0,T8="",U8=""),0,IFERROR(IF(AND(INDEX(Arten,MATCH(T8,Codes,0))="Arbeit",INDEX(Arten,MATCH(U8,Codes,0))="Arbeit"),IF(ROUND((1+INDEX(Beginne,MATCH(U8,Codes,0))-INDEX(EndeRel,MATCH(T8,Codes,0)))*1440,0)&lt;660,1,0),0),0))</f>
      </c>
      <c r="V57" s="1">
        <f>IF(OR(V$52=0,U8="",V8=""),0,IFERROR(IF(AND(INDEX(Arten,MATCH(U8,Codes,0))="Arbeit",INDEX(Arten,MATCH(V8,Codes,0))="Arbeit"),IF(ROUND((1+INDEX(Beginne,MATCH(V8,Codes,0))-INDEX(EndeRel,MATCH(U8,Codes,0)))*1440,0)&lt;660,1,0),0),0))</f>
      </c>
      <c r="W57" s="1">
        <f>IF(OR(W$52=0,V8="",W8=""),0,IFERROR(IF(AND(INDEX(Arten,MATCH(V8,Codes,0))="Arbeit",INDEX(Arten,MATCH(W8,Codes,0))="Arbeit"),IF(ROUND((1+INDEX(Beginne,MATCH(W8,Codes,0))-INDEX(EndeRel,MATCH(V8,Codes,0)))*1440,0)&lt;660,1,0),0),0))</f>
      </c>
      <c r="X57" s="1">
        <f>IF(OR(X$52=0,W8="",X8=""),0,IFERROR(IF(AND(INDEX(Arten,MATCH(W8,Codes,0))="Arbeit",INDEX(Arten,MATCH(X8,Codes,0))="Arbeit"),IF(ROUND((1+INDEX(Beginne,MATCH(X8,Codes,0))-INDEX(EndeRel,MATCH(W8,Codes,0)))*1440,0)&lt;660,1,0),0),0))</f>
      </c>
      <c r="Y57" s="1">
        <f>IF(OR(Y$52=0,X8="",Y8=""),0,IFERROR(IF(AND(INDEX(Arten,MATCH(X8,Codes,0))="Arbeit",INDEX(Arten,MATCH(Y8,Codes,0))="Arbeit"),IF(ROUND((1+INDEX(Beginne,MATCH(Y8,Codes,0))-INDEX(EndeRel,MATCH(X8,Codes,0)))*1440,0)&lt;660,1,0),0),0))</f>
      </c>
      <c r="Z57" s="1">
        <f>IF(OR(Z$52=0,Y8="",Z8=""),0,IFERROR(IF(AND(INDEX(Arten,MATCH(Y8,Codes,0))="Arbeit",INDEX(Arten,MATCH(Z8,Codes,0))="Arbeit"),IF(ROUND((1+INDEX(Beginne,MATCH(Z8,Codes,0))-INDEX(EndeRel,MATCH(Y8,Codes,0)))*1440,0)&lt;660,1,0),0),0))</f>
      </c>
      <c r="AA57" s="1">
        <f>IF(OR(AA$52=0,Z8="",AA8=""),0,IFERROR(IF(AND(INDEX(Arten,MATCH(Z8,Codes,0))="Arbeit",INDEX(Arten,MATCH(AA8,Codes,0))="Arbeit"),IF(ROUND((1+INDEX(Beginne,MATCH(AA8,Codes,0))-INDEX(EndeRel,MATCH(Z8,Codes,0)))*1440,0)&lt;660,1,0),0),0))</f>
      </c>
      <c r="AB57" s="1">
        <f>IF(OR(AB$52=0,AA8="",AB8=""),0,IFERROR(IF(AND(INDEX(Arten,MATCH(AA8,Codes,0))="Arbeit",INDEX(Arten,MATCH(AB8,Codes,0))="Arbeit"),IF(ROUND((1+INDEX(Beginne,MATCH(AB8,Codes,0))-INDEX(EndeRel,MATCH(AA8,Codes,0)))*1440,0)&lt;660,1,0),0),0))</f>
      </c>
      <c r="AC57" s="1">
        <f>IF(OR(AC$52=0,AB8="",AC8=""),0,IFERROR(IF(AND(INDEX(Arten,MATCH(AB8,Codes,0))="Arbeit",INDEX(Arten,MATCH(AC8,Codes,0))="Arbeit"),IF(ROUND((1+INDEX(Beginne,MATCH(AC8,Codes,0))-INDEX(EndeRel,MATCH(AB8,Codes,0)))*1440,0)&lt;660,1,0),0),0))</f>
      </c>
      <c r="AD57" s="1">
        <f>IF(OR(AD$52=0,AC8="",AD8=""),0,IFERROR(IF(AND(INDEX(Arten,MATCH(AC8,Codes,0))="Arbeit",INDEX(Arten,MATCH(AD8,Codes,0))="Arbeit"),IF(ROUND((1+INDEX(Beginne,MATCH(AD8,Codes,0))-INDEX(EndeRel,MATCH(AC8,Codes,0)))*1440,0)&lt;660,1,0),0),0))</f>
      </c>
      <c r="AE57" s="1">
        <f>IF(OR(AE$52=0,AD8="",AE8=""),0,IFERROR(IF(AND(INDEX(Arten,MATCH(AD8,Codes,0))="Arbeit",INDEX(Arten,MATCH(AE8,Codes,0))="Arbeit"),IF(ROUND((1+INDEX(Beginne,MATCH(AE8,Codes,0))-INDEX(EndeRel,MATCH(AD8,Codes,0)))*1440,0)&lt;660,1,0),0),0))</f>
      </c>
      <c r="AF57" s="1">
        <f>IF(OR(AF$52=0,AE8="",AF8=""),0,IFERROR(IF(AND(INDEX(Arten,MATCH(AE8,Codes,0))="Arbeit",INDEX(Arten,MATCH(AF8,Codes,0))="Arbeit"),IF(ROUND((1+INDEX(Beginne,MATCH(AF8,Codes,0))-INDEX(EndeRel,MATCH(AE8,Codes,0)))*1440,0)&lt;660,1,0),0),0))</f>
      </c>
    </row>
    <row r="58" hidden="1" spans="1:32" x14ac:dyDescent="0.25">
      <c r="A58" s="1"/>
      <c r="B58" s="1">
        <f>IF(OR(B$52=0,INDEX('Mai'!$B$9:$AF$9,DAY(DATE(Jahr,6,0)))="",B9=""),0,IFERROR(IF(AND(INDEX(Arten,MATCH(INDEX('Mai'!$B$9:$AF$9,DAY(DATE(Jahr,6,0))),Codes,0))="Arbeit",INDEX(Arten,MATCH(B9,Codes,0))="Arbeit"),IF(ROUND((1+INDEX(Beginne,MATCH(B9,Codes,0))-INDEX(EndeRel,MATCH(INDEX('Mai'!$B$9:$AF$9,DAY(DATE(Jahr,6,0))),Codes,0)))*1440,0)&lt;660,1,0),0),0))</f>
      </c>
      <c r="C58" s="1">
        <f>IF(OR(C$52=0,B9="",C9=""),0,IFERROR(IF(AND(INDEX(Arten,MATCH(B9,Codes,0))="Arbeit",INDEX(Arten,MATCH(C9,Codes,0))="Arbeit"),IF(ROUND((1+INDEX(Beginne,MATCH(C9,Codes,0))-INDEX(EndeRel,MATCH(B9,Codes,0)))*1440,0)&lt;660,1,0),0),0))</f>
      </c>
      <c r="D58" s="1">
        <f>IF(OR(D$52=0,C9="",D9=""),0,IFERROR(IF(AND(INDEX(Arten,MATCH(C9,Codes,0))="Arbeit",INDEX(Arten,MATCH(D9,Codes,0))="Arbeit"),IF(ROUND((1+INDEX(Beginne,MATCH(D9,Codes,0))-INDEX(EndeRel,MATCH(C9,Codes,0)))*1440,0)&lt;660,1,0),0),0))</f>
      </c>
      <c r="E58" s="1">
        <f>IF(OR(E$52=0,D9="",E9=""),0,IFERROR(IF(AND(INDEX(Arten,MATCH(D9,Codes,0))="Arbeit",INDEX(Arten,MATCH(E9,Codes,0))="Arbeit"),IF(ROUND((1+INDEX(Beginne,MATCH(E9,Codes,0))-INDEX(EndeRel,MATCH(D9,Codes,0)))*1440,0)&lt;660,1,0),0),0))</f>
      </c>
      <c r="F58" s="1">
        <f>IF(OR(F$52=0,E9="",F9=""),0,IFERROR(IF(AND(INDEX(Arten,MATCH(E9,Codes,0))="Arbeit",INDEX(Arten,MATCH(F9,Codes,0))="Arbeit"),IF(ROUND((1+INDEX(Beginne,MATCH(F9,Codes,0))-INDEX(EndeRel,MATCH(E9,Codes,0)))*1440,0)&lt;660,1,0),0),0))</f>
      </c>
      <c r="G58" s="1">
        <f>IF(OR(G$52=0,F9="",G9=""),0,IFERROR(IF(AND(INDEX(Arten,MATCH(F9,Codes,0))="Arbeit",INDEX(Arten,MATCH(G9,Codes,0))="Arbeit"),IF(ROUND((1+INDEX(Beginne,MATCH(G9,Codes,0))-INDEX(EndeRel,MATCH(F9,Codes,0)))*1440,0)&lt;660,1,0),0),0))</f>
      </c>
      <c r="H58" s="1">
        <f>IF(OR(H$52=0,G9="",H9=""),0,IFERROR(IF(AND(INDEX(Arten,MATCH(G9,Codes,0))="Arbeit",INDEX(Arten,MATCH(H9,Codes,0))="Arbeit"),IF(ROUND((1+INDEX(Beginne,MATCH(H9,Codes,0))-INDEX(EndeRel,MATCH(G9,Codes,0)))*1440,0)&lt;660,1,0),0),0))</f>
      </c>
      <c r="I58" s="1">
        <f>IF(OR(I$52=0,H9="",I9=""),0,IFERROR(IF(AND(INDEX(Arten,MATCH(H9,Codes,0))="Arbeit",INDEX(Arten,MATCH(I9,Codes,0))="Arbeit"),IF(ROUND((1+INDEX(Beginne,MATCH(I9,Codes,0))-INDEX(EndeRel,MATCH(H9,Codes,0)))*1440,0)&lt;660,1,0),0),0))</f>
      </c>
      <c r="J58" s="1">
        <f>IF(OR(J$52=0,I9="",J9=""),0,IFERROR(IF(AND(INDEX(Arten,MATCH(I9,Codes,0))="Arbeit",INDEX(Arten,MATCH(J9,Codes,0))="Arbeit"),IF(ROUND((1+INDEX(Beginne,MATCH(J9,Codes,0))-INDEX(EndeRel,MATCH(I9,Codes,0)))*1440,0)&lt;660,1,0),0),0))</f>
      </c>
      <c r="K58" s="1">
        <f>IF(OR(K$52=0,J9="",K9=""),0,IFERROR(IF(AND(INDEX(Arten,MATCH(J9,Codes,0))="Arbeit",INDEX(Arten,MATCH(K9,Codes,0))="Arbeit"),IF(ROUND((1+INDEX(Beginne,MATCH(K9,Codes,0))-INDEX(EndeRel,MATCH(J9,Codes,0)))*1440,0)&lt;660,1,0),0),0))</f>
      </c>
      <c r="L58" s="1">
        <f>IF(OR(L$52=0,K9="",L9=""),0,IFERROR(IF(AND(INDEX(Arten,MATCH(K9,Codes,0))="Arbeit",INDEX(Arten,MATCH(L9,Codes,0))="Arbeit"),IF(ROUND((1+INDEX(Beginne,MATCH(L9,Codes,0))-INDEX(EndeRel,MATCH(K9,Codes,0)))*1440,0)&lt;660,1,0),0),0))</f>
      </c>
      <c r="M58" s="1">
        <f>IF(OR(M$52=0,L9="",M9=""),0,IFERROR(IF(AND(INDEX(Arten,MATCH(L9,Codes,0))="Arbeit",INDEX(Arten,MATCH(M9,Codes,0))="Arbeit"),IF(ROUND((1+INDEX(Beginne,MATCH(M9,Codes,0))-INDEX(EndeRel,MATCH(L9,Codes,0)))*1440,0)&lt;660,1,0),0),0))</f>
      </c>
      <c r="N58" s="1">
        <f>IF(OR(N$52=0,M9="",N9=""),0,IFERROR(IF(AND(INDEX(Arten,MATCH(M9,Codes,0))="Arbeit",INDEX(Arten,MATCH(N9,Codes,0))="Arbeit"),IF(ROUND((1+INDEX(Beginne,MATCH(N9,Codes,0))-INDEX(EndeRel,MATCH(M9,Codes,0)))*1440,0)&lt;660,1,0),0),0))</f>
      </c>
      <c r="O58" s="1">
        <f>IF(OR(O$52=0,N9="",O9=""),0,IFERROR(IF(AND(INDEX(Arten,MATCH(N9,Codes,0))="Arbeit",INDEX(Arten,MATCH(O9,Codes,0))="Arbeit"),IF(ROUND((1+INDEX(Beginne,MATCH(O9,Codes,0))-INDEX(EndeRel,MATCH(N9,Codes,0)))*1440,0)&lt;660,1,0),0),0))</f>
      </c>
      <c r="P58" s="1">
        <f>IF(OR(P$52=0,O9="",P9=""),0,IFERROR(IF(AND(INDEX(Arten,MATCH(O9,Codes,0))="Arbeit",INDEX(Arten,MATCH(P9,Codes,0))="Arbeit"),IF(ROUND((1+INDEX(Beginne,MATCH(P9,Codes,0))-INDEX(EndeRel,MATCH(O9,Codes,0)))*1440,0)&lt;660,1,0),0),0))</f>
      </c>
      <c r="Q58" s="1">
        <f>IF(OR(Q$52=0,P9="",Q9=""),0,IFERROR(IF(AND(INDEX(Arten,MATCH(P9,Codes,0))="Arbeit",INDEX(Arten,MATCH(Q9,Codes,0))="Arbeit"),IF(ROUND((1+INDEX(Beginne,MATCH(Q9,Codes,0))-INDEX(EndeRel,MATCH(P9,Codes,0)))*1440,0)&lt;660,1,0),0),0))</f>
      </c>
      <c r="R58" s="1">
        <f>IF(OR(R$52=0,Q9="",R9=""),0,IFERROR(IF(AND(INDEX(Arten,MATCH(Q9,Codes,0))="Arbeit",INDEX(Arten,MATCH(R9,Codes,0))="Arbeit"),IF(ROUND((1+INDEX(Beginne,MATCH(R9,Codes,0))-INDEX(EndeRel,MATCH(Q9,Codes,0)))*1440,0)&lt;660,1,0),0),0))</f>
      </c>
      <c r="S58" s="1">
        <f>IF(OR(S$52=0,R9="",S9=""),0,IFERROR(IF(AND(INDEX(Arten,MATCH(R9,Codes,0))="Arbeit",INDEX(Arten,MATCH(S9,Codes,0))="Arbeit"),IF(ROUND((1+INDEX(Beginne,MATCH(S9,Codes,0))-INDEX(EndeRel,MATCH(R9,Codes,0)))*1440,0)&lt;660,1,0),0),0))</f>
      </c>
      <c r="T58" s="1">
        <f>IF(OR(T$52=0,S9="",T9=""),0,IFERROR(IF(AND(INDEX(Arten,MATCH(S9,Codes,0))="Arbeit",INDEX(Arten,MATCH(T9,Codes,0))="Arbeit"),IF(ROUND((1+INDEX(Beginne,MATCH(T9,Codes,0))-INDEX(EndeRel,MATCH(S9,Codes,0)))*1440,0)&lt;660,1,0),0),0))</f>
      </c>
      <c r="U58" s="1">
        <f>IF(OR(U$52=0,T9="",U9=""),0,IFERROR(IF(AND(INDEX(Arten,MATCH(T9,Codes,0))="Arbeit",INDEX(Arten,MATCH(U9,Codes,0))="Arbeit"),IF(ROUND((1+INDEX(Beginne,MATCH(U9,Codes,0))-INDEX(EndeRel,MATCH(T9,Codes,0)))*1440,0)&lt;660,1,0),0),0))</f>
      </c>
      <c r="V58" s="1">
        <f>IF(OR(V$52=0,U9="",V9=""),0,IFERROR(IF(AND(INDEX(Arten,MATCH(U9,Codes,0))="Arbeit",INDEX(Arten,MATCH(V9,Codes,0))="Arbeit"),IF(ROUND((1+INDEX(Beginne,MATCH(V9,Codes,0))-INDEX(EndeRel,MATCH(U9,Codes,0)))*1440,0)&lt;660,1,0),0),0))</f>
      </c>
      <c r="W58" s="1">
        <f>IF(OR(W$52=0,V9="",W9=""),0,IFERROR(IF(AND(INDEX(Arten,MATCH(V9,Codes,0))="Arbeit",INDEX(Arten,MATCH(W9,Codes,0))="Arbeit"),IF(ROUND((1+INDEX(Beginne,MATCH(W9,Codes,0))-INDEX(EndeRel,MATCH(V9,Codes,0)))*1440,0)&lt;660,1,0),0),0))</f>
      </c>
      <c r="X58" s="1">
        <f>IF(OR(X$52=0,W9="",X9=""),0,IFERROR(IF(AND(INDEX(Arten,MATCH(W9,Codes,0))="Arbeit",INDEX(Arten,MATCH(X9,Codes,0))="Arbeit"),IF(ROUND((1+INDEX(Beginne,MATCH(X9,Codes,0))-INDEX(EndeRel,MATCH(W9,Codes,0)))*1440,0)&lt;660,1,0),0),0))</f>
      </c>
      <c r="Y58" s="1">
        <f>IF(OR(Y$52=0,X9="",Y9=""),0,IFERROR(IF(AND(INDEX(Arten,MATCH(X9,Codes,0))="Arbeit",INDEX(Arten,MATCH(Y9,Codes,0))="Arbeit"),IF(ROUND((1+INDEX(Beginne,MATCH(Y9,Codes,0))-INDEX(EndeRel,MATCH(X9,Codes,0)))*1440,0)&lt;660,1,0),0),0))</f>
      </c>
      <c r="Z58" s="1">
        <f>IF(OR(Z$52=0,Y9="",Z9=""),0,IFERROR(IF(AND(INDEX(Arten,MATCH(Y9,Codes,0))="Arbeit",INDEX(Arten,MATCH(Z9,Codes,0))="Arbeit"),IF(ROUND((1+INDEX(Beginne,MATCH(Z9,Codes,0))-INDEX(EndeRel,MATCH(Y9,Codes,0)))*1440,0)&lt;660,1,0),0),0))</f>
      </c>
      <c r="AA58" s="1">
        <f>IF(OR(AA$52=0,Z9="",AA9=""),0,IFERROR(IF(AND(INDEX(Arten,MATCH(Z9,Codes,0))="Arbeit",INDEX(Arten,MATCH(AA9,Codes,0))="Arbeit"),IF(ROUND((1+INDEX(Beginne,MATCH(AA9,Codes,0))-INDEX(EndeRel,MATCH(Z9,Codes,0)))*1440,0)&lt;660,1,0),0),0))</f>
      </c>
      <c r="AB58" s="1">
        <f>IF(OR(AB$52=0,AA9="",AB9=""),0,IFERROR(IF(AND(INDEX(Arten,MATCH(AA9,Codes,0))="Arbeit",INDEX(Arten,MATCH(AB9,Codes,0))="Arbeit"),IF(ROUND((1+INDEX(Beginne,MATCH(AB9,Codes,0))-INDEX(EndeRel,MATCH(AA9,Codes,0)))*1440,0)&lt;660,1,0),0),0))</f>
      </c>
      <c r="AC58" s="1">
        <f>IF(OR(AC$52=0,AB9="",AC9=""),0,IFERROR(IF(AND(INDEX(Arten,MATCH(AB9,Codes,0))="Arbeit",INDEX(Arten,MATCH(AC9,Codes,0))="Arbeit"),IF(ROUND((1+INDEX(Beginne,MATCH(AC9,Codes,0))-INDEX(EndeRel,MATCH(AB9,Codes,0)))*1440,0)&lt;660,1,0),0),0))</f>
      </c>
      <c r="AD58" s="1">
        <f>IF(OR(AD$52=0,AC9="",AD9=""),0,IFERROR(IF(AND(INDEX(Arten,MATCH(AC9,Codes,0))="Arbeit",INDEX(Arten,MATCH(AD9,Codes,0))="Arbeit"),IF(ROUND((1+INDEX(Beginne,MATCH(AD9,Codes,0))-INDEX(EndeRel,MATCH(AC9,Codes,0)))*1440,0)&lt;660,1,0),0),0))</f>
      </c>
      <c r="AE58" s="1">
        <f>IF(OR(AE$52=0,AD9="",AE9=""),0,IFERROR(IF(AND(INDEX(Arten,MATCH(AD9,Codes,0))="Arbeit",INDEX(Arten,MATCH(AE9,Codes,0))="Arbeit"),IF(ROUND((1+INDEX(Beginne,MATCH(AE9,Codes,0))-INDEX(EndeRel,MATCH(AD9,Codes,0)))*1440,0)&lt;660,1,0),0),0))</f>
      </c>
      <c r="AF58" s="1">
        <f>IF(OR(AF$52=0,AE9="",AF9=""),0,IFERROR(IF(AND(INDEX(Arten,MATCH(AE9,Codes,0))="Arbeit",INDEX(Arten,MATCH(AF9,Codes,0))="Arbeit"),IF(ROUND((1+INDEX(Beginne,MATCH(AF9,Codes,0))-INDEX(EndeRel,MATCH(AE9,Codes,0)))*1440,0)&lt;660,1,0),0),0))</f>
      </c>
    </row>
    <row r="59" hidden="1" spans="1:32" x14ac:dyDescent="0.25">
      <c r="A59" s="1"/>
      <c r="B59" s="1">
        <f>IF(OR(B$52=0,INDEX('Mai'!$B$10:$AF$10,DAY(DATE(Jahr,6,0)))="",B10=""),0,IFERROR(IF(AND(INDEX(Arten,MATCH(INDEX('Mai'!$B$10:$AF$10,DAY(DATE(Jahr,6,0))),Codes,0))="Arbeit",INDEX(Arten,MATCH(B10,Codes,0))="Arbeit"),IF(ROUND((1+INDEX(Beginne,MATCH(B10,Codes,0))-INDEX(EndeRel,MATCH(INDEX('Mai'!$B$10:$AF$10,DAY(DATE(Jahr,6,0))),Codes,0)))*1440,0)&lt;660,1,0),0),0))</f>
      </c>
      <c r="C59" s="1">
        <f>IF(OR(C$52=0,B10="",C10=""),0,IFERROR(IF(AND(INDEX(Arten,MATCH(B10,Codes,0))="Arbeit",INDEX(Arten,MATCH(C10,Codes,0))="Arbeit"),IF(ROUND((1+INDEX(Beginne,MATCH(C10,Codes,0))-INDEX(EndeRel,MATCH(B10,Codes,0)))*1440,0)&lt;660,1,0),0),0))</f>
      </c>
      <c r="D59" s="1">
        <f>IF(OR(D$52=0,C10="",D10=""),0,IFERROR(IF(AND(INDEX(Arten,MATCH(C10,Codes,0))="Arbeit",INDEX(Arten,MATCH(D10,Codes,0))="Arbeit"),IF(ROUND((1+INDEX(Beginne,MATCH(D10,Codes,0))-INDEX(EndeRel,MATCH(C10,Codes,0)))*1440,0)&lt;660,1,0),0),0))</f>
      </c>
      <c r="E59" s="1">
        <f>IF(OR(E$52=0,D10="",E10=""),0,IFERROR(IF(AND(INDEX(Arten,MATCH(D10,Codes,0))="Arbeit",INDEX(Arten,MATCH(E10,Codes,0))="Arbeit"),IF(ROUND((1+INDEX(Beginne,MATCH(E10,Codes,0))-INDEX(EndeRel,MATCH(D10,Codes,0)))*1440,0)&lt;660,1,0),0),0))</f>
      </c>
      <c r="F59" s="1">
        <f>IF(OR(F$52=0,E10="",F10=""),0,IFERROR(IF(AND(INDEX(Arten,MATCH(E10,Codes,0))="Arbeit",INDEX(Arten,MATCH(F10,Codes,0))="Arbeit"),IF(ROUND((1+INDEX(Beginne,MATCH(F10,Codes,0))-INDEX(EndeRel,MATCH(E10,Codes,0)))*1440,0)&lt;660,1,0),0),0))</f>
      </c>
      <c r="G59" s="1">
        <f>IF(OR(G$52=0,F10="",G10=""),0,IFERROR(IF(AND(INDEX(Arten,MATCH(F10,Codes,0))="Arbeit",INDEX(Arten,MATCH(G10,Codes,0))="Arbeit"),IF(ROUND((1+INDEX(Beginne,MATCH(G10,Codes,0))-INDEX(EndeRel,MATCH(F10,Codes,0)))*1440,0)&lt;660,1,0),0),0))</f>
      </c>
      <c r="H59" s="1">
        <f>IF(OR(H$52=0,G10="",H10=""),0,IFERROR(IF(AND(INDEX(Arten,MATCH(G10,Codes,0))="Arbeit",INDEX(Arten,MATCH(H10,Codes,0))="Arbeit"),IF(ROUND((1+INDEX(Beginne,MATCH(H10,Codes,0))-INDEX(EndeRel,MATCH(G10,Codes,0)))*1440,0)&lt;660,1,0),0),0))</f>
      </c>
      <c r="I59" s="1">
        <f>IF(OR(I$52=0,H10="",I10=""),0,IFERROR(IF(AND(INDEX(Arten,MATCH(H10,Codes,0))="Arbeit",INDEX(Arten,MATCH(I10,Codes,0))="Arbeit"),IF(ROUND((1+INDEX(Beginne,MATCH(I10,Codes,0))-INDEX(EndeRel,MATCH(H10,Codes,0)))*1440,0)&lt;660,1,0),0),0))</f>
      </c>
      <c r="J59" s="1">
        <f>IF(OR(J$52=0,I10="",J10=""),0,IFERROR(IF(AND(INDEX(Arten,MATCH(I10,Codes,0))="Arbeit",INDEX(Arten,MATCH(J10,Codes,0))="Arbeit"),IF(ROUND((1+INDEX(Beginne,MATCH(J10,Codes,0))-INDEX(EndeRel,MATCH(I10,Codes,0)))*1440,0)&lt;660,1,0),0),0))</f>
      </c>
      <c r="K59" s="1">
        <f>IF(OR(K$52=0,J10="",K10=""),0,IFERROR(IF(AND(INDEX(Arten,MATCH(J10,Codes,0))="Arbeit",INDEX(Arten,MATCH(K10,Codes,0))="Arbeit"),IF(ROUND((1+INDEX(Beginne,MATCH(K10,Codes,0))-INDEX(EndeRel,MATCH(J10,Codes,0)))*1440,0)&lt;660,1,0),0),0))</f>
      </c>
      <c r="L59" s="1">
        <f>IF(OR(L$52=0,K10="",L10=""),0,IFERROR(IF(AND(INDEX(Arten,MATCH(K10,Codes,0))="Arbeit",INDEX(Arten,MATCH(L10,Codes,0))="Arbeit"),IF(ROUND((1+INDEX(Beginne,MATCH(L10,Codes,0))-INDEX(EndeRel,MATCH(K10,Codes,0)))*1440,0)&lt;660,1,0),0),0))</f>
      </c>
      <c r="M59" s="1">
        <f>IF(OR(M$52=0,L10="",M10=""),0,IFERROR(IF(AND(INDEX(Arten,MATCH(L10,Codes,0))="Arbeit",INDEX(Arten,MATCH(M10,Codes,0))="Arbeit"),IF(ROUND((1+INDEX(Beginne,MATCH(M10,Codes,0))-INDEX(EndeRel,MATCH(L10,Codes,0)))*1440,0)&lt;660,1,0),0),0))</f>
      </c>
      <c r="N59" s="1">
        <f>IF(OR(N$52=0,M10="",N10=""),0,IFERROR(IF(AND(INDEX(Arten,MATCH(M10,Codes,0))="Arbeit",INDEX(Arten,MATCH(N10,Codes,0))="Arbeit"),IF(ROUND((1+INDEX(Beginne,MATCH(N10,Codes,0))-INDEX(EndeRel,MATCH(M10,Codes,0)))*1440,0)&lt;660,1,0),0),0))</f>
      </c>
      <c r="O59" s="1">
        <f>IF(OR(O$52=0,N10="",O10=""),0,IFERROR(IF(AND(INDEX(Arten,MATCH(N10,Codes,0))="Arbeit",INDEX(Arten,MATCH(O10,Codes,0))="Arbeit"),IF(ROUND((1+INDEX(Beginne,MATCH(O10,Codes,0))-INDEX(EndeRel,MATCH(N10,Codes,0)))*1440,0)&lt;660,1,0),0),0))</f>
      </c>
      <c r="P59" s="1">
        <f>IF(OR(P$52=0,O10="",P10=""),0,IFERROR(IF(AND(INDEX(Arten,MATCH(O10,Codes,0))="Arbeit",INDEX(Arten,MATCH(P10,Codes,0))="Arbeit"),IF(ROUND((1+INDEX(Beginne,MATCH(P10,Codes,0))-INDEX(EndeRel,MATCH(O10,Codes,0)))*1440,0)&lt;660,1,0),0),0))</f>
      </c>
      <c r="Q59" s="1">
        <f>IF(OR(Q$52=0,P10="",Q10=""),0,IFERROR(IF(AND(INDEX(Arten,MATCH(P10,Codes,0))="Arbeit",INDEX(Arten,MATCH(Q10,Codes,0))="Arbeit"),IF(ROUND((1+INDEX(Beginne,MATCH(Q10,Codes,0))-INDEX(EndeRel,MATCH(P10,Codes,0)))*1440,0)&lt;660,1,0),0),0))</f>
      </c>
      <c r="R59" s="1">
        <f>IF(OR(R$52=0,Q10="",R10=""),0,IFERROR(IF(AND(INDEX(Arten,MATCH(Q10,Codes,0))="Arbeit",INDEX(Arten,MATCH(R10,Codes,0))="Arbeit"),IF(ROUND((1+INDEX(Beginne,MATCH(R10,Codes,0))-INDEX(EndeRel,MATCH(Q10,Codes,0)))*1440,0)&lt;660,1,0),0),0))</f>
      </c>
      <c r="S59" s="1">
        <f>IF(OR(S$52=0,R10="",S10=""),0,IFERROR(IF(AND(INDEX(Arten,MATCH(R10,Codes,0))="Arbeit",INDEX(Arten,MATCH(S10,Codes,0))="Arbeit"),IF(ROUND((1+INDEX(Beginne,MATCH(S10,Codes,0))-INDEX(EndeRel,MATCH(R10,Codes,0)))*1440,0)&lt;660,1,0),0),0))</f>
      </c>
      <c r="T59" s="1">
        <f>IF(OR(T$52=0,S10="",T10=""),0,IFERROR(IF(AND(INDEX(Arten,MATCH(S10,Codes,0))="Arbeit",INDEX(Arten,MATCH(T10,Codes,0))="Arbeit"),IF(ROUND((1+INDEX(Beginne,MATCH(T10,Codes,0))-INDEX(EndeRel,MATCH(S10,Codes,0)))*1440,0)&lt;660,1,0),0),0))</f>
      </c>
      <c r="U59" s="1">
        <f>IF(OR(U$52=0,T10="",U10=""),0,IFERROR(IF(AND(INDEX(Arten,MATCH(T10,Codes,0))="Arbeit",INDEX(Arten,MATCH(U10,Codes,0))="Arbeit"),IF(ROUND((1+INDEX(Beginne,MATCH(U10,Codes,0))-INDEX(EndeRel,MATCH(T10,Codes,0)))*1440,0)&lt;660,1,0),0),0))</f>
      </c>
      <c r="V59" s="1">
        <f>IF(OR(V$52=0,U10="",V10=""),0,IFERROR(IF(AND(INDEX(Arten,MATCH(U10,Codes,0))="Arbeit",INDEX(Arten,MATCH(V10,Codes,0))="Arbeit"),IF(ROUND((1+INDEX(Beginne,MATCH(V10,Codes,0))-INDEX(EndeRel,MATCH(U10,Codes,0)))*1440,0)&lt;660,1,0),0),0))</f>
      </c>
      <c r="W59" s="1">
        <f>IF(OR(W$52=0,V10="",W10=""),0,IFERROR(IF(AND(INDEX(Arten,MATCH(V10,Codes,0))="Arbeit",INDEX(Arten,MATCH(W10,Codes,0))="Arbeit"),IF(ROUND((1+INDEX(Beginne,MATCH(W10,Codes,0))-INDEX(EndeRel,MATCH(V10,Codes,0)))*1440,0)&lt;660,1,0),0),0))</f>
      </c>
      <c r="X59" s="1">
        <f>IF(OR(X$52=0,W10="",X10=""),0,IFERROR(IF(AND(INDEX(Arten,MATCH(W10,Codes,0))="Arbeit",INDEX(Arten,MATCH(X10,Codes,0))="Arbeit"),IF(ROUND((1+INDEX(Beginne,MATCH(X10,Codes,0))-INDEX(EndeRel,MATCH(W10,Codes,0)))*1440,0)&lt;660,1,0),0),0))</f>
      </c>
      <c r="Y59" s="1">
        <f>IF(OR(Y$52=0,X10="",Y10=""),0,IFERROR(IF(AND(INDEX(Arten,MATCH(X10,Codes,0))="Arbeit",INDEX(Arten,MATCH(Y10,Codes,0))="Arbeit"),IF(ROUND((1+INDEX(Beginne,MATCH(Y10,Codes,0))-INDEX(EndeRel,MATCH(X10,Codes,0)))*1440,0)&lt;660,1,0),0),0))</f>
      </c>
      <c r="Z59" s="1">
        <f>IF(OR(Z$52=0,Y10="",Z10=""),0,IFERROR(IF(AND(INDEX(Arten,MATCH(Y10,Codes,0))="Arbeit",INDEX(Arten,MATCH(Z10,Codes,0))="Arbeit"),IF(ROUND((1+INDEX(Beginne,MATCH(Z10,Codes,0))-INDEX(EndeRel,MATCH(Y10,Codes,0)))*1440,0)&lt;660,1,0),0),0))</f>
      </c>
      <c r="AA59" s="1">
        <f>IF(OR(AA$52=0,Z10="",AA10=""),0,IFERROR(IF(AND(INDEX(Arten,MATCH(Z10,Codes,0))="Arbeit",INDEX(Arten,MATCH(AA10,Codes,0))="Arbeit"),IF(ROUND((1+INDEX(Beginne,MATCH(AA10,Codes,0))-INDEX(EndeRel,MATCH(Z10,Codes,0)))*1440,0)&lt;660,1,0),0),0))</f>
      </c>
      <c r="AB59" s="1">
        <f>IF(OR(AB$52=0,AA10="",AB10=""),0,IFERROR(IF(AND(INDEX(Arten,MATCH(AA10,Codes,0))="Arbeit",INDEX(Arten,MATCH(AB10,Codes,0))="Arbeit"),IF(ROUND((1+INDEX(Beginne,MATCH(AB10,Codes,0))-INDEX(EndeRel,MATCH(AA10,Codes,0)))*1440,0)&lt;660,1,0),0),0))</f>
      </c>
      <c r="AC59" s="1">
        <f>IF(OR(AC$52=0,AB10="",AC10=""),0,IFERROR(IF(AND(INDEX(Arten,MATCH(AB10,Codes,0))="Arbeit",INDEX(Arten,MATCH(AC10,Codes,0))="Arbeit"),IF(ROUND((1+INDEX(Beginne,MATCH(AC10,Codes,0))-INDEX(EndeRel,MATCH(AB10,Codes,0)))*1440,0)&lt;660,1,0),0),0))</f>
      </c>
      <c r="AD59" s="1">
        <f>IF(OR(AD$52=0,AC10="",AD10=""),0,IFERROR(IF(AND(INDEX(Arten,MATCH(AC10,Codes,0))="Arbeit",INDEX(Arten,MATCH(AD10,Codes,0))="Arbeit"),IF(ROUND((1+INDEX(Beginne,MATCH(AD10,Codes,0))-INDEX(EndeRel,MATCH(AC10,Codes,0)))*1440,0)&lt;660,1,0),0),0))</f>
      </c>
      <c r="AE59" s="1">
        <f>IF(OR(AE$52=0,AD10="",AE10=""),0,IFERROR(IF(AND(INDEX(Arten,MATCH(AD10,Codes,0))="Arbeit",INDEX(Arten,MATCH(AE10,Codes,0))="Arbeit"),IF(ROUND((1+INDEX(Beginne,MATCH(AE10,Codes,0))-INDEX(EndeRel,MATCH(AD10,Codes,0)))*1440,0)&lt;660,1,0),0),0))</f>
      </c>
      <c r="AF59" s="1">
        <f>IF(OR(AF$52=0,AE10="",AF10=""),0,IFERROR(IF(AND(INDEX(Arten,MATCH(AE10,Codes,0))="Arbeit",INDEX(Arten,MATCH(AF10,Codes,0))="Arbeit"),IF(ROUND((1+INDEX(Beginne,MATCH(AF10,Codes,0))-INDEX(EndeRel,MATCH(AE10,Codes,0)))*1440,0)&lt;660,1,0),0),0))</f>
      </c>
    </row>
    <row r="60" hidden="1" spans="1:32" x14ac:dyDescent="0.25">
      <c r="A60" s="1"/>
      <c r="B60" s="1">
        <f>IF(OR(B$52=0,INDEX('Mai'!$B$11:$AF$11,DAY(DATE(Jahr,6,0)))="",B11=""),0,IFERROR(IF(AND(INDEX(Arten,MATCH(INDEX('Mai'!$B$11:$AF$11,DAY(DATE(Jahr,6,0))),Codes,0))="Arbeit",INDEX(Arten,MATCH(B11,Codes,0))="Arbeit"),IF(ROUND((1+INDEX(Beginne,MATCH(B11,Codes,0))-INDEX(EndeRel,MATCH(INDEX('Mai'!$B$11:$AF$11,DAY(DATE(Jahr,6,0))),Codes,0)))*1440,0)&lt;660,1,0),0),0))</f>
      </c>
      <c r="C60" s="1">
        <f>IF(OR(C$52=0,B11="",C11=""),0,IFERROR(IF(AND(INDEX(Arten,MATCH(B11,Codes,0))="Arbeit",INDEX(Arten,MATCH(C11,Codes,0))="Arbeit"),IF(ROUND((1+INDEX(Beginne,MATCH(C11,Codes,0))-INDEX(EndeRel,MATCH(B11,Codes,0)))*1440,0)&lt;660,1,0),0),0))</f>
      </c>
      <c r="D60" s="1">
        <f>IF(OR(D$52=0,C11="",D11=""),0,IFERROR(IF(AND(INDEX(Arten,MATCH(C11,Codes,0))="Arbeit",INDEX(Arten,MATCH(D11,Codes,0))="Arbeit"),IF(ROUND((1+INDEX(Beginne,MATCH(D11,Codes,0))-INDEX(EndeRel,MATCH(C11,Codes,0)))*1440,0)&lt;660,1,0),0),0))</f>
      </c>
      <c r="E60" s="1">
        <f>IF(OR(E$52=0,D11="",E11=""),0,IFERROR(IF(AND(INDEX(Arten,MATCH(D11,Codes,0))="Arbeit",INDEX(Arten,MATCH(E11,Codes,0))="Arbeit"),IF(ROUND((1+INDEX(Beginne,MATCH(E11,Codes,0))-INDEX(EndeRel,MATCH(D11,Codes,0)))*1440,0)&lt;660,1,0),0),0))</f>
      </c>
      <c r="F60" s="1">
        <f>IF(OR(F$52=0,E11="",F11=""),0,IFERROR(IF(AND(INDEX(Arten,MATCH(E11,Codes,0))="Arbeit",INDEX(Arten,MATCH(F11,Codes,0))="Arbeit"),IF(ROUND((1+INDEX(Beginne,MATCH(F11,Codes,0))-INDEX(EndeRel,MATCH(E11,Codes,0)))*1440,0)&lt;660,1,0),0),0))</f>
      </c>
      <c r="G60" s="1">
        <f>IF(OR(G$52=0,F11="",G11=""),0,IFERROR(IF(AND(INDEX(Arten,MATCH(F11,Codes,0))="Arbeit",INDEX(Arten,MATCH(G11,Codes,0))="Arbeit"),IF(ROUND((1+INDEX(Beginne,MATCH(G11,Codes,0))-INDEX(EndeRel,MATCH(F11,Codes,0)))*1440,0)&lt;660,1,0),0),0))</f>
      </c>
      <c r="H60" s="1">
        <f>IF(OR(H$52=0,G11="",H11=""),0,IFERROR(IF(AND(INDEX(Arten,MATCH(G11,Codes,0))="Arbeit",INDEX(Arten,MATCH(H11,Codes,0))="Arbeit"),IF(ROUND((1+INDEX(Beginne,MATCH(H11,Codes,0))-INDEX(EndeRel,MATCH(G11,Codes,0)))*1440,0)&lt;660,1,0),0),0))</f>
      </c>
      <c r="I60" s="1">
        <f>IF(OR(I$52=0,H11="",I11=""),0,IFERROR(IF(AND(INDEX(Arten,MATCH(H11,Codes,0))="Arbeit",INDEX(Arten,MATCH(I11,Codes,0))="Arbeit"),IF(ROUND((1+INDEX(Beginne,MATCH(I11,Codes,0))-INDEX(EndeRel,MATCH(H11,Codes,0)))*1440,0)&lt;660,1,0),0),0))</f>
      </c>
      <c r="J60" s="1">
        <f>IF(OR(J$52=0,I11="",J11=""),0,IFERROR(IF(AND(INDEX(Arten,MATCH(I11,Codes,0))="Arbeit",INDEX(Arten,MATCH(J11,Codes,0))="Arbeit"),IF(ROUND((1+INDEX(Beginne,MATCH(J11,Codes,0))-INDEX(EndeRel,MATCH(I11,Codes,0)))*1440,0)&lt;660,1,0),0),0))</f>
      </c>
      <c r="K60" s="1">
        <f>IF(OR(K$52=0,J11="",K11=""),0,IFERROR(IF(AND(INDEX(Arten,MATCH(J11,Codes,0))="Arbeit",INDEX(Arten,MATCH(K11,Codes,0))="Arbeit"),IF(ROUND((1+INDEX(Beginne,MATCH(K11,Codes,0))-INDEX(EndeRel,MATCH(J11,Codes,0)))*1440,0)&lt;660,1,0),0),0))</f>
      </c>
      <c r="L60" s="1">
        <f>IF(OR(L$52=0,K11="",L11=""),0,IFERROR(IF(AND(INDEX(Arten,MATCH(K11,Codes,0))="Arbeit",INDEX(Arten,MATCH(L11,Codes,0))="Arbeit"),IF(ROUND((1+INDEX(Beginne,MATCH(L11,Codes,0))-INDEX(EndeRel,MATCH(K11,Codes,0)))*1440,0)&lt;660,1,0),0),0))</f>
      </c>
      <c r="M60" s="1">
        <f>IF(OR(M$52=0,L11="",M11=""),0,IFERROR(IF(AND(INDEX(Arten,MATCH(L11,Codes,0))="Arbeit",INDEX(Arten,MATCH(M11,Codes,0))="Arbeit"),IF(ROUND((1+INDEX(Beginne,MATCH(M11,Codes,0))-INDEX(EndeRel,MATCH(L11,Codes,0)))*1440,0)&lt;660,1,0),0),0))</f>
      </c>
      <c r="N60" s="1">
        <f>IF(OR(N$52=0,M11="",N11=""),0,IFERROR(IF(AND(INDEX(Arten,MATCH(M11,Codes,0))="Arbeit",INDEX(Arten,MATCH(N11,Codes,0))="Arbeit"),IF(ROUND((1+INDEX(Beginne,MATCH(N11,Codes,0))-INDEX(EndeRel,MATCH(M11,Codes,0)))*1440,0)&lt;660,1,0),0),0))</f>
      </c>
      <c r="O60" s="1">
        <f>IF(OR(O$52=0,N11="",O11=""),0,IFERROR(IF(AND(INDEX(Arten,MATCH(N11,Codes,0))="Arbeit",INDEX(Arten,MATCH(O11,Codes,0))="Arbeit"),IF(ROUND((1+INDEX(Beginne,MATCH(O11,Codes,0))-INDEX(EndeRel,MATCH(N11,Codes,0)))*1440,0)&lt;660,1,0),0),0))</f>
      </c>
      <c r="P60" s="1">
        <f>IF(OR(P$52=0,O11="",P11=""),0,IFERROR(IF(AND(INDEX(Arten,MATCH(O11,Codes,0))="Arbeit",INDEX(Arten,MATCH(P11,Codes,0))="Arbeit"),IF(ROUND((1+INDEX(Beginne,MATCH(P11,Codes,0))-INDEX(EndeRel,MATCH(O11,Codes,0)))*1440,0)&lt;660,1,0),0),0))</f>
      </c>
      <c r="Q60" s="1">
        <f>IF(OR(Q$52=0,P11="",Q11=""),0,IFERROR(IF(AND(INDEX(Arten,MATCH(P11,Codes,0))="Arbeit",INDEX(Arten,MATCH(Q11,Codes,0))="Arbeit"),IF(ROUND((1+INDEX(Beginne,MATCH(Q11,Codes,0))-INDEX(EndeRel,MATCH(P11,Codes,0)))*1440,0)&lt;660,1,0),0),0))</f>
      </c>
      <c r="R60" s="1">
        <f>IF(OR(R$52=0,Q11="",R11=""),0,IFERROR(IF(AND(INDEX(Arten,MATCH(Q11,Codes,0))="Arbeit",INDEX(Arten,MATCH(R11,Codes,0))="Arbeit"),IF(ROUND((1+INDEX(Beginne,MATCH(R11,Codes,0))-INDEX(EndeRel,MATCH(Q11,Codes,0)))*1440,0)&lt;660,1,0),0),0))</f>
      </c>
      <c r="S60" s="1">
        <f>IF(OR(S$52=0,R11="",S11=""),0,IFERROR(IF(AND(INDEX(Arten,MATCH(R11,Codes,0))="Arbeit",INDEX(Arten,MATCH(S11,Codes,0))="Arbeit"),IF(ROUND((1+INDEX(Beginne,MATCH(S11,Codes,0))-INDEX(EndeRel,MATCH(R11,Codes,0)))*1440,0)&lt;660,1,0),0),0))</f>
      </c>
      <c r="T60" s="1">
        <f>IF(OR(T$52=0,S11="",T11=""),0,IFERROR(IF(AND(INDEX(Arten,MATCH(S11,Codes,0))="Arbeit",INDEX(Arten,MATCH(T11,Codes,0))="Arbeit"),IF(ROUND((1+INDEX(Beginne,MATCH(T11,Codes,0))-INDEX(EndeRel,MATCH(S11,Codes,0)))*1440,0)&lt;660,1,0),0),0))</f>
      </c>
      <c r="U60" s="1">
        <f>IF(OR(U$52=0,T11="",U11=""),0,IFERROR(IF(AND(INDEX(Arten,MATCH(T11,Codes,0))="Arbeit",INDEX(Arten,MATCH(U11,Codes,0))="Arbeit"),IF(ROUND((1+INDEX(Beginne,MATCH(U11,Codes,0))-INDEX(EndeRel,MATCH(T11,Codes,0)))*1440,0)&lt;660,1,0),0),0))</f>
      </c>
      <c r="V60" s="1">
        <f>IF(OR(V$52=0,U11="",V11=""),0,IFERROR(IF(AND(INDEX(Arten,MATCH(U11,Codes,0))="Arbeit",INDEX(Arten,MATCH(V11,Codes,0))="Arbeit"),IF(ROUND((1+INDEX(Beginne,MATCH(V11,Codes,0))-INDEX(EndeRel,MATCH(U11,Codes,0)))*1440,0)&lt;660,1,0),0),0))</f>
      </c>
      <c r="W60" s="1">
        <f>IF(OR(W$52=0,V11="",W11=""),0,IFERROR(IF(AND(INDEX(Arten,MATCH(V11,Codes,0))="Arbeit",INDEX(Arten,MATCH(W11,Codes,0))="Arbeit"),IF(ROUND((1+INDEX(Beginne,MATCH(W11,Codes,0))-INDEX(EndeRel,MATCH(V11,Codes,0)))*1440,0)&lt;660,1,0),0),0))</f>
      </c>
      <c r="X60" s="1">
        <f>IF(OR(X$52=0,W11="",X11=""),0,IFERROR(IF(AND(INDEX(Arten,MATCH(W11,Codes,0))="Arbeit",INDEX(Arten,MATCH(X11,Codes,0))="Arbeit"),IF(ROUND((1+INDEX(Beginne,MATCH(X11,Codes,0))-INDEX(EndeRel,MATCH(W11,Codes,0)))*1440,0)&lt;660,1,0),0),0))</f>
      </c>
      <c r="Y60" s="1">
        <f>IF(OR(Y$52=0,X11="",Y11=""),0,IFERROR(IF(AND(INDEX(Arten,MATCH(X11,Codes,0))="Arbeit",INDEX(Arten,MATCH(Y11,Codes,0))="Arbeit"),IF(ROUND((1+INDEX(Beginne,MATCH(Y11,Codes,0))-INDEX(EndeRel,MATCH(X11,Codes,0)))*1440,0)&lt;660,1,0),0),0))</f>
      </c>
      <c r="Z60" s="1">
        <f>IF(OR(Z$52=0,Y11="",Z11=""),0,IFERROR(IF(AND(INDEX(Arten,MATCH(Y11,Codes,0))="Arbeit",INDEX(Arten,MATCH(Z11,Codes,0))="Arbeit"),IF(ROUND((1+INDEX(Beginne,MATCH(Z11,Codes,0))-INDEX(EndeRel,MATCH(Y11,Codes,0)))*1440,0)&lt;660,1,0),0),0))</f>
      </c>
      <c r="AA60" s="1">
        <f>IF(OR(AA$52=0,Z11="",AA11=""),0,IFERROR(IF(AND(INDEX(Arten,MATCH(Z11,Codes,0))="Arbeit",INDEX(Arten,MATCH(AA11,Codes,0))="Arbeit"),IF(ROUND((1+INDEX(Beginne,MATCH(AA11,Codes,0))-INDEX(EndeRel,MATCH(Z11,Codes,0)))*1440,0)&lt;660,1,0),0),0))</f>
      </c>
      <c r="AB60" s="1">
        <f>IF(OR(AB$52=0,AA11="",AB11=""),0,IFERROR(IF(AND(INDEX(Arten,MATCH(AA11,Codes,0))="Arbeit",INDEX(Arten,MATCH(AB11,Codes,0))="Arbeit"),IF(ROUND((1+INDEX(Beginne,MATCH(AB11,Codes,0))-INDEX(EndeRel,MATCH(AA11,Codes,0)))*1440,0)&lt;660,1,0),0),0))</f>
      </c>
      <c r="AC60" s="1">
        <f>IF(OR(AC$52=0,AB11="",AC11=""),0,IFERROR(IF(AND(INDEX(Arten,MATCH(AB11,Codes,0))="Arbeit",INDEX(Arten,MATCH(AC11,Codes,0))="Arbeit"),IF(ROUND((1+INDEX(Beginne,MATCH(AC11,Codes,0))-INDEX(EndeRel,MATCH(AB11,Codes,0)))*1440,0)&lt;660,1,0),0),0))</f>
      </c>
      <c r="AD60" s="1">
        <f>IF(OR(AD$52=0,AC11="",AD11=""),0,IFERROR(IF(AND(INDEX(Arten,MATCH(AC11,Codes,0))="Arbeit",INDEX(Arten,MATCH(AD11,Codes,0))="Arbeit"),IF(ROUND((1+INDEX(Beginne,MATCH(AD11,Codes,0))-INDEX(EndeRel,MATCH(AC11,Codes,0)))*1440,0)&lt;660,1,0),0),0))</f>
      </c>
      <c r="AE60" s="1">
        <f>IF(OR(AE$52=0,AD11="",AE11=""),0,IFERROR(IF(AND(INDEX(Arten,MATCH(AD11,Codes,0))="Arbeit",INDEX(Arten,MATCH(AE11,Codes,0))="Arbeit"),IF(ROUND((1+INDEX(Beginne,MATCH(AE11,Codes,0))-INDEX(EndeRel,MATCH(AD11,Codes,0)))*1440,0)&lt;660,1,0),0),0))</f>
      </c>
      <c r="AF60" s="1">
        <f>IF(OR(AF$52=0,AE11="",AF11=""),0,IFERROR(IF(AND(INDEX(Arten,MATCH(AE11,Codes,0))="Arbeit",INDEX(Arten,MATCH(AF11,Codes,0))="Arbeit"),IF(ROUND((1+INDEX(Beginne,MATCH(AF11,Codes,0))-INDEX(EndeRel,MATCH(AE11,Codes,0)))*1440,0)&lt;660,1,0),0),0))</f>
      </c>
    </row>
    <row r="61" hidden="1" spans="1:32" x14ac:dyDescent="0.25">
      <c r="A61" s="1"/>
      <c r="B61" s="1">
        <f>IF(OR(B$52=0,INDEX('Mai'!$B$12:$AF$12,DAY(DATE(Jahr,6,0)))="",B12=""),0,IFERROR(IF(AND(INDEX(Arten,MATCH(INDEX('Mai'!$B$12:$AF$12,DAY(DATE(Jahr,6,0))),Codes,0))="Arbeit",INDEX(Arten,MATCH(B12,Codes,0))="Arbeit"),IF(ROUND((1+INDEX(Beginne,MATCH(B12,Codes,0))-INDEX(EndeRel,MATCH(INDEX('Mai'!$B$12:$AF$12,DAY(DATE(Jahr,6,0))),Codes,0)))*1440,0)&lt;660,1,0),0),0))</f>
      </c>
      <c r="C61" s="1">
        <f>IF(OR(C$52=0,B12="",C12=""),0,IFERROR(IF(AND(INDEX(Arten,MATCH(B12,Codes,0))="Arbeit",INDEX(Arten,MATCH(C12,Codes,0))="Arbeit"),IF(ROUND((1+INDEX(Beginne,MATCH(C12,Codes,0))-INDEX(EndeRel,MATCH(B12,Codes,0)))*1440,0)&lt;660,1,0),0),0))</f>
      </c>
      <c r="D61" s="1">
        <f>IF(OR(D$52=0,C12="",D12=""),0,IFERROR(IF(AND(INDEX(Arten,MATCH(C12,Codes,0))="Arbeit",INDEX(Arten,MATCH(D12,Codes,0))="Arbeit"),IF(ROUND((1+INDEX(Beginne,MATCH(D12,Codes,0))-INDEX(EndeRel,MATCH(C12,Codes,0)))*1440,0)&lt;660,1,0),0),0))</f>
      </c>
      <c r="E61" s="1">
        <f>IF(OR(E$52=0,D12="",E12=""),0,IFERROR(IF(AND(INDEX(Arten,MATCH(D12,Codes,0))="Arbeit",INDEX(Arten,MATCH(E12,Codes,0))="Arbeit"),IF(ROUND((1+INDEX(Beginne,MATCH(E12,Codes,0))-INDEX(EndeRel,MATCH(D12,Codes,0)))*1440,0)&lt;660,1,0),0),0))</f>
      </c>
      <c r="F61" s="1">
        <f>IF(OR(F$52=0,E12="",F12=""),0,IFERROR(IF(AND(INDEX(Arten,MATCH(E12,Codes,0))="Arbeit",INDEX(Arten,MATCH(F12,Codes,0))="Arbeit"),IF(ROUND((1+INDEX(Beginne,MATCH(F12,Codes,0))-INDEX(EndeRel,MATCH(E12,Codes,0)))*1440,0)&lt;660,1,0),0),0))</f>
      </c>
      <c r="G61" s="1">
        <f>IF(OR(G$52=0,F12="",G12=""),0,IFERROR(IF(AND(INDEX(Arten,MATCH(F12,Codes,0))="Arbeit",INDEX(Arten,MATCH(G12,Codes,0))="Arbeit"),IF(ROUND((1+INDEX(Beginne,MATCH(G12,Codes,0))-INDEX(EndeRel,MATCH(F12,Codes,0)))*1440,0)&lt;660,1,0),0),0))</f>
      </c>
      <c r="H61" s="1">
        <f>IF(OR(H$52=0,G12="",H12=""),0,IFERROR(IF(AND(INDEX(Arten,MATCH(G12,Codes,0))="Arbeit",INDEX(Arten,MATCH(H12,Codes,0))="Arbeit"),IF(ROUND((1+INDEX(Beginne,MATCH(H12,Codes,0))-INDEX(EndeRel,MATCH(G12,Codes,0)))*1440,0)&lt;660,1,0),0),0))</f>
      </c>
      <c r="I61" s="1">
        <f>IF(OR(I$52=0,H12="",I12=""),0,IFERROR(IF(AND(INDEX(Arten,MATCH(H12,Codes,0))="Arbeit",INDEX(Arten,MATCH(I12,Codes,0))="Arbeit"),IF(ROUND((1+INDEX(Beginne,MATCH(I12,Codes,0))-INDEX(EndeRel,MATCH(H12,Codes,0)))*1440,0)&lt;660,1,0),0),0))</f>
      </c>
      <c r="J61" s="1">
        <f>IF(OR(J$52=0,I12="",J12=""),0,IFERROR(IF(AND(INDEX(Arten,MATCH(I12,Codes,0))="Arbeit",INDEX(Arten,MATCH(J12,Codes,0))="Arbeit"),IF(ROUND((1+INDEX(Beginne,MATCH(J12,Codes,0))-INDEX(EndeRel,MATCH(I12,Codes,0)))*1440,0)&lt;660,1,0),0),0))</f>
      </c>
      <c r="K61" s="1">
        <f>IF(OR(K$52=0,J12="",K12=""),0,IFERROR(IF(AND(INDEX(Arten,MATCH(J12,Codes,0))="Arbeit",INDEX(Arten,MATCH(K12,Codes,0))="Arbeit"),IF(ROUND((1+INDEX(Beginne,MATCH(K12,Codes,0))-INDEX(EndeRel,MATCH(J12,Codes,0)))*1440,0)&lt;660,1,0),0),0))</f>
      </c>
      <c r="L61" s="1">
        <f>IF(OR(L$52=0,K12="",L12=""),0,IFERROR(IF(AND(INDEX(Arten,MATCH(K12,Codes,0))="Arbeit",INDEX(Arten,MATCH(L12,Codes,0))="Arbeit"),IF(ROUND((1+INDEX(Beginne,MATCH(L12,Codes,0))-INDEX(EndeRel,MATCH(K12,Codes,0)))*1440,0)&lt;660,1,0),0),0))</f>
      </c>
      <c r="M61" s="1">
        <f>IF(OR(M$52=0,L12="",M12=""),0,IFERROR(IF(AND(INDEX(Arten,MATCH(L12,Codes,0))="Arbeit",INDEX(Arten,MATCH(M12,Codes,0))="Arbeit"),IF(ROUND((1+INDEX(Beginne,MATCH(M12,Codes,0))-INDEX(EndeRel,MATCH(L12,Codes,0)))*1440,0)&lt;660,1,0),0),0))</f>
      </c>
      <c r="N61" s="1">
        <f>IF(OR(N$52=0,M12="",N12=""),0,IFERROR(IF(AND(INDEX(Arten,MATCH(M12,Codes,0))="Arbeit",INDEX(Arten,MATCH(N12,Codes,0))="Arbeit"),IF(ROUND((1+INDEX(Beginne,MATCH(N12,Codes,0))-INDEX(EndeRel,MATCH(M12,Codes,0)))*1440,0)&lt;660,1,0),0),0))</f>
      </c>
      <c r="O61" s="1">
        <f>IF(OR(O$52=0,N12="",O12=""),0,IFERROR(IF(AND(INDEX(Arten,MATCH(N12,Codes,0))="Arbeit",INDEX(Arten,MATCH(O12,Codes,0))="Arbeit"),IF(ROUND((1+INDEX(Beginne,MATCH(O12,Codes,0))-INDEX(EndeRel,MATCH(N12,Codes,0)))*1440,0)&lt;660,1,0),0),0))</f>
      </c>
      <c r="P61" s="1">
        <f>IF(OR(P$52=0,O12="",P12=""),0,IFERROR(IF(AND(INDEX(Arten,MATCH(O12,Codes,0))="Arbeit",INDEX(Arten,MATCH(P12,Codes,0))="Arbeit"),IF(ROUND((1+INDEX(Beginne,MATCH(P12,Codes,0))-INDEX(EndeRel,MATCH(O12,Codes,0)))*1440,0)&lt;660,1,0),0),0))</f>
      </c>
      <c r="Q61" s="1">
        <f>IF(OR(Q$52=0,P12="",Q12=""),0,IFERROR(IF(AND(INDEX(Arten,MATCH(P12,Codes,0))="Arbeit",INDEX(Arten,MATCH(Q12,Codes,0))="Arbeit"),IF(ROUND((1+INDEX(Beginne,MATCH(Q12,Codes,0))-INDEX(EndeRel,MATCH(P12,Codes,0)))*1440,0)&lt;660,1,0),0),0))</f>
      </c>
      <c r="R61" s="1">
        <f>IF(OR(R$52=0,Q12="",R12=""),0,IFERROR(IF(AND(INDEX(Arten,MATCH(Q12,Codes,0))="Arbeit",INDEX(Arten,MATCH(R12,Codes,0))="Arbeit"),IF(ROUND((1+INDEX(Beginne,MATCH(R12,Codes,0))-INDEX(EndeRel,MATCH(Q12,Codes,0)))*1440,0)&lt;660,1,0),0),0))</f>
      </c>
      <c r="S61" s="1">
        <f>IF(OR(S$52=0,R12="",S12=""),0,IFERROR(IF(AND(INDEX(Arten,MATCH(R12,Codes,0))="Arbeit",INDEX(Arten,MATCH(S12,Codes,0))="Arbeit"),IF(ROUND((1+INDEX(Beginne,MATCH(S12,Codes,0))-INDEX(EndeRel,MATCH(R12,Codes,0)))*1440,0)&lt;660,1,0),0),0))</f>
      </c>
      <c r="T61" s="1">
        <f>IF(OR(T$52=0,S12="",T12=""),0,IFERROR(IF(AND(INDEX(Arten,MATCH(S12,Codes,0))="Arbeit",INDEX(Arten,MATCH(T12,Codes,0))="Arbeit"),IF(ROUND((1+INDEX(Beginne,MATCH(T12,Codes,0))-INDEX(EndeRel,MATCH(S12,Codes,0)))*1440,0)&lt;660,1,0),0),0))</f>
      </c>
      <c r="U61" s="1">
        <f>IF(OR(U$52=0,T12="",U12=""),0,IFERROR(IF(AND(INDEX(Arten,MATCH(T12,Codes,0))="Arbeit",INDEX(Arten,MATCH(U12,Codes,0))="Arbeit"),IF(ROUND((1+INDEX(Beginne,MATCH(U12,Codes,0))-INDEX(EndeRel,MATCH(T12,Codes,0)))*1440,0)&lt;660,1,0),0),0))</f>
      </c>
      <c r="V61" s="1">
        <f>IF(OR(V$52=0,U12="",V12=""),0,IFERROR(IF(AND(INDEX(Arten,MATCH(U12,Codes,0))="Arbeit",INDEX(Arten,MATCH(V12,Codes,0))="Arbeit"),IF(ROUND((1+INDEX(Beginne,MATCH(V12,Codes,0))-INDEX(EndeRel,MATCH(U12,Codes,0)))*1440,0)&lt;660,1,0),0),0))</f>
      </c>
      <c r="W61" s="1">
        <f>IF(OR(W$52=0,V12="",W12=""),0,IFERROR(IF(AND(INDEX(Arten,MATCH(V12,Codes,0))="Arbeit",INDEX(Arten,MATCH(W12,Codes,0))="Arbeit"),IF(ROUND((1+INDEX(Beginne,MATCH(W12,Codes,0))-INDEX(EndeRel,MATCH(V12,Codes,0)))*1440,0)&lt;660,1,0),0),0))</f>
      </c>
      <c r="X61" s="1">
        <f>IF(OR(X$52=0,W12="",X12=""),0,IFERROR(IF(AND(INDEX(Arten,MATCH(W12,Codes,0))="Arbeit",INDEX(Arten,MATCH(X12,Codes,0))="Arbeit"),IF(ROUND((1+INDEX(Beginne,MATCH(X12,Codes,0))-INDEX(EndeRel,MATCH(W12,Codes,0)))*1440,0)&lt;660,1,0),0),0))</f>
      </c>
      <c r="Y61" s="1">
        <f>IF(OR(Y$52=0,X12="",Y12=""),0,IFERROR(IF(AND(INDEX(Arten,MATCH(X12,Codes,0))="Arbeit",INDEX(Arten,MATCH(Y12,Codes,0))="Arbeit"),IF(ROUND((1+INDEX(Beginne,MATCH(Y12,Codes,0))-INDEX(EndeRel,MATCH(X12,Codes,0)))*1440,0)&lt;660,1,0),0),0))</f>
      </c>
      <c r="Z61" s="1">
        <f>IF(OR(Z$52=0,Y12="",Z12=""),0,IFERROR(IF(AND(INDEX(Arten,MATCH(Y12,Codes,0))="Arbeit",INDEX(Arten,MATCH(Z12,Codes,0))="Arbeit"),IF(ROUND((1+INDEX(Beginne,MATCH(Z12,Codes,0))-INDEX(EndeRel,MATCH(Y12,Codes,0)))*1440,0)&lt;660,1,0),0),0))</f>
      </c>
      <c r="AA61" s="1">
        <f>IF(OR(AA$52=0,Z12="",AA12=""),0,IFERROR(IF(AND(INDEX(Arten,MATCH(Z12,Codes,0))="Arbeit",INDEX(Arten,MATCH(AA12,Codes,0))="Arbeit"),IF(ROUND((1+INDEX(Beginne,MATCH(AA12,Codes,0))-INDEX(EndeRel,MATCH(Z12,Codes,0)))*1440,0)&lt;660,1,0),0),0))</f>
      </c>
      <c r="AB61" s="1">
        <f>IF(OR(AB$52=0,AA12="",AB12=""),0,IFERROR(IF(AND(INDEX(Arten,MATCH(AA12,Codes,0))="Arbeit",INDEX(Arten,MATCH(AB12,Codes,0))="Arbeit"),IF(ROUND((1+INDEX(Beginne,MATCH(AB12,Codes,0))-INDEX(EndeRel,MATCH(AA12,Codes,0)))*1440,0)&lt;660,1,0),0),0))</f>
      </c>
      <c r="AC61" s="1">
        <f>IF(OR(AC$52=0,AB12="",AC12=""),0,IFERROR(IF(AND(INDEX(Arten,MATCH(AB12,Codes,0))="Arbeit",INDEX(Arten,MATCH(AC12,Codes,0))="Arbeit"),IF(ROUND((1+INDEX(Beginne,MATCH(AC12,Codes,0))-INDEX(EndeRel,MATCH(AB12,Codes,0)))*1440,0)&lt;660,1,0),0),0))</f>
      </c>
      <c r="AD61" s="1">
        <f>IF(OR(AD$52=0,AC12="",AD12=""),0,IFERROR(IF(AND(INDEX(Arten,MATCH(AC12,Codes,0))="Arbeit",INDEX(Arten,MATCH(AD12,Codes,0))="Arbeit"),IF(ROUND((1+INDEX(Beginne,MATCH(AD12,Codes,0))-INDEX(EndeRel,MATCH(AC12,Codes,0)))*1440,0)&lt;660,1,0),0),0))</f>
      </c>
      <c r="AE61" s="1">
        <f>IF(OR(AE$52=0,AD12="",AE12=""),0,IFERROR(IF(AND(INDEX(Arten,MATCH(AD12,Codes,0))="Arbeit",INDEX(Arten,MATCH(AE12,Codes,0))="Arbeit"),IF(ROUND((1+INDEX(Beginne,MATCH(AE12,Codes,0))-INDEX(EndeRel,MATCH(AD12,Codes,0)))*1440,0)&lt;660,1,0),0),0))</f>
      </c>
      <c r="AF61" s="1">
        <f>IF(OR(AF$52=0,AE12="",AF12=""),0,IFERROR(IF(AND(INDEX(Arten,MATCH(AE12,Codes,0))="Arbeit",INDEX(Arten,MATCH(AF12,Codes,0))="Arbeit"),IF(ROUND((1+INDEX(Beginne,MATCH(AF12,Codes,0))-INDEX(EndeRel,MATCH(AE12,Codes,0)))*1440,0)&lt;660,1,0),0),0))</f>
      </c>
    </row>
    <row r="62" hidden="1" spans="1:32" x14ac:dyDescent="0.25">
      <c r="A62" s="1"/>
      <c r="B62" s="1">
        <f>IF(OR(B$52=0,INDEX('Mai'!$B$13:$AF$13,DAY(DATE(Jahr,6,0)))="",B13=""),0,IFERROR(IF(AND(INDEX(Arten,MATCH(INDEX('Mai'!$B$13:$AF$13,DAY(DATE(Jahr,6,0))),Codes,0))="Arbeit",INDEX(Arten,MATCH(B13,Codes,0))="Arbeit"),IF(ROUND((1+INDEX(Beginne,MATCH(B13,Codes,0))-INDEX(EndeRel,MATCH(INDEX('Mai'!$B$13:$AF$13,DAY(DATE(Jahr,6,0))),Codes,0)))*1440,0)&lt;660,1,0),0),0))</f>
      </c>
      <c r="C62" s="1">
        <f>IF(OR(C$52=0,B13="",C13=""),0,IFERROR(IF(AND(INDEX(Arten,MATCH(B13,Codes,0))="Arbeit",INDEX(Arten,MATCH(C13,Codes,0))="Arbeit"),IF(ROUND((1+INDEX(Beginne,MATCH(C13,Codes,0))-INDEX(EndeRel,MATCH(B13,Codes,0)))*1440,0)&lt;660,1,0),0),0))</f>
      </c>
      <c r="D62" s="1">
        <f>IF(OR(D$52=0,C13="",D13=""),0,IFERROR(IF(AND(INDEX(Arten,MATCH(C13,Codes,0))="Arbeit",INDEX(Arten,MATCH(D13,Codes,0))="Arbeit"),IF(ROUND((1+INDEX(Beginne,MATCH(D13,Codes,0))-INDEX(EndeRel,MATCH(C13,Codes,0)))*1440,0)&lt;660,1,0),0),0))</f>
      </c>
      <c r="E62" s="1">
        <f>IF(OR(E$52=0,D13="",E13=""),0,IFERROR(IF(AND(INDEX(Arten,MATCH(D13,Codes,0))="Arbeit",INDEX(Arten,MATCH(E13,Codes,0))="Arbeit"),IF(ROUND((1+INDEX(Beginne,MATCH(E13,Codes,0))-INDEX(EndeRel,MATCH(D13,Codes,0)))*1440,0)&lt;660,1,0),0),0))</f>
      </c>
      <c r="F62" s="1">
        <f>IF(OR(F$52=0,E13="",F13=""),0,IFERROR(IF(AND(INDEX(Arten,MATCH(E13,Codes,0))="Arbeit",INDEX(Arten,MATCH(F13,Codes,0))="Arbeit"),IF(ROUND((1+INDEX(Beginne,MATCH(F13,Codes,0))-INDEX(EndeRel,MATCH(E13,Codes,0)))*1440,0)&lt;660,1,0),0),0))</f>
      </c>
      <c r="G62" s="1">
        <f>IF(OR(G$52=0,F13="",G13=""),0,IFERROR(IF(AND(INDEX(Arten,MATCH(F13,Codes,0))="Arbeit",INDEX(Arten,MATCH(G13,Codes,0))="Arbeit"),IF(ROUND((1+INDEX(Beginne,MATCH(G13,Codes,0))-INDEX(EndeRel,MATCH(F13,Codes,0)))*1440,0)&lt;660,1,0),0),0))</f>
      </c>
      <c r="H62" s="1">
        <f>IF(OR(H$52=0,G13="",H13=""),0,IFERROR(IF(AND(INDEX(Arten,MATCH(G13,Codes,0))="Arbeit",INDEX(Arten,MATCH(H13,Codes,0))="Arbeit"),IF(ROUND((1+INDEX(Beginne,MATCH(H13,Codes,0))-INDEX(EndeRel,MATCH(G13,Codes,0)))*1440,0)&lt;660,1,0),0),0))</f>
      </c>
      <c r="I62" s="1">
        <f>IF(OR(I$52=0,H13="",I13=""),0,IFERROR(IF(AND(INDEX(Arten,MATCH(H13,Codes,0))="Arbeit",INDEX(Arten,MATCH(I13,Codes,0))="Arbeit"),IF(ROUND((1+INDEX(Beginne,MATCH(I13,Codes,0))-INDEX(EndeRel,MATCH(H13,Codes,0)))*1440,0)&lt;660,1,0),0),0))</f>
      </c>
      <c r="J62" s="1">
        <f>IF(OR(J$52=0,I13="",J13=""),0,IFERROR(IF(AND(INDEX(Arten,MATCH(I13,Codes,0))="Arbeit",INDEX(Arten,MATCH(J13,Codes,0))="Arbeit"),IF(ROUND((1+INDEX(Beginne,MATCH(J13,Codes,0))-INDEX(EndeRel,MATCH(I13,Codes,0)))*1440,0)&lt;660,1,0),0),0))</f>
      </c>
      <c r="K62" s="1">
        <f>IF(OR(K$52=0,J13="",K13=""),0,IFERROR(IF(AND(INDEX(Arten,MATCH(J13,Codes,0))="Arbeit",INDEX(Arten,MATCH(K13,Codes,0))="Arbeit"),IF(ROUND((1+INDEX(Beginne,MATCH(K13,Codes,0))-INDEX(EndeRel,MATCH(J13,Codes,0)))*1440,0)&lt;660,1,0),0),0))</f>
      </c>
      <c r="L62" s="1">
        <f>IF(OR(L$52=0,K13="",L13=""),0,IFERROR(IF(AND(INDEX(Arten,MATCH(K13,Codes,0))="Arbeit",INDEX(Arten,MATCH(L13,Codes,0))="Arbeit"),IF(ROUND((1+INDEX(Beginne,MATCH(L13,Codes,0))-INDEX(EndeRel,MATCH(K13,Codes,0)))*1440,0)&lt;660,1,0),0),0))</f>
      </c>
      <c r="M62" s="1">
        <f>IF(OR(M$52=0,L13="",M13=""),0,IFERROR(IF(AND(INDEX(Arten,MATCH(L13,Codes,0))="Arbeit",INDEX(Arten,MATCH(M13,Codes,0))="Arbeit"),IF(ROUND((1+INDEX(Beginne,MATCH(M13,Codes,0))-INDEX(EndeRel,MATCH(L13,Codes,0)))*1440,0)&lt;660,1,0),0),0))</f>
      </c>
      <c r="N62" s="1">
        <f>IF(OR(N$52=0,M13="",N13=""),0,IFERROR(IF(AND(INDEX(Arten,MATCH(M13,Codes,0))="Arbeit",INDEX(Arten,MATCH(N13,Codes,0))="Arbeit"),IF(ROUND((1+INDEX(Beginne,MATCH(N13,Codes,0))-INDEX(EndeRel,MATCH(M13,Codes,0)))*1440,0)&lt;660,1,0),0),0))</f>
      </c>
      <c r="O62" s="1">
        <f>IF(OR(O$52=0,N13="",O13=""),0,IFERROR(IF(AND(INDEX(Arten,MATCH(N13,Codes,0))="Arbeit",INDEX(Arten,MATCH(O13,Codes,0))="Arbeit"),IF(ROUND((1+INDEX(Beginne,MATCH(O13,Codes,0))-INDEX(EndeRel,MATCH(N13,Codes,0)))*1440,0)&lt;660,1,0),0),0))</f>
      </c>
      <c r="P62" s="1">
        <f>IF(OR(P$52=0,O13="",P13=""),0,IFERROR(IF(AND(INDEX(Arten,MATCH(O13,Codes,0))="Arbeit",INDEX(Arten,MATCH(P13,Codes,0))="Arbeit"),IF(ROUND((1+INDEX(Beginne,MATCH(P13,Codes,0))-INDEX(EndeRel,MATCH(O13,Codes,0)))*1440,0)&lt;660,1,0),0),0))</f>
      </c>
      <c r="Q62" s="1">
        <f>IF(OR(Q$52=0,P13="",Q13=""),0,IFERROR(IF(AND(INDEX(Arten,MATCH(P13,Codes,0))="Arbeit",INDEX(Arten,MATCH(Q13,Codes,0))="Arbeit"),IF(ROUND((1+INDEX(Beginne,MATCH(Q13,Codes,0))-INDEX(EndeRel,MATCH(P13,Codes,0)))*1440,0)&lt;660,1,0),0),0))</f>
      </c>
      <c r="R62" s="1">
        <f>IF(OR(R$52=0,Q13="",R13=""),0,IFERROR(IF(AND(INDEX(Arten,MATCH(Q13,Codes,0))="Arbeit",INDEX(Arten,MATCH(R13,Codes,0))="Arbeit"),IF(ROUND((1+INDEX(Beginne,MATCH(R13,Codes,0))-INDEX(EndeRel,MATCH(Q13,Codes,0)))*1440,0)&lt;660,1,0),0),0))</f>
      </c>
      <c r="S62" s="1">
        <f>IF(OR(S$52=0,R13="",S13=""),0,IFERROR(IF(AND(INDEX(Arten,MATCH(R13,Codes,0))="Arbeit",INDEX(Arten,MATCH(S13,Codes,0))="Arbeit"),IF(ROUND((1+INDEX(Beginne,MATCH(S13,Codes,0))-INDEX(EndeRel,MATCH(R13,Codes,0)))*1440,0)&lt;660,1,0),0),0))</f>
      </c>
      <c r="T62" s="1">
        <f>IF(OR(T$52=0,S13="",T13=""),0,IFERROR(IF(AND(INDEX(Arten,MATCH(S13,Codes,0))="Arbeit",INDEX(Arten,MATCH(T13,Codes,0))="Arbeit"),IF(ROUND((1+INDEX(Beginne,MATCH(T13,Codes,0))-INDEX(EndeRel,MATCH(S13,Codes,0)))*1440,0)&lt;660,1,0),0),0))</f>
      </c>
      <c r="U62" s="1">
        <f>IF(OR(U$52=0,T13="",U13=""),0,IFERROR(IF(AND(INDEX(Arten,MATCH(T13,Codes,0))="Arbeit",INDEX(Arten,MATCH(U13,Codes,0))="Arbeit"),IF(ROUND((1+INDEX(Beginne,MATCH(U13,Codes,0))-INDEX(EndeRel,MATCH(T13,Codes,0)))*1440,0)&lt;660,1,0),0),0))</f>
      </c>
      <c r="V62" s="1">
        <f>IF(OR(V$52=0,U13="",V13=""),0,IFERROR(IF(AND(INDEX(Arten,MATCH(U13,Codes,0))="Arbeit",INDEX(Arten,MATCH(V13,Codes,0))="Arbeit"),IF(ROUND((1+INDEX(Beginne,MATCH(V13,Codes,0))-INDEX(EndeRel,MATCH(U13,Codes,0)))*1440,0)&lt;660,1,0),0),0))</f>
      </c>
      <c r="W62" s="1">
        <f>IF(OR(W$52=0,V13="",W13=""),0,IFERROR(IF(AND(INDEX(Arten,MATCH(V13,Codes,0))="Arbeit",INDEX(Arten,MATCH(W13,Codes,0))="Arbeit"),IF(ROUND((1+INDEX(Beginne,MATCH(W13,Codes,0))-INDEX(EndeRel,MATCH(V13,Codes,0)))*1440,0)&lt;660,1,0),0),0))</f>
      </c>
      <c r="X62" s="1">
        <f>IF(OR(X$52=0,W13="",X13=""),0,IFERROR(IF(AND(INDEX(Arten,MATCH(W13,Codes,0))="Arbeit",INDEX(Arten,MATCH(X13,Codes,0))="Arbeit"),IF(ROUND((1+INDEX(Beginne,MATCH(X13,Codes,0))-INDEX(EndeRel,MATCH(W13,Codes,0)))*1440,0)&lt;660,1,0),0),0))</f>
      </c>
      <c r="Y62" s="1">
        <f>IF(OR(Y$52=0,X13="",Y13=""),0,IFERROR(IF(AND(INDEX(Arten,MATCH(X13,Codes,0))="Arbeit",INDEX(Arten,MATCH(Y13,Codes,0))="Arbeit"),IF(ROUND((1+INDEX(Beginne,MATCH(Y13,Codes,0))-INDEX(EndeRel,MATCH(X13,Codes,0)))*1440,0)&lt;660,1,0),0),0))</f>
      </c>
      <c r="Z62" s="1">
        <f>IF(OR(Z$52=0,Y13="",Z13=""),0,IFERROR(IF(AND(INDEX(Arten,MATCH(Y13,Codes,0))="Arbeit",INDEX(Arten,MATCH(Z13,Codes,0))="Arbeit"),IF(ROUND((1+INDEX(Beginne,MATCH(Z13,Codes,0))-INDEX(EndeRel,MATCH(Y13,Codes,0)))*1440,0)&lt;660,1,0),0),0))</f>
      </c>
      <c r="AA62" s="1">
        <f>IF(OR(AA$52=0,Z13="",AA13=""),0,IFERROR(IF(AND(INDEX(Arten,MATCH(Z13,Codes,0))="Arbeit",INDEX(Arten,MATCH(AA13,Codes,0))="Arbeit"),IF(ROUND((1+INDEX(Beginne,MATCH(AA13,Codes,0))-INDEX(EndeRel,MATCH(Z13,Codes,0)))*1440,0)&lt;660,1,0),0),0))</f>
      </c>
      <c r="AB62" s="1">
        <f>IF(OR(AB$52=0,AA13="",AB13=""),0,IFERROR(IF(AND(INDEX(Arten,MATCH(AA13,Codes,0))="Arbeit",INDEX(Arten,MATCH(AB13,Codes,0))="Arbeit"),IF(ROUND((1+INDEX(Beginne,MATCH(AB13,Codes,0))-INDEX(EndeRel,MATCH(AA13,Codes,0)))*1440,0)&lt;660,1,0),0),0))</f>
      </c>
      <c r="AC62" s="1">
        <f>IF(OR(AC$52=0,AB13="",AC13=""),0,IFERROR(IF(AND(INDEX(Arten,MATCH(AB13,Codes,0))="Arbeit",INDEX(Arten,MATCH(AC13,Codes,0))="Arbeit"),IF(ROUND((1+INDEX(Beginne,MATCH(AC13,Codes,0))-INDEX(EndeRel,MATCH(AB13,Codes,0)))*1440,0)&lt;660,1,0),0),0))</f>
      </c>
      <c r="AD62" s="1">
        <f>IF(OR(AD$52=0,AC13="",AD13=""),0,IFERROR(IF(AND(INDEX(Arten,MATCH(AC13,Codes,0))="Arbeit",INDEX(Arten,MATCH(AD13,Codes,0))="Arbeit"),IF(ROUND((1+INDEX(Beginne,MATCH(AD13,Codes,0))-INDEX(EndeRel,MATCH(AC13,Codes,0)))*1440,0)&lt;660,1,0),0),0))</f>
      </c>
      <c r="AE62" s="1">
        <f>IF(OR(AE$52=0,AD13="",AE13=""),0,IFERROR(IF(AND(INDEX(Arten,MATCH(AD13,Codes,0))="Arbeit",INDEX(Arten,MATCH(AE13,Codes,0))="Arbeit"),IF(ROUND((1+INDEX(Beginne,MATCH(AE13,Codes,0))-INDEX(EndeRel,MATCH(AD13,Codes,0)))*1440,0)&lt;660,1,0),0),0))</f>
      </c>
      <c r="AF62" s="1">
        <f>IF(OR(AF$52=0,AE13="",AF13=""),0,IFERROR(IF(AND(INDEX(Arten,MATCH(AE13,Codes,0))="Arbeit",INDEX(Arten,MATCH(AF13,Codes,0))="Arbeit"),IF(ROUND((1+INDEX(Beginne,MATCH(AF13,Codes,0))-INDEX(EndeRel,MATCH(AE13,Codes,0)))*1440,0)&lt;660,1,0),0),0))</f>
      </c>
    </row>
    <row r="63" hidden="1" spans="1:32" x14ac:dyDescent="0.25">
      <c r="A63" s="1"/>
      <c r="B63" s="1">
        <f>IF(OR(B$52=0,INDEX('Mai'!$B$14:$AF$14,DAY(DATE(Jahr,6,0)))="",B14=""),0,IFERROR(IF(AND(INDEX(Arten,MATCH(INDEX('Mai'!$B$14:$AF$14,DAY(DATE(Jahr,6,0))),Codes,0))="Arbeit",INDEX(Arten,MATCH(B14,Codes,0))="Arbeit"),IF(ROUND((1+INDEX(Beginne,MATCH(B14,Codes,0))-INDEX(EndeRel,MATCH(INDEX('Mai'!$B$14:$AF$14,DAY(DATE(Jahr,6,0))),Codes,0)))*1440,0)&lt;660,1,0),0),0))</f>
      </c>
      <c r="C63" s="1">
        <f>IF(OR(C$52=0,B14="",C14=""),0,IFERROR(IF(AND(INDEX(Arten,MATCH(B14,Codes,0))="Arbeit",INDEX(Arten,MATCH(C14,Codes,0))="Arbeit"),IF(ROUND((1+INDEX(Beginne,MATCH(C14,Codes,0))-INDEX(EndeRel,MATCH(B14,Codes,0)))*1440,0)&lt;660,1,0),0),0))</f>
      </c>
      <c r="D63" s="1">
        <f>IF(OR(D$52=0,C14="",D14=""),0,IFERROR(IF(AND(INDEX(Arten,MATCH(C14,Codes,0))="Arbeit",INDEX(Arten,MATCH(D14,Codes,0))="Arbeit"),IF(ROUND((1+INDEX(Beginne,MATCH(D14,Codes,0))-INDEX(EndeRel,MATCH(C14,Codes,0)))*1440,0)&lt;660,1,0),0),0))</f>
      </c>
      <c r="E63" s="1">
        <f>IF(OR(E$52=0,D14="",E14=""),0,IFERROR(IF(AND(INDEX(Arten,MATCH(D14,Codes,0))="Arbeit",INDEX(Arten,MATCH(E14,Codes,0))="Arbeit"),IF(ROUND((1+INDEX(Beginne,MATCH(E14,Codes,0))-INDEX(EndeRel,MATCH(D14,Codes,0)))*1440,0)&lt;660,1,0),0),0))</f>
      </c>
      <c r="F63" s="1">
        <f>IF(OR(F$52=0,E14="",F14=""),0,IFERROR(IF(AND(INDEX(Arten,MATCH(E14,Codes,0))="Arbeit",INDEX(Arten,MATCH(F14,Codes,0))="Arbeit"),IF(ROUND((1+INDEX(Beginne,MATCH(F14,Codes,0))-INDEX(EndeRel,MATCH(E14,Codes,0)))*1440,0)&lt;660,1,0),0),0))</f>
      </c>
      <c r="G63" s="1">
        <f>IF(OR(G$52=0,F14="",G14=""),0,IFERROR(IF(AND(INDEX(Arten,MATCH(F14,Codes,0))="Arbeit",INDEX(Arten,MATCH(G14,Codes,0))="Arbeit"),IF(ROUND((1+INDEX(Beginne,MATCH(G14,Codes,0))-INDEX(EndeRel,MATCH(F14,Codes,0)))*1440,0)&lt;660,1,0),0),0))</f>
      </c>
      <c r="H63" s="1">
        <f>IF(OR(H$52=0,G14="",H14=""),0,IFERROR(IF(AND(INDEX(Arten,MATCH(G14,Codes,0))="Arbeit",INDEX(Arten,MATCH(H14,Codes,0))="Arbeit"),IF(ROUND((1+INDEX(Beginne,MATCH(H14,Codes,0))-INDEX(EndeRel,MATCH(G14,Codes,0)))*1440,0)&lt;660,1,0),0),0))</f>
      </c>
      <c r="I63" s="1">
        <f>IF(OR(I$52=0,H14="",I14=""),0,IFERROR(IF(AND(INDEX(Arten,MATCH(H14,Codes,0))="Arbeit",INDEX(Arten,MATCH(I14,Codes,0))="Arbeit"),IF(ROUND((1+INDEX(Beginne,MATCH(I14,Codes,0))-INDEX(EndeRel,MATCH(H14,Codes,0)))*1440,0)&lt;660,1,0),0),0))</f>
      </c>
      <c r="J63" s="1">
        <f>IF(OR(J$52=0,I14="",J14=""),0,IFERROR(IF(AND(INDEX(Arten,MATCH(I14,Codes,0))="Arbeit",INDEX(Arten,MATCH(J14,Codes,0))="Arbeit"),IF(ROUND((1+INDEX(Beginne,MATCH(J14,Codes,0))-INDEX(EndeRel,MATCH(I14,Codes,0)))*1440,0)&lt;660,1,0),0),0))</f>
      </c>
      <c r="K63" s="1">
        <f>IF(OR(K$52=0,J14="",K14=""),0,IFERROR(IF(AND(INDEX(Arten,MATCH(J14,Codes,0))="Arbeit",INDEX(Arten,MATCH(K14,Codes,0))="Arbeit"),IF(ROUND((1+INDEX(Beginne,MATCH(K14,Codes,0))-INDEX(EndeRel,MATCH(J14,Codes,0)))*1440,0)&lt;660,1,0),0),0))</f>
      </c>
      <c r="L63" s="1">
        <f>IF(OR(L$52=0,K14="",L14=""),0,IFERROR(IF(AND(INDEX(Arten,MATCH(K14,Codes,0))="Arbeit",INDEX(Arten,MATCH(L14,Codes,0))="Arbeit"),IF(ROUND((1+INDEX(Beginne,MATCH(L14,Codes,0))-INDEX(EndeRel,MATCH(K14,Codes,0)))*1440,0)&lt;660,1,0),0),0))</f>
      </c>
      <c r="M63" s="1">
        <f>IF(OR(M$52=0,L14="",M14=""),0,IFERROR(IF(AND(INDEX(Arten,MATCH(L14,Codes,0))="Arbeit",INDEX(Arten,MATCH(M14,Codes,0))="Arbeit"),IF(ROUND((1+INDEX(Beginne,MATCH(M14,Codes,0))-INDEX(EndeRel,MATCH(L14,Codes,0)))*1440,0)&lt;660,1,0),0),0))</f>
      </c>
      <c r="N63" s="1">
        <f>IF(OR(N$52=0,M14="",N14=""),0,IFERROR(IF(AND(INDEX(Arten,MATCH(M14,Codes,0))="Arbeit",INDEX(Arten,MATCH(N14,Codes,0))="Arbeit"),IF(ROUND((1+INDEX(Beginne,MATCH(N14,Codes,0))-INDEX(EndeRel,MATCH(M14,Codes,0)))*1440,0)&lt;660,1,0),0),0))</f>
      </c>
      <c r="O63" s="1">
        <f>IF(OR(O$52=0,N14="",O14=""),0,IFERROR(IF(AND(INDEX(Arten,MATCH(N14,Codes,0))="Arbeit",INDEX(Arten,MATCH(O14,Codes,0))="Arbeit"),IF(ROUND((1+INDEX(Beginne,MATCH(O14,Codes,0))-INDEX(EndeRel,MATCH(N14,Codes,0)))*1440,0)&lt;660,1,0),0),0))</f>
      </c>
      <c r="P63" s="1">
        <f>IF(OR(P$52=0,O14="",P14=""),0,IFERROR(IF(AND(INDEX(Arten,MATCH(O14,Codes,0))="Arbeit",INDEX(Arten,MATCH(P14,Codes,0))="Arbeit"),IF(ROUND((1+INDEX(Beginne,MATCH(P14,Codes,0))-INDEX(EndeRel,MATCH(O14,Codes,0)))*1440,0)&lt;660,1,0),0),0))</f>
      </c>
      <c r="Q63" s="1">
        <f>IF(OR(Q$52=0,P14="",Q14=""),0,IFERROR(IF(AND(INDEX(Arten,MATCH(P14,Codes,0))="Arbeit",INDEX(Arten,MATCH(Q14,Codes,0))="Arbeit"),IF(ROUND((1+INDEX(Beginne,MATCH(Q14,Codes,0))-INDEX(EndeRel,MATCH(P14,Codes,0)))*1440,0)&lt;660,1,0),0),0))</f>
      </c>
      <c r="R63" s="1">
        <f>IF(OR(R$52=0,Q14="",R14=""),0,IFERROR(IF(AND(INDEX(Arten,MATCH(Q14,Codes,0))="Arbeit",INDEX(Arten,MATCH(R14,Codes,0))="Arbeit"),IF(ROUND((1+INDEX(Beginne,MATCH(R14,Codes,0))-INDEX(EndeRel,MATCH(Q14,Codes,0)))*1440,0)&lt;660,1,0),0),0))</f>
      </c>
      <c r="S63" s="1">
        <f>IF(OR(S$52=0,R14="",S14=""),0,IFERROR(IF(AND(INDEX(Arten,MATCH(R14,Codes,0))="Arbeit",INDEX(Arten,MATCH(S14,Codes,0))="Arbeit"),IF(ROUND((1+INDEX(Beginne,MATCH(S14,Codes,0))-INDEX(EndeRel,MATCH(R14,Codes,0)))*1440,0)&lt;660,1,0),0),0))</f>
      </c>
      <c r="T63" s="1">
        <f>IF(OR(T$52=0,S14="",T14=""),0,IFERROR(IF(AND(INDEX(Arten,MATCH(S14,Codes,0))="Arbeit",INDEX(Arten,MATCH(T14,Codes,0))="Arbeit"),IF(ROUND((1+INDEX(Beginne,MATCH(T14,Codes,0))-INDEX(EndeRel,MATCH(S14,Codes,0)))*1440,0)&lt;660,1,0),0),0))</f>
      </c>
      <c r="U63" s="1">
        <f>IF(OR(U$52=0,T14="",U14=""),0,IFERROR(IF(AND(INDEX(Arten,MATCH(T14,Codes,0))="Arbeit",INDEX(Arten,MATCH(U14,Codes,0))="Arbeit"),IF(ROUND((1+INDEX(Beginne,MATCH(U14,Codes,0))-INDEX(EndeRel,MATCH(T14,Codes,0)))*1440,0)&lt;660,1,0),0),0))</f>
      </c>
      <c r="V63" s="1">
        <f>IF(OR(V$52=0,U14="",V14=""),0,IFERROR(IF(AND(INDEX(Arten,MATCH(U14,Codes,0))="Arbeit",INDEX(Arten,MATCH(V14,Codes,0))="Arbeit"),IF(ROUND((1+INDEX(Beginne,MATCH(V14,Codes,0))-INDEX(EndeRel,MATCH(U14,Codes,0)))*1440,0)&lt;660,1,0),0),0))</f>
      </c>
      <c r="W63" s="1">
        <f>IF(OR(W$52=0,V14="",W14=""),0,IFERROR(IF(AND(INDEX(Arten,MATCH(V14,Codes,0))="Arbeit",INDEX(Arten,MATCH(W14,Codes,0))="Arbeit"),IF(ROUND((1+INDEX(Beginne,MATCH(W14,Codes,0))-INDEX(EndeRel,MATCH(V14,Codes,0)))*1440,0)&lt;660,1,0),0),0))</f>
      </c>
      <c r="X63" s="1">
        <f>IF(OR(X$52=0,W14="",X14=""),0,IFERROR(IF(AND(INDEX(Arten,MATCH(W14,Codes,0))="Arbeit",INDEX(Arten,MATCH(X14,Codes,0))="Arbeit"),IF(ROUND((1+INDEX(Beginne,MATCH(X14,Codes,0))-INDEX(EndeRel,MATCH(W14,Codes,0)))*1440,0)&lt;660,1,0),0),0))</f>
      </c>
      <c r="Y63" s="1">
        <f>IF(OR(Y$52=0,X14="",Y14=""),0,IFERROR(IF(AND(INDEX(Arten,MATCH(X14,Codes,0))="Arbeit",INDEX(Arten,MATCH(Y14,Codes,0))="Arbeit"),IF(ROUND((1+INDEX(Beginne,MATCH(Y14,Codes,0))-INDEX(EndeRel,MATCH(X14,Codes,0)))*1440,0)&lt;660,1,0),0),0))</f>
      </c>
      <c r="Z63" s="1">
        <f>IF(OR(Z$52=0,Y14="",Z14=""),0,IFERROR(IF(AND(INDEX(Arten,MATCH(Y14,Codes,0))="Arbeit",INDEX(Arten,MATCH(Z14,Codes,0))="Arbeit"),IF(ROUND((1+INDEX(Beginne,MATCH(Z14,Codes,0))-INDEX(EndeRel,MATCH(Y14,Codes,0)))*1440,0)&lt;660,1,0),0),0))</f>
      </c>
      <c r="AA63" s="1">
        <f>IF(OR(AA$52=0,Z14="",AA14=""),0,IFERROR(IF(AND(INDEX(Arten,MATCH(Z14,Codes,0))="Arbeit",INDEX(Arten,MATCH(AA14,Codes,0))="Arbeit"),IF(ROUND((1+INDEX(Beginne,MATCH(AA14,Codes,0))-INDEX(EndeRel,MATCH(Z14,Codes,0)))*1440,0)&lt;660,1,0),0),0))</f>
      </c>
      <c r="AB63" s="1">
        <f>IF(OR(AB$52=0,AA14="",AB14=""),0,IFERROR(IF(AND(INDEX(Arten,MATCH(AA14,Codes,0))="Arbeit",INDEX(Arten,MATCH(AB14,Codes,0))="Arbeit"),IF(ROUND((1+INDEX(Beginne,MATCH(AB14,Codes,0))-INDEX(EndeRel,MATCH(AA14,Codes,0)))*1440,0)&lt;660,1,0),0),0))</f>
      </c>
      <c r="AC63" s="1">
        <f>IF(OR(AC$52=0,AB14="",AC14=""),0,IFERROR(IF(AND(INDEX(Arten,MATCH(AB14,Codes,0))="Arbeit",INDEX(Arten,MATCH(AC14,Codes,0))="Arbeit"),IF(ROUND((1+INDEX(Beginne,MATCH(AC14,Codes,0))-INDEX(EndeRel,MATCH(AB14,Codes,0)))*1440,0)&lt;660,1,0),0),0))</f>
      </c>
      <c r="AD63" s="1">
        <f>IF(OR(AD$52=0,AC14="",AD14=""),0,IFERROR(IF(AND(INDEX(Arten,MATCH(AC14,Codes,0))="Arbeit",INDEX(Arten,MATCH(AD14,Codes,0))="Arbeit"),IF(ROUND((1+INDEX(Beginne,MATCH(AD14,Codes,0))-INDEX(EndeRel,MATCH(AC14,Codes,0)))*1440,0)&lt;660,1,0),0),0))</f>
      </c>
      <c r="AE63" s="1">
        <f>IF(OR(AE$52=0,AD14="",AE14=""),0,IFERROR(IF(AND(INDEX(Arten,MATCH(AD14,Codes,0))="Arbeit",INDEX(Arten,MATCH(AE14,Codes,0))="Arbeit"),IF(ROUND((1+INDEX(Beginne,MATCH(AE14,Codes,0))-INDEX(EndeRel,MATCH(AD14,Codes,0)))*1440,0)&lt;660,1,0),0),0))</f>
      </c>
      <c r="AF63" s="1">
        <f>IF(OR(AF$52=0,AE14="",AF14=""),0,IFERROR(IF(AND(INDEX(Arten,MATCH(AE14,Codes,0))="Arbeit",INDEX(Arten,MATCH(AF14,Codes,0))="Arbeit"),IF(ROUND((1+INDEX(Beginne,MATCH(AF14,Codes,0))-INDEX(EndeRel,MATCH(AE14,Codes,0)))*1440,0)&lt;660,1,0),0),0))</f>
      </c>
    </row>
    <row r="64" hidden="1" spans="1:32" x14ac:dyDescent="0.25">
      <c r="A64" s="1"/>
      <c r="B64" s="1">
        <f>IF(OR(B$52=0,INDEX('Mai'!$B$15:$AF$15,DAY(DATE(Jahr,6,0)))="",B15=""),0,IFERROR(IF(AND(INDEX(Arten,MATCH(INDEX('Mai'!$B$15:$AF$15,DAY(DATE(Jahr,6,0))),Codes,0))="Arbeit",INDEX(Arten,MATCH(B15,Codes,0))="Arbeit"),IF(ROUND((1+INDEX(Beginne,MATCH(B15,Codes,0))-INDEX(EndeRel,MATCH(INDEX('Mai'!$B$15:$AF$15,DAY(DATE(Jahr,6,0))),Codes,0)))*1440,0)&lt;660,1,0),0),0))</f>
      </c>
      <c r="C64" s="1">
        <f>IF(OR(C$52=0,B15="",C15=""),0,IFERROR(IF(AND(INDEX(Arten,MATCH(B15,Codes,0))="Arbeit",INDEX(Arten,MATCH(C15,Codes,0))="Arbeit"),IF(ROUND((1+INDEX(Beginne,MATCH(C15,Codes,0))-INDEX(EndeRel,MATCH(B15,Codes,0)))*1440,0)&lt;660,1,0),0),0))</f>
      </c>
      <c r="D64" s="1">
        <f>IF(OR(D$52=0,C15="",D15=""),0,IFERROR(IF(AND(INDEX(Arten,MATCH(C15,Codes,0))="Arbeit",INDEX(Arten,MATCH(D15,Codes,0))="Arbeit"),IF(ROUND((1+INDEX(Beginne,MATCH(D15,Codes,0))-INDEX(EndeRel,MATCH(C15,Codes,0)))*1440,0)&lt;660,1,0),0),0))</f>
      </c>
      <c r="E64" s="1">
        <f>IF(OR(E$52=0,D15="",E15=""),0,IFERROR(IF(AND(INDEX(Arten,MATCH(D15,Codes,0))="Arbeit",INDEX(Arten,MATCH(E15,Codes,0))="Arbeit"),IF(ROUND((1+INDEX(Beginne,MATCH(E15,Codes,0))-INDEX(EndeRel,MATCH(D15,Codes,0)))*1440,0)&lt;660,1,0),0),0))</f>
      </c>
      <c r="F64" s="1">
        <f>IF(OR(F$52=0,E15="",F15=""),0,IFERROR(IF(AND(INDEX(Arten,MATCH(E15,Codes,0))="Arbeit",INDEX(Arten,MATCH(F15,Codes,0))="Arbeit"),IF(ROUND((1+INDEX(Beginne,MATCH(F15,Codes,0))-INDEX(EndeRel,MATCH(E15,Codes,0)))*1440,0)&lt;660,1,0),0),0))</f>
      </c>
      <c r="G64" s="1">
        <f>IF(OR(G$52=0,F15="",G15=""),0,IFERROR(IF(AND(INDEX(Arten,MATCH(F15,Codes,0))="Arbeit",INDEX(Arten,MATCH(G15,Codes,0))="Arbeit"),IF(ROUND((1+INDEX(Beginne,MATCH(G15,Codes,0))-INDEX(EndeRel,MATCH(F15,Codes,0)))*1440,0)&lt;660,1,0),0),0))</f>
      </c>
      <c r="H64" s="1">
        <f>IF(OR(H$52=0,G15="",H15=""),0,IFERROR(IF(AND(INDEX(Arten,MATCH(G15,Codes,0))="Arbeit",INDEX(Arten,MATCH(H15,Codes,0))="Arbeit"),IF(ROUND((1+INDEX(Beginne,MATCH(H15,Codes,0))-INDEX(EndeRel,MATCH(G15,Codes,0)))*1440,0)&lt;660,1,0),0),0))</f>
      </c>
      <c r="I64" s="1">
        <f>IF(OR(I$52=0,H15="",I15=""),0,IFERROR(IF(AND(INDEX(Arten,MATCH(H15,Codes,0))="Arbeit",INDEX(Arten,MATCH(I15,Codes,0))="Arbeit"),IF(ROUND((1+INDEX(Beginne,MATCH(I15,Codes,0))-INDEX(EndeRel,MATCH(H15,Codes,0)))*1440,0)&lt;660,1,0),0),0))</f>
      </c>
      <c r="J64" s="1">
        <f>IF(OR(J$52=0,I15="",J15=""),0,IFERROR(IF(AND(INDEX(Arten,MATCH(I15,Codes,0))="Arbeit",INDEX(Arten,MATCH(J15,Codes,0))="Arbeit"),IF(ROUND((1+INDEX(Beginne,MATCH(J15,Codes,0))-INDEX(EndeRel,MATCH(I15,Codes,0)))*1440,0)&lt;660,1,0),0),0))</f>
      </c>
      <c r="K64" s="1">
        <f>IF(OR(K$52=0,J15="",K15=""),0,IFERROR(IF(AND(INDEX(Arten,MATCH(J15,Codes,0))="Arbeit",INDEX(Arten,MATCH(K15,Codes,0))="Arbeit"),IF(ROUND((1+INDEX(Beginne,MATCH(K15,Codes,0))-INDEX(EndeRel,MATCH(J15,Codes,0)))*1440,0)&lt;660,1,0),0),0))</f>
      </c>
      <c r="L64" s="1">
        <f>IF(OR(L$52=0,K15="",L15=""),0,IFERROR(IF(AND(INDEX(Arten,MATCH(K15,Codes,0))="Arbeit",INDEX(Arten,MATCH(L15,Codes,0))="Arbeit"),IF(ROUND((1+INDEX(Beginne,MATCH(L15,Codes,0))-INDEX(EndeRel,MATCH(K15,Codes,0)))*1440,0)&lt;660,1,0),0),0))</f>
      </c>
      <c r="M64" s="1">
        <f>IF(OR(M$52=0,L15="",M15=""),0,IFERROR(IF(AND(INDEX(Arten,MATCH(L15,Codes,0))="Arbeit",INDEX(Arten,MATCH(M15,Codes,0))="Arbeit"),IF(ROUND((1+INDEX(Beginne,MATCH(M15,Codes,0))-INDEX(EndeRel,MATCH(L15,Codes,0)))*1440,0)&lt;660,1,0),0),0))</f>
      </c>
      <c r="N64" s="1">
        <f>IF(OR(N$52=0,M15="",N15=""),0,IFERROR(IF(AND(INDEX(Arten,MATCH(M15,Codes,0))="Arbeit",INDEX(Arten,MATCH(N15,Codes,0))="Arbeit"),IF(ROUND((1+INDEX(Beginne,MATCH(N15,Codes,0))-INDEX(EndeRel,MATCH(M15,Codes,0)))*1440,0)&lt;660,1,0),0),0))</f>
      </c>
      <c r="O64" s="1">
        <f>IF(OR(O$52=0,N15="",O15=""),0,IFERROR(IF(AND(INDEX(Arten,MATCH(N15,Codes,0))="Arbeit",INDEX(Arten,MATCH(O15,Codes,0))="Arbeit"),IF(ROUND((1+INDEX(Beginne,MATCH(O15,Codes,0))-INDEX(EndeRel,MATCH(N15,Codes,0)))*1440,0)&lt;660,1,0),0),0))</f>
      </c>
      <c r="P64" s="1">
        <f>IF(OR(P$52=0,O15="",P15=""),0,IFERROR(IF(AND(INDEX(Arten,MATCH(O15,Codes,0))="Arbeit",INDEX(Arten,MATCH(P15,Codes,0))="Arbeit"),IF(ROUND((1+INDEX(Beginne,MATCH(P15,Codes,0))-INDEX(EndeRel,MATCH(O15,Codes,0)))*1440,0)&lt;660,1,0),0),0))</f>
      </c>
      <c r="Q64" s="1">
        <f>IF(OR(Q$52=0,P15="",Q15=""),0,IFERROR(IF(AND(INDEX(Arten,MATCH(P15,Codes,0))="Arbeit",INDEX(Arten,MATCH(Q15,Codes,0))="Arbeit"),IF(ROUND((1+INDEX(Beginne,MATCH(Q15,Codes,0))-INDEX(EndeRel,MATCH(P15,Codes,0)))*1440,0)&lt;660,1,0),0),0))</f>
      </c>
      <c r="R64" s="1">
        <f>IF(OR(R$52=0,Q15="",R15=""),0,IFERROR(IF(AND(INDEX(Arten,MATCH(Q15,Codes,0))="Arbeit",INDEX(Arten,MATCH(R15,Codes,0))="Arbeit"),IF(ROUND((1+INDEX(Beginne,MATCH(R15,Codes,0))-INDEX(EndeRel,MATCH(Q15,Codes,0)))*1440,0)&lt;660,1,0),0),0))</f>
      </c>
      <c r="S64" s="1">
        <f>IF(OR(S$52=0,R15="",S15=""),0,IFERROR(IF(AND(INDEX(Arten,MATCH(R15,Codes,0))="Arbeit",INDEX(Arten,MATCH(S15,Codes,0))="Arbeit"),IF(ROUND((1+INDEX(Beginne,MATCH(S15,Codes,0))-INDEX(EndeRel,MATCH(R15,Codes,0)))*1440,0)&lt;660,1,0),0),0))</f>
      </c>
      <c r="T64" s="1">
        <f>IF(OR(T$52=0,S15="",T15=""),0,IFERROR(IF(AND(INDEX(Arten,MATCH(S15,Codes,0))="Arbeit",INDEX(Arten,MATCH(T15,Codes,0))="Arbeit"),IF(ROUND((1+INDEX(Beginne,MATCH(T15,Codes,0))-INDEX(EndeRel,MATCH(S15,Codes,0)))*1440,0)&lt;660,1,0),0),0))</f>
      </c>
      <c r="U64" s="1">
        <f>IF(OR(U$52=0,T15="",U15=""),0,IFERROR(IF(AND(INDEX(Arten,MATCH(T15,Codes,0))="Arbeit",INDEX(Arten,MATCH(U15,Codes,0))="Arbeit"),IF(ROUND((1+INDEX(Beginne,MATCH(U15,Codes,0))-INDEX(EndeRel,MATCH(T15,Codes,0)))*1440,0)&lt;660,1,0),0),0))</f>
      </c>
      <c r="V64" s="1">
        <f>IF(OR(V$52=0,U15="",V15=""),0,IFERROR(IF(AND(INDEX(Arten,MATCH(U15,Codes,0))="Arbeit",INDEX(Arten,MATCH(V15,Codes,0))="Arbeit"),IF(ROUND((1+INDEX(Beginne,MATCH(V15,Codes,0))-INDEX(EndeRel,MATCH(U15,Codes,0)))*1440,0)&lt;660,1,0),0),0))</f>
      </c>
      <c r="W64" s="1">
        <f>IF(OR(W$52=0,V15="",W15=""),0,IFERROR(IF(AND(INDEX(Arten,MATCH(V15,Codes,0))="Arbeit",INDEX(Arten,MATCH(W15,Codes,0))="Arbeit"),IF(ROUND((1+INDEX(Beginne,MATCH(W15,Codes,0))-INDEX(EndeRel,MATCH(V15,Codes,0)))*1440,0)&lt;660,1,0),0),0))</f>
      </c>
      <c r="X64" s="1">
        <f>IF(OR(X$52=0,W15="",X15=""),0,IFERROR(IF(AND(INDEX(Arten,MATCH(W15,Codes,0))="Arbeit",INDEX(Arten,MATCH(X15,Codes,0))="Arbeit"),IF(ROUND((1+INDEX(Beginne,MATCH(X15,Codes,0))-INDEX(EndeRel,MATCH(W15,Codes,0)))*1440,0)&lt;660,1,0),0),0))</f>
      </c>
      <c r="Y64" s="1">
        <f>IF(OR(Y$52=0,X15="",Y15=""),0,IFERROR(IF(AND(INDEX(Arten,MATCH(X15,Codes,0))="Arbeit",INDEX(Arten,MATCH(Y15,Codes,0))="Arbeit"),IF(ROUND((1+INDEX(Beginne,MATCH(Y15,Codes,0))-INDEX(EndeRel,MATCH(X15,Codes,0)))*1440,0)&lt;660,1,0),0),0))</f>
      </c>
      <c r="Z64" s="1">
        <f>IF(OR(Z$52=0,Y15="",Z15=""),0,IFERROR(IF(AND(INDEX(Arten,MATCH(Y15,Codes,0))="Arbeit",INDEX(Arten,MATCH(Z15,Codes,0))="Arbeit"),IF(ROUND((1+INDEX(Beginne,MATCH(Z15,Codes,0))-INDEX(EndeRel,MATCH(Y15,Codes,0)))*1440,0)&lt;660,1,0),0),0))</f>
      </c>
      <c r="AA64" s="1">
        <f>IF(OR(AA$52=0,Z15="",AA15=""),0,IFERROR(IF(AND(INDEX(Arten,MATCH(Z15,Codes,0))="Arbeit",INDEX(Arten,MATCH(AA15,Codes,0))="Arbeit"),IF(ROUND((1+INDEX(Beginne,MATCH(AA15,Codes,0))-INDEX(EndeRel,MATCH(Z15,Codes,0)))*1440,0)&lt;660,1,0),0),0))</f>
      </c>
      <c r="AB64" s="1">
        <f>IF(OR(AB$52=0,AA15="",AB15=""),0,IFERROR(IF(AND(INDEX(Arten,MATCH(AA15,Codes,0))="Arbeit",INDEX(Arten,MATCH(AB15,Codes,0))="Arbeit"),IF(ROUND((1+INDEX(Beginne,MATCH(AB15,Codes,0))-INDEX(EndeRel,MATCH(AA15,Codes,0)))*1440,0)&lt;660,1,0),0),0))</f>
      </c>
      <c r="AC64" s="1">
        <f>IF(OR(AC$52=0,AB15="",AC15=""),0,IFERROR(IF(AND(INDEX(Arten,MATCH(AB15,Codes,0))="Arbeit",INDEX(Arten,MATCH(AC15,Codes,0))="Arbeit"),IF(ROUND((1+INDEX(Beginne,MATCH(AC15,Codes,0))-INDEX(EndeRel,MATCH(AB15,Codes,0)))*1440,0)&lt;660,1,0),0),0))</f>
      </c>
      <c r="AD64" s="1">
        <f>IF(OR(AD$52=0,AC15="",AD15=""),0,IFERROR(IF(AND(INDEX(Arten,MATCH(AC15,Codes,0))="Arbeit",INDEX(Arten,MATCH(AD15,Codes,0))="Arbeit"),IF(ROUND((1+INDEX(Beginne,MATCH(AD15,Codes,0))-INDEX(EndeRel,MATCH(AC15,Codes,0)))*1440,0)&lt;660,1,0),0),0))</f>
      </c>
      <c r="AE64" s="1">
        <f>IF(OR(AE$52=0,AD15="",AE15=""),0,IFERROR(IF(AND(INDEX(Arten,MATCH(AD15,Codes,0))="Arbeit",INDEX(Arten,MATCH(AE15,Codes,0))="Arbeit"),IF(ROUND((1+INDEX(Beginne,MATCH(AE15,Codes,0))-INDEX(EndeRel,MATCH(AD15,Codes,0)))*1440,0)&lt;660,1,0),0),0))</f>
      </c>
      <c r="AF64" s="1">
        <f>IF(OR(AF$52=0,AE15="",AF15=""),0,IFERROR(IF(AND(INDEX(Arten,MATCH(AE15,Codes,0))="Arbeit",INDEX(Arten,MATCH(AF15,Codes,0))="Arbeit"),IF(ROUND((1+INDEX(Beginne,MATCH(AF15,Codes,0))-INDEX(EndeRel,MATCH(AE15,Codes,0)))*1440,0)&lt;660,1,0),0),0))</f>
      </c>
    </row>
    <row r="65" hidden="1" spans="1:32" x14ac:dyDescent="0.25">
      <c r="A65" s="1"/>
      <c r="B65" s="1">
        <f>IF(OR(B$52=0,INDEX('Mai'!$B$16:$AF$16,DAY(DATE(Jahr,6,0)))="",B16=""),0,IFERROR(IF(AND(INDEX(Arten,MATCH(INDEX('Mai'!$B$16:$AF$16,DAY(DATE(Jahr,6,0))),Codes,0))="Arbeit",INDEX(Arten,MATCH(B16,Codes,0))="Arbeit"),IF(ROUND((1+INDEX(Beginne,MATCH(B16,Codes,0))-INDEX(EndeRel,MATCH(INDEX('Mai'!$B$16:$AF$16,DAY(DATE(Jahr,6,0))),Codes,0)))*1440,0)&lt;660,1,0),0),0))</f>
      </c>
      <c r="C65" s="1">
        <f>IF(OR(C$52=0,B16="",C16=""),0,IFERROR(IF(AND(INDEX(Arten,MATCH(B16,Codes,0))="Arbeit",INDEX(Arten,MATCH(C16,Codes,0))="Arbeit"),IF(ROUND((1+INDEX(Beginne,MATCH(C16,Codes,0))-INDEX(EndeRel,MATCH(B16,Codes,0)))*1440,0)&lt;660,1,0),0),0))</f>
      </c>
      <c r="D65" s="1">
        <f>IF(OR(D$52=0,C16="",D16=""),0,IFERROR(IF(AND(INDEX(Arten,MATCH(C16,Codes,0))="Arbeit",INDEX(Arten,MATCH(D16,Codes,0))="Arbeit"),IF(ROUND((1+INDEX(Beginne,MATCH(D16,Codes,0))-INDEX(EndeRel,MATCH(C16,Codes,0)))*1440,0)&lt;660,1,0),0),0))</f>
      </c>
      <c r="E65" s="1">
        <f>IF(OR(E$52=0,D16="",E16=""),0,IFERROR(IF(AND(INDEX(Arten,MATCH(D16,Codes,0))="Arbeit",INDEX(Arten,MATCH(E16,Codes,0))="Arbeit"),IF(ROUND((1+INDEX(Beginne,MATCH(E16,Codes,0))-INDEX(EndeRel,MATCH(D16,Codes,0)))*1440,0)&lt;660,1,0),0),0))</f>
      </c>
      <c r="F65" s="1">
        <f>IF(OR(F$52=0,E16="",F16=""),0,IFERROR(IF(AND(INDEX(Arten,MATCH(E16,Codes,0))="Arbeit",INDEX(Arten,MATCH(F16,Codes,0))="Arbeit"),IF(ROUND((1+INDEX(Beginne,MATCH(F16,Codes,0))-INDEX(EndeRel,MATCH(E16,Codes,0)))*1440,0)&lt;660,1,0),0),0))</f>
      </c>
      <c r="G65" s="1">
        <f>IF(OR(G$52=0,F16="",G16=""),0,IFERROR(IF(AND(INDEX(Arten,MATCH(F16,Codes,0))="Arbeit",INDEX(Arten,MATCH(G16,Codes,0))="Arbeit"),IF(ROUND((1+INDEX(Beginne,MATCH(G16,Codes,0))-INDEX(EndeRel,MATCH(F16,Codes,0)))*1440,0)&lt;660,1,0),0),0))</f>
      </c>
      <c r="H65" s="1">
        <f>IF(OR(H$52=0,G16="",H16=""),0,IFERROR(IF(AND(INDEX(Arten,MATCH(G16,Codes,0))="Arbeit",INDEX(Arten,MATCH(H16,Codes,0))="Arbeit"),IF(ROUND((1+INDEX(Beginne,MATCH(H16,Codes,0))-INDEX(EndeRel,MATCH(G16,Codes,0)))*1440,0)&lt;660,1,0),0),0))</f>
      </c>
      <c r="I65" s="1">
        <f>IF(OR(I$52=0,H16="",I16=""),0,IFERROR(IF(AND(INDEX(Arten,MATCH(H16,Codes,0))="Arbeit",INDEX(Arten,MATCH(I16,Codes,0))="Arbeit"),IF(ROUND((1+INDEX(Beginne,MATCH(I16,Codes,0))-INDEX(EndeRel,MATCH(H16,Codes,0)))*1440,0)&lt;660,1,0),0),0))</f>
      </c>
      <c r="J65" s="1">
        <f>IF(OR(J$52=0,I16="",J16=""),0,IFERROR(IF(AND(INDEX(Arten,MATCH(I16,Codes,0))="Arbeit",INDEX(Arten,MATCH(J16,Codes,0))="Arbeit"),IF(ROUND((1+INDEX(Beginne,MATCH(J16,Codes,0))-INDEX(EndeRel,MATCH(I16,Codes,0)))*1440,0)&lt;660,1,0),0),0))</f>
      </c>
      <c r="K65" s="1">
        <f>IF(OR(K$52=0,J16="",K16=""),0,IFERROR(IF(AND(INDEX(Arten,MATCH(J16,Codes,0))="Arbeit",INDEX(Arten,MATCH(K16,Codes,0))="Arbeit"),IF(ROUND((1+INDEX(Beginne,MATCH(K16,Codes,0))-INDEX(EndeRel,MATCH(J16,Codes,0)))*1440,0)&lt;660,1,0),0),0))</f>
      </c>
      <c r="L65" s="1">
        <f>IF(OR(L$52=0,K16="",L16=""),0,IFERROR(IF(AND(INDEX(Arten,MATCH(K16,Codes,0))="Arbeit",INDEX(Arten,MATCH(L16,Codes,0))="Arbeit"),IF(ROUND((1+INDEX(Beginne,MATCH(L16,Codes,0))-INDEX(EndeRel,MATCH(K16,Codes,0)))*1440,0)&lt;660,1,0),0),0))</f>
      </c>
      <c r="M65" s="1">
        <f>IF(OR(M$52=0,L16="",M16=""),0,IFERROR(IF(AND(INDEX(Arten,MATCH(L16,Codes,0))="Arbeit",INDEX(Arten,MATCH(M16,Codes,0))="Arbeit"),IF(ROUND((1+INDEX(Beginne,MATCH(M16,Codes,0))-INDEX(EndeRel,MATCH(L16,Codes,0)))*1440,0)&lt;660,1,0),0),0))</f>
      </c>
      <c r="N65" s="1">
        <f>IF(OR(N$52=0,M16="",N16=""),0,IFERROR(IF(AND(INDEX(Arten,MATCH(M16,Codes,0))="Arbeit",INDEX(Arten,MATCH(N16,Codes,0))="Arbeit"),IF(ROUND((1+INDEX(Beginne,MATCH(N16,Codes,0))-INDEX(EndeRel,MATCH(M16,Codes,0)))*1440,0)&lt;660,1,0),0),0))</f>
      </c>
      <c r="O65" s="1">
        <f>IF(OR(O$52=0,N16="",O16=""),0,IFERROR(IF(AND(INDEX(Arten,MATCH(N16,Codes,0))="Arbeit",INDEX(Arten,MATCH(O16,Codes,0))="Arbeit"),IF(ROUND((1+INDEX(Beginne,MATCH(O16,Codes,0))-INDEX(EndeRel,MATCH(N16,Codes,0)))*1440,0)&lt;660,1,0),0),0))</f>
      </c>
      <c r="P65" s="1">
        <f>IF(OR(P$52=0,O16="",P16=""),0,IFERROR(IF(AND(INDEX(Arten,MATCH(O16,Codes,0))="Arbeit",INDEX(Arten,MATCH(P16,Codes,0))="Arbeit"),IF(ROUND((1+INDEX(Beginne,MATCH(P16,Codes,0))-INDEX(EndeRel,MATCH(O16,Codes,0)))*1440,0)&lt;660,1,0),0),0))</f>
      </c>
      <c r="Q65" s="1">
        <f>IF(OR(Q$52=0,P16="",Q16=""),0,IFERROR(IF(AND(INDEX(Arten,MATCH(P16,Codes,0))="Arbeit",INDEX(Arten,MATCH(Q16,Codes,0))="Arbeit"),IF(ROUND((1+INDEX(Beginne,MATCH(Q16,Codes,0))-INDEX(EndeRel,MATCH(P16,Codes,0)))*1440,0)&lt;660,1,0),0),0))</f>
      </c>
      <c r="R65" s="1">
        <f>IF(OR(R$52=0,Q16="",R16=""),0,IFERROR(IF(AND(INDEX(Arten,MATCH(Q16,Codes,0))="Arbeit",INDEX(Arten,MATCH(R16,Codes,0))="Arbeit"),IF(ROUND((1+INDEX(Beginne,MATCH(R16,Codes,0))-INDEX(EndeRel,MATCH(Q16,Codes,0)))*1440,0)&lt;660,1,0),0),0))</f>
      </c>
      <c r="S65" s="1">
        <f>IF(OR(S$52=0,R16="",S16=""),0,IFERROR(IF(AND(INDEX(Arten,MATCH(R16,Codes,0))="Arbeit",INDEX(Arten,MATCH(S16,Codes,0))="Arbeit"),IF(ROUND((1+INDEX(Beginne,MATCH(S16,Codes,0))-INDEX(EndeRel,MATCH(R16,Codes,0)))*1440,0)&lt;660,1,0),0),0))</f>
      </c>
      <c r="T65" s="1">
        <f>IF(OR(T$52=0,S16="",T16=""),0,IFERROR(IF(AND(INDEX(Arten,MATCH(S16,Codes,0))="Arbeit",INDEX(Arten,MATCH(T16,Codes,0))="Arbeit"),IF(ROUND((1+INDEX(Beginne,MATCH(T16,Codes,0))-INDEX(EndeRel,MATCH(S16,Codes,0)))*1440,0)&lt;660,1,0),0),0))</f>
      </c>
      <c r="U65" s="1">
        <f>IF(OR(U$52=0,T16="",U16=""),0,IFERROR(IF(AND(INDEX(Arten,MATCH(T16,Codes,0))="Arbeit",INDEX(Arten,MATCH(U16,Codes,0))="Arbeit"),IF(ROUND((1+INDEX(Beginne,MATCH(U16,Codes,0))-INDEX(EndeRel,MATCH(T16,Codes,0)))*1440,0)&lt;660,1,0),0),0))</f>
      </c>
      <c r="V65" s="1">
        <f>IF(OR(V$52=0,U16="",V16=""),0,IFERROR(IF(AND(INDEX(Arten,MATCH(U16,Codes,0))="Arbeit",INDEX(Arten,MATCH(V16,Codes,0))="Arbeit"),IF(ROUND((1+INDEX(Beginne,MATCH(V16,Codes,0))-INDEX(EndeRel,MATCH(U16,Codes,0)))*1440,0)&lt;660,1,0),0),0))</f>
      </c>
      <c r="W65" s="1">
        <f>IF(OR(W$52=0,V16="",W16=""),0,IFERROR(IF(AND(INDEX(Arten,MATCH(V16,Codes,0))="Arbeit",INDEX(Arten,MATCH(W16,Codes,0))="Arbeit"),IF(ROUND((1+INDEX(Beginne,MATCH(W16,Codes,0))-INDEX(EndeRel,MATCH(V16,Codes,0)))*1440,0)&lt;660,1,0),0),0))</f>
      </c>
      <c r="X65" s="1">
        <f>IF(OR(X$52=0,W16="",X16=""),0,IFERROR(IF(AND(INDEX(Arten,MATCH(W16,Codes,0))="Arbeit",INDEX(Arten,MATCH(X16,Codes,0))="Arbeit"),IF(ROUND((1+INDEX(Beginne,MATCH(X16,Codes,0))-INDEX(EndeRel,MATCH(W16,Codes,0)))*1440,0)&lt;660,1,0),0),0))</f>
      </c>
      <c r="Y65" s="1">
        <f>IF(OR(Y$52=0,X16="",Y16=""),0,IFERROR(IF(AND(INDEX(Arten,MATCH(X16,Codes,0))="Arbeit",INDEX(Arten,MATCH(Y16,Codes,0))="Arbeit"),IF(ROUND((1+INDEX(Beginne,MATCH(Y16,Codes,0))-INDEX(EndeRel,MATCH(X16,Codes,0)))*1440,0)&lt;660,1,0),0),0))</f>
      </c>
      <c r="Z65" s="1">
        <f>IF(OR(Z$52=0,Y16="",Z16=""),0,IFERROR(IF(AND(INDEX(Arten,MATCH(Y16,Codes,0))="Arbeit",INDEX(Arten,MATCH(Z16,Codes,0))="Arbeit"),IF(ROUND((1+INDEX(Beginne,MATCH(Z16,Codes,0))-INDEX(EndeRel,MATCH(Y16,Codes,0)))*1440,0)&lt;660,1,0),0),0))</f>
      </c>
      <c r="AA65" s="1">
        <f>IF(OR(AA$52=0,Z16="",AA16=""),0,IFERROR(IF(AND(INDEX(Arten,MATCH(Z16,Codes,0))="Arbeit",INDEX(Arten,MATCH(AA16,Codes,0))="Arbeit"),IF(ROUND((1+INDEX(Beginne,MATCH(AA16,Codes,0))-INDEX(EndeRel,MATCH(Z16,Codes,0)))*1440,0)&lt;660,1,0),0),0))</f>
      </c>
      <c r="AB65" s="1">
        <f>IF(OR(AB$52=0,AA16="",AB16=""),0,IFERROR(IF(AND(INDEX(Arten,MATCH(AA16,Codes,0))="Arbeit",INDEX(Arten,MATCH(AB16,Codes,0))="Arbeit"),IF(ROUND((1+INDEX(Beginne,MATCH(AB16,Codes,0))-INDEX(EndeRel,MATCH(AA16,Codes,0)))*1440,0)&lt;660,1,0),0),0))</f>
      </c>
      <c r="AC65" s="1">
        <f>IF(OR(AC$52=0,AB16="",AC16=""),0,IFERROR(IF(AND(INDEX(Arten,MATCH(AB16,Codes,0))="Arbeit",INDEX(Arten,MATCH(AC16,Codes,0))="Arbeit"),IF(ROUND((1+INDEX(Beginne,MATCH(AC16,Codes,0))-INDEX(EndeRel,MATCH(AB16,Codes,0)))*1440,0)&lt;660,1,0),0),0))</f>
      </c>
      <c r="AD65" s="1">
        <f>IF(OR(AD$52=0,AC16="",AD16=""),0,IFERROR(IF(AND(INDEX(Arten,MATCH(AC16,Codes,0))="Arbeit",INDEX(Arten,MATCH(AD16,Codes,0))="Arbeit"),IF(ROUND((1+INDEX(Beginne,MATCH(AD16,Codes,0))-INDEX(EndeRel,MATCH(AC16,Codes,0)))*1440,0)&lt;660,1,0),0),0))</f>
      </c>
      <c r="AE65" s="1">
        <f>IF(OR(AE$52=0,AD16="",AE16=""),0,IFERROR(IF(AND(INDEX(Arten,MATCH(AD16,Codes,0))="Arbeit",INDEX(Arten,MATCH(AE16,Codes,0))="Arbeit"),IF(ROUND((1+INDEX(Beginne,MATCH(AE16,Codes,0))-INDEX(EndeRel,MATCH(AD16,Codes,0)))*1440,0)&lt;660,1,0),0),0))</f>
      </c>
      <c r="AF65" s="1">
        <f>IF(OR(AF$52=0,AE16="",AF16=""),0,IFERROR(IF(AND(INDEX(Arten,MATCH(AE16,Codes,0))="Arbeit",INDEX(Arten,MATCH(AF16,Codes,0))="Arbeit"),IF(ROUND((1+INDEX(Beginne,MATCH(AF16,Codes,0))-INDEX(EndeRel,MATCH(AE16,Codes,0)))*1440,0)&lt;660,1,0),0),0))</f>
      </c>
    </row>
    <row r="66" hidden="1" spans="1:32" x14ac:dyDescent="0.25">
      <c r="A66" s="1"/>
      <c r="B66" s="1">
        <f>IF(OR(B$52=0,INDEX('Mai'!$B$17:$AF$17,DAY(DATE(Jahr,6,0)))="",B17=""),0,IFERROR(IF(AND(INDEX(Arten,MATCH(INDEX('Mai'!$B$17:$AF$17,DAY(DATE(Jahr,6,0))),Codes,0))="Arbeit",INDEX(Arten,MATCH(B17,Codes,0))="Arbeit"),IF(ROUND((1+INDEX(Beginne,MATCH(B17,Codes,0))-INDEX(EndeRel,MATCH(INDEX('Mai'!$B$17:$AF$17,DAY(DATE(Jahr,6,0))),Codes,0)))*1440,0)&lt;660,1,0),0),0))</f>
      </c>
      <c r="C66" s="1">
        <f>IF(OR(C$52=0,B17="",C17=""),0,IFERROR(IF(AND(INDEX(Arten,MATCH(B17,Codes,0))="Arbeit",INDEX(Arten,MATCH(C17,Codes,0))="Arbeit"),IF(ROUND((1+INDEX(Beginne,MATCH(C17,Codes,0))-INDEX(EndeRel,MATCH(B17,Codes,0)))*1440,0)&lt;660,1,0),0),0))</f>
      </c>
      <c r="D66" s="1">
        <f>IF(OR(D$52=0,C17="",D17=""),0,IFERROR(IF(AND(INDEX(Arten,MATCH(C17,Codes,0))="Arbeit",INDEX(Arten,MATCH(D17,Codes,0))="Arbeit"),IF(ROUND((1+INDEX(Beginne,MATCH(D17,Codes,0))-INDEX(EndeRel,MATCH(C17,Codes,0)))*1440,0)&lt;660,1,0),0),0))</f>
      </c>
      <c r="E66" s="1">
        <f>IF(OR(E$52=0,D17="",E17=""),0,IFERROR(IF(AND(INDEX(Arten,MATCH(D17,Codes,0))="Arbeit",INDEX(Arten,MATCH(E17,Codes,0))="Arbeit"),IF(ROUND((1+INDEX(Beginne,MATCH(E17,Codes,0))-INDEX(EndeRel,MATCH(D17,Codes,0)))*1440,0)&lt;660,1,0),0),0))</f>
      </c>
      <c r="F66" s="1">
        <f>IF(OR(F$52=0,E17="",F17=""),0,IFERROR(IF(AND(INDEX(Arten,MATCH(E17,Codes,0))="Arbeit",INDEX(Arten,MATCH(F17,Codes,0))="Arbeit"),IF(ROUND((1+INDEX(Beginne,MATCH(F17,Codes,0))-INDEX(EndeRel,MATCH(E17,Codes,0)))*1440,0)&lt;660,1,0),0),0))</f>
      </c>
      <c r="G66" s="1">
        <f>IF(OR(G$52=0,F17="",G17=""),0,IFERROR(IF(AND(INDEX(Arten,MATCH(F17,Codes,0))="Arbeit",INDEX(Arten,MATCH(G17,Codes,0))="Arbeit"),IF(ROUND((1+INDEX(Beginne,MATCH(G17,Codes,0))-INDEX(EndeRel,MATCH(F17,Codes,0)))*1440,0)&lt;660,1,0),0),0))</f>
      </c>
      <c r="H66" s="1">
        <f>IF(OR(H$52=0,G17="",H17=""),0,IFERROR(IF(AND(INDEX(Arten,MATCH(G17,Codes,0))="Arbeit",INDEX(Arten,MATCH(H17,Codes,0))="Arbeit"),IF(ROUND((1+INDEX(Beginne,MATCH(H17,Codes,0))-INDEX(EndeRel,MATCH(G17,Codes,0)))*1440,0)&lt;660,1,0),0),0))</f>
      </c>
      <c r="I66" s="1">
        <f>IF(OR(I$52=0,H17="",I17=""),0,IFERROR(IF(AND(INDEX(Arten,MATCH(H17,Codes,0))="Arbeit",INDEX(Arten,MATCH(I17,Codes,0))="Arbeit"),IF(ROUND((1+INDEX(Beginne,MATCH(I17,Codes,0))-INDEX(EndeRel,MATCH(H17,Codes,0)))*1440,0)&lt;660,1,0),0),0))</f>
      </c>
      <c r="J66" s="1">
        <f>IF(OR(J$52=0,I17="",J17=""),0,IFERROR(IF(AND(INDEX(Arten,MATCH(I17,Codes,0))="Arbeit",INDEX(Arten,MATCH(J17,Codes,0))="Arbeit"),IF(ROUND((1+INDEX(Beginne,MATCH(J17,Codes,0))-INDEX(EndeRel,MATCH(I17,Codes,0)))*1440,0)&lt;660,1,0),0),0))</f>
      </c>
      <c r="K66" s="1">
        <f>IF(OR(K$52=0,J17="",K17=""),0,IFERROR(IF(AND(INDEX(Arten,MATCH(J17,Codes,0))="Arbeit",INDEX(Arten,MATCH(K17,Codes,0))="Arbeit"),IF(ROUND((1+INDEX(Beginne,MATCH(K17,Codes,0))-INDEX(EndeRel,MATCH(J17,Codes,0)))*1440,0)&lt;660,1,0),0),0))</f>
      </c>
      <c r="L66" s="1">
        <f>IF(OR(L$52=0,K17="",L17=""),0,IFERROR(IF(AND(INDEX(Arten,MATCH(K17,Codes,0))="Arbeit",INDEX(Arten,MATCH(L17,Codes,0))="Arbeit"),IF(ROUND((1+INDEX(Beginne,MATCH(L17,Codes,0))-INDEX(EndeRel,MATCH(K17,Codes,0)))*1440,0)&lt;660,1,0),0),0))</f>
      </c>
      <c r="M66" s="1">
        <f>IF(OR(M$52=0,L17="",M17=""),0,IFERROR(IF(AND(INDEX(Arten,MATCH(L17,Codes,0))="Arbeit",INDEX(Arten,MATCH(M17,Codes,0))="Arbeit"),IF(ROUND((1+INDEX(Beginne,MATCH(M17,Codes,0))-INDEX(EndeRel,MATCH(L17,Codes,0)))*1440,0)&lt;660,1,0),0),0))</f>
      </c>
      <c r="N66" s="1">
        <f>IF(OR(N$52=0,M17="",N17=""),0,IFERROR(IF(AND(INDEX(Arten,MATCH(M17,Codes,0))="Arbeit",INDEX(Arten,MATCH(N17,Codes,0))="Arbeit"),IF(ROUND((1+INDEX(Beginne,MATCH(N17,Codes,0))-INDEX(EndeRel,MATCH(M17,Codes,0)))*1440,0)&lt;660,1,0),0),0))</f>
      </c>
      <c r="O66" s="1">
        <f>IF(OR(O$52=0,N17="",O17=""),0,IFERROR(IF(AND(INDEX(Arten,MATCH(N17,Codes,0))="Arbeit",INDEX(Arten,MATCH(O17,Codes,0))="Arbeit"),IF(ROUND((1+INDEX(Beginne,MATCH(O17,Codes,0))-INDEX(EndeRel,MATCH(N17,Codes,0)))*1440,0)&lt;660,1,0),0),0))</f>
      </c>
      <c r="P66" s="1">
        <f>IF(OR(P$52=0,O17="",P17=""),0,IFERROR(IF(AND(INDEX(Arten,MATCH(O17,Codes,0))="Arbeit",INDEX(Arten,MATCH(P17,Codes,0))="Arbeit"),IF(ROUND((1+INDEX(Beginne,MATCH(P17,Codes,0))-INDEX(EndeRel,MATCH(O17,Codes,0)))*1440,0)&lt;660,1,0),0),0))</f>
      </c>
      <c r="Q66" s="1">
        <f>IF(OR(Q$52=0,P17="",Q17=""),0,IFERROR(IF(AND(INDEX(Arten,MATCH(P17,Codes,0))="Arbeit",INDEX(Arten,MATCH(Q17,Codes,0))="Arbeit"),IF(ROUND((1+INDEX(Beginne,MATCH(Q17,Codes,0))-INDEX(EndeRel,MATCH(P17,Codes,0)))*1440,0)&lt;660,1,0),0),0))</f>
      </c>
      <c r="R66" s="1">
        <f>IF(OR(R$52=0,Q17="",R17=""),0,IFERROR(IF(AND(INDEX(Arten,MATCH(Q17,Codes,0))="Arbeit",INDEX(Arten,MATCH(R17,Codes,0))="Arbeit"),IF(ROUND((1+INDEX(Beginne,MATCH(R17,Codes,0))-INDEX(EndeRel,MATCH(Q17,Codes,0)))*1440,0)&lt;660,1,0),0),0))</f>
      </c>
      <c r="S66" s="1">
        <f>IF(OR(S$52=0,R17="",S17=""),0,IFERROR(IF(AND(INDEX(Arten,MATCH(R17,Codes,0))="Arbeit",INDEX(Arten,MATCH(S17,Codes,0))="Arbeit"),IF(ROUND((1+INDEX(Beginne,MATCH(S17,Codes,0))-INDEX(EndeRel,MATCH(R17,Codes,0)))*1440,0)&lt;660,1,0),0),0))</f>
      </c>
      <c r="T66" s="1">
        <f>IF(OR(T$52=0,S17="",T17=""),0,IFERROR(IF(AND(INDEX(Arten,MATCH(S17,Codes,0))="Arbeit",INDEX(Arten,MATCH(T17,Codes,0))="Arbeit"),IF(ROUND((1+INDEX(Beginne,MATCH(T17,Codes,0))-INDEX(EndeRel,MATCH(S17,Codes,0)))*1440,0)&lt;660,1,0),0),0))</f>
      </c>
      <c r="U66" s="1">
        <f>IF(OR(U$52=0,T17="",U17=""),0,IFERROR(IF(AND(INDEX(Arten,MATCH(T17,Codes,0))="Arbeit",INDEX(Arten,MATCH(U17,Codes,0))="Arbeit"),IF(ROUND((1+INDEX(Beginne,MATCH(U17,Codes,0))-INDEX(EndeRel,MATCH(T17,Codes,0)))*1440,0)&lt;660,1,0),0),0))</f>
      </c>
      <c r="V66" s="1">
        <f>IF(OR(V$52=0,U17="",V17=""),0,IFERROR(IF(AND(INDEX(Arten,MATCH(U17,Codes,0))="Arbeit",INDEX(Arten,MATCH(V17,Codes,0))="Arbeit"),IF(ROUND((1+INDEX(Beginne,MATCH(V17,Codes,0))-INDEX(EndeRel,MATCH(U17,Codes,0)))*1440,0)&lt;660,1,0),0),0))</f>
      </c>
      <c r="W66" s="1">
        <f>IF(OR(W$52=0,V17="",W17=""),0,IFERROR(IF(AND(INDEX(Arten,MATCH(V17,Codes,0))="Arbeit",INDEX(Arten,MATCH(W17,Codes,0))="Arbeit"),IF(ROUND((1+INDEX(Beginne,MATCH(W17,Codes,0))-INDEX(EndeRel,MATCH(V17,Codes,0)))*1440,0)&lt;660,1,0),0),0))</f>
      </c>
      <c r="X66" s="1">
        <f>IF(OR(X$52=0,W17="",X17=""),0,IFERROR(IF(AND(INDEX(Arten,MATCH(W17,Codes,0))="Arbeit",INDEX(Arten,MATCH(X17,Codes,0))="Arbeit"),IF(ROUND((1+INDEX(Beginne,MATCH(X17,Codes,0))-INDEX(EndeRel,MATCH(W17,Codes,0)))*1440,0)&lt;660,1,0),0),0))</f>
      </c>
      <c r="Y66" s="1">
        <f>IF(OR(Y$52=0,X17="",Y17=""),0,IFERROR(IF(AND(INDEX(Arten,MATCH(X17,Codes,0))="Arbeit",INDEX(Arten,MATCH(Y17,Codes,0))="Arbeit"),IF(ROUND((1+INDEX(Beginne,MATCH(Y17,Codes,0))-INDEX(EndeRel,MATCH(X17,Codes,0)))*1440,0)&lt;660,1,0),0),0))</f>
      </c>
      <c r="Z66" s="1">
        <f>IF(OR(Z$52=0,Y17="",Z17=""),0,IFERROR(IF(AND(INDEX(Arten,MATCH(Y17,Codes,0))="Arbeit",INDEX(Arten,MATCH(Z17,Codes,0))="Arbeit"),IF(ROUND((1+INDEX(Beginne,MATCH(Z17,Codes,0))-INDEX(EndeRel,MATCH(Y17,Codes,0)))*1440,0)&lt;660,1,0),0),0))</f>
      </c>
      <c r="AA66" s="1">
        <f>IF(OR(AA$52=0,Z17="",AA17=""),0,IFERROR(IF(AND(INDEX(Arten,MATCH(Z17,Codes,0))="Arbeit",INDEX(Arten,MATCH(AA17,Codes,0))="Arbeit"),IF(ROUND((1+INDEX(Beginne,MATCH(AA17,Codes,0))-INDEX(EndeRel,MATCH(Z17,Codes,0)))*1440,0)&lt;660,1,0),0),0))</f>
      </c>
      <c r="AB66" s="1">
        <f>IF(OR(AB$52=0,AA17="",AB17=""),0,IFERROR(IF(AND(INDEX(Arten,MATCH(AA17,Codes,0))="Arbeit",INDEX(Arten,MATCH(AB17,Codes,0))="Arbeit"),IF(ROUND((1+INDEX(Beginne,MATCH(AB17,Codes,0))-INDEX(EndeRel,MATCH(AA17,Codes,0)))*1440,0)&lt;660,1,0),0),0))</f>
      </c>
      <c r="AC66" s="1">
        <f>IF(OR(AC$52=0,AB17="",AC17=""),0,IFERROR(IF(AND(INDEX(Arten,MATCH(AB17,Codes,0))="Arbeit",INDEX(Arten,MATCH(AC17,Codes,0))="Arbeit"),IF(ROUND((1+INDEX(Beginne,MATCH(AC17,Codes,0))-INDEX(EndeRel,MATCH(AB17,Codes,0)))*1440,0)&lt;660,1,0),0),0))</f>
      </c>
      <c r="AD66" s="1">
        <f>IF(OR(AD$52=0,AC17="",AD17=""),0,IFERROR(IF(AND(INDEX(Arten,MATCH(AC17,Codes,0))="Arbeit",INDEX(Arten,MATCH(AD17,Codes,0))="Arbeit"),IF(ROUND((1+INDEX(Beginne,MATCH(AD17,Codes,0))-INDEX(EndeRel,MATCH(AC17,Codes,0)))*1440,0)&lt;660,1,0),0),0))</f>
      </c>
      <c r="AE66" s="1">
        <f>IF(OR(AE$52=0,AD17="",AE17=""),0,IFERROR(IF(AND(INDEX(Arten,MATCH(AD17,Codes,0))="Arbeit",INDEX(Arten,MATCH(AE17,Codes,0))="Arbeit"),IF(ROUND((1+INDEX(Beginne,MATCH(AE17,Codes,0))-INDEX(EndeRel,MATCH(AD17,Codes,0)))*1440,0)&lt;660,1,0),0),0))</f>
      </c>
      <c r="AF66" s="1">
        <f>IF(OR(AF$52=0,AE17="",AF17=""),0,IFERROR(IF(AND(INDEX(Arten,MATCH(AE17,Codes,0))="Arbeit",INDEX(Arten,MATCH(AF17,Codes,0))="Arbeit"),IF(ROUND((1+INDEX(Beginne,MATCH(AF17,Codes,0))-INDEX(EndeRel,MATCH(AE17,Codes,0)))*1440,0)&lt;660,1,0),0),0))</f>
      </c>
    </row>
    <row r="67" hidden="1" spans="1:32" x14ac:dyDescent="0.25">
      <c r="A67" s="1"/>
      <c r="B67" s="1">
        <f>IF(OR(B$52=0,INDEX('Mai'!$B$18:$AF$18,DAY(DATE(Jahr,6,0)))="",B18=""),0,IFERROR(IF(AND(INDEX(Arten,MATCH(INDEX('Mai'!$B$18:$AF$18,DAY(DATE(Jahr,6,0))),Codes,0))="Arbeit",INDEX(Arten,MATCH(B18,Codes,0))="Arbeit"),IF(ROUND((1+INDEX(Beginne,MATCH(B18,Codes,0))-INDEX(EndeRel,MATCH(INDEX('Mai'!$B$18:$AF$18,DAY(DATE(Jahr,6,0))),Codes,0)))*1440,0)&lt;660,1,0),0),0))</f>
      </c>
      <c r="C67" s="1">
        <f>IF(OR(C$52=0,B18="",C18=""),0,IFERROR(IF(AND(INDEX(Arten,MATCH(B18,Codes,0))="Arbeit",INDEX(Arten,MATCH(C18,Codes,0))="Arbeit"),IF(ROUND((1+INDEX(Beginne,MATCH(C18,Codes,0))-INDEX(EndeRel,MATCH(B18,Codes,0)))*1440,0)&lt;660,1,0),0),0))</f>
      </c>
      <c r="D67" s="1">
        <f>IF(OR(D$52=0,C18="",D18=""),0,IFERROR(IF(AND(INDEX(Arten,MATCH(C18,Codes,0))="Arbeit",INDEX(Arten,MATCH(D18,Codes,0))="Arbeit"),IF(ROUND((1+INDEX(Beginne,MATCH(D18,Codes,0))-INDEX(EndeRel,MATCH(C18,Codes,0)))*1440,0)&lt;660,1,0),0),0))</f>
      </c>
      <c r="E67" s="1">
        <f>IF(OR(E$52=0,D18="",E18=""),0,IFERROR(IF(AND(INDEX(Arten,MATCH(D18,Codes,0))="Arbeit",INDEX(Arten,MATCH(E18,Codes,0))="Arbeit"),IF(ROUND((1+INDEX(Beginne,MATCH(E18,Codes,0))-INDEX(EndeRel,MATCH(D18,Codes,0)))*1440,0)&lt;660,1,0),0),0))</f>
      </c>
      <c r="F67" s="1">
        <f>IF(OR(F$52=0,E18="",F18=""),0,IFERROR(IF(AND(INDEX(Arten,MATCH(E18,Codes,0))="Arbeit",INDEX(Arten,MATCH(F18,Codes,0))="Arbeit"),IF(ROUND((1+INDEX(Beginne,MATCH(F18,Codes,0))-INDEX(EndeRel,MATCH(E18,Codes,0)))*1440,0)&lt;660,1,0),0),0))</f>
      </c>
      <c r="G67" s="1">
        <f>IF(OR(G$52=0,F18="",G18=""),0,IFERROR(IF(AND(INDEX(Arten,MATCH(F18,Codes,0))="Arbeit",INDEX(Arten,MATCH(G18,Codes,0))="Arbeit"),IF(ROUND((1+INDEX(Beginne,MATCH(G18,Codes,0))-INDEX(EndeRel,MATCH(F18,Codes,0)))*1440,0)&lt;660,1,0),0),0))</f>
      </c>
      <c r="H67" s="1">
        <f>IF(OR(H$52=0,G18="",H18=""),0,IFERROR(IF(AND(INDEX(Arten,MATCH(G18,Codes,0))="Arbeit",INDEX(Arten,MATCH(H18,Codes,0))="Arbeit"),IF(ROUND((1+INDEX(Beginne,MATCH(H18,Codes,0))-INDEX(EndeRel,MATCH(G18,Codes,0)))*1440,0)&lt;660,1,0),0),0))</f>
      </c>
      <c r="I67" s="1">
        <f>IF(OR(I$52=0,H18="",I18=""),0,IFERROR(IF(AND(INDEX(Arten,MATCH(H18,Codes,0))="Arbeit",INDEX(Arten,MATCH(I18,Codes,0))="Arbeit"),IF(ROUND((1+INDEX(Beginne,MATCH(I18,Codes,0))-INDEX(EndeRel,MATCH(H18,Codes,0)))*1440,0)&lt;660,1,0),0),0))</f>
      </c>
      <c r="J67" s="1">
        <f>IF(OR(J$52=0,I18="",J18=""),0,IFERROR(IF(AND(INDEX(Arten,MATCH(I18,Codes,0))="Arbeit",INDEX(Arten,MATCH(J18,Codes,0))="Arbeit"),IF(ROUND((1+INDEX(Beginne,MATCH(J18,Codes,0))-INDEX(EndeRel,MATCH(I18,Codes,0)))*1440,0)&lt;660,1,0),0),0))</f>
      </c>
      <c r="K67" s="1">
        <f>IF(OR(K$52=0,J18="",K18=""),0,IFERROR(IF(AND(INDEX(Arten,MATCH(J18,Codes,0))="Arbeit",INDEX(Arten,MATCH(K18,Codes,0))="Arbeit"),IF(ROUND((1+INDEX(Beginne,MATCH(K18,Codes,0))-INDEX(EndeRel,MATCH(J18,Codes,0)))*1440,0)&lt;660,1,0),0),0))</f>
      </c>
      <c r="L67" s="1">
        <f>IF(OR(L$52=0,K18="",L18=""),0,IFERROR(IF(AND(INDEX(Arten,MATCH(K18,Codes,0))="Arbeit",INDEX(Arten,MATCH(L18,Codes,0))="Arbeit"),IF(ROUND((1+INDEX(Beginne,MATCH(L18,Codes,0))-INDEX(EndeRel,MATCH(K18,Codes,0)))*1440,0)&lt;660,1,0),0),0))</f>
      </c>
      <c r="M67" s="1">
        <f>IF(OR(M$52=0,L18="",M18=""),0,IFERROR(IF(AND(INDEX(Arten,MATCH(L18,Codes,0))="Arbeit",INDEX(Arten,MATCH(M18,Codes,0))="Arbeit"),IF(ROUND((1+INDEX(Beginne,MATCH(M18,Codes,0))-INDEX(EndeRel,MATCH(L18,Codes,0)))*1440,0)&lt;660,1,0),0),0))</f>
      </c>
      <c r="N67" s="1">
        <f>IF(OR(N$52=0,M18="",N18=""),0,IFERROR(IF(AND(INDEX(Arten,MATCH(M18,Codes,0))="Arbeit",INDEX(Arten,MATCH(N18,Codes,0))="Arbeit"),IF(ROUND((1+INDEX(Beginne,MATCH(N18,Codes,0))-INDEX(EndeRel,MATCH(M18,Codes,0)))*1440,0)&lt;660,1,0),0),0))</f>
      </c>
      <c r="O67" s="1">
        <f>IF(OR(O$52=0,N18="",O18=""),0,IFERROR(IF(AND(INDEX(Arten,MATCH(N18,Codes,0))="Arbeit",INDEX(Arten,MATCH(O18,Codes,0))="Arbeit"),IF(ROUND((1+INDEX(Beginne,MATCH(O18,Codes,0))-INDEX(EndeRel,MATCH(N18,Codes,0)))*1440,0)&lt;660,1,0),0),0))</f>
      </c>
      <c r="P67" s="1">
        <f>IF(OR(P$52=0,O18="",P18=""),0,IFERROR(IF(AND(INDEX(Arten,MATCH(O18,Codes,0))="Arbeit",INDEX(Arten,MATCH(P18,Codes,0))="Arbeit"),IF(ROUND((1+INDEX(Beginne,MATCH(P18,Codes,0))-INDEX(EndeRel,MATCH(O18,Codes,0)))*1440,0)&lt;660,1,0),0),0))</f>
      </c>
      <c r="Q67" s="1">
        <f>IF(OR(Q$52=0,P18="",Q18=""),0,IFERROR(IF(AND(INDEX(Arten,MATCH(P18,Codes,0))="Arbeit",INDEX(Arten,MATCH(Q18,Codes,0))="Arbeit"),IF(ROUND((1+INDEX(Beginne,MATCH(Q18,Codes,0))-INDEX(EndeRel,MATCH(P18,Codes,0)))*1440,0)&lt;660,1,0),0),0))</f>
      </c>
      <c r="R67" s="1">
        <f>IF(OR(R$52=0,Q18="",R18=""),0,IFERROR(IF(AND(INDEX(Arten,MATCH(Q18,Codes,0))="Arbeit",INDEX(Arten,MATCH(R18,Codes,0))="Arbeit"),IF(ROUND((1+INDEX(Beginne,MATCH(R18,Codes,0))-INDEX(EndeRel,MATCH(Q18,Codes,0)))*1440,0)&lt;660,1,0),0),0))</f>
      </c>
      <c r="S67" s="1">
        <f>IF(OR(S$52=0,R18="",S18=""),0,IFERROR(IF(AND(INDEX(Arten,MATCH(R18,Codes,0))="Arbeit",INDEX(Arten,MATCH(S18,Codes,0))="Arbeit"),IF(ROUND((1+INDEX(Beginne,MATCH(S18,Codes,0))-INDEX(EndeRel,MATCH(R18,Codes,0)))*1440,0)&lt;660,1,0),0),0))</f>
      </c>
      <c r="T67" s="1">
        <f>IF(OR(T$52=0,S18="",T18=""),0,IFERROR(IF(AND(INDEX(Arten,MATCH(S18,Codes,0))="Arbeit",INDEX(Arten,MATCH(T18,Codes,0))="Arbeit"),IF(ROUND((1+INDEX(Beginne,MATCH(T18,Codes,0))-INDEX(EndeRel,MATCH(S18,Codes,0)))*1440,0)&lt;660,1,0),0),0))</f>
      </c>
      <c r="U67" s="1">
        <f>IF(OR(U$52=0,T18="",U18=""),0,IFERROR(IF(AND(INDEX(Arten,MATCH(T18,Codes,0))="Arbeit",INDEX(Arten,MATCH(U18,Codes,0))="Arbeit"),IF(ROUND((1+INDEX(Beginne,MATCH(U18,Codes,0))-INDEX(EndeRel,MATCH(T18,Codes,0)))*1440,0)&lt;660,1,0),0),0))</f>
      </c>
      <c r="V67" s="1">
        <f>IF(OR(V$52=0,U18="",V18=""),0,IFERROR(IF(AND(INDEX(Arten,MATCH(U18,Codes,0))="Arbeit",INDEX(Arten,MATCH(V18,Codes,0))="Arbeit"),IF(ROUND((1+INDEX(Beginne,MATCH(V18,Codes,0))-INDEX(EndeRel,MATCH(U18,Codes,0)))*1440,0)&lt;660,1,0),0),0))</f>
      </c>
      <c r="W67" s="1">
        <f>IF(OR(W$52=0,V18="",W18=""),0,IFERROR(IF(AND(INDEX(Arten,MATCH(V18,Codes,0))="Arbeit",INDEX(Arten,MATCH(W18,Codes,0))="Arbeit"),IF(ROUND((1+INDEX(Beginne,MATCH(W18,Codes,0))-INDEX(EndeRel,MATCH(V18,Codes,0)))*1440,0)&lt;660,1,0),0),0))</f>
      </c>
      <c r="X67" s="1">
        <f>IF(OR(X$52=0,W18="",X18=""),0,IFERROR(IF(AND(INDEX(Arten,MATCH(W18,Codes,0))="Arbeit",INDEX(Arten,MATCH(X18,Codes,0))="Arbeit"),IF(ROUND((1+INDEX(Beginne,MATCH(X18,Codes,0))-INDEX(EndeRel,MATCH(W18,Codes,0)))*1440,0)&lt;660,1,0),0),0))</f>
      </c>
      <c r="Y67" s="1">
        <f>IF(OR(Y$52=0,X18="",Y18=""),0,IFERROR(IF(AND(INDEX(Arten,MATCH(X18,Codes,0))="Arbeit",INDEX(Arten,MATCH(Y18,Codes,0))="Arbeit"),IF(ROUND((1+INDEX(Beginne,MATCH(Y18,Codes,0))-INDEX(EndeRel,MATCH(X18,Codes,0)))*1440,0)&lt;660,1,0),0),0))</f>
      </c>
      <c r="Z67" s="1">
        <f>IF(OR(Z$52=0,Y18="",Z18=""),0,IFERROR(IF(AND(INDEX(Arten,MATCH(Y18,Codes,0))="Arbeit",INDEX(Arten,MATCH(Z18,Codes,0))="Arbeit"),IF(ROUND((1+INDEX(Beginne,MATCH(Z18,Codes,0))-INDEX(EndeRel,MATCH(Y18,Codes,0)))*1440,0)&lt;660,1,0),0),0))</f>
      </c>
      <c r="AA67" s="1">
        <f>IF(OR(AA$52=0,Z18="",AA18=""),0,IFERROR(IF(AND(INDEX(Arten,MATCH(Z18,Codes,0))="Arbeit",INDEX(Arten,MATCH(AA18,Codes,0))="Arbeit"),IF(ROUND((1+INDEX(Beginne,MATCH(AA18,Codes,0))-INDEX(EndeRel,MATCH(Z18,Codes,0)))*1440,0)&lt;660,1,0),0),0))</f>
      </c>
      <c r="AB67" s="1">
        <f>IF(OR(AB$52=0,AA18="",AB18=""),0,IFERROR(IF(AND(INDEX(Arten,MATCH(AA18,Codes,0))="Arbeit",INDEX(Arten,MATCH(AB18,Codes,0))="Arbeit"),IF(ROUND((1+INDEX(Beginne,MATCH(AB18,Codes,0))-INDEX(EndeRel,MATCH(AA18,Codes,0)))*1440,0)&lt;660,1,0),0),0))</f>
      </c>
      <c r="AC67" s="1">
        <f>IF(OR(AC$52=0,AB18="",AC18=""),0,IFERROR(IF(AND(INDEX(Arten,MATCH(AB18,Codes,0))="Arbeit",INDEX(Arten,MATCH(AC18,Codes,0))="Arbeit"),IF(ROUND((1+INDEX(Beginne,MATCH(AC18,Codes,0))-INDEX(EndeRel,MATCH(AB18,Codes,0)))*1440,0)&lt;660,1,0),0),0))</f>
      </c>
      <c r="AD67" s="1">
        <f>IF(OR(AD$52=0,AC18="",AD18=""),0,IFERROR(IF(AND(INDEX(Arten,MATCH(AC18,Codes,0))="Arbeit",INDEX(Arten,MATCH(AD18,Codes,0))="Arbeit"),IF(ROUND((1+INDEX(Beginne,MATCH(AD18,Codes,0))-INDEX(EndeRel,MATCH(AC18,Codes,0)))*1440,0)&lt;660,1,0),0),0))</f>
      </c>
      <c r="AE67" s="1">
        <f>IF(OR(AE$52=0,AD18="",AE18=""),0,IFERROR(IF(AND(INDEX(Arten,MATCH(AD18,Codes,0))="Arbeit",INDEX(Arten,MATCH(AE18,Codes,0))="Arbeit"),IF(ROUND((1+INDEX(Beginne,MATCH(AE18,Codes,0))-INDEX(EndeRel,MATCH(AD18,Codes,0)))*1440,0)&lt;660,1,0),0),0))</f>
      </c>
      <c r="AF67" s="1">
        <f>IF(OR(AF$52=0,AE18="",AF18=""),0,IFERROR(IF(AND(INDEX(Arten,MATCH(AE18,Codes,0))="Arbeit",INDEX(Arten,MATCH(AF18,Codes,0))="Arbeit"),IF(ROUND((1+INDEX(Beginne,MATCH(AF18,Codes,0))-INDEX(EndeRel,MATCH(AE18,Codes,0)))*1440,0)&lt;660,1,0),0),0))</f>
      </c>
    </row>
    <row r="68" hidden="1" spans="1:32" x14ac:dyDescent="0.25">
      <c r="A68" s="1"/>
      <c r="B68" s="1">
        <f>IF(OR(B$52=0,INDEX('Mai'!$B$19:$AF$19,DAY(DATE(Jahr,6,0)))="",B19=""),0,IFERROR(IF(AND(INDEX(Arten,MATCH(INDEX('Mai'!$B$19:$AF$19,DAY(DATE(Jahr,6,0))),Codes,0))="Arbeit",INDEX(Arten,MATCH(B19,Codes,0))="Arbeit"),IF(ROUND((1+INDEX(Beginne,MATCH(B19,Codes,0))-INDEX(EndeRel,MATCH(INDEX('Mai'!$B$19:$AF$19,DAY(DATE(Jahr,6,0))),Codes,0)))*1440,0)&lt;660,1,0),0),0))</f>
      </c>
      <c r="C68" s="1">
        <f>IF(OR(C$52=0,B19="",C19=""),0,IFERROR(IF(AND(INDEX(Arten,MATCH(B19,Codes,0))="Arbeit",INDEX(Arten,MATCH(C19,Codes,0))="Arbeit"),IF(ROUND((1+INDEX(Beginne,MATCH(C19,Codes,0))-INDEX(EndeRel,MATCH(B19,Codes,0)))*1440,0)&lt;660,1,0),0),0))</f>
      </c>
      <c r="D68" s="1">
        <f>IF(OR(D$52=0,C19="",D19=""),0,IFERROR(IF(AND(INDEX(Arten,MATCH(C19,Codes,0))="Arbeit",INDEX(Arten,MATCH(D19,Codes,0))="Arbeit"),IF(ROUND((1+INDEX(Beginne,MATCH(D19,Codes,0))-INDEX(EndeRel,MATCH(C19,Codes,0)))*1440,0)&lt;660,1,0),0),0))</f>
      </c>
      <c r="E68" s="1">
        <f>IF(OR(E$52=0,D19="",E19=""),0,IFERROR(IF(AND(INDEX(Arten,MATCH(D19,Codes,0))="Arbeit",INDEX(Arten,MATCH(E19,Codes,0))="Arbeit"),IF(ROUND((1+INDEX(Beginne,MATCH(E19,Codes,0))-INDEX(EndeRel,MATCH(D19,Codes,0)))*1440,0)&lt;660,1,0),0),0))</f>
      </c>
      <c r="F68" s="1">
        <f>IF(OR(F$52=0,E19="",F19=""),0,IFERROR(IF(AND(INDEX(Arten,MATCH(E19,Codes,0))="Arbeit",INDEX(Arten,MATCH(F19,Codes,0))="Arbeit"),IF(ROUND((1+INDEX(Beginne,MATCH(F19,Codes,0))-INDEX(EndeRel,MATCH(E19,Codes,0)))*1440,0)&lt;660,1,0),0),0))</f>
      </c>
      <c r="G68" s="1">
        <f>IF(OR(G$52=0,F19="",G19=""),0,IFERROR(IF(AND(INDEX(Arten,MATCH(F19,Codes,0))="Arbeit",INDEX(Arten,MATCH(G19,Codes,0))="Arbeit"),IF(ROUND((1+INDEX(Beginne,MATCH(G19,Codes,0))-INDEX(EndeRel,MATCH(F19,Codes,0)))*1440,0)&lt;660,1,0),0),0))</f>
      </c>
      <c r="H68" s="1">
        <f>IF(OR(H$52=0,G19="",H19=""),0,IFERROR(IF(AND(INDEX(Arten,MATCH(G19,Codes,0))="Arbeit",INDEX(Arten,MATCH(H19,Codes,0))="Arbeit"),IF(ROUND((1+INDEX(Beginne,MATCH(H19,Codes,0))-INDEX(EndeRel,MATCH(G19,Codes,0)))*1440,0)&lt;660,1,0),0),0))</f>
      </c>
      <c r="I68" s="1">
        <f>IF(OR(I$52=0,H19="",I19=""),0,IFERROR(IF(AND(INDEX(Arten,MATCH(H19,Codes,0))="Arbeit",INDEX(Arten,MATCH(I19,Codes,0))="Arbeit"),IF(ROUND((1+INDEX(Beginne,MATCH(I19,Codes,0))-INDEX(EndeRel,MATCH(H19,Codes,0)))*1440,0)&lt;660,1,0),0),0))</f>
      </c>
      <c r="J68" s="1">
        <f>IF(OR(J$52=0,I19="",J19=""),0,IFERROR(IF(AND(INDEX(Arten,MATCH(I19,Codes,0))="Arbeit",INDEX(Arten,MATCH(J19,Codes,0))="Arbeit"),IF(ROUND((1+INDEX(Beginne,MATCH(J19,Codes,0))-INDEX(EndeRel,MATCH(I19,Codes,0)))*1440,0)&lt;660,1,0),0),0))</f>
      </c>
      <c r="K68" s="1">
        <f>IF(OR(K$52=0,J19="",K19=""),0,IFERROR(IF(AND(INDEX(Arten,MATCH(J19,Codes,0))="Arbeit",INDEX(Arten,MATCH(K19,Codes,0))="Arbeit"),IF(ROUND((1+INDEX(Beginne,MATCH(K19,Codes,0))-INDEX(EndeRel,MATCH(J19,Codes,0)))*1440,0)&lt;660,1,0),0),0))</f>
      </c>
      <c r="L68" s="1">
        <f>IF(OR(L$52=0,K19="",L19=""),0,IFERROR(IF(AND(INDEX(Arten,MATCH(K19,Codes,0))="Arbeit",INDEX(Arten,MATCH(L19,Codes,0))="Arbeit"),IF(ROUND((1+INDEX(Beginne,MATCH(L19,Codes,0))-INDEX(EndeRel,MATCH(K19,Codes,0)))*1440,0)&lt;660,1,0),0),0))</f>
      </c>
      <c r="M68" s="1">
        <f>IF(OR(M$52=0,L19="",M19=""),0,IFERROR(IF(AND(INDEX(Arten,MATCH(L19,Codes,0))="Arbeit",INDEX(Arten,MATCH(M19,Codes,0))="Arbeit"),IF(ROUND((1+INDEX(Beginne,MATCH(M19,Codes,0))-INDEX(EndeRel,MATCH(L19,Codes,0)))*1440,0)&lt;660,1,0),0),0))</f>
      </c>
      <c r="N68" s="1">
        <f>IF(OR(N$52=0,M19="",N19=""),0,IFERROR(IF(AND(INDEX(Arten,MATCH(M19,Codes,0))="Arbeit",INDEX(Arten,MATCH(N19,Codes,0))="Arbeit"),IF(ROUND((1+INDEX(Beginne,MATCH(N19,Codes,0))-INDEX(EndeRel,MATCH(M19,Codes,0)))*1440,0)&lt;660,1,0),0),0))</f>
      </c>
      <c r="O68" s="1">
        <f>IF(OR(O$52=0,N19="",O19=""),0,IFERROR(IF(AND(INDEX(Arten,MATCH(N19,Codes,0))="Arbeit",INDEX(Arten,MATCH(O19,Codes,0))="Arbeit"),IF(ROUND((1+INDEX(Beginne,MATCH(O19,Codes,0))-INDEX(EndeRel,MATCH(N19,Codes,0)))*1440,0)&lt;660,1,0),0),0))</f>
      </c>
      <c r="P68" s="1">
        <f>IF(OR(P$52=0,O19="",P19=""),0,IFERROR(IF(AND(INDEX(Arten,MATCH(O19,Codes,0))="Arbeit",INDEX(Arten,MATCH(P19,Codes,0))="Arbeit"),IF(ROUND((1+INDEX(Beginne,MATCH(P19,Codes,0))-INDEX(EndeRel,MATCH(O19,Codes,0)))*1440,0)&lt;660,1,0),0),0))</f>
      </c>
      <c r="Q68" s="1">
        <f>IF(OR(Q$52=0,P19="",Q19=""),0,IFERROR(IF(AND(INDEX(Arten,MATCH(P19,Codes,0))="Arbeit",INDEX(Arten,MATCH(Q19,Codes,0))="Arbeit"),IF(ROUND((1+INDEX(Beginne,MATCH(Q19,Codes,0))-INDEX(EndeRel,MATCH(P19,Codes,0)))*1440,0)&lt;660,1,0),0),0))</f>
      </c>
      <c r="R68" s="1">
        <f>IF(OR(R$52=0,Q19="",R19=""),0,IFERROR(IF(AND(INDEX(Arten,MATCH(Q19,Codes,0))="Arbeit",INDEX(Arten,MATCH(R19,Codes,0))="Arbeit"),IF(ROUND((1+INDEX(Beginne,MATCH(R19,Codes,0))-INDEX(EndeRel,MATCH(Q19,Codes,0)))*1440,0)&lt;660,1,0),0),0))</f>
      </c>
      <c r="S68" s="1">
        <f>IF(OR(S$52=0,R19="",S19=""),0,IFERROR(IF(AND(INDEX(Arten,MATCH(R19,Codes,0))="Arbeit",INDEX(Arten,MATCH(S19,Codes,0))="Arbeit"),IF(ROUND((1+INDEX(Beginne,MATCH(S19,Codes,0))-INDEX(EndeRel,MATCH(R19,Codes,0)))*1440,0)&lt;660,1,0),0),0))</f>
      </c>
      <c r="T68" s="1">
        <f>IF(OR(T$52=0,S19="",T19=""),0,IFERROR(IF(AND(INDEX(Arten,MATCH(S19,Codes,0))="Arbeit",INDEX(Arten,MATCH(T19,Codes,0))="Arbeit"),IF(ROUND((1+INDEX(Beginne,MATCH(T19,Codes,0))-INDEX(EndeRel,MATCH(S19,Codes,0)))*1440,0)&lt;660,1,0),0),0))</f>
      </c>
      <c r="U68" s="1">
        <f>IF(OR(U$52=0,T19="",U19=""),0,IFERROR(IF(AND(INDEX(Arten,MATCH(T19,Codes,0))="Arbeit",INDEX(Arten,MATCH(U19,Codes,0))="Arbeit"),IF(ROUND((1+INDEX(Beginne,MATCH(U19,Codes,0))-INDEX(EndeRel,MATCH(T19,Codes,0)))*1440,0)&lt;660,1,0),0),0))</f>
      </c>
      <c r="V68" s="1">
        <f>IF(OR(V$52=0,U19="",V19=""),0,IFERROR(IF(AND(INDEX(Arten,MATCH(U19,Codes,0))="Arbeit",INDEX(Arten,MATCH(V19,Codes,0))="Arbeit"),IF(ROUND((1+INDEX(Beginne,MATCH(V19,Codes,0))-INDEX(EndeRel,MATCH(U19,Codes,0)))*1440,0)&lt;660,1,0),0),0))</f>
      </c>
      <c r="W68" s="1">
        <f>IF(OR(W$52=0,V19="",W19=""),0,IFERROR(IF(AND(INDEX(Arten,MATCH(V19,Codes,0))="Arbeit",INDEX(Arten,MATCH(W19,Codes,0))="Arbeit"),IF(ROUND((1+INDEX(Beginne,MATCH(W19,Codes,0))-INDEX(EndeRel,MATCH(V19,Codes,0)))*1440,0)&lt;660,1,0),0),0))</f>
      </c>
      <c r="X68" s="1">
        <f>IF(OR(X$52=0,W19="",X19=""),0,IFERROR(IF(AND(INDEX(Arten,MATCH(W19,Codes,0))="Arbeit",INDEX(Arten,MATCH(X19,Codes,0))="Arbeit"),IF(ROUND((1+INDEX(Beginne,MATCH(X19,Codes,0))-INDEX(EndeRel,MATCH(W19,Codes,0)))*1440,0)&lt;660,1,0),0),0))</f>
      </c>
      <c r="Y68" s="1">
        <f>IF(OR(Y$52=0,X19="",Y19=""),0,IFERROR(IF(AND(INDEX(Arten,MATCH(X19,Codes,0))="Arbeit",INDEX(Arten,MATCH(Y19,Codes,0))="Arbeit"),IF(ROUND((1+INDEX(Beginne,MATCH(Y19,Codes,0))-INDEX(EndeRel,MATCH(X19,Codes,0)))*1440,0)&lt;660,1,0),0),0))</f>
      </c>
      <c r="Z68" s="1">
        <f>IF(OR(Z$52=0,Y19="",Z19=""),0,IFERROR(IF(AND(INDEX(Arten,MATCH(Y19,Codes,0))="Arbeit",INDEX(Arten,MATCH(Z19,Codes,0))="Arbeit"),IF(ROUND((1+INDEX(Beginne,MATCH(Z19,Codes,0))-INDEX(EndeRel,MATCH(Y19,Codes,0)))*1440,0)&lt;660,1,0),0),0))</f>
      </c>
      <c r="AA68" s="1">
        <f>IF(OR(AA$52=0,Z19="",AA19=""),0,IFERROR(IF(AND(INDEX(Arten,MATCH(Z19,Codes,0))="Arbeit",INDEX(Arten,MATCH(AA19,Codes,0))="Arbeit"),IF(ROUND((1+INDEX(Beginne,MATCH(AA19,Codes,0))-INDEX(EndeRel,MATCH(Z19,Codes,0)))*1440,0)&lt;660,1,0),0),0))</f>
      </c>
      <c r="AB68" s="1">
        <f>IF(OR(AB$52=0,AA19="",AB19=""),0,IFERROR(IF(AND(INDEX(Arten,MATCH(AA19,Codes,0))="Arbeit",INDEX(Arten,MATCH(AB19,Codes,0))="Arbeit"),IF(ROUND((1+INDEX(Beginne,MATCH(AB19,Codes,0))-INDEX(EndeRel,MATCH(AA19,Codes,0)))*1440,0)&lt;660,1,0),0),0))</f>
      </c>
      <c r="AC68" s="1">
        <f>IF(OR(AC$52=0,AB19="",AC19=""),0,IFERROR(IF(AND(INDEX(Arten,MATCH(AB19,Codes,0))="Arbeit",INDEX(Arten,MATCH(AC19,Codes,0))="Arbeit"),IF(ROUND((1+INDEX(Beginne,MATCH(AC19,Codes,0))-INDEX(EndeRel,MATCH(AB19,Codes,0)))*1440,0)&lt;660,1,0),0),0))</f>
      </c>
      <c r="AD68" s="1">
        <f>IF(OR(AD$52=0,AC19="",AD19=""),0,IFERROR(IF(AND(INDEX(Arten,MATCH(AC19,Codes,0))="Arbeit",INDEX(Arten,MATCH(AD19,Codes,0))="Arbeit"),IF(ROUND((1+INDEX(Beginne,MATCH(AD19,Codes,0))-INDEX(EndeRel,MATCH(AC19,Codes,0)))*1440,0)&lt;660,1,0),0),0))</f>
      </c>
      <c r="AE68" s="1">
        <f>IF(OR(AE$52=0,AD19="",AE19=""),0,IFERROR(IF(AND(INDEX(Arten,MATCH(AD19,Codes,0))="Arbeit",INDEX(Arten,MATCH(AE19,Codes,0))="Arbeit"),IF(ROUND((1+INDEX(Beginne,MATCH(AE19,Codes,0))-INDEX(EndeRel,MATCH(AD19,Codes,0)))*1440,0)&lt;660,1,0),0),0))</f>
      </c>
      <c r="AF68" s="1">
        <f>IF(OR(AF$52=0,AE19="",AF19=""),0,IFERROR(IF(AND(INDEX(Arten,MATCH(AE19,Codes,0))="Arbeit",INDEX(Arten,MATCH(AF19,Codes,0))="Arbeit"),IF(ROUND((1+INDEX(Beginne,MATCH(AF19,Codes,0))-INDEX(EndeRel,MATCH(AE19,Codes,0)))*1440,0)&lt;660,1,0),0),0))</f>
      </c>
    </row>
    <row r="69" hidden="1" spans="1:32" x14ac:dyDescent="0.25">
      <c r="A69" s="1"/>
      <c r="B69" s="1">
        <f>IF(OR(B$52=0,INDEX('Mai'!$B$20:$AF$20,DAY(DATE(Jahr,6,0)))="",B20=""),0,IFERROR(IF(AND(INDEX(Arten,MATCH(INDEX('Mai'!$B$20:$AF$20,DAY(DATE(Jahr,6,0))),Codes,0))="Arbeit",INDEX(Arten,MATCH(B20,Codes,0))="Arbeit"),IF(ROUND((1+INDEX(Beginne,MATCH(B20,Codes,0))-INDEX(EndeRel,MATCH(INDEX('Mai'!$B$20:$AF$20,DAY(DATE(Jahr,6,0))),Codes,0)))*1440,0)&lt;660,1,0),0),0))</f>
      </c>
      <c r="C69" s="1">
        <f>IF(OR(C$52=0,B20="",C20=""),0,IFERROR(IF(AND(INDEX(Arten,MATCH(B20,Codes,0))="Arbeit",INDEX(Arten,MATCH(C20,Codes,0))="Arbeit"),IF(ROUND((1+INDEX(Beginne,MATCH(C20,Codes,0))-INDEX(EndeRel,MATCH(B20,Codes,0)))*1440,0)&lt;660,1,0),0),0))</f>
      </c>
      <c r="D69" s="1">
        <f>IF(OR(D$52=0,C20="",D20=""),0,IFERROR(IF(AND(INDEX(Arten,MATCH(C20,Codes,0))="Arbeit",INDEX(Arten,MATCH(D20,Codes,0))="Arbeit"),IF(ROUND((1+INDEX(Beginne,MATCH(D20,Codes,0))-INDEX(EndeRel,MATCH(C20,Codes,0)))*1440,0)&lt;660,1,0),0),0))</f>
      </c>
      <c r="E69" s="1">
        <f>IF(OR(E$52=0,D20="",E20=""),0,IFERROR(IF(AND(INDEX(Arten,MATCH(D20,Codes,0))="Arbeit",INDEX(Arten,MATCH(E20,Codes,0))="Arbeit"),IF(ROUND((1+INDEX(Beginne,MATCH(E20,Codes,0))-INDEX(EndeRel,MATCH(D20,Codes,0)))*1440,0)&lt;660,1,0),0),0))</f>
      </c>
      <c r="F69" s="1">
        <f>IF(OR(F$52=0,E20="",F20=""),0,IFERROR(IF(AND(INDEX(Arten,MATCH(E20,Codes,0))="Arbeit",INDEX(Arten,MATCH(F20,Codes,0))="Arbeit"),IF(ROUND((1+INDEX(Beginne,MATCH(F20,Codes,0))-INDEX(EndeRel,MATCH(E20,Codes,0)))*1440,0)&lt;660,1,0),0),0))</f>
      </c>
      <c r="G69" s="1">
        <f>IF(OR(G$52=0,F20="",G20=""),0,IFERROR(IF(AND(INDEX(Arten,MATCH(F20,Codes,0))="Arbeit",INDEX(Arten,MATCH(G20,Codes,0))="Arbeit"),IF(ROUND((1+INDEX(Beginne,MATCH(G20,Codes,0))-INDEX(EndeRel,MATCH(F20,Codes,0)))*1440,0)&lt;660,1,0),0),0))</f>
      </c>
      <c r="H69" s="1">
        <f>IF(OR(H$52=0,G20="",H20=""),0,IFERROR(IF(AND(INDEX(Arten,MATCH(G20,Codes,0))="Arbeit",INDEX(Arten,MATCH(H20,Codes,0))="Arbeit"),IF(ROUND((1+INDEX(Beginne,MATCH(H20,Codes,0))-INDEX(EndeRel,MATCH(G20,Codes,0)))*1440,0)&lt;660,1,0),0),0))</f>
      </c>
      <c r="I69" s="1">
        <f>IF(OR(I$52=0,H20="",I20=""),0,IFERROR(IF(AND(INDEX(Arten,MATCH(H20,Codes,0))="Arbeit",INDEX(Arten,MATCH(I20,Codes,0))="Arbeit"),IF(ROUND((1+INDEX(Beginne,MATCH(I20,Codes,0))-INDEX(EndeRel,MATCH(H20,Codes,0)))*1440,0)&lt;660,1,0),0),0))</f>
      </c>
      <c r="J69" s="1">
        <f>IF(OR(J$52=0,I20="",J20=""),0,IFERROR(IF(AND(INDEX(Arten,MATCH(I20,Codes,0))="Arbeit",INDEX(Arten,MATCH(J20,Codes,0))="Arbeit"),IF(ROUND((1+INDEX(Beginne,MATCH(J20,Codes,0))-INDEX(EndeRel,MATCH(I20,Codes,0)))*1440,0)&lt;660,1,0),0),0))</f>
      </c>
      <c r="K69" s="1">
        <f>IF(OR(K$52=0,J20="",K20=""),0,IFERROR(IF(AND(INDEX(Arten,MATCH(J20,Codes,0))="Arbeit",INDEX(Arten,MATCH(K20,Codes,0))="Arbeit"),IF(ROUND((1+INDEX(Beginne,MATCH(K20,Codes,0))-INDEX(EndeRel,MATCH(J20,Codes,0)))*1440,0)&lt;660,1,0),0),0))</f>
      </c>
      <c r="L69" s="1">
        <f>IF(OR(L$52=0,K20="",L20=""),0,IFERROR(IF(AND(INDEX(Arten,MATCH(K20,Codes,0))="Arbeit",INDEX(Arten,MATCH(L20,Codes,0))="Arbeit"),IF(ROUND((1+INDEX(Beginne,MATCH(L20,Codes,0))-INDEX(EndeRel,MATCH(K20,Codes,0)))*1440,0)&lt;660,1,0),0),0))</f>
      </c>
      <c r="M69" s="1">
        <f>IF(OR(M$52=0,L20="",M20=""),0,IFERROR(IF(AND(INDEX(Arten,MATCH(L20,Codes,0))="Arbeit",INDEX(Arten,MATCH(M20,Codes,0))="Arbeit"),IF(ROUND((1+INDEX(Beginne,MATCH(M20,Codes,0))-INDEX(EndeRel,MATCH(L20,Codes,0)))*1440,0)&lt;660,1,0),0),0))</f>
      </c>
      <c r="N69" s="1">
        <f>IF(OR(N$52=0,M20="",N20=""),0,IFERROR(IF(AND(INDEX(Arten,MATCH(M20,Codes,0))="Arbeit",INDEX(Arten,MATCH(N20,Codes,0))="Arbeit"),IF(ROUND((1+INDEX(Beginne,MATCH(N20,Codes,0))-INDEX(EndeRel,MATCH(M20,Codes,0)))*1440,0)&lt;660,1,0),0),0))</f>
      </c>
      <c r="O69" s="1">
        <f>IF(OR(O$52=0,N20="",O20=""),0,IFERROR(IF(AND(INDEX(Arten,MATCH(N20,Codes,0))="Arbeit",INDEX(Arten,MATCH(O20,Codes,0))="Arbeit"),IF(ROUND((1+INDEX(Beginne,MATCH(O20,Codes,0))-INDEX(EndeRel,MATCH(N20,Codes,0)))*1440,0)&lt;660,1,0),0),0))</f>
      </c>
      <c r="P69" s="1">
        <f>IF(OR(P$52=0,O20="",P20=""),0,IFERROR(IF(AND(INDEX(Arten,MATCH(O20,Codes,0))="Arbeit",INDEX(Arten,MATCH(P20,Codes,0))="Arbeit"),IF(ROUND((1+INDEX(Beginne,MATCH(P20,Codes,0))-INDEX(EndeRel,MATCH(O20,Codes,0)))*1440,0)&lt;660,1,0),0),0))</f>
      </c>
      <c r="Q69" s="1">
        <f>IF(OR(Q$52=0,P20="",Q20=""),0,IFERROR(IF(AND(INDEX(Arten,MATCH(P20,Codes,0))="Arbeit",INDEX(Arten,MATCH(Q20,Codes,0))="Arbeit"),IF(ROUND((1+INDEX(Beginne,MATCH(Q20,Codes,0))-INDEX(EndeRel,MATCH(P20,Codes,0)))*1440,0)&lt;660,1,0),0),0))</f>
      </c>
      <c r="R69" s="1">
        <f>IF(OR(R$52=0,Q20="",R20=""),0,IFERROR(IF(AND(INDEX(Arten,MATCH(Q20,Codes,0))="Arbeit",INDEX(Arten,MATCH(R20,Codes,0))="Arbeit"),IF(ROUND((1+INDEX(Beginne,MATCH(R20,Codes,0))-INDEX(EndeRel,MATCH(Q20,Codes,0)))*1440,0)&lt;660,1,0),0),0))</f>
      </c>
      <c r="S69" s="1">
        <f>IF(OR(S$52=0,R20="",S20=""),0,IFERROR(IF(AND(INDEX(Arten,MATCH(R20,Codes,0))="Arbeit",INDEX(Arten,MATCH(S20,Codes,0))="Arbeit"),IF(ROUND((1+INDEX(Beginne,MATCH(S20,Codes,0))-INDEX(EndeRel,MATCH(R20,Codes,0)))*1440,0)&lt;660,1,0),0),0))</f>
      </c>
      <c r="T69" s="1">
        <f>IF(OR(T$52=0,S20="",T20=""),0,IFERROR(IF(AND(INDEX(Arten,MATCH(S20,Codes,0))="Arbeit",INDEX(Arten,MATCH(T20,Codes,0))="Arbeit"),IF(ROUND((1+INDEX(Beginne,MATCH(T20,Codes,0))-INDEX(EndeRel,MATCH(S20,Codes,0)))*1440,0)&lt;660,1,0),0),0))</f>
      </c>
      <c r="U69" s="1">
        <f>IF(OR(U$52=0,T20="",U20=""),0,IFERROR(IF(AND(INDEX(Arten,MATCH(T20,Codes,0))="Arbeit",INDEX(Arten,MATCH(U20,Codes,0))="Arbeit"),IF(ROUND((1+INDEX(Beginne,MATCH(U20,Codes,0))-INDEX(EndeRel,MATCH(T20,Codes,0)))*1440,0)&lt;660,1,0),0),0))</f>
      </c>
      <c r="V69" s="1">
        <f>IF(OR(V$52=0,U20="",V20=""),0,IFERROR(IF(AND(INDEX(Arten,MATCH(U20,Codes,0))="Arbeit",INDEX(Arten,MATCH(V20,Codes,0))="Arbeit"),IF(ROUND((1+INDEX(Beginne,MATCH(V20,Codes,0))-INDEX(EndeRel,MATCH(U20,Codes,0)))*1440,0)&lt;660,1,0),0),0))</f>
      </c>
      <c r="W69" s="1">
        <f>IF(OR(W$52=0,V20="",W20=""),0,IFERROR(IF(AND(INDEX(Arten,MATCH(V20,Codes,0))="Arbeit",INDEX(Arten,MATCH(W20,Codes,0))="Arbeit"),IF(ROUND((1+INDEX(Beginne,MATCH(W20,Codes,0))-INDEX(EndeRel,MATCH(V20,Codes,0)))*1440,0)&lt;660,1,0),0),0))</f>
      </c>
      <c r="X69" s="1">
        <f>IF(OR(X$52=0,W20="",X20=""),0,IFERROR(IF(AND(INDEX(Arten,MATCH(W20,Codes,0))="Arbeit",INDEX(Arten,MATCH(X20,Codes,0))="Arbeit"),IF(ROUND((1+INDEX(Beginne,MATCH(X20,Codes,0))-INDEX(EndeRel,MATCH(W20,Codes,0)))*1440,0)&lt;660,1,0),0),0))</f>
      </c>
      <c r="Y69" s="1">
        <f>IF(OR(Y$52=0,X20="",Y20=""),0,IFERROR(IF(AND(INDEX(Arten,MATCH(X20,Codes,0))="Arbeit",INDEX(Arten,MATCH(Y20,Codes,0))="Arbeit"),IF(ROUND((1+INDEX(Beginne,MATCH(Y20,Codes,0))-INDEX(EndeRel,MATCH(X20,Codes,0)))*1440,0)&lt;660,1,0),0),0))</f>
      </c>
      <c r="Z69" s="1">
        <f>IF(OR(Z$52=0,Y20="",Z20=""),0,IFERROR(IF(AND(INDEX(Arten,MATCH(Y20,Codes,0))="Arbeit",INDEX(Arten,MATCH(Z20,Codes,0))="Arbeit"),IF(ROUND((1+INDEX(Beginne,MATCH(Z20,Codes,0))-INDEX(EndeRel,MATCH(Y20,Codes,0)))*1440,0)&lt;660,1,0),0),0))</f>
      </c>
      <c r="AA69" s="1">
        <f>IF(OR(AA$52=0,Z20="",AA20=""),0,IFERROR(IF(AND(INDEX(Arten,MATCH(Z20,Codes,0))="Arbeit",INDEX(Arten,MATCH(AA20,Codes,0))="Arbeit"),IF(ROUND((1+INDEX(Beginne,MATCH(AA20,Codes,0))-INDEX(EndeRel,MATCH(Z20,Codes,0)))*1440,0)&lt;660,1,0),0),0))</f>
      </c>
      <c r="AB69" s="1">
        <f>IF(OR(AB$52=0,AA20="",AB20=""),0,IFERROR(IF(AND(INDEX(Arten,MATCH(AA20,Codes,0))="Arbeit",INDEX(Arten,MATCH(AB20,Codes,0))="Arbeit"),IF(ROUND((1+INDEX(Beginne,MATCH(AB20,Codes,0))-INDEX(EndeRel,MATCH(AA20,Codes,0)))*1440,0)&lt;660,1,0),0),0))</f>
      </c>
      <c r="AC69" s="1">
        <f>IF(OR(AC$52=0,AB20="",AC20=""),0,IFERROR(IF(AND(INDEX(Arten,MATCH(AB20,Codes,0))="Arbeit",INDEX(Arten,MATCH(AC20,Codes,0))="Arbeit"),IF(ROUND((1+INDEX(Beginne,MATCH(AC20,Codes,0))-INDEX(EndeRel,MATCH(AB20,Codes,0)))*1440,0)&lt;660,1,0),0),0))</f>
      </c>
      <c r="AD69" s="1">
        <f>IF(OR(AD$52=0,AC20="",AD20=""),0,IFERROR(IF(AND(INDEX(Arten,MATCH(AC20,Codes,0))="Arbeit",INDEX(Arten,MATCH(AD20,Codes,0))="Arbeit"),IF(ROUND((1+INDEX(Beginne,MATCH(AD20,Codes,0))-INDEX(EndeRel,MATCH(AC20,Codes,0)))*1440,0)&lt;660,1,0),0),0))</f>
      </c>
      <c r="AE69" s="1">
        <f>IF(OR(AE$52=0,AD20="",AE20=""),0,IFERROR(IF(AND(INDEX(Arten,MATCH(AD20,Codes,0))="Arbeit",INDEX(Arten,MATCH(AE20,Codes,0))="Arbeit"),IF(ROUND((1+INDEX(Beginne,MATCH(AE20,Codes,0))-INDEX(EndeRel,MATCH(AD20,Codes,0)))*1440,0)&lt;660,1,0),0),0))</f>
      </c>
      <c r="AF69" s="1">
        <f>IF(OR(AF$52=0,AE20="",AF20=""),0,IFERROR(IF(AND(INDEX(Arten,MATCH(AE20,Codes,0))="Arbeit",INDEX(Arten,MATCH(AF20,Codes,0))="Arbeit"),IF(ROUND((1+INDEX(Beginne,MATCH(AF20,Codes,0))-INDEX(EndeRel,MATCH(AE20,Codes,0)))*1440,0)&lt;660,1,0),0),0))</f>
      </c>
    </row>
    <row r="70" hidden="1" spans="1:32" x14ac:dyDescent="0.25">
      <c r="A70" s="1"/>
      <c r="B70" s="1">
        <f>IF(OR(B$52=0,INDEX('Mai'!$B$21:$AF$21,DAY(DATE(Jahr,6,0)))="",B21=""),0,IFERROR(IF(AND(INDEX(Arten,MATCH(INDEX('Mai'!$B$21:$AF$21,DAY(DATE(Jahr,6,0))),Codes,0))="Arbeit",INDEX(Arten,MATCH(B21,Codes,0))="Arbeit"),IF(ROUND((1+INDEX(Beginne,MATCH(B21,Codes,0))-INDEX(EndeRel,MATCH(INDEX('Mai'!$B$21:$AF$21,DAY(DATE(Jahr,6,0))),Codes,0)))*1440,0)&lt;660,1,0),0),0))</f>
      </c>
      <c r="C70" s="1">
        <f>IF(OR(C$52=0,B21="",C21=""),0,IFERROR(IF(AND(INDEX(Arten,MATCH(B21,Codes,0))="Arbeit",INDEX(Arten,MATCH(C21,Codes,0))="Arbeit"),IF(ROUND((1+INDEX(Beginne,MATCH(C21,Codes,0))-INDEX(EndeRel,MATCH(B21,Codes,0)))*1440,0)&lt;660,1,0),0),0))</f>
      </c>
      <c r="D70" s="1">
        <f>IF(OR(D$52=0,C21="",D21=""),0,IFERROR(IF(AND(INDEX(Arten,MATCH(C21,Codes,0))="Arbeit",INDEX(Arten,MATCH(D21,Codes,0))="Arbeit"),IF(ROUND((1+INDEX(Beginne,MATCH(D21,Codes,0))-INDEX(EndeRel,MATCH(C21,Codes,0)))*1440,0)&lt;660,1,0),0),0))</f>
      </c>
      <c r="E70" s="1">
        <f>IF(OR(E$52=0,D21="",E21=""),0,IFERROR(IF(AND(INDEX(Arten,MATCH(D21,Codes,0))="Arbeit",INDEX(Arten,MATCH(E21,Codes,0))="Arbeit"),IF(ROUND((1+INDEX(Beginne,MATCH(E21,Codes,0))-INDEX(EndeRel,MATCH(D21,Codes,0)))*1440,0)&lt;660,1,0),0),0))</f>
      </c>
      <c r="F70" s="1">
        <f>IF(OR(F$52=0,E21="",F21=""),0,IFERROR(IF(AND(INDEX(Arten,MATCH(E21,Codes,0))="Arbeit",INDEX(Arten,MATCH(F21,Codes,0))="Arbeit"),IF(ROUND((1+INDEX(Beginne,MATCH(F21,Codes,0))-INDEX(EndeRel,MATCH(E21,Codes,0)))*1440,0)&lt;660,1,0),0),0))</f>
      </c>
      <c r="G70" s="1">
        <f>IF(OR(G$52=0,F21="",G21=""),0,IFERROR(IF(AND(INDEX(Arten,MATCH(F21,Codes,0))="Arbeit",INDEX(Arten,MATCH(G21,Codes,0))="Arbeit"),IF(ROUND((1+INDEX(Beginne,MATCH(G21,Codes,0))-INDEX(EndeRel,MATCH(F21,Codes,0)))*1440,0)&lt;660,1,0),0),0))</f>
      </c>
      <c r="H70" s="1">
        <f>IF(OR(H$52=0,G21="",H21=""),0,IFERROR(IF(AND(INDEX(Arten,MATCH(G21,Codes,0))="Arbeit",INDEX(Arten,MATCH(H21,Codes,0))="Arbeit"),IF(ROUND((1+INDEX(Beginne,MATCH(H21,Codes,0))-INDEX(EndeRel,MATCH(G21,Codes,0)))*1440,0)&lt;660,1,0),0),0))</f>
      </c>
      <c r="I70" s="1">
        <f>IF(OR(I$52=0,H21="",I21=""),0,IFERROR(IF(AND(INDEX(Arten,MATCH(H21,Codes,0))="Arbeit",INDEX(Arten,MATCH(I21,Codes,0))="Arbeit"),IF(ROUND((1+INDEX(Beginne,MATCH(I21,Codes,0))-INDEX(EndeRel,MATCH(H21,Codes,0)))*1440,0)&lt;660,1,0),0),0))</f>
      </c>
      <c r="J70" s="1">
        <f>IF(OR(J$52=0,I21="",J21=""),0,IFERROR(IF(AND(INDEX(Arten,MATCH(I21,Codes,0))="Arbeit",INDEX(Arten,MATCH(J21,Codes,0))="Arbeit"),IF(ROUND((1+INDEX(Beginne,MATCH(J21,Codes,0))-INDEX(EndeRel,MATCH(I21,Codes,0)))*1440,0)&lt;660,1,0),0),0))</f>
      </c>
      <c r="K70" s="1">
        <f>IF(OR(K$52=0,J21="",K21=""),0,IFERROR(IF(AND(INDEX(Arten,MATCH(J21,Codes,0))="Arbeit",INDEX(Arten,MATCH(K21,Codes,0))="Arbeit"),IF(ROUND((1+INDEX(Beginne,MATCH(K21,Codes,0))-INDEX(EndeRel,MATCH(J21,Codes,0)))*1440,0)&lt;660,1,0),0),0))</f>
      </c>
      <c r="L70" s="1">
        <f>IF(OR(L$52=0,K21="",L21=""),0,IFERROR(IF(AND(INDEX(Arten,MATCH(K21,Codes,0))="Arbeit",INDEX(Arten,MATCH(L21,Codes,0))="Arbeit"),IF(ROUND((1+INDEX(Beginne,MATCH(L21,Codes,0))-INDEX(EndeRel,MATCH(K21,Codes,0)))*1440,0)&lt;660,1,0),0),0))</f>
      </c>
      <c r="M70" s="1">
        <f>IF(OR(M$52=0,L21="",M21=""),0,IFERROR(IF(AND(INDEX(Arten,MATCH(L21,Codes,0))="Arbeit",INDEX(Arten,MATCH(M21,Codes,0))="Arbeit"),IF(ROUND((1+INDEX(Beginne,MATCH(M21,Codes,0))-INDEX(EndeRel,MATCH(L21,Codes,0)))*1440,0)&lt;660,1,0),0),0))</f>
      </c>
      <c r="N70" s="1">
        <f>IF(OR(N$52=0,M21="",N21=""),0,IFERROR(IF(AND(INDEX(Arten,MATCH(M21,Codes,0))="Arbeit",INDEX(Arten,MATCH(N21,Codes,0))="Arbeit"),IF(ROUND((1+INDEX(Beginne,MATCH(N21,Codes,0))-INDEX(EndeRel,MATCH(M21,Codes,0)))*1440,0)&lt;660,1,0),0),0))</f>
      </c>
      <c r="O70" s="1">
        <f>IF(OR(O$52=0,N21="",O21=""),0,IFERROR(IF(AND(INDEX(Arten,MATCH(N21,Codes,0))="Arbeit",INDEX(Arten,MATCH(O21,Codes,0))="Arbeit"),IF(ROUND((1+INDEX(Beginne,MATCH(O21,Codes,0))-INDEX(EndeRel,MATCH(N21,Codes,0)))*1440,0)&lt;660,1,0),0),0))</f>
      </c>
      <c r="P70" s="1">
        <f>IF(OR(P$52=0,O21="",P21=""),0,IFERROR(IF(AND(INDEX(Arten,MATCH(O21,Codes,0))="Arbeit",INDEX(Arten,MATCH(P21,Codes,0))="Arbeit"),IF(ROUND((1+INDEX(Beginne,MATCH(P21,Codes,0))-INDEX(EndeRel,MATCH(O21,Codes,0)))*1440,0)&lt;660,1,0),0),0))</f>
      </c>
      <c r="Q70" s="1">
        <f>IF(OR(Q$52=0,P21="",Q21=""),0,IFERROR(IF(AND(INDEX(Arten,MATCH(P21,Codes,0))="Arbeit",INDEX(Arten,MATCH(Q21,Codes,0))="Arbeit"),IF(ROUND((1+INDEX(Beginne,MATCH(Q21,Codes,0))-INDEX(EndeRel,MATCH(P21,Codes,0)))*1440,0)&lt;660,1,0),0),0))</f>
      </c>
      <c r="R70" s="1">
        <f>IF(OR(R$52=0,Q21="",R21=""),0,IFERROR(IF(AND(INDEX(Arten,MATCH(Q21,Codes,0))="Arbeit",INDEX(Arten,MATCH(R21,Codes,0))="Arbeit"),IF(ROUND((1+INDEX(Beginne,MATCH(R21,Codes,0))-INDEX(EndeRel,MATCH(Q21,Codes,0)))*1440,0)&lt;660,1,0),0),0))</f>
      </c>
      <c r="S70" s="1">
        <f>IF(OR(S$52=0,R21="",S21=""),0,IFERROR(IF(AND(INDEX(Arten,MATCH(R21,Codes,0))="Arbeit",INDEX(Arten,MATCH(S21,Codes,0))="Arbeit"),IF(ROUND((1+INDEX(Beginne,MATCH(S21,Codes,0))-INDEX(EndeRel,MATCH(R21,Codes,0)))*1440,0)&lt;660,1,0),0),0))</f>
      </c>
      <c r="T70" s="1">
        <f>IF(OR(T$52=0,S21="",T21=""),0,IFERROR(IF(AND(INDEX(Arten,MATCH(S21,Codes,0))="Arbeit",INDEX(Arten,MATCH(T21,Codes,0))="Arbeit"),IF(ROUND((1+INDEX(Beginne,MATCH(T21,Codes,0))-INDEX(EndeRel,MATCH(S21,Codes,0)))*1440,0)&lt;660,1,0),0),0))</f>
      </c>
      <c r="U70" s="1">
        <f>IF(OR(U$52=0,T21="",U21=""),0,IFERROR(IF(AND(INDEX(Arten,MATCH(T21,Codes,0))="Arbeit",INDEX(Arten,MATCH(U21,Codes,0))="Arbeit"),IF(ROUND((1+INDEX(Beginne,MATCH(U21,Codes,0))-INDEX(EndeRel,MATCH(T21,Codes,0)))*1440,0)&lt;660,1,0),0),0))</f>
      </c>
      <c r="V70" s="1">
        <f>IF(OR(V$52=0,U21="",V21=""),0,IFERROR(IF(AND(INDEX(Arten,MATCH(U21,Codes,0))="Arbeit",INDEX(Arten,MATCH(V21,Codes,0))="Arbeit"),IF(ROUND((1+INDEX(Beginne,MATCH(V21,Codes,0))-INDEX(EndeRel,MATCH(U21,Codes,0)))*1440,0)&lt;660,1,0),0),0))</f>
      </c>
      <c r="W70" s="1">
        <f>IF(OR(W$52=0,V21="",W21=""),0,IFERROR(IF(AND(INDEX(Arten,MATCH(V21,Codes,0))="Arbeit",INDEX(Arten,MATCH(W21,Codes,0))="Arbeit"),IF(ROUND((1+INDEX(Beginne,MATCH(W21,Codes,0))-INDEX(EndeRel,MATCH(V21,Codes,0)))*1440,0)&lt;660,1,0),0),0))</f>
      </c>
      <c r="X70" s="1">
        <f>IF(OR(X$52=0,W21="",X21=""),0,IFERROR(IF(AND(INDEX(Arten,MATCH(W21,Codes,0))="Arbeit",INDEX(Arten,MATCH(X21,Codes,0))="Arbeit"),IF(ROUND((1+INDEX(Beginne,MATCH(X21,Codes,0))-INDEX(EndeRel,MATCH(W21,Codes,0)))*1440,0)&lt;660,1,0),0),0))</f>
      </c>
      <c r="Y70" s="1">
        <f>IF(OR(Y$52=0,X21="",Y21=""),0,IFERROR(IF(AND(INDEX(Arten,MATCH(X21,Codes,0))="Arbeit",INDEX(Arten,MATCH(Y21,Codes,0))="Arbeit"),IF(ROUND((1+INDEX(Beginne,MATCH(Y21,Codes,0))-INDEX(EndeRel,MATCH(X21,Codes,0)))*1440,0)&lt;660,1,0),0),0))</f>
      </c>
      <c r="Z70" s="1">
        <f>IF(OR(Z$52=0,Y21="",Z21=""),0,IFERROR(IF(AND(INDEX(Arten,MATCH(Y21,Codes,0))="Arbeit",INDEX(Arten,MATCH(Z21,Codes,0))="Arbeit"),IF(ROUND((1+INDEX(Beginne,MATCH(Z21,Codes,0))-INDEX(EndeRel,MATCH(Y21,Codes,0)))*1440,0)&lt;660,1,0),0),0))</f>
      </c>
      <c r="AA70" s="1">
        <f>IF(OR(AA$52=0,Z21="",AA21=""),0,IFERROR(IF(AND(INDEX(Arten,MATCH(Z21,Codes,0))="Arbeit",INDEX(Arten,MATCH(AA21,Codes,0))="Arbeit"),IF(ROUND((1+INDEX(Beginne,MATCH(AA21,Codes,0))-INDEX(EndeRel,MATCH(Z21,Codes,0)))*1440,0)&lt;660,1,0),0),0))</f>
      </c>
      <c r="AB70" s="1">
        <f>IF(OR(AB$52=0,AA21="",AB21=""),0,IFERROR(IF(AND(INDEX(Arten,MATCH(AA21,Codes,0))="Arbeit",INDEX(Arten,MATCH(AB21,Codes,0))="Arbeit"),IF(ROUND((1+INDEX(Beginne,MATCH(AB21,Codes,0))-INDEX(EndeRel,MATCH(AA21,Codes,0)))*1440,0)&lt;660,1,0),0),0))</f>
      </c>
      <c r="AC70" s="1">
        <f>IF(OR(AC$52=0,AB21="",AC21=""),0,IFERROR(IF(AND(INDEX(Arten,MATCH(AB21,Codes,0))="Arbeit",INDEX(Arten,MATCH(AC21,Codes,0))="Arbeit"),IF(ROUND((1+INDEX(Beginne,MATCH(AC21,Codes,0))-INDEX(EndeRel,MATCH(AB21,Codes,0)))*1440,0)&lt;660,1,0),0),0))</f>
      </c>
      <c r="AD70" s="1">
        <f>IF(OR(AD$52=0,AC21="",AD21=""),0,IFERROR(IF(AND(INDEX(Arten,MATCH(AC21,Codes,0))="Arbeit",INDEX(Arten,MATCH(AD21,Codes,0))="Arbeit"),IF(ROUND((1+INDEX(Beginne,MATCH(AD21,Codes,0))-INDEX(EndeRel,MATCH(AC21,Codes,0)))*1440,0)&lt;660,1,0),0),0))</f>
      </c>
      <c r="AE70" s="1">
        <f>IF(OR(AE$52=0,AD21="",AE21=""),0,IFERROR(IF(AND(INDEX(Arten,MATCH(AD21,Codes,0))="Arbeit",INDEX(Arten,MATCH(AE21,Codes,0))="Arbeit"),IF(ROUND((1+INDEX(Beginne,MATCH(AE21,Codes,0))-INDEX(EndeRel,MATCH(AD21,Codes,0)))*1440,0)&lt;660,1,0),0),0))</f>
      </c>
      <c r="AF70" s="1">
        <f>IF(OR(AF$52=0,AE21="",AF21=""),0,IFERROR(IF(AND(INDEX(Arten,MATCH(AE21,Codes,0))="Arbeit",INDEX(Arten,MATCH(AF21,Codes,0))="Arbeit"),IF(ROUND((1+INDEX(Beginne,MATCH(AF21,Codes,0))-INDEX(EndeRel,MATCH(AE21,Codes,0)))*1440,0)&lt;660,1,0),0),0))</f>
      </c>
    </row>
    <row r="71" hidden="1" spans="1:32" x14ac:dyDescent="0.25">
      <c r="A71" s="1"/>
      <c r="B71" s="1">
        <f>IF(OR(B$52=0,INDEX('Mai'!$B$22:$AF$22,DAY(DATE(Jahr,6,0)))="",B22=""),0,IFERROR(IF(AND(INDEX(Arten,MATCH(INDEX('Mai'!$B$22:$AF$22,DAY(DATE(Jahr,6,0))),Codes,0))="Arbeit",INDEX(Arten,MATCH(B22,Codes,0))="Arbeit"),IF(ROUND((1+INDEX(Beginne,MATCH(B22,Codes,0))-INDEX(EndeRel,MATCH(INDEX('Mai'!$B$22:$AF$22,DAY(DATE(Jahr,6,0))),Codes,0)))*1440,0)&lt;660,1,0),0),0))</f>
      </c>
      <c r="C71" s="1">
        <f>IF(OR(C$52=0,B22="",C22=""),0,IFERROR(IF(AND(INDEX(Arten,MATCH(B22,Codes,0))="Arbeit",INDEX(Arten,MATCH(C22,Codes,0))="Arbeit"),IF(ROUND((1+INDEX(Beginne,MATCH(C22,Codes,0))-INDEX(EndeRel,MATCH(B22,Codes,0)))*1440,0)&lt;660,1,0),0),0))</f>
      </c>
      <c r="D71" s="1">
        <f>IF(OR(D$52=0,C22="",D22=""),0,IFERROR(IF(AND(INDEX(Arten,MATCH(C22,Codes,0))="Arbeit",INDEX(Arten,MATCH(D22,Codes,0))="Arbeit"),IF(ROUND((1+INDEX(Beginne,MATCH(D22,Codes,0))-INDEX(EndeRel,MATCH(C22,Codes,0)))*1440,0)&lt;660,1,0),0),0))</f>
      </c>
      <c r="E71" s="1">
        <f>IF(OR(E$52=0,D22="",E22=""),0,IFERROR(IF(AND(INDEX(Arten,MATCH(D22,Codes,0))="Arbeit",INDEX(Arten,MATCH(E22,Codes,0))="Arbeit"),IF(ROUND((1+INDEX(Beginne,MATCH(E22,Codes,0))-INDEX(EndeRel,MATCH(D22,Codes,0)))*1440,0)&lt;660,1,0),0),0))</f>
      </c>
      <c r="F71" s="1">
        <f>IF(OR(F$52=0,E22="",F22=""),0,IFERROR(IF(AND(INDEX(Arten,MATCH(E22,Codes,0))="Arbeit",INDEX(Arten,MATCH(F22,Codes,0))="Arbeit"),IF(ROUND((1+INDEX(Beginne,MATCH(F22,Codes,0))-INDEX(EndeRel,MATCH(E22,Codes,0)))*1440,0)&lt;660,1,0),0),0))</f>
      </c>
      <c r="G71" s="1">
        <f>IF(OR(G$52=0,F22="",G22=""),0,IFERROR(IF(AND(INDEX(Arten,MATCH(F22,Codes,0))="Arbeit",INDEX(Arten,MATCH(G22,Codes,0))="Arbeit"),IF(ROUND((1+INDEX(Beginne,MATCH(G22,Codes,0))-INDEX(EndeRel,MATCH(F22,Codes,0)))*1440,0)&lt;660,1,0),0),0))</f>
      </c>
      <c r="H71" s="1">
        <f>IF(OR(H$52=0,G22="",H22=""),0,IFERROR(IF(AND(INDEX(Arten,MATCH(G22,Codes,0))="Arbeit",INDEX(Arten,MATCH(H22,Codes,0))="Arbeit"),IF(ROUND((1+INDEX(Beginne,MATCH(H22,Codes,0))-INDEX(EndeRel,MATCH(G22,Codes,0)))*1440,0)&lt;660,1,0),0),0))</f>
      </c>
      <c r="I71" s="1">
        <f>IF(OR(I$52=0,H22="",I22=""),0,IFERROR(IF(AND(INDEX(Arten,MATCH(H22,Codes,0))="Arbeit",INDEX(Arten,MATCH(I22,Codes,0))="Arbeit"),IF(ROUND((1+INDEX(Beginne,MATCH(I22,Codes,0))-INDEX(EndeRel,MATCH(H22,Codes,0)))*1440,0)&lt;660,1,0),0),0))</f>
      </c>
      <c r="J71" s="1">
        <f>IF(OR(J$52=0,I22="",J22=""),0,IFERROR(IF(AND(INDEX(Arten,MATCH(I22,Codes,0))="Arbeit",INDEX(Arten,MATCH(J22,Codes,0))="Arbeit"),IF(ROUND((1+INDEX(Beginne,MATCH(J22,Codes,0))-INDEX(EndeRel,MATCH(I22,Codes,0)))*1440,0)&lt;660,1,0),0),0))</f>
      </c>
      <c r="K71" s="1">
        <f>IF(OR(K$52=0,J22="",K22=""),0,IFERROR(IF(AND(INDEX(Arten,MATCH(J22,Codes,0))="Arbeit",INDEX(Arten,MATCH(K22,Codes,0))="Arbeit"),IF(ROUND((1+INDEX(Beginne,MATCH(K22,Codes,0))-INDEX(EndeRel,MATCH(J22,Codes,0)))*1440,0)&lt;660,1,0),0),0))</f>
      </c>
      <c r="L71" s="1">
        <f>IF(OR(L$52=0,K22="",L22=""),0,IFERROR(IF(AND(INDEX(Arten,MATCH(K22,Codes,0))="Arbeit",INDEX(Arten,MATCH(L22,Codes,0))="Arbeit"),IF(ROUND((1+INDEX(Beginne,MATCH(L22,Codes,0))-INDEX(EndeRel,MATCH(K22,Codes,0)))*1440,0)&lt;660,1,0),0),0))</f>
      </c>
      <c r="M71" s="1">
        <f>IF(OR(M$52=0,L22="",M22=""),0,IFERROR(IF(AND(INDEX(Arten,MATCH(L22,Codes,0))="Arbeit",INDEX(Arten,MATCH(M22,Codes,0))="Arbeit"),IF(ROUND((1+INDEX(Beginne,MATCH(M22,Codes,0))-INDEX(EndeRel,MATCH(L22,Codes,0)))*1440,0)&lt;660,1,0),0),0))</f>
      </c>
      <c r="N71" s="1">
        <f>IF(OR(N$52=0,M22="",N22=""),0,IFERROR(IF(AND(INDEX(Arten,MATCH(M22,Codes,0))="Arbeit",INDEX(Arten,MATCH(N22,Codes,0))="Arbeit"),IF(ROUND((1+INDEX(Beginne,MATCH(N22,Codes,0))-INDEX(EndeRel,MATCH(M22,Codes,0)))*1440,0)&lt;660,1,0),0),0))</f>
      </c>
      <c r="O71" s="1">
        <f>IF(OR(O$52=0,N22="",O22=""),0,IFERROR(IF(AND(INDEX(Arten,MATCH(N22,Codes,0))="Arbeit",INDEX(Arten,MATCH(O22,Codes,0))="Arbeit"),IF(ROUND((1+INDEX(Beginne,MATCH(O22,Codes,0))-INDEX(EndeRel,MATCH(N22,Codes,0)))*1440,0)&lt;660,1,0),0),0))</f>
      </c>
      <c r="P71" s="1">
        <f>IF(OR(P$52=0,O22="",P22=""),0,IFERROR(IF(AND(INDEX(Arten,MATCH(O22,Codes,0))="Arbeit",INDEX(Arten,MATCH(P22,Codes,0))="Arbeit"),IF(ROUND((1+INDEX(Beginne,MATCH(P22,Codes,0))-INDEX(EndeRel,MATCH(O22,Codes,0)))*1440,0)&lt;660,1,0),0),0))</f>
      </c>
      <c r="Q71" s="1">
        <f>IF(OR(Q$52=0,P22="",Q22=""),0,IFERROR(IF(AND(INDEX(Arten,MATCH(P22,Codes,0))="Arbeit",INDEX(Arten,MATCH(Q22,Codes,0))="Arbeit"),IF(ROUND((1+INDEX(Beginne,MATCH(Q22,Codes,0))-INDEX(EndeRel,MATCH(P22,Codes,0)))*1440,0)&lt;660,1,0),0),0))</f>
      </c>
      <c r="R71" s="1">
        <f>IF(OR(R$52=0,Q22="",R22=""),0,IFERROR(IF(AND(INDEX(Arten,MATCH(Q22,Codes,0))="Arbeit",INDEX(Arten,MATCH(R22,Codes,0))="Arbeit"),IF(ROUND((1+INDEX(Beginne,MATCH(R22,Codes,0))-INDEX(EndeRel,MATCH(Q22,Codes,0)))*1440,0)&lt;660,1,0),0),0))</f>
      </c>
      <c r="S71" s="1">
        <f>IF(OR(S$52=0,R22="",S22=""),0,IFERROR(IF(AND(INDEX(Arten,MATCH(R22,Codes,0))="Arbeit",INDEX(Arten,MATCH(S22,Codes,0))="Arbeit"),IF(ROUND((1+INDEX(Beginne,MATCH(S22,Codes,0))-INDEX(EndeRel,MATCH(R22,Codes,0)))*1440,0)&lt;660,1,0),0),0))</f>
      </c>
      <c r="T71" s="1">
        <f>IF(OR(T$52=0,S22="",T22=""),0,IFERROR(IF(AND(INDEX(Arten,MATCH(S22,Codes,0))="Arbeit",INDEX(Arten,MATCH(T22,Codes,0))="Arbeit"),IF(ROUND((1+INDEX(Beginne,MATCH(T22,Codes,0))-INDEX(EndeRel,MATCH(S22,Codes,0)))*1440,0)&lt;660,1,0),0),0))</f>
      </c>
      <c r="U71" s="1">
        <f>IF(OR(U$52=0,T22="",U22=""),0,IFERROR(IF(AND(INDEX(Arten,MATCH(T22,Codes,0))="Arbeit",INDEX(Arten,MATCH(U22,Codes,0))="Arbeit"),IF(ROUND((1+INDEX(Beginne,MATCH(U22,Codes,0))-INDEX(EndeRel,MATCH(T22,Codes,0)))*1440,0)&lt;660,1,0),0),0))</f>
      </c>
      <c r="V71" s="1">
        <f>IF(OR(V$52=0,U22="",V22=""),0,IFERROR(IF(AND(INDEX(Arten,MATCH(U22,Codes,0))="Arbeit",INDEX(Arten,MATCH(V22,Codes,0))="Arbeit"),IF(ROUND((1+INDEX(Beginne,MATCH(V22,Codes,0))-INDEX(EndeRel,MATCH(U22,Codes,0)))*1440,0)&lt;660,1,0),0),0))</f>
      </c>
      <c r="W71" s="1">
        <f>IF(OR(W$52=0,V22="",W22=""),0,IFERROR(IF(AND(INDEX(Arten,MATCH(V22,Codes,0))="Arbeit",INDEX(Arten,MATCH(W22,Codes,0))="Arbeit"),IF(ROUND((1+INDEX(Beginne,MATCH(W22,Codes,0))-INDEX(EndeRel,MATCH(V22,Codes,0)))*1440,0)&lt;660,1,0),0),0))</f>
      </c>
      <c r="X71" s="1">
        <f>IF(OR(X$52=0,W22="",X22=""),0,IFERROR(IF(AND(INDEX(Arten,MATCH(W22,Codes,0))="Arbeit",INDEX(Arten,MATCH(X22,Codes,0))="Arbeit"),IF(ROUND((1+INDEX(Beginne,MATCH(X22,Codes,0))-INDEX(EndeRel,MATCH(W22,Codes,0)))*1440,0)&lt;660,1,0),0),0))</f>
      </c>
      <c r="Y71" s="1">
        <f>IF(OR(Y$52=0,X22="",Y22=""),0,IFERROR(IF(AND(INDEX(Arten,MATCH(X22,Codes,0))="Arbeit",INDEX(Arten,MATCH(Y22,Codes,0))="Arbeit"),IF(ROUND((1+INDEX(Beginne,MATCH(Y22,Codes,0))-INDEX(EndeRel,MATCH(X22,Codes,0)))*1440,0)&lt;660,1,0),0),0))</f>
      </c>
      <c r="Z71" s="1">
        <f>IF(OR(Z$52=0,Y22="",Z22=""),0,IFERROR(IF(AND(INDEX(Arten,MATCH(Y22,Codes,0))="Arbeit",INDEX(Arten,MATCH(Z22,Codes,0))="Arbeit"),IF(ROUND((1+INDEX(Beginne,MATCH(Z22,Codes,0))-INDEX(EndeRel,MATCH(Y22,Codes,0)))*1440,0)&lt;660,1,0),0),0))</f>
      </c>
      <c r="AA71" s="1">
        <f>IF(OR(AA$52=0,Z22="",AA22=""),0,IFERROR(IF(AND(INDEX(Arten,MATCH(Z22,Codes,0))="Arbeit",INDEX(Arten,MATCH(AA22,Codes,0))="Arbeit"),IF(ROUND((1+INDEX(Beginne,MATCH(AA22,Codes,0))-INDEX(EndeRel,MATCH(Z22,Codes,0)))*1440,0)&lt;660,1,0),0),0))</f>
      </c>
      <c r="AB71" s="1">
        <f>IF(OR(AB$52=0,AA22="",AB22=""),0,IFERROR(IF(AND(INDEX(Arten,MATCH(AA22,Codes,0))="Arbeit",INDEX(Arten,MATCH(AB22,Codes,0))="Arbeit"),IF(ROUND((1+INDEX(Beginne,MATCH(AB22,Codes,0))-INDEX(EndeRel,MATCH(AA22,Codes,0)))*1440,0)&lt;660,1,0),0),0))</f>
      </c>
      <c r="AC71" s="1">
        <f>IF(OR(AC$52=0,AB22="",AC22=""),0,IFERROR(IF(AND(INDEX(Arten,MATCH(AB22,Codes,0))="Arbeit",INDEX(Arten,MATCH(AC22,Codes,0))="Arbeit"),IF(ROUND((1+INDEX(Beginne,MATCH(AC22,Codes,0))-INDEX(EndeRel,MATCH(AB22,Codes,0)))*1440,0)&lt;660,1,0),0),0))</f>
      </c>
      <c r="AD71" s="1">
        <f>IF(OR(AD$52=0,AC22="",AD22=""),0,IFERROR(IF(AND(INDEX(Arten,MATCH(AC22,Codes,0))="Arbeit",INDEX(Arten,MATCH(AD22,Codes,0))="Arbeit"),IF(ROUND((1+INDEX(Beginne,MATCH(AD22,Codes,0))-INDEX(EndeRel,MATCH(AC22,Codes,0)))*1440,0)&lt;660,1,0),0),0))</f>
      </c>
      <c r="AE71" s="1">
        <f>IF(OR(AE$52=0,AD22="",AE22=""),0,IFERROR(IF(AND(INDEX(Arten,MATCH(AD22,Codes,0))="Arbeit",INDEX(Arten,MATCH(AE22,Codes,0))="Arbeit"),IF(ROUND((1+INDEX(Beginne,MATCH(AE22,Codes,0))-INDEX(EndeRel,MATCH(AD22,Codes,0)))*1440,0)&lt;660,1,0),0),0))</f>
      </c>
      <c r="AF71" s="1">
        <f>IF(OR(AF$52=0,AE22="",AF22=""),0,IFERROR(IF(AND(INDEX(Arten,MATCH(AE22,Codes,0))="Arbeit",INDEX(Arten,MATCH(AF22,Codes,0))="Arbeit"),IF(ROUND((1+INDEX(Beginne,MATCH(AF22,Codes,0))-INDEX(EndeRel,MATCH(AE22,Codes,0)))*1440,0)&lt;660,1,0),0),0))</f>
      </c>
    </row>
    <row r="72" hidden="1" spans="1:32" x14ac:dyDescent="0.25">
      <c r="A72" s="1"/>
      <c r="B72" s="1">
        <f>IF(OR(B$52=0,INDEX('Mai'!$B$23:$AF$23,DAY(DATE(Jahr,6,0)))="",B23=""),0,IFERROR(IF(AND(INDEX(Arten,MATCH(INDEX('Mai'!$B$23:$AF$23,DAY(DATE(Jahr,6,0))),Codes,0))="Arbeit",INDEX(Arten,MATCH(B23,Codes,0))="Arbeit"),IF(ROUND((1+INDEX(Beginne,MATCH(B23,Codes,0))-INDEX(EndeRel,MATCH(INDEX('Mai'!$B$23:$AF$23,DAY(DATE(Jahr,6,0))),Codes,0)))*1440,0)&lt;660,1,0),0),0))</f>
      </c>
      <c r="C72" s="1">
        <f>IF(OR(C$52=0,B23="",C23=""),0,IFERROR(IF(AND(INDEX(Arten,MATCH(B23,Codes,0))="Arbeit",INDEX(Arten,MATCH(C23,Codes,0))="Arbeit"),IF(ROUND((1+INDEX(Beginne,MATCH(C23,Codes,0))-INDEX(EndeRel,MATCH(B23,Codes,0)))*1440,0)&lt;660,1,0),0),0))</f>
      </c>
      <c r="D72" s="1">
        <f>IF(OR(D$52=0,C23="",D23=""),0,IFERROR(IF(AND(INDEX(Arten,MATCH(C23,Codes,0))="Arbeit",INDEX(Arten,MATCH(D23,Codes,0))="Arbeit"),IF(ROUND((1+INDEX(Beginne,MATCH(D23,Codes,0))-INDEX(EndeRel,MATCH(C23,Codes,0)))*1440,0)&lt;660,1,0),0),0))</f>
      </c>
      <c r="E72" s="1">
        <f>IF(OR(E$52=0,D23="",E23=""),0,IFERROR(IF(AND(INDEX(Arten,MATCH(D23,Codes,0))="Arbeit",INDEX(Arten,MATCH(E23,Codes,0))="Arbeit"),IF(ROUND((1+INDEX(Beginne,MATCH(E23,Codes,0))-INDEX(EndeRel,MATCH(D23,Codes,0)))*1440,0)&lt;660,1,0),0),0))</f>
      </c>
      <c r="F72" s="1">
        <f>IF(OR(F$52=0,E23="",F23=""),0,IFERROR(IF(AND(INDEX(Arten,MATCH(E23,Codes,0))="Arbeit",INDEX(Arten,MATCH(F23,Codes,0))="Arbeit"),IF(ROUND((1+INDEX(Beginne,MATCH(F23,Codes,0))-INDEX(EndeRel,MATCH(E23,Codes,0)))*1440,0)&lt;660,1,0),0),0))</f>
      </c>
      <c r="G72" s="1">
        <f>IF(OR(G$52=0,F23="",G23=""),0,IFERROR(IF(AND(INDEX(Arten,MATCH(F23,Codes,0))="Arbeit",INDEX(Arten,MATCH(G23,Codes,0))="Arbeit"),IF(ROUND((1+INDEX(Beginne,MATCH(G23,Codes,0))-INDEX(EndeRel,MATCH(F23,Codes,0)))*1440,0)&lt;660,1,0),0),0))</f>
      </c>
      <c r="H72" s="1">
        <f>IF(OR(H$52=0,G23="",H23=""),0,IFERROR(IF(AND(INDEX(Arten,MATCH(G23,Codes,0))="Arbeit",INDEX(Arten,MATCH(H23,Codes,0))="Arbeit"),IF(ROUND((1+INDEX(Beginne,MATCH(H23,Codes,0))-INDEX(EndeRel,MATCH(G23,Codes,0)))*1440,0)&lt;660,1,0),0),0))</f>
      </c>
      <c r="I72" s="1">
        <f>IF(OR(I$52=0,H23="",I23=""),0,IFERROR(IF(AND(INDEX(Arten,MATCH(H23,Codes,0))="Arbeit",INDEX(Arten,MATCH(I23,Codes,0))="Arbeit"),IF(ROUND((1+INDEX(Beginne,MATCH(I23,Codes,0))-INDEX(EndeRel,MATCH(H23,Codes,0)))*1440,0)&lt;660,1,0),0),0))</f>
      </c>
      <c r="J72" s="1">
        <f>IF(OR(J$52=0,I23="",J23=""),0,IFERROR(IF(AND(INDEX(Arten,MATCH(I23,Codes,0))="Arbeit",INDEX(Arten,MATCH(J23,Codes,0))="Arbeit"),IF(ROUND((1+INDEX(Beginne,MATCH(J23,Codes,0))-INDEX(EndeRel,MATCH(I23,Codes,0)))*1440,0)&lt;660,1,0),0),0))</f>
      </c>
      <c r="K72" s="1">
        <f>IF(OR(K$52=0,J23="",K23=""),0,IFERROR(IF(AND(INDEX(Arten,MATCH(J23,Codes,0))="Arbeit",INDEX(Arten,MATCH(K23,Codes,0))="Arbeit"),IF(ROUND((1+INDEX(Beginne,MATCH(K23,Codes,0))-INDEX(EndeRel,MATCH(J23,Codes,0)))*1440,0)&lt;660,1,0),0),0))</f>
      </c>
      <c r="L72" s="1">
        <f>IF(OR(L$52=0,K23="",L23=""),0,IFERROR(IF(AND(INDEX(Arten,MATCH(K23,Codes,0))="Arbeit",INDEX(Arten,MATCH(L23,Codes,0))="Arbeit"),IF(ROUND((1+INDEX(Beginne,MATCH(L23,Codes,0))-INDEX(EndeRel,MATCH(K23,Codes,0)))*1440,0)&lt;660,1,0),0),0))</f>
      </c>
      <c r="M72" s="1">
        <f>IF(OR(M$52=0,L23="",M23=""),0,IFERROR(IF(AND(INDEX(Arten,MATCH(L23,Codes,0))="Arbeit",INDEX(Arten,MATCH(M23,Codes,0))="Arbeit"),IF(ROUND((1+INDEX(Beginne,MATCH(M23,Codes,0))-INDEX(EndeRel,MATCH(L23,Codes,0)))*1440,0)&lt;660,1,0),0),0))</f>
      </c>
      <c r="N72" s="1">
        <f>IF(OR(N$52=0,M23="",N23=""),0,IFERROR(IF(AND(INDEX(Arten,MATCH(M23,Codes,0))="Arbeit",INDEX(Arten,MATCH(N23,Codes,0))="Arbeit"),IF(ROUND((1+INDEX(Beginne,MATCH(N23,Codes,0))-INDEX(EndeRel,MATCH(M23,Codes,0)))*1440,0)&lt;660,1,0),0),0))</f>
      </c>
      <c r="O72" s="1">
        <f>IF(OR(O$52=0,N23="",O23=""),0,IFERROR(IF(AND(INDEX(Arten,MATCH(N23,Codes,0))="Arbeit",INDEX(Arten,MATCH(O23,Codes,0))="Arbeit"),IF(ROUND((1+INDEX(Beginne,MATCH(O23,Codes,0))-INDEX(EndeRel,MATCH(N23,Codes,0)))*1440,0)&lt;660,1,0),0),0))</f>
      </c>
      <c r="P72" s="1">
        <f>IF(OR(P$52=0,O23="",P23=""),0,IFERROR(IF(AND(INDEX(Arten,MATCH(O23,Codes,0))="Arbeit",INDEX(Arten,MATCH(P23,Codes,0))="Arbeit"),IF(ROUND((1+INDEX(Beginne,MATCH(P23,Codes,0))-INDEX(EndeRel,MATCH(O23,Codes,0)))*1440,0)&lt;660,1,0),0),0))</f>
      </c>
      <c r="Q72" s="1">
        <f>IF(OR(Q$52=0,P23="",Q23=""),0,IFERROR(IF(AND(INDEX(Arten,MATCH(P23,Codes,0))="Arbeit",INDEX(Arten,MATCH(Q23,Codes,0))="Arbeit"),IF(ROUND((1+INDEX(Beginne,MATCH(Q23,Codes,0))-INDEX(EndeRel,MATCH(P23,Codes,0)))*1440,0)&lt;660,1,0),0),0))</f>
      </c>
      <c r="R72" s="1">
        <f>IF(OR(R$52=0,Q23="",R23=""),0,IFERROR(IF(AND(INDEX(Arten,MATCH(Q23,Codes,0))="Arbeit",INDEX(Arten,MATCH(R23,Codes,0))="Arbeit"),IF(ROUND((1+INDEX(Beginne,MATCH(R23,Codes,0))-INDEX(EndeRel,MATCH(Q23,Codes,0)))*1440,0)&lt;660,1,0),0),0))</f>
      </c>
      <c r="S72" s="1">
        <f>IF(OR(S$52=0,R23="",S23=""),0,IFERROR(IF(AND(INDEX(Arten,MATCH(R23,Codes,0))="Arbeit",INDEX(Arten,MATCH(S23,Codes,0))="Arbeit"),IF(ROUND((1+INDEX(Beginne,MATCH(S23,Codes,0))-INDEX(EndeRel,MATCH(R23,Codes,0)))*1440,0)&lt;660,1,0),0),0))</f>
      </c>
      <c r="T72" s="1">
        <f>IF(OR(T$52=0,S23="",T23=""),0,IFERROR(IF(AND(INDEX(Arten,MATCH(S23,Codes,0))="Arbeit",INDEX(Arten,MATCH(T23,Codes,0))="Arbeit"),IF(ROUND((1+INDEX(Beginne,MATCH(T23,Codes,0))-INDEX(EndeRel,MATCH(S23,Codes,0)))*1440,0)&lt;660,1,0),0),0))</f>
      </c>
      <c r="U72" s="1">
        <f>IF(OR(U$52=0,T23="",U23=""),0,IFERROR(IF(AND(INDEX(Arten,MATCH(T23,Codes,0))="Arbeit",INDEX(Arten,MATCH(U23,Codes,0))="Arbeit"),IF(ROUND((1+INDEX(Beginne,MATCH(U23,Codes,0))-INDEX(EndeRel,MATCH(T23,Codes,0)))*1440,0)&lt;660,1,0),0),0))</f>
      </c>
      <c r="V72" s="1">
        <f>IF(OR(V$52=0,U23="",V23=""),0,IFERROR(IF(AND(INDEX(Arten,MATCH(U23,Codes,0))="Arbeit",INDEX(Arten,MATCH(V23,Codes,0))="Arbeit"),IF(ROUND((1+INDEX(Beginne,MATCH(V23,Codes,0))-INDEX(EndeRel,MATCH(U23,Codes,0)))*1440,0)&lt;660,1,0),0),0))</f>
      </c>
      <c r="W72" s="1">
        <f>IF(OR(W$52=0,V23="",W23=""),0,IFERROR(IF(AND(INDEX(Arten,MATCH(V23,Codes,0))="Arbeit",INDEX(Arten,MATCH(W23,Codes,0))="Arbeit"),IF(ROUND((1+INDEX(Beginne,MATCH(W23,Codes,0))-INDEX(EndeRel,MATCH(V23,Codes,0)))*1440,0)&lt;660,1,0),0),0))</f>
      </c>
      <c r="X72" s="1">
        <f>IF(OR(X$52=0,W23="",X23=""),0,IFERROR(IF(AND(INDEX(Arten,MATCH(W23,Codes,0))="Arbeit",INDEX(Arten,MATCH(X23,Codes,0))="Arbeit"),IF(ROUND((1+INDEX(Beginne,MATCH(X23,Codes,0))-INDEX(EndeRel,MATCH(W23,Codes,0)))*1440,0)&lt;660,1,0),0),0))</f>
      </c>
      <c r="Y72" s="1">
        <f>IF(OR(Y$52=0,X23="",Y23=""),0,IFERROR(IF(AND(INDEX(Arten,MATCH(X23,Codes,0))="Arbeit",INDEX(Arten,MATCH(Y23,Codes,0))="Arbeit"),IF(ROUND((1+INDEX(Beginne,MATCH(Y23,Codes,0))-INDEX(EndeRel,MATCH(X23,Codes,0)))*1440,0)&lt;660,1,0),0),0))</f>
      </c>
      <c r="Z72" s="1">
        <f>IF(OR(Z$52=0,Y23="",Z23=""),0,IFERROR(IF(AND(INDEX(Arten,MATCH(Y23,Codes,0))="Arbeit",INDEX(Arten,MATCH(Z23,Codes,0))="Arbeit"),IF(ROUND((1+INDEX(Beginne,MATCH(Z23,Codes,0))-INDEX(EndeRel,MATCH(Y23,Codes,0)))*1440,0)&lt;660,1,0),0),0))</f>
      </c>
      <c r="AA72" s="1">
        <f>IF(OR(AA$52=0,Z23="",AA23=""),0,IFERROR(IF(AND(INDEX(Arten,MATCH(Z23,Codes,0))="Arbeit",INDEX(Arten,MATCH(AA23,Codes,0))="Arbeit"),IF(ROUND((1+INDEX(Beginne,MATCH(AA23,Codes,0))-INDEX(EndeRel,MATCH(Z23,Codes,0)))*1440,0)&lt;660,1,0),0),0))</f>
      </c>
      <c r="AB72" s="1">
        <f>IF(OR(AB$52=0,AA23="",AB23=""),0,IFERROR(IF(AND(INDEX(Arten,MATCH(AA23,Codes,0))="Arbeit",INDEX(Arten,MATCH(AB23,Codes,0))="Arbeit"),IF(ROUND((1+INDEX(Beginne,MATCH(AB23,Codes,0))-INDEX(EndeRel,MATCH(AA23,Codes,0)))*1440,0)&lt;660,1,0),0),0))</f>
      </c>
      <c r="AC72" s="1">
        <f>IF(OR(AC$52=0,AB23="",AC23=""),0,IFERROR(IF(AND(INDEX(Arten,MATCH(AB23,Codes,0))="Arbeit",INDEX(Arten,MATCH(AC23,Codes,0))="Arbeit"),IF(ROUND((1+INDEX(Beginne,MATCH(AC23,Codes,0))-INDEX(EndeRel,MATCH(AB23,Codes,0)))*1440,0)&lt;660,1,0),0),0))</f>
      </c>
      <c r="AD72" s="1">
        <f>IF(OR(AD$52=0,AC23="",AD23=""),0,IFERROR(IF(AND(INDEX(Arten,MATCH(AC23,Codes,0))="Arbeit",INDEX(Arten,MATCH(AD23,Codes,0))="Arbeit"),IF(ROUND((1+INDEX(Beginne,MATCH(AD23,Codes,0))-INDEX(EndeRel,MATCH(AC23,Codes,0)))*1440,0)&lt;660,1,0),0),0))</f>
      </c>
      <c r="AE72" s="1">
        <f>IF(OR(AE$52=0,AD23="",AE23=""),0,IFERROR(IF(AND(INDEX(Arten,MATCH(AD23,Codes,0))="Arbeit",INDEX(Arten,MATCH(AE23,Codes,0))="Arbeit"),IF(ROUND((1+INDEX(Beginne,MATCH(AE23,Codes,0))-INDEX(EndeRel,MATCH(AD23,Codes,0)))*1440,0)&lt;660,1,0),0),0))</f>
      </c>
      <c r="AF72" s="1">
        <f>IF(OR(AF$52=0,AE23="",AF23=""),0,IFERROR(IF(AND(INDEX(Arten,MATCH(AE23,Codes,0))="Arbeit",INDEX(Arten,MATCH(AF23,Codes,0))="Arbeit"),IF(ROUND((1+INDEX(Beginne,MATCH(AF23,Codes,0))-INDEX(EndeRel,MATCH(AE23,Codes,0)))*1440,0)&lt;660,1,0),0),0))</f>
      </c>
    </row>
    <row r="73" hidden="1" spans="1:32" x14ac:dyDescent="0.25">
      <c r="A73" s="1"/>
      <c r="B73" s="1">
        <f>IF(OR(B$52=0,INDEX('Mai'!$B$24:$AF$24,DAY(DATE(Jahr,6,0)))="",B24=""),0,IFERROR(IF(AND(INDEX(Arten,MATCH(INDEX('Mai'!$B$24:$AF$24,DAY(DATE(Jahr,6,0))),Codes,0))="Arbeit",INDEX(Arten,MATCH(B24,Codes,0))="Arbeit"),IF(ROUND((1+INDEX(Beginne,MATCH(B24,Codes,0))-INDEX(EndeRel,MATCH(INDEX('Mai'!$B$24:$AF$24,DAY(DATE(Jahr,6,0))),Codes,0)))*1440,0)&lt;660,1,0),0),0))</f>
      </c>
      <c r="C73" s="1">
        <f>IF(OR(C$52=0,B24="",C24=""),0,IFERROR(IF(AND(INDEX(Arten,MATCH(B24,Codes,0))="Arbeit",INDEX(Arten,MATCH(C24,Codes,0))="Arbeit"),IF(ROUND((1+INDEX(Beginne,MATCH(C24,Codes,0))-INDEX(EndeRel,MATCH(B24,Codes,0)))*1440,0)&lt;660,1,0),0),0))</f>
      </c>
      <c r="D73" s="1">
        <f>IF(OR(D$52=0,C24="",D24=""),0,IFERROR(IF(AND(INDEX(Arten,MATCH(C24,Codes,0))="Arbeit",INDEX(Arten,MATCH(D24,Codes,0))="Arbeit"),IF(ROUND((1+INDEX(Beginne,MATCH(D24,Codes,0))-INDEX(EndeRel,MATCH(C24,Codes,0)))*1440,0)&lt;660,1,0),0),0))</f>
      </c>
      <c r="E73" s="1">
        <f>IF(OR(E$52=0,D24="",E24=""),0,IFERROR(IF(AND(INDEX(Arten,MATCH(D24,Codes,0))="Arbeit",INDEX(Arten,MATCH(E24,Codes,0))="Arbeit"),IF(ROUND((1+INDEX(Beginne,MATCH(E24,Codes,0))-INDEX(EndeRel,MATCH(D24,Codes,0)))*1440,0)&lt;660,1,0),0),0))</f>
      </c>
      <c r="F73" s="1">
        <f>IF(OR(F$52=0,E24="",F24=""),0,IFERROR(IF(AND(INDEX(Arten,MATCH(E24,Codes,0))="Arbeit",INDEX(Arten,MATCH(F24,Codes,0))="Arbeit"),IF(ROUND((1+INDEX(Beginne,MATCH(F24,Codes,0))-INDEX(EndeRel,MATCH(E24,Codes,0)))*1440,0)&lt;660,1,0),0),0))</f>
      </c>
      <c r="G73" s="1">
        <f>IF(OR(G$52=0,F24="",G24=""),0,IFERROR(IF(AND(INDEX(Arten,MATCH(F24,Codes,0))="Arbeit",INDEX(Arten,MATCH(G24,Codes,0))="Arbeit"),IF(ROUND((1+INDEX(Beginne,MATCH(G24,Codes,0))-INDEX(EndeRel,MATCH(F24,Codes,0)))*1440,0)&lt;660,1,0),0),0))</f>
      </c>
      <c r="H73" s="1">
        <f>IF(OR(H$52=0,G24="",H24=""),0,IFERROR(IF(AND(INDEX(Arten,MATCH(G24,Codes,0))="Arbeit",INDEX(Arten,MATCH(H24,Codes,0))="Arbeit"),IF(ROUND((1+INDEX(Beginne,MATCH(H24,Codes,0))-INDEX(EndeRel,MATCH(G24,Codes,0)))*1440,0)&lt;660,1,0),0),0))</f>
      </c>
      <c r="I73" s="1">
        <f>IF(OR(I$52=0,H24="",I24=""),0,IFERROR(IF(AND(INDEX(Arten,MATCH(H24,Codes,0))="Arbeit",INDEX(Arten,MATCH(I24,Codes,0))="Arbeit"),IF(ROUND((1+INDEX(Beginne,MATCH(I24,Codes,0))-INDEX(EndeRel,MATCH(H24,Codes,0)))*1440,0)&lt;660,1,0),0),0))</f>
      </c>
      <c r="J73" s="1">
        <f>IF(OR(J$52=0,I24="",J24=""),0,IFERROR(IF(AND(INDEX(Arten,MATCH(I24,Codes,0))="Arbeit",INDEX(Arten,MATCH(J24,Codes,0))="Arbeit"),IF(ROUND((1+INDEX(Beginne,MATCH(J24,Codes,0))-INDEX(EndeRel,MATCH(I24,Codes,0)))*1440,0)&lt;660,1,0),0),0))</f>
      </c>
      <c r="K73" s="1">
        <f>IF(OR(K$52=0,J24="",K24=""),0,IFERROR(IF(AND(INDEX(Arten,MATCH(J24,Codes,0))="Arbeit",INDEX(Arten,MATCH(K24,Codes,0))="Arbeit"),IF(ROUND((1+INDEX(Beginne,MATCH(K24,Codes,0))-INDEX(EndeRel,MATCH(J24,Codes,0)))*1440,0)&lt;660,1,0),0),0))</f>
      </c>
      <c r="L73" s="1">
        <f>IF(OR(L$52=0,K24="",L24=""),0,IFERROR(IF(AND(INDEX(Arten,MATCH(K24,Codes,0))="Arbeit",INDEX(Arten,MATCH(L24,Codes,0))="Arbeit"),IF(ROUND((1+INDEX(Beginne,MATCH(L24,Codes,0))-INDEX(EndeRel,MATCH(K24,Codes,0)))*1440,0)&lt;660,1,0),0),0))</f>
      </c>
      <c r="M73" s="1">
        <f>IF(OR(M$52=0,L24="",M24=""),0,IFERROR(IF(AND(INDEX(Arten,MATCH(L24,Codes,0))="Arbeit",INDEX(Arten,MATCH(M24,Codes,0))="Arbeit"),IF(ROUND((1+INDEX(Beginne,MATCH(M24,Codes,0))-INDEX(EndeRel,MATCH(L24,Codes,0)))*1440,0)&lt;660,1,0),0),0))</f>
      </c>
      <c r="N73" s="1">
        <f>IF(OR(N$52=0,M24="",N24=""),0,IFERROR(IF(AND(INDEX(Arten,MATCH(M24,Codes,0))="Arbeit",INDEX(Arten,MATCH(N24,Codes,0))="Arbeit"),IF(ROUND((1+INDEX(Beginne,MATCH(N24,Codes,0))-INDEX(EndeRel,MATCH(M24,Codes,0)))*1440,0)&lt;660,1,0),0),0))</f>
      </c>
      <c r="O73" s="1">
        <f>IF(OR(O$52=0,N24="",O24=""),0,IFERROR(IF(AND(INDEX(Arten,MATCH(N24,Codes,0))="Arbeit",INDEX(Arten,MATCH(O24,Codes,0))="Arbeit"),IF(ROUND((1+INDEX(Beginne,MATCH(O24,Codes,0))-INDEX(EndeRel,MATCH(N24,Codes,0)))*1440,0)&lt;660,1,0),0),0))</f>
      </c>
      <c r="P73" s="1">
        <f>IF(OR(P$52=0,O24="",P24=""),0,IFERROR(IF(AND(INDEX(Arten,MATCH(O24,Codes,0))="Arbeit",INDEX(Arten,MATCH(P24,Codes,0))="Arbeit"),IF(ROUND((1+INDEX(Beginne,MATCH(P24,Codes,0))-INDEX(EndeRel,MATCH(O24,Codes,0)))*1440,0)&lt;660,1,0),0),0))</f>
      </c>
      <c r="Q73" s="1">
        <f>IF(OR(Q$52=0,P24="",Q24=""),0,IFERROR(IF(AND(INDEX(Arten,MATCH(P24,Codes,0))="Arbeit",INDEX(Arten,MATCH(Q24,Codes,0))="Arbeit"),IF(ROUND((1+INDEX(Beginne,MATCH(Q24,Codes,0))-INDEX(EndeRel,MATCH(P24,Codes,0)))*1440,0)&lt;660,1,0),0),0))</f>
      </c>
      <c r="R73" s="1">
        <f>IF(OR(R$52=0,Q24="",R24=""),0,IFERROR(IF(AND(INDEX(Arten,MATCH(Q24,Codes,0))="Arbeit",INDEX(Arten,MATCH(R24,Codes,0))="Arbeit"),IF(ROUND((1+INDEX(Beginne,MATCH(R24,Codes,0))-INDEX(EndeRel,MATCH(Q24,Codes,0)))*1440,0)&lt;660,1,0),0),0))</f>
      </c>
      <c r="S73" s="1">
        <f>IF(OR(S$52=0,R24="",S24=""),0,IFERROR(IF(AND(INDEX(Arten,MATCH(R24,Codes,0))="Arbeit",INDEX(Arten,MATCH(S24,Codes,0))="Arbeit"),IF(ROUND((1+INDEX(Beginne,MATCH(S24,Codes,0))-INDEX(EndeRel,MATCH(R24,Codes,0)))*1440,0)&lt;660,1,0),0),0))</f>
      </c>
      <c r="T73" s="1">
        <f>IF(OR(T$52=0,S24="",T24=""),0,IFERROR(IF(AND(INDEX(Arten,MATCH(S24,Codes,0))="Arbeit",INDEX(Arten,MATCH(T24,Codes,0))="Arbeit"),IF(ROUND((1+INDEX(Beginne,MATCH(T24,Codes,0))-INDEX(EndeRel,MATCH(S24,Codes,0)))*1440,0)&lt;660,1,0),0),0))</f>
      </c>
      <c r="U73" s="1">
        <f>IF(OR(U$52=0,T24="",U24=""),0,IFERROR(IF(AND(INDEX(Arten,MATCH(T24,Codes,0))="Arbeit",INDEX(Arten,MATCH(U24,Codes,0))="Arbeit"),IF(ROUND((1+INDEX(Beginne,MATCH(U24,Codes,0))-INDEX(EndeRel,MATCH(T24,Codes,0)))*1440,0)&lt;660,1,0),0),0))</f>
      </c>
      <c r="V73" s="1">
        <f>IF(OR(V$52=0,U24="",V24=""),0,IFERROR(IF(AND(INDEX(Arten,MATCH(U24,Codes,0))="Arbeit",INDEX(Arten,MATCH(V24,Codes,0))="Arbeit"),IF(ROUND((1+INDEX(Beginne,MATCH(V24,Codes,0))-INDEX(EndeRel,MATCH(U24,Codes,0)))*1440,0)&lt;660,1,0),0),0))</f>
      </c>
      <c r="W73" s="1">
        <f>IF(OR(W$52=0,V24="",W24=""),0,IFERROR(IF(AND(INDEX(Arten,MATCH(V24,Codes,0))="Arbeit",INDEX(Arten,MATCH(W24,Codes,0))="Arbeit"),IF(ROUND((1+INDEX(Beginne,MATCH(W24,Codes,0))-INDEX(EndeRel,MATCH(V24,Codes,0)))*1440,0)&lt;660,1,0),0),0))</f>
      </c>
      <c r="X73" s="1">
        <f>IF(OR(X$52=0,W24="",X24=""),0,IFERROR(IF(AND(INDEX(Arten,MATCH(W24,Codes,0))="Arbeit",INDEX(Arten,MATCH(X24,Codes,0))="Arbeit"),IF(ROUND((1+INDEX(Beginne,MATCH(X24,Codes,0))-INDEX(EndeRel,MATCH(W24,Codes,0)))*1440,0)&lt;660,1,0),0),0))</f>
      </c>
      <c r="Y73" s="1">
        <f>IF(OR(Y$52=0,X24="",Y24=""),0,IFERROR(IF(AND(INDEX(Arten,MATCH(X24,Codes,0))="Arbeit",INDEX(Arten,MATCH(Y24,Codes,0))="Arbeit"),IF(ROUND((1+INDEX(Beginne,MATCH(Y24,Codes,0))-INDEX(EndeRel,MATCH(X24,Codes,0)))*1440,0)&lt;660,1,0),0),0))</f>
      </c>
      <c r="Z73" s="1">
        <f>IF(OR(Z$52=0,Y24="",Z24=""),0,IFERROR(IF(AND(INDEX(Arten,MATCH(Y24,Codes,0))="Arbeit",INDEX(Arten,MATCH(Z24,Codes,0))="Arbeit"),IF(ROUND((1+INDEX(Beginne,MATCH(Z24,Codes,0))-INDEX(EndeRel,MATCH(Y24,Codes,0)))*1440,0)&lt;660,1,0),0),0))</f>
      </c>
      <c r="AA73" s="1">
        <f>IF(OR(AA$52=0,Z24="",AA24=""),0,IFERROR(IF(AND(INDEX(Arten,MATCH(Z24,Codes,0))="Arbeit",INDEX(Arten,MATCH(AA24,Codes,0))="Arbeit"),IF(ROUND((1+INDEX(Beginne,MATCH(AA24,Codes,0))-INDEX(EndeRel,MATCH(Z24,Codes,0)))*1440,0)&lt;660,1,0),0),0))</f>
      </c>
      <c r="AB73" s="1">
        <f>IF(OR(AB$52=0,AA24="",AB24=""),0,IFERROR(IF(AND(INDEX(Arten,MATCH(AA24,Codes,0))="Arbeit",INDEX(Arten,MATCH(AB24,Codes,0))="Arbeit"),IF(ROUND((1+INDEX(Beginne,MATCH(AB24,Codes,0))-INDEX(EndeRel,MATCH(AA24,Codes,0)))*1440,0)&lt;660,1,0),0),0))</f>
      </c>
      <c r="AC73" s="1">
        <f>IF(OR(AC$52=0,AB24="",AC24=""),0,IFERROR(IF(AND(INDEX(Arten,MATCH(AB24,Codes,0))="Arbeit",INDEX(Arten,MATCH(AC24,Codes,0))="Arbeit"),IF(ROUND((1+INDEX(Beginne,MATCH(AC24,Codes,0))-INDEX(EndeRel,MATCH(AB24,Codes,0)))*1440,0)&lt;660,1,0),0),0))</f>
      </c>
      <c r="AD73" s="1">
        <f>IF(OR(AD$52=0,AC24="",AD24=""),0,IFERROR(IF(AND(INDEX(Arten,MATCH(AC24,Codes,0))="Arbeit",INDEX(Arten,MATCH(AD24,Codes,0))="Arbeit"),IF(ROUND((1+INDEX(Beginne,MATCH(AD24,Codes,0))-INDEX(EndeRel,MATCH(AC24,Codes,0)))*1440,0)&lt;660,1,0),0),0))</f>
      </c>
      <c r="AE73" s="1">
        <f>IF(OR(AE$52=0,AD24="",AE24=""),0,IFERROR(IF(AND(INDEX(Arten,MATCH(AD24,Codes,0))="Arbeit",INDEX(Arten,MATCH(AE24,Codes,0))="Arbeit"),IF(ROUND((1+INDEX(Beginne,MATCH(AE24,Codes,0))-INDEX(EndeRel,MATCH(AD24,Codes,0)))*1440,0)&lt;660,1,0),0),0))</f>
      </c>
      <c r="AF73" s="1">
        <f>IF(OR(AF$52=0,AE24="",AF24=""),0,IFERROR(IF(AND(INDEX(Arten,MATCH(AE24,Codes,0))="Arbeit",INDEX(Arten,MATCH(AF24,Codes,0))="Arbeit"),IF(ROUND((1+INDEX(Beginne,MATCH(AF24,Codes,0))-INDEX(EndeRel,MATCH(AE24,Codes,0)))*1440,0)&lt;660,1,0),0),0))</f>
      </c>
    </row>
    <row r="74" hidden="1" spans="1:32" x14ac:dyDescent="0.25">
      <c r="A74" s="1"/>
      <c r="B74" s="1">
        <f>IF(OR(B$52=0,INDEX('Mai'!$B$25:$AF$25,DAY(DATE(Jahr,6,0)))="",B25=""),0,IFERROR(IF(AND(INDEX(Arten,MATCH(INDEX('Mai'!$B$25:$AF$25,DAY(DATE(Jahr,6,0))),Codes,0))="Arbeit",INDEX(Arten,MATCH(B25,Codes,0))="Arbeit"),IF(ROUND((1+INDEX(Beginne,MATCH(B25,Codes,0))-INDEX(EndeRel,MATCH(INDEX('Mai'!$B$25:$AF$25,DAY(DATE(Jahr,6,0))),Codes,0)))*1440,0)&lt;660,1,0),0),0))</f>
      </c>
      <c r="C74" s="1">
        <f>IF(OR(C$52=0,B25="",C25=""),0,IFERROR(IF(AND(INDEX(Arten,MATCH(B25,Codes,0))="Arbeit",INDEX(Arten,MATCH(C25,Codes,0))="Arbeit"),IF(ROUND((1+INDEX(Beginne,MATCH(C25,Codes,0))-INDEX(EndeRel,MATCH(B25,Codes,0)))*1440,0)&lt;660,1,0),0),0))</f>
      </c>
      <c r="D74" s="1">
        <f>IF(OR(D$52=0,C25="",D25=""),0,IFERROR(IF(AND(INDEX(Arten,MATCH(C25,Codes,0))="Arbeit",INDEX(Arten,MATCH(D25,Codes,0))="Arbeit"),IF(ROUND((1+INDEX(Beginne,MATCH(D25,Codes,0))-INDEX(EndeRel,MATCH(C25,Codes,0)))*1440,0)&lt;660,1,0),0),0))</f>
      </c>
      <c r="E74" s="1">
        <f>IF(OR(E$52=0,D25="",E25=""),0,IFERROR(IF(AND(INDEX(Arten,MATCH(D25,Codes,0))="Arbeit",INDEX(Arten,MATCH(E25,Codes,0))="Arbeit"),IF(ROUND((1+INDEX(Beginne,MATCH(E25,Codes,0))-INDEX(EndeRel,MATCH(D25,Codes,0)))*1440,0)&lt;660,1,0),0),0))</f>
      </c>
      <c r="F74" s="1">
        <f>IF(OR(F$52=0,E25="",F25=""),0,IFERROR(IF(AND(INDEX(Arten,MATCH(E25,Codes,0))="Arbeit",INDEX(Arten,MATCH(F25,Codes,0))="Arbeit"),IF(ROUND((1+INDEX(Beginne,MATCH(F25,Codes,0))-INDEX(EndeRel,MATCH(E25,Codes,0)))*1440,0)&lt;660,1,0),0),0))</f>
      </c>
      <c r="G74" s="1">
        <f>IF(OR(G$52=0,F25="",G25=""),0,IFERROR(IF(AND(INDEX(Arten,MATCH(F25,Codes,0))="Arbeit",INDEX(Arten,MATCH(G25,Codes,0))="Arbeit"),IF(ROUND((1+INDEX(Beginne,MATCH(G25,Codes,0))-INDEX(EndeRel,MATCH(F25,Codes,0)))*1440,0)&lt;660,1,0),0),0))</f>
      </c>
      <c r="H74" s="1">
        <f>IF(OR(H$52=0,G25="",H25=""),0,IFERROR(IF(AND(INDEX(Arten,MATCH(G25,Codes,0))="Arbeit",INDEX(Arten,MATCH(H25,Codes,0))="Arbeit"),IF(ROUND((1+INDEX(Beginne,MATCH(H25,Codes,0))-INDEX(EndeRel,MATCH(G25,Codes,0)))*1440,0)&lt;660,1,0),0),0))</f>
      </c>
      <c r="I74" s="1">
        <f>IF(OR(I$52=0,H25="",I25=""),0,IFERROR(IF(AND(INDEX(Arten,MATCH(H25,Codes,0))="Arbeit",INDEX(Arten,MATCH(I25,Codes,0))="Arbeit"),IF(ROUND((1+INDEX(Beginne,MATCH(I25,Codes,0))-INDEX(EndeRel,MATCH(H25,Codes,0)))*1440,0)&lt;660,1,0),0),0))</f>
      </c>
      <c r="J74" s="1">
        <f>IF(OR(J$52=0,I25="",J25=""),0,IFERROR(IF(AND(INDEX(Arten,MATCH(I25,Codes,0))="Arbeit",INDEX(Arten,MATCH(J25,Codes,0))="Arbeit"),IF(ROUND((1+INDEX(Beginne,MATCH(J25,Codes,0))-INDEX(EndeRel,MATCH(I25,Codes,0)))*1440,0)&lt;660,1,0),0),0))</f>
      </c>
      <c r="K74" s="1">
        <f>IF(OR(K$52=0,J25="",K25=""),0,IFERROR(IF(AND(INDEX(Arten,MATCH(J25,Codes,0))="Arbeit",INDEX(Arten,MATCH(K25,Codes,0))="Arbeit"),IF(ROUND((1+INDEX(Beginne,MATCH(K25,Codes,0))-INDEX(EndeRel,MATCH(J25,Codes,0)))*1440,0)&lt;660,1,0),0),0))</f>
      </c>
      <c r="L74" s="1">
        <f>IF(OR(L$52=0,K25="",L25=""),0,IFERROR(IF(AND(INDEX(Arten,MATCH(K25,Codes,0))="Arbeit",INDEX(Arten,MATCH(L25,Codes,0))="Arbeit"),IF(ROUND((1+INDEX(Beginne,MATCH(L25,Codes,0))-INDEX(EndeRel,MATCH(K25,Codes,0)))*1440,0)&lt;660,1,0),0),0))</f>
      </c>
      <c r="M74" s="1">
        <f>IF(OR(M$52=0,L25="",M25=""),0,IFERROR(IF(AND(INDEX(Arten,MATCH(L25,Codes,0))="Arbeit",INDEX(Arten,MATCH(M25,Codes,0))="Arbeit"),IF(ROUND((1+INDEX(Beginne,MATCH(M25,Codes,0))-INDEX(EndeRel,MATCH(L25,Codes,0)))*1440,0)&lt;660,1,0),0),0))</f>
      </c>
      <c r="N74" s="1">
        <f>IF(OR(N$52=0,M25="",N25=""),0,IFERROR(IF(AND(INDEX(Arten,MATCH(M25,Codes,0))="Arbeit",INDEX(Arten,MATCH(N25,Codes,0))="Arbeit"),IF(ROUND((1+INDEX(Beginne,MATCH(N25,Codes,0))-INDEX(EndeRel,MATCH(M25,Codes,0)))*1440,0)&lt;660,1,0),0),0))</f>
      </c>
      <c r="O74" s="1">
        <f>IF(OR(O$52=0,N25="",O25=""),0,IFERROR(IF(AND(INDEX(Arten,MATCH(N25,Codes,0))="Arbeit",INDEX(Arten,MATCH(O25,Codes,0))="Arbeit"),IF(ROUND((1+INDEX(Beginne,MATCH(O25,Codes,0))-INDEX(EndeRel,MATCH(N25,Codes,0)))*1440,0)&lt;660,1,0),0),0))</f>
      </c>
      <c r="P74" s="1">
        <f>IF(OR(P$52=0,O25="",P25=""),0,IFERROR(IF(AND(INDEX(Arten,MATCH(O25,Codes,0))="Arbeit",INDEX(Arten,MATCH(P25,Codes,0))="Arbeit"),IF(ROUND((1+INDEX(Beginne,MATCH(P25,Codes,0))-INDEX(EndeRel,MATCH(O25,Codes,0)))*1440,0)&lt;660,1,0),0),0))</f>
      </c>
      <c r="Q74" s="1">
        <f>IF(OR(Q$52=0,P25="",Q25=""),0,IFERROR(IF(AND(INDEX(Arten,MATCH(P25,Codes,0))="Arbeit",INDEX(Arten,MATCH(Q25,Codes,0))="Arbeit"),IF(ROUND((1+INDEX(Beginne,MATCH(Q25,Codes,0))-INDEX(EndeRel,MATCH(P25,Codes,0)))*1440,0)&lt;660,1,0),0),0))</f>
      </c>
      <c r="R74" s="1">
        <f>IF(OR(R$52=0,Q25="",R25=""),0,IFERROR(IF(AND(INDEX(Arten,MATCH(Q25,Codes,0))="Arbeit",INDEX(Arten,MATCH(R25,Codes,0))="Arbeit"),IF(ROUND((1+INDEX(Beginne,MATCH(R25,Codes,0))-INDEX(EndeRel,MATCH(Q25,Codes,0)))*1440,0)&lt;660,1,0),0),0))</f>
      </c>
      <c r="S74" s="1">
        <f>IF(OR(S$52=0,R25="",S25=""),0,IFERROR(IF(AND(INDEX(Arten,MATCH(R25,Codes,0))="Arbeit",INDEX(Arten,MATCH(S25,Codes,0))="Arbeit"),IF(ROUND((1+INDEX(Beginne,MATCH(S25,Codes,0))-INDEX(EndeRel,MATCH(R25,Codes,0)))*1440,0)&lt;660,1,0),0),0))</f>
      </c>
      <c r="T74" s="1">
        <f>IF(OR(T$52=0,S25="",T25=""),0,IFERROR(IF(AND(INDEX(Arten,MATCH(S25,Codes,0))="Arbeit",INDEX(Arten,MATCH(T25,Codes,0))="Arbeit"),IF(ROUND((1+INDEX(Beginne,MATCH(T25,Codes,0))-INDEX(EndeRel,MATCH(S25,Codes,0)))*1440,0)&lt;660,1,0),0),0))</f>
      </c>
      <c r="U74" s="1">
        <f>IF(OR(U$52=0,T25="",U25=""),0,IFERROR(IF(AND(INDEX(Arten,MATCH(T25,Codes,0))="Arbeit",INDEX(Arten,MATCH(U25,Codes,0))="Arbeit"),IF(ROUND((1+INDEX(Beginne,MATCH(U25,Codes,0))-INDEX(EndeRel,MATCH(T25,Codes,0)))*1440,0)&lt;660,1,0),0),0))</f>
      </c>
      <c r="V74" s="1">
        <f>IF(OR(V$52=0,U25="",V25=""),0,IFERROR(IF(AND(INDEX(Arten,MATCH(U25,Codes,0))="Arbeit",INDEX(Arten,MATCH(V25,Codes,0))="Arbeit"),IF(ROUND((1+INDEX(Beginne,MATCH(V25,Codes,0))-INDEX(EndeRel,MATCH(U25,Codes,0)))*1440,0)&lt;660,1,0),0),0))</f>
      </c>
      <c r="W74" s="1">
        <f>IF(OR(W$52=0,V25="",W25=""),0,IFERROR(IF(AND(INDEX(Arten,MATCH(V25,Codes,0))="Arbeit",INDEX(Arten,MATCH(W25,Codes,0))="Arbeit"),IF(ROUND((1+INDEX(Beginne,MATCH(W25,Codes,0))-INDEX(EndeRel,MATCH(V25,Codes,0)))*1440,0)&lt;660,1,0),0),0))</f>
      </c>
      <c r="X74" s="1">
        <f>IF(OR(X$52=0,W25="",X25=""),0,IFERROR(IF(AND(INDEX(Arten,MATCH(W25,Codes,0))="Arbeit",INDEX(Arten,MATCH(X25,Codes,0))="Arbeit"),IF(ROUND((1+INDEX(Beginne,MATCH(X25,Codes,0))-INDEX(EndeRel,MATCH(W25,Codes,0)))*1440,0)&lt;660,1,0),0),0))</f>
      </c>
      <c r="Y74" s="1">
        <f>IF(OR(Y$52=0,X25="",Y25=""),0,IFERROR(IF(AND(INDEX(Arten,MATCH(X25,Codes,0))="Arbeit",INDEX(Arten,MATCH(Y25,Codes,0))="Arbeit"),IF(ROUND((1+INDEX(Beginne,MATCH(Y25,Codes,0))-INDEX(EndeRel,MATCH(X25,Codes,0)))*1440,0)&lt;660,1,0),0),0))</f>
      </c>
      <c r="Z74" s="1">
        <f>IF(OR(Z$52=0,Y25="",Z25=""),0,IFERROR(IF(AND(INDEX(Arten,MATCH(Y25,Codes,0))="Arbeit",INDEX(Arten,MATCH(Z25,Codes,0))="Arbeit"),IF(ROUND((1+INDEX(Beginne,MATCH(Z25,Codes,0))-INDEX(EndeRel,MATCH(Y25,Codes,0)))*1440,0)&lt;660,1,0),0),0))</f>
      </c>
      <c r="AA74" s="1">
        <f>IF(OR(AA$52=0,Z25="",AA25=""),0,IFERROR(IF(AND(INDEX(Arten,MATCH(Z25,Codes,0))="Arbeit",INDEX(Arten,MATCH(AA25,Codes,0))="Arbeit"),IF(ROUND((1+INDEX(Beginne,MATCH(AA25,Codes,0))-INDEX(EndeRel,MATCH(Z25,Codes,0)))*1440,0)&lt;660,1,0),0),0))</f>
      </c>
      <c r="AB74" s="1">
        <f>IF(OR(AB$52=0,AA25="",AB25=""),0,IFERROR(IF(AND(INDEX(Arten,MATCH(AA25,Codes,0))="Arbeit",INDEX(Arten,MATCH(AB25,Codes,0))="Arbeit"),IF(ROUND((1+INDEX(Beginne,MATCH(AB25,Codes,0))-INDEX(EndeRel,MATCH(AA25,Codes,0)))*1440,0)&lt;660,1,0),0),0))</f>
      </c>
      <c r="AC74" s="1">
        <f>IF(OR(AC$52=0,AB25="",AC25=""),0,IFERROR(IF(AND(INDEX(Arten,MATCH(AB25,Codes,0))="Arbeit",INDEX(Arten,MATCH(AC25,Codes,0))="Arbeit"),IF(ROUND((1+INDEX(Beginne,MATCH(AC25,Codes,0))-INDEX(EndeRel,MATCH(AB25,Codes,0)))*1440,0)&lt;660,1,0),0),0))</f>
      </c>
      <c r="AD74" s="1">
        <f>IF(OR(AD$52=0,AC25="",AD25=""),0,IFERROR(IF(AND(INDEX(Arten,MATCH(AC25,Codes,0))="Arbeit",INDEX(Arten,MATCH(AD25,Codes,0))="Arbeit"),IF(ROUND((1+INDEX(Beginne,MATCH(AD25,Codes,0))-INDEX(EndeRel,MATCH(AC25,Codes,0)))*1440,0)&lt;660,1,0),0),0))</f>
      </c>
      <c r="AE74" s="1">
        <f>IF(OR(AE$52=0,AD25="",AE25=""),0,IFERROR(IF(AND(INDEX(Arten,MATCH(AD25,Codes,0))="Arbeit",INDEX(Arten,MATCH(AE25,Codes,0))="Arbeit"),IF(ROUND((1+INDEX(Beginne,MATCH(AE25,Codes,0))-INDEX(EndeRel,MATCH(AD25,Codes,0)))*1440,0)&lt;660,1,0),0),0))</f>
      </c>
      <c r="AF74" s="1">
        <f>IF(OR(AF$52=0,AE25="",AF25=""),0,IFERROR(IF(AND(INDEX(Arten,MATCH(AE25,Codes,0))="Arbeit",INDEX(Arten,MATCH(AF25,Codes,0))="Arbeit"),IF(ROUND((1+INDEX(Beginne,MATCH(AF25,Codes,0))-INDEX(EndeRel,MATCH(AE25,Codes,0)))*1440,0)&lt;660,1,0),0),0))</f>
      </c>
    </row>
    <row r="75" hidden="1" spans="1:32" x14ac:dyDescent="0.25">
      <c r="A75" s="1"/>
      <c r="B75" s="1">
        <f>IF(OR(B$52=0,INDEX('Mai'!$B$26:$AF$26,DAY(DATE(Jahr,6,0)))="",B26=""),0,IFERROR(IF(AND(INDEX(Arten,MATCH(INDEX('Mai'!$B$26:$AF$26,DAY(DATE(Jahr,6,0))),Codes,0))="Arbeit",INDEX(Arten,MATCH(B26,Codes,0))="Arbeit"),IF(ROUND((1+INDEX(Beginne,MATCH(B26,Codes,0))-INDEX(EndeRel,MATCH(INDEX('Mai'!$B$26:$AF$26,DAY(DATE(Jahr,6,0))),Codes,0)))*1440,0)&lt;660,1,0),0),0))</f>
      </c>
      <c r="C75" s="1">
        <f>IF(OR(C$52=0,B26="",C26=""),0,IFERROR(IF(AND(INDEX(Arten,MATCH(B26,Codes,0))="Arbeit",INDEX(Arten,MATCH(C26,Codes,0))="Arbeit"),IF(ROUND((1+INDEX(Beginne,MATCH(C26,Codes,0))-INDEX(EndeRel,MATCH(B26,Codes,0)))*1440,0)&lt;660,1,0),0),0))</f>
      </c>
      <c r="D75" s="1">
        <f>IF(OR(D$52=0,C26="",D26=""),0,IFERROR(IF(AND(INDEX(Arten,MATCH(C26,Codes,0))="Arbeit",INDEX(Arten,MATCH(D26,Codes,0))="Arbeit"),IF(ROUND((1+INDEX(Beginne,MATCH(D26,Codes,0))-INDEX(EndeRel,MATCH(C26,Codes,0)))*1440,0)&lt;660,1,0),0),0))</f>
      </c>
      <c r="E75" s="1">
        <f>IF(OR(E$52=0,D26="",E26=""),0,IFERROR(IF(AND(INDEX(Arten,MATCH(D26,Codes,0))="Arbeit",INDEX(Arten,MATCH(E26,Codes,0))="Arbeit"),IF(ROUND((1+INDEX(Beginne,MATCH(E26,Codes,0))-INDEX(EndeRel,MATCH(D26,Codes,0)))*1440,0)&lt;660,1,0),0),0))</f>
      </c>
      <c r="F75" s="1">
        <f>IF(OR(F$52=0,E26="",F26=""),0,IFERROR(IF(AND(INDEX(Arten,MATCH(E26,Codes,0))="Arbeit",INDEX(Arten,MATCH(F26,Codes,0))="Arbeit"),IF(ROUND((1+INDEX(Beginne,MATCH(F26,Codes,0))-INDEX(EndeRel,MATCH(E26,Codes,0)))*1440,0)&lt;660,1,0),0),0))</f>
      </c>
      <c r="G75" s="1">
        <f>IF(OR(G$52=0,F26="",G26=""),0,IFERROR(IF(AND(INDEX(Arten,MATCH(F26,Codes,0))="Arbeit",INDEX(Arten,MATCH(G26,Codes,0))="Arbeit"),IF(ROUND((1+INDEX(Beginne,MATCH(G26,Codes,0))-INDEX(EndeRel,MATCH(F26,Codes,0)))*1440,0)&lt;660,1,0),0),0))</f>
      </c>
      <c r="H75" s="1">
        <f>IF(OR(H$52=0,G26="",H26=""),0,IFERROR(IF(AND(INDEX(Arten,MATCH(G26,Codes,0))="Arbeit",INDEX(Arten,MATCH(H26,Codes,0))="Arbeit"),IF(ROUND((1+INDEX(Beginne,MATCH(H26,Codes,0))-INDEX(EndeRel,MATCH(G26,Codes,0)))*1440,0)&lt;660,1,0),0),0))</f>
      </c>
      <c r="I75" s="1">
        <f>IF(OR(I$52=0,H26="",I26=""),0,IFERROR(IF(AND(INDEX(Arten,MATCH(H26,Codes,0))="Arbeit",INDEX(Arten,MATCH(I26,Codes,0))="Arbeit"),IF(ROUND((1+INDEX(Beginne,MATCH(I26,Codes,0))-INDEX(EndeRel,MATCH(H26,Codes,0)))*1440,0)&lt;660,1,0),0),0))</f>
      </c>
      <c r="J75" s="1">
        <f>IF(OR(J$52=0,I26="",J26=""),0,IFERROR(IF(AND(INDEX(Arten,MATCH(I26,Codes,0))="Arbeit",INDEX(Arten,MATCH(J26,Codes,0))="Arbeit"),IF(ROUND((1+INDEX(Beginne,MATCH(J26,Codes,0))-INDEX(EndeRel,MATCH(I26,Codes,0)))*1440,0)&lt;660,1,0),0),0))</f>
      </c>
      <c r="K75" s="1">
        <f>IF(OR(K$52=0,J26="",K26=""),0,IFERROR(IF(AND(INDEX(Arten,MATCH(J26,Codes,0))="Arbeit",INDEX(Arten,MATCH(K26,Codes,0))="Arbeit"),IF(ROUND((1+INDEX(Beginne,MATCH(K26,Codes,0))-INDEX(EndeRel,MATCH(J26,Codes,0)))*1440,0)&lt;660,1,0),0),0))</f>
      </c>
      <c r="L75" s="1">
        <f>IF(OR(L$52=0,K26="",L26=""),0,IFERROR(IF(AND(INDEX(Arten,MATCH(K26,Codes,0))="Arbeit",INDEX(Arten,MATCH(L26,Codes,0))="Arbeit"),IF(ROUND((1+INDEX(Beginne,MATCH(L26,Codes,0))-INDEX(EndeRel,MATCH(K26,Codes,0)))*1440,0)&lt;660,1,0),0),0))</f>
      </c>
      <c r="M75" s="1">
        <f>IF(OR(M$52=0,L26="",M26=""),0,IFERROR(IF(AND(INDEX(Arten,MATCH(L26,Codes,0))="Arbeit",INDEX(Arten,MATCH(M26,Codes,0))="Arbeit"),IF(ROUND((1+INDEX(Beginne,MATCH(M26,Codes,0))-INDEX(EndeRel,MATCH(L26,Codes,0)))*1440,0)&lt;660,1,0),0),0))</f>
      </c>
      <c r="N75" s="1">
        <f>IF(OR(N$52=0,M26="",N26=""),0,IFERROR(IF(AND(INDEX(Arten,MATCH(M26,Codes,0))="Arbeit",INDEX(Arten,MATCH(N26,Codes,0))="Arbeit"),IF(ROUND((1+INDEX(Beginne,MATCH(N26,Codes,0))-INDEX(EndeRel,MATCH(M26,Codes,0)))*1440,0)&lt;660,1,0),0),0))</f>
      </c>
      <c r="O75" s="1">
        <f>IF(OR(O$52=0,N26="",O26=""),0,IFERROR(IF(AND(INDEX(Arten,MATCH(N26,Codes,0))="Arbeit",INDEX(Arten,MATCH(O26,Codes,0))="Arbeit"),IF(ROUND((1+INDEX(Beginne,MATCH(O26,Codes,0))-INDEX(EndeRel,MATCH(N26,Codes,0)))*1440,0)&lt;660,1,0),0),0))</f>
      </c>
      <c r="P75" s="1">
        <f>IF(OR(P$52=0,O26="",P26=""),0,IFERROR(IF(AND(INDEX(Arten,MATCH(O26,Codes,0))="Arbeit",INDEX(Arten,MATCH(P26,Codes,0))="Arbeit"),IF(ROUND((1+INDEX(Beginne,MATCH(P26,Codes,0))-INDEX(EndeRel,MATCH(O26,Codes,0)))*1440,0)&lt;660,1,0),0),0))</f>
      </c>
      <c r="Q75" s="1">
        <f>IF(OR(Q$52=0,P26="",Q26=""),0,IFERROR(IF(AND(INDEX(Arten,MATCH(P26,Codes,0))="Arbeit",INDEX(Arten,MATCH(Q26,Codes,0))="Arbeit"),IF(ROUND((1+INDEX(Beginne,MATCH(Q26,Codes,0))-INDEX(EndeRel,MATCH(P26,Codes,0)))*1440,0)&lt;660,1,0),0),0))</f>
      </c>
      <c r="R75" s="1">
        <f>IF(OR(R$52=0,Q26="",R26=""),0,IFERROR(IF(AND(INDEX(Arten,MATCH(Q26,Codes,0))="Arbeit",INDEX(Arten,MATCH(R26,Codes,0))="Arbeit"),IF(ROUND((1+INDEX(Beginne,MATCH(R26,Codes,0))-INDEX(EndeRel,MATCH(Q26,Codes,0)))*1440,0)&lt;660,1,0),0),0))</f>
      </c>
      <c r="S75" s="1">
        <f>IF(OR(S$52=0,R26="",S26=""),0,IFERROR(IF(AND(INDEX(Arten,MATCH(R26,Codes,0))="Arbeit",INDEX(Arten,MATCH(S26,Codes,0))="Arbeit"),IF(ROUND((1+INDEX(Beginne,MATCH(S26,Codes,0))-INDEX(EndeRel,MATCH(R26,Codes,0)))*1440,0)&lt;660,1,0),0),0))</f>
      </c>
      <c r="T75" s="1">
        <f>IF(OR(T$52=0,S26="",T26=""),0,IFERROR(IF(AND(INDEX(Arten,MATCH(S26,Codes,0))="Arbeit",INDEX(Arten,MATCH(T26,Codes,0))="Arbeit"),IF(ROUND((1+INDEX(Beginne,MATCH(T26,Codes,0))-INDEX(EndeRel,MATCH(S26,Codes,0)))*1440,0)&lt;660,1,0),0),0))</f>
      </c>
      <c r="U75" s="1">
        <f>IF(OR(U$52=0,T26="",U26=""),0,IFERROR(IF(AND(INDEX(Arten,MATCH(T26,Codes,0))="Arbeit",INDEX(Arten,MATCH(U26,Codes,0))="Arbeit"),IF(ROUND((1+INDEX(Beginne,MATCH(U26,Codes,0))-INDEX(EndeRel,MATCH(T26,Codes,0)))*1440,0)&lt;660,1,0),0),0))</f>
      </c>
      <c r="V75" s="1">
        <f>IF(OR(V$52=0,U26="",V26=""),0,IFERROR(IF(AND(INDEX(Arten,MATCH(U26,Codes,0))="Arbeit",INDEX(Arten,MATCH(V26,Codes,0))="Arbeit"),IF(ROUND((1+INDEX(Beginne,MATCH(V26,Codes,0))-INDEX(EndeRel,MATCH(U26,Codes,0)))*1440,0)&lt;660,1,0),0),0))</f>
      </c>
      <c r="W75" s="1">
        <f>IF(OR(W$52=0,V26="",W26=""),0,IFERROR(IF(AND(INDEX(Arten,MATCH(V26,Codes,0))="Arbeit",INDEX(Arten,MATCH(W26,Codes,0))="Arbeit"),IF(ROUND((1+INDEX(Beginne,MATCH(W26,Codes,0))-INDEX(EndeRel,MATCH(V26,Codes,0)))*1440,0)&lt;660,1,0),0),0))</f>
      </c>
      <c r="X75" s="1">
        <f>IF(OR(X$52=0,W26="",X26=""),0,IFERROR(IF(AND(INDEX(Arten,MATCH(W26,Codes,0))="Arbeit",INDEX(Arten,MATCH(X26,Codes,0))="Arbeit"),IF(ROUND((1+INDEX(Beginne,MATCH(X26,Codes,0))-INDEX(EndeRel,MATCH(W26,Codes,0)))*1440,0)&lt;660,1,0),0),0))</f>
      </c>
      <c r="Y75" s="1">
        <f>IF(OR(Y$52=0,X26="",Y26=""),0,IFERROR(IF(AND(INDEX(Arten,MATCH(X26,Codes,0))="Arbeit",INDEX(Arten,MATCH(Y26,Codes,0))="Arbeit"),IF(ROUND((1+INDEX(Beginne,MATCH(Y26,Codes,0))-INDEX(EndeRel,MATCH(X26,Codes,0)))*1440,0)&lt;660,1,0),0),0))</f>
      </c>
      <c r="Z75" s="1">
        <f>IF(OR(Z$52=0,Y26="",Z26=""),0,IFERROR(IF(AND(INDEX(Arten,MATCH(Y26,Codes,0))="Arbeit",INDEX(Arten,MATCH(Z26,Codes,0))="Arbeit"),IF(ROUND((1+INDEX(Beginne,MATCH(Z26,Codes,0))-INDEX(EndeRel,MATCH(Y26,Codes,0)))*1440,0)&lt;660,1,0),0),0))</f>
      </c>
      <c r="AA75" s="1">
        <f>IF(OR(AA$52=0,Z26="",AA26=""),0,IFERROR(IF(AND(INDEX(Arten,MATCH(Z26,Codes,0))="Arbeit",INDEX(Arten,MATCH(AA26,Codes,0))="Arbeit"),IF(ROUND((1+INDEX(Beginne,MATCH(AA26,Codes,0))-INDEX(EndeRel,MATCH(Z26,Codes,0)))*1440,0)&lt;660,1,0),0),0))</f>
      </c>
      <c r="AB75" s="1">
        <f>IF(OR(AB$52=0,AA26="",AB26=""),0,IFERROR(IF(AND(INDEX(Arten,MATCH(AA26,Codes,0))="Arbeit",INDEX(Arten,MATCH(AB26,Codes,0))="Arbeit"),IF(ROUND((1+INDEX(Beginne,MATCH(AB26,Codes,0))-INDEX(EndeRel,MATCH(AA26,Codes,0)))*1440,0)&lt;660,1,0),0),0))</f>
      </c>
      <c r="AC75" s="1">
        <f>IF(OR(AC$52=0,AB26="",AC26=""),0,IFERROR(IF(AND(INDEX(Arten,MATCH(AB26,Codes,0))="Arbeit",INDEX(Arten,MATCH(AC26,Codes,0))="Arbeit"),IF(ROUND((1+INDEX(Beginne,MATCH(AC26,Codes,0))-INDEX(EndeRel,MATCH(AB26,Codes,0)))*1440,0)&lt;660,1,0),0),0))</f>
      </c>
      <c r="AD75" s="1">
        <f>IF(OR(AD$52=0,AC26="",AD26=""),0,IFERROR(IF(AND(INDEX(Arten,MATCH(AC26,Codes,0))="Arbeit",INDEX(Arten,MATCH(AD26,Codes,0))="Arbeit"),IF(ROUND((1+INDEX(Beginne,MATCH(AD26,Codes,0))-INDEX(EndeRel,MATCH(AC26,Codes,0)))*1440,0)&lt;660,1,0),0),0))</f>
      </c>
      <c r="AE75" s="1">
        <f>IF(OR(AE$52=0,AD26="",AE26=""),0,IFERROR(IF(AND(INDEX(Arten,MATCH(AD26,Codes,0))="Arbeit",INDEX(Arten,MATCH(AE26,Codes,0))="Arbeit"),IF(ROUND((1+INDEX(Beginne,MATCH(AE26,Codes,0))-INDEX(EndeRel,MATCH(AD26,Codes,0)))*1440,0)&lt;660,1,0),0),0))</f>
      </c>
      <c r="AF75" s="1">
        <f>IF(OR(AF$52=0,AE26="",AF26=""),0,IFERROR(IF(AND(INDEX(Arten,MATCH(AE26,Codes,0))="Arbeit",INDEX(Arten,MATCH(AF26,Codes,0))="Arbeit"),IF(ROUND((1+INDEX(Beginne,MATCH(AF26,Codes,0))-INDEX(EndeRel,MATCH(AE26,Codes,0)))*1440,0)&lt;660,1,0),0),0))</f>
      </c>
    </row>
    <row r="76" hidden="1" spans="1:32" x14ac:dyDescent="0.25">
      <c r="A76" s="1"/>
      <c r="B76" s="1">
        <f>IF(OR(B$52=0,INDEX('Mai'!$B$27:$AF$27,DAY(DATE(Jahr,6,0)))="",B27=""),0,IFERROR(IF(AND(INDEX(Arten,MATCH(INDEX('Mai'!$B$27:$AF$27,DAY(DATE(Jahr,6,0))),Codes,0))="Arbeit",INDEX(Arten,MATCH(B27,Codes,0))="Arbeit"),IF(ROUND((1+INDEX(Beginne,MATCH(B27,Codes,0))-INDEX(EndeRel,MATCH(INDEX('Mai'!$B$27:$AF$27,DAY(DATE(Jahr,6,0))),Codes,0)))*1440,0)&lt;660,1,0),0),0))</f>
      </c>
      <c r="C76" s="1">
        <f>IF(OR(C$52=0,B27="",C27=""),0,IFERROR(IF(AND(INDEX(Arten,MATCH(B27,Codes,0))="Arbeit",INDEX(Arten,MATCH(C27,Codes,0))="Arbeit"),IF(ROUND((1+INDEX(Beginne,MATCH(C27,Codes,0))-INDEX(EndeRel,MATCH(B27,Codes,0)))*1440,0)&lt;660,1,0),0),0))</f>
      </c>
      <c r="D76" s="1">
        <f>IF(OR(D$52=0,C27="",D27=""),0,IFERROR(IF(AND(INDEX(Arten,MATCH(C27,Codes,0))="Arbeit",INDEX(Arten,MATCH(D27,Codes,0))="Arbeit"),IF(ROUND((1+INDEX(Beginne,MATCH(D27,Codes,0))-INDEX(EndeRel,MATCH(C27,Codes,0)))*1440,0)&lt;660,1,0),0),0))</f>
      </c>
      <c r="E76" s="1">
        <f>IF(OR(E$52=0,D27="",E27=""),0,IFERROR(IF(AND(INDEX(Arten,MATCH(D27,Codes,0))="Arbeit",INDEX(Arten,MATCH(E27,Codes,0))="Arbeit"),IF(ROUND((1+INDEX(Beginne,MATCH(E27,Codes,0))-INDEX(EndeRel,MATCH(D27,Codes,0)))*1440,0)&lt;660,1,0),0),0))</f>
      </c>
      <c r="F76" s="1">
        <f>IF(OR(F$52=0,E27="",F27=""),0,IFERROR(IF(AND(INDEX(Arten,MATCH(E27,Codes,0))="Arbeit",INDEX(Arten,MATCH(F27,Codes,0))="Arbeit"),IF(ROUND((1+INDEX(Beginne,MATCH(F27,Codes,0))-INDEX(EndeRel,MATCH(E27,Codes,0)))*1440,0)&lt;660,1,0),0),0))</f>
      </c>
      <c r="G76" s="1">
        <f>IF(OR(G$52=0,F27="",G27=""),0,IFERROR(IF(AND(INDEX(Arten,MATCH(F27,Codes,0))="Arbeit",INDEX(Arten,MATCH(G27,Codes,0))="Arbeit"),IF(ROUND((1+INDEX(Beginne,MATCH(G27,Codes,0))-INDEX(EndeRel,MATCH(F27,Codes,0)))*1440,0)&lt;660,1,0),0),0))</f>
      </c>
      <c r="H76" s="1">
        <f>IF(OR(H$52=0,G27="",H27=""),0,IFERROR(IF(AND(INDEX(Arten,MATCH(G27,Codes,0))="Arbeit",INDEX(Arten,MATCH(H27,Codes,0))="Arbeit"),IF(ROUND((1+INDEX(Beginne,MATCH(H27,Codes,0))-INDEX(EndeRel,MATCH(G27,Codes,0)))*1440,0)&lt;660,1,0),0),0))</f>
      </c>
      <c r="I76" s="1">
        <f>IF(OR(I$52=0,H27="",I27=""),0,IFERROR(IF(AND(INDEX(Arten,MATCH(H27,Codes,0))="Arbeit",INDEX(Arten,MATCH(I27,Codes,0))="Arbeit"),IF(ROUND((1+INDEX(Beginne,MATCH(I27,Codes,0))-INDEX(EndeRel,MATCH(H27,Codes,0)))*1440,0)&lt;660,1,0),0),0))</f>
      </c>
      <c r="J76" s="1">
        <f>IF(OR(J$52=0,I27="",J27=""),0,IFERROR(IF(AND(INDEX(Arten,MATCH(I27,Codes,0))="Arbeit",INDEX(Arten,MATCH(J27,Codes,0))="Arbeit"),IF(ROUND((1+INDEX(Beginne,MATCH(J27,Codes,0))-INDEX(EndeRel,MATCH(I27,Codes,0)))*1440,0)&lt;660,1,0),0),0))</f>
      </c>
      <c r="K76" s="1">
        <f>IF(OR(K$52=0,J27="",K27=""),0,IFERROR(IF(AND(INDEX(Arten,MATCH(J27,Codes,0))="Arbeit",INDEX(Arten,MATCH(K27,Codes,0))="Arbeit"),IF(ROUND((1+INDEX(Beginne,MATCH(K27,Codes,0))-INDEX(EndeRel,MATCH(J27,Codes,0)))*1440,0)&lt;660,1,0),0),0))</f>
      </c>
      <c r="L76" s="1">
        <f>IF(OR(L$52=0,K27="",L27=""),0,IFERROR(IF(AND(INDEX(Arten,MATCH(K27,Codes,0))="Arbeit",INDEX(Arten,MATCH(L27,Codes,0))="Arbeit"),IF(ROUND((1+INDEX(Beginne,MATCH(L27,Codes,0))-INDEX(EndeRel,MATCH(K27,Codes,0)))*1440,0)&lt;660,1,0),0),0))</f>
      </c>
      <c r="M76" s="1">
        <f>IF(OR(M$52=0,L27="",M27=""),0,IFERROR(IF(AND(INDEX(Arten,MATCH(L27,Codes,0))="Arbeit",INDEX(Arten,MATCH(M27,Codes,0))="Arbeit"),IF(ROUND((1+INDEX(Beginne,MATCH(M27,Codes,0))-INDEX(EndeRel,MATCH(L27,Codes,0)))*1440,0)&lt;660,1,0),0),0))</f>
      </c>
      <c r="N76" s="1">
        <f>IF(OR(N$52=0,M27="",N27=""),0,IFERROR(IF(AND(INDEX(Arten,MATCH(M27,Codes,0))="Arbeit",INDEX(Arten,MATCH(N27,Codes,0))="Arbeit"),IF(ROUND((1+INDEX(Beginne,MATCH(N27,Codes,0))-INDEX(EndeRel,MATCH(M27,Codes,0)))*1440,0)&lt;660,1,0),0),0))</f>
      </c>
      <c r="O76" s="1">
        <f>IF(OR(O$52=0,N27="",O27=""),0,IFERROR(IF(AND(INDEX(Arten,MATCH(N27,Codes,0))="Arbeit",INDEX(Arten,MATCH(O27,Codes,0))="Arbeit"),IF(ROUND((1+INDEX(Beginne,MATCH(O27,Codes,0))-INDEX(EndeRel,MATCH(N27,Codes,0)))*1440,0)&lt;660,1,0),0),0))</f>
      </c>
      <c r="P76" s="1">
        <f>IF(OR(P$52=0,O27="",P27=""),0,IFERROR(IF(AND(INDEX(Arten,MATCH(O27,Codes,0))="Arbeit",INDEX(Arten,MATCH(P27,Codes,0))="Arbeit"),IF(ROUND((1+INDEX(Beginne,MATCH(P27,Codes,0))-INDEX(EndeRel,MATCH(O27,Codes,0)))*1440,0)&lt;660,1,0),0),0))</f>
      </c>
      <c r="Q76" s="1">
        <f>IF(OR(Q$52=0,P27="",Q27=""),0,IFERROR(IF(AND(INDEX(Arten,MATCH(P27,Codes,0))="Arbeit",INDEX(Arten,MATCH(Q27,Codes,0))="Arbeit"),IF(ROUND((1+INDEX(Beginne,MATCH(Q27,Codes,0))-INDEX(EndeRel,MATCH(P27,Codes,0)))*1440,0)&lt;660,1,0),0),0))</f>
      </c>
      <c r="R76" s="1">
        <f>IF(OR(R$52=0,Q27="",R27=""),0,IFERROR(IF(AND(INDEX(Arten,MATCH(Q27,Codes,0))="Arbeit",INDEX(Arten,MATCH(R27,Codes,0))="Arbeit"),IF(ROUND((1+INDEX(Beginne,MATCH(R27,Codes,0))-INDEX(EndeRel,MATCH(Q27,Codes,0)))*1440,0)&lt;660,1,0),0),0))</f>
      </c>
      <c r="S76" s="1">
        <f>IF(OR(S$52=0,R27="",S27=""),0,IFERROR(IF(AND(INDEX(Arten,MATCH(R27,Codes,0))="Arbeit",INDEX(Arten,MATCH(S27,Codes,0))="Arbeit"),IF(ROUND((1+INDEX(Beginne,MATCH(S27,Codes,0))-INDEX(EndeRel,MATCH(R27,Codes,0)))*1440,0)&lt;660,1,0),0),0))</f>
      </c>
      <c r="T76" s="1">
        <f>IF(OR(T$52=0,S27="",T27=""),0,IFERROR(IF(AND(INDEX(Arten,MATCH(S27,Codes,0))="Arbeit",INDEX(Arten,MATCH(T27,Codes,0))="Arbeit"),IF(ROUND((1+INDEX(Beginne,MATCH(T27,Codes,0))-INDEX(EndeRel,MATCH(S27,Codes,0)))*1440,0)&lt;660,1,0),0),0))</f>
      </c>
      <c r="U76" s="1">
        <f>IF(OR(U$52=0,T27="",U27=""),0,IFERROR(IF(AND(INDEX(Arten,MATCH(T27,Codes,0))="Arbeit",INDEX(Arten,MATCH(U27,Codes,0))="Arbeit"),IF(ROUND((1+INDEX(Beginne,MATCH(U27,Codes,0))-INDEX(EndeRel,MATCH(T27,Codes,0)))*1440,0)&lt;660,1,0),0),0))</f>
      </c>
      <c r="V76" s="1">
        <f>IF(OR(V$52=0,U27="",V27=""),0,IFERROR(IF(AND(INDEX(Arten,MATCH(U27,Codes,0))="Arbeit",INDEX(Arten,MATCH(V27,Codes,0))="Arbeit"),IF(ROUND((1+INDEX(Beginne,MATCH(V27,Codes,0))-INDEX(EndeRel,MATCH(U27,Codes,0)))*1440,0)&lt;660,1,0),0),0))</f>
      </c>
      <c r="W76" s="1">
        <f>IF(OR(W$52=0,V27="",W27=""),0,IFERROR(IF(AND(INDEX(Arten,MATCH(V27,Codes,0))="Arbeit",INDEX(Arten,MATCH(W27,Codes,0))="Arbeit"),IF(ROUND((1+INDEX(Beginne,MATCH(W27,Codes,0))-INDEX(EndeRel,MATCH(V27,Codes,0)))*1440,0)&lt;660,1,0),0),0))</f>
      </c>
      <c r="X76" s="1">
        <f>IF(OR(X$52=0,W27="",X27=""),0,IFERROR(IF(AND(INDEX(Arten,MATCH(W27,Codes,0))="Arbeit",INDEX(Arten,MATCH(X27,Codes,0))="Arbeit"),IF(ROUND((1+INDEX(Beginne,MATCH(X27,Codes,0))-INDEX(EndeRel,MATCH(W27,Codes,0)))*1440,0)&lt;660,1,0),0),0))</f>
      </c>
      <c r="Y76" s="1">
        <f>IF(OR(Y$52=0,X27="",Y27=""),0,IFERROR(IF(AND(INDEX(Arten,MATCH(X27,Codes,0))="Arbeit",INDEX(Arten,MATCH(Y27,Codes,0))="Arbeit"),IF(ROUND((1+INDEX(Beginne,MATCH(Y27,Codes,0))-INDEX(EndeRel,MATCH(X27,Codes,0)))*1440,0)&lt;660,1,0),0),0))</f>
      </c>
      <c r="Z76" s="1">
        <f>IF(OR(Z$52=0,Y27="",Z27=""),0,IFERROR(IF(AND(INDEX(Arten,MATCH(Y27,Codes,0))="Arbeit",INDEX(Arten,MATCH(Z27,Codes,0))="Arbeit"),IF(ROUND((1+INDEX(Beginne,MATCH(Z27,Codes,0))-INDEX(EndeRel,MATCH(Y27,Codes,0)))*1440,0)&lt;660,1,0),0),0))</f>
      </c>
      <c r="AA76" s="1">
        <f>IF(OR(AA$52=0,Z27="",AA27=""),0,IFERROR(IF(AND(INDEX(Arten,MATCH(Z27,Codes,0))="Arbeit",INDEX(Arten,MATCH(AA27,Codes,0))="Arbeit"),IF(ROUND((1+INDEX(Beginne,MATCH(AA27,Codes,0))-INDEX(EndeRel,MATCH(Z27,Codes,0)))*1440,0)&lt;660,1,0),0),0))</f>
      </c>
      <c r="AB76" s="1">
        <f>IF(OR(AB$52=0,AA27="",AB27=""),0,IFERROR(IF(AND(INDEX(Arten,MATCH(AA27,Codes,0))="Arbeit",INDEX(Arten,MATCH(AB27,Codes,0))="Arbeit"),IF(ROUND((1+INDEX(Beginne,MATCH(AB27,Codes,0))-INDEX(EndeRel,MATCH(AA27,Codes,0)))*1440,0)&lt;660,1,0),0),0))</f>
      </c>
      <c r="AC76" s="1">
        <f>IF(OR(AC$52=0,AB27="",AC27=""),0,IFERROR(IF(AND(INDEX(Arten,MATCH(AB27,Codes,0))="Arbeit",INDEX(Arten,MATCH(AC27,Codes,0))="Arbeit"),IF(ROUND((1+INDEX(Beginne,MATCH(AC27,Codes,0))-INDEX(EndeRel,MATCH(AB27,Codes,0)))*1440,0)&lt;660,1,0),0),0))</f>
      </c>
      <c r="AD76" s="1">
        <f>IF(OR(AD$52=0,AC27="",AD27=""),0,IFERROR(IF(AND(INDEX(Arten,MATCH(AC27,Codes,0))="Arbeit",INDEX(Arten,MATCH(AD27,Codes,0))="Arbeit"),IF(ROUND((1+INDEX(Beginne,MATCH(AD27,Codes,0))-INDEX(EndeRel,MATCH(AC27,Codes,0)))*1440,0)&lt;660,1,0),0),0))</f>
      </c>
      <c r="AE76" s="1">
        <f>IF(OR(AE$52=0,AD27="",AE27=""),0,IFERROR(IF(AND(INDEX(Arten,MATCH(AD27,Codes,0))="Arbeit",INDEX(Arten,MATCH(AE27,Codes,0))="Arbeit"),IF(ROUND((1+INDEX(Beginne,MATCH(AE27,Codes,0))-INDEX(EndeRel,MATCH(AD27,Codes,0)))*1440,0)&lt;660,1,0),0),0))</f>
      </c>
      <c r="AF76" s="1">
        <f>IF(OR(AF$52=0,AE27="",AF27=""),0,IFERROR(IF(AND(INDEX(Arten,MATCH(AE27,Codes,0))="Arbeit",INDEX(Arten,MATCH(AF27,Codes,0))="Arbeit"),IF(ROUND((1+INDEX(Beginne,MATCH(AF27,Codes,0))-INDEX(EndeRel,MATCH(AE27,Codes,0)))*1440,0)&lt;660,1,0),0),0))</f>
      </c>
    </row>
    <row r="77" hidden="1" spans="1:32" x14ac:dyDescent="0.25">
      <c r="A77" s="1"/>
      <c r="B77" s="1">
        <f>IF(OR(B$52=0,INDEX('Mai'!$B$28:$AF$28,DAY(DATE(Jahr,6,0)))="",B28=""),0,IFERROR(IF(AND(INDEX(Arten,MATCH(INDEX('Mai'!$B$28:$AF$28,DAY(DATE(Jahr,6,0))),Codes,0))="Arbeit",INDEX(Arten,MATCH(B28,Codes,0))="Arbeit"),IF(ROUND((1+INDEX(Beginne,MATCH(B28,Codes,0))-INDEX(EndeRel,MATCH(INDEX('Mai'!$B$28:$AF$28,DAY(DATE(Jahr,6,0))),Codes,0)))*1440,0)&lt;660,1,0),0),0))</f>
      </c>
      <c r="C77" s="1">
        <f>IF(OR(C$52=0,B28="",C28=""),0,IFERROR(IF(AND(INDEX(Arten,MATCH(B28,Codes,0))="Arbeit",INDEX(Arten,MATCH(C28,Codes,0))="Arbeit"),IF(ROUND((1+INDEX(Beginne,MATCH(C28,Codes,0))-INDEX(EndeRel,MATCH(B28,Codes,0)))*1440,0)&lt;660,1,0),0),0))</f>
      </c>
      <c r="D77" s="1">
        <f>IF(OR(D$52=0,C28="",D28=""),0,IFERROR(IF(AND(INDEX(Arten,MATCH(C28,Codes,0))="Arbeit",INDEX(Arten,MATCH(D28,Codes,0))="Arbeit"),IF(ROUND((1+INDEX(Beginne,MATCH(D28,Codes,0))-INDEX(EndeRel,MATCH(C28,Codes,0)))*1440,0)&lt;660,1,0),0),0))</f>
      </c>
      <c r="E77" s="1">
        <f>IF(OR(E$52=0,D28="",E28=""),0,IFERROR(IF(AND(INDEX(Arten,MATCH(D28,Codes,0))="Arbeit",INDEX(Arten,MATCH(E28,Codes,0))="Arbeit"),IF(ROUND((1+INDEX(Beginne,MATCH(E28,Codes,0))-INDEX(EndeRel,MATCH(D28,Codes,0)))*1440,0)&lt;660,1,0),0),0))</f>
      </c>
      <c r="F77" s="1">
        <f>IF(OR(F$52=0,E28="",F28=""),0,IFERROR(IF(AND(INDEX(Arten,MATCH(E28,Codes,0))="Arbeit",INDEX(Arten,MATCH(F28,Codes,0))="Arbeit"),IF(ROUND((1+INDEX(Beginne,MATCH(F28,Codes,0))-INDEX(EndeRel,MATCH(E28,Codes,0)))*1440,0)&lt;660,1,0),0),0))</f>
      </c>
      <c r="G77" s="1">
        <f>IF(OR(G$52=0,F28="",G28=""),0,IFERROR(IF(AND(INDEX(Arten,MATCH(F28,Codes,0))="Arbeit",INDEX(Arten,MATCH(G28,Codes,0))="Arbeit"),IF(ROUND((1+INDEX(Beginne,MATCH(G28,Codes,0))-INDEX(EndeRel,MATCH(F28,Codes,0)))*1440,0)&lt;660,1,0),0),0))</f>
      </c>
      <c r="H77" s="1">
        <f>IF(OR(H$52=0,G28="",H28=""),0,IFERROR(IF(AND(INDEX(Arten,MATCH(G28,Codes,0))="Arbeit",INDEX(Arten,MATCH(H28,Codes,0))="Arbeit"),IF(ROUND((1+INDEX(Beginne,MATCH(H28,Codes,0))-INDEX(EndeRel,MATCH(G28,Codes,0)))*1440,0)&lt;660,1,0),0),0))</f>
      </c>
      <c r="I77" s="1">
        <f>IF(OR(I$52=0,H28="",I28=""),0,IFERROR(IF(AND(INDEX(Arten,MATCH(H28,Codes,0))="Arbeit",INDEX(Arten,MATCH(I28,Codes,0))="Arbeit"),IF(ROUND((1+INDEX(Beginne,MATCH(I28,Codes,0))-INDEX(EndeRel,MATCH(H28,Codes,0)))*1440,0)&lt;660,1,0),0),0))</f>
      </c>
      <c r="J77" s="1">
        <f>IF(OR(J$52=0,I28="",J28=""),0,IFERROR(IF(AND(INDEX(Arten,MATCH(I28,Codes,0))="Arbeit",INDEX(Arten,MATCH(J28,Codes,0))="Arbeit"),IF(ROUND((1+INDEX(Beginne,MATCH(J28,Codes,0))-INDEX(EndeRel,MATCH(I28,Codes,0)))*1440,0)&lt;660,1,0),0),0))</f>
      </c>
      <c r="K77" s="1">
        <f>IF(OR(K$52=0,J28="",K28=""),0,IFERROR(IF(AND(INDEX(Arten,MATCH(J28,Codes,0))="Arbeit",INDEX(Arten,MATCH(K28,Codes,0))="Arbeit"),IF(ROUND((1+INDEX(Beginne,MATCH(K28,Codes,0))-INDEX(EndeRel,MATCH(J28,Codes,0)))*1440,0)&lt;660,1,0),0),0))</f>
      </c>
      <c r="L77" s="1">
        <f>IF(OR(L$52=0,K28="",L28=""),0,IFERROR(IF(AND(INDEX(Arten,MATCH(K28,Codes,0))="Arbeit",INDEX(Arten,MATCH(L28,Codes,0))="Arbeit"),IF(ROUND((1+INDEX(Beginne,MATCH(L28,Codes,0))-INDEX(EndeRel,MATCH(K28,Codes,0)))*1440,0)&lt;660,1,0),0),0))</f>
      </c>
      <c r="M77" s="1">
        <f>IF(OR(M$52=0,L28="",M28=""),0,IFERROR(IF(AND(INDEX(Arten,MATCH(L28,Codes,0))="Arbeit",INDEX(Arten,MATCH(M28,Codes,0))="Arbeit"),IF(ROUND((1+INDEX(Beginne,MATCH(M28,Codes,0))-INDEX(EndeRel,MATCH(L28,Codes,0)))*1440,0)&lt;660,1,0),0),0))</f>
      </c>
      <c r="N77" s="1">
        <f>IF(OR(N$52=0,M28="",N28=""),0,IFERROR(IF(AND(INDEX(Arten,MATCH(M28,Codes,0))="Arbeit",INDEX(Arten,MATCH(N28,Codes,0))="Arbeit"),IF(ROUND((1+INDEX(Beginne,MATCH(N28,Codes,0))-INDEX(EndeRel,MATCH(M28,Codes,0)))*1440,0)&lt;660,1,0),0),0))</f>
      </c>
      <c r="O77" s="1">
        <f>IF(OR(O$52=0,N28="",O28=""),0,IFERROR(IF(AND(INDEX(Arten,MATCH(N28,Codes,0))="Arbeit",INDEX(Arten,MATCH(O28,Codes,0))="Arbeit"),IF(ROUND((1+INDEX(Beginne,MATCH(O28,Codes,0))-INDEX(EndeRel,MATCH(N28,Codes,0)))*1440,0)&lt;660,1,0),0),0))</f>
      </c>
      <c r="P77" s="1">
        <f>IF(OR(P$52=0,O28="",P28=""),0,IFERROR(IF(AND(INDEX(Arten,MATCH(O28,Codes,0))="Arbeit",INDEX(Arten,MATCH(P28,Codes,0))="Arbeit"),IF(ROUND((1+INDEX(Beginne,MATCH(P28,Codes,0))-INDEX(EndeRel,MATCH(O28,Codes,0)))*1440,0)&lt;660,1,0),0),0))</f>
      </c>
      <c r="Q77" s="1">
        <f>IF(OR(Q$52=0,P28="",Q28=""),0,IFERROR(IF(AND(INDEX(Arten,MATCH(P28,Codes,0))="Arbeit",INDEX(Arten,MATCH(Q28,Codes,0))="Arbeit"),IF(ROUND((1+INDEX(Beginne,MATCH(Q28,Codes,0))-INDEX(EndeRel,MATCH(P28,Codes,0)))*1440,0)&lt;660,1,0),0),0))</f>
      </c>
      <c r="R77" s="1">
        <f>IF(OR(R$52=0,Q28="",R28=""),0,IFERROR(IF(AND(INDEX(Arten,MATCH(Q28,Codes,0))="Arbeit",INDEX(Arten,MATCH(R28,Codes,0))="Arbeit"),IF(ROUND((1+INDEX(Beginne,MATCH(R28,Codes,0))-INDEX(EndeRel,MATCH(Q28,Codes,0)))*1440,0)&lt;660,1,0),0),0))</f>
      </c>
      <c r="S77" s="1">
        <f>IF(OR(S$52=0,R28="",S28=""),0,IFERROR(IF(AND(INDEX(Arten,MATCH(R28,Codes,0))="Arbeit",INDEX(Arten,MATCH(S28,Codes,0))="Arbeit"),IF(ROUND((1+INDEX(Beginne,MATCH(S28,Codes,0))-INDEX(EndeRel,MATCH(R28,Codes,0)))*1440,0)&lt;660,1,0),0),0))</f>
      </c>
      <c r="T77" s="1">
        <f>IF(OR(T$52=0,S28="",T28=""),0,IFERROR(IF(AND(INDEX(Arten,MATCH(S28,Codes,0))="Arbeit",INDEX(Arten,MATCH(T28,Codes,0))="Arbeit"),IF(ROUND((1+INDEX(Beginne,MATCH(T28,Codes,0))-INDEX(EndeRel,MATCH(S28,Codes,0)))*1440,0)&lt;660,1,0),0),0))</f>
      </c>
      <c r="U77" s="1">
        <f>IF(OR(U$52=0,T28="",U28=""),0,IFERROR(IF(AND(INDEX(Arten,MATCH(T28,Codes,0))="Arbeit",INDEX(Arten,MATCH(U28,Codes,0))="Arbeit"),IF(ROUND((1+INDEX(Beginne,MATCH(U28,Codes,0))-INDEX(EndeRel,MATCH(T28,Codes,0)))*1440,0)&lt;660,1,0),0),0))</f>
      </c>
      <c r="V77" s="1">
        <f>IF(OR(V$52=0,U28="",V28=""),0,IFERROR(IF(AND(INDEX(Arten,MATCH(U28,Codes,0))="Arbeit",INDEX(Arten,MATCH(V28,Codes,0))="Arbeit"),IF(ROUND((1+INDEX(Beginne,MATCH(V28,Codes,0))-INDEX(EndeRel,MATCH(U28,Codes,0)))*1440,0)&lt;660,1,0),0),0))</f>
      </c>
      <c r="W77" s="1">
        <f>IF(OR(W$52=0,V28="",W28=""),0,IFERROR(IF(AND(INDEX(Arten,MATCH(V28,Codes,0))="Arbeit",INDEX(Arten,MATCH(W28,Codes,0))="Arbeit"),IF(ROUND((1+INDEX(Beginne,MATCH(W28,Codes,0))-INDEX(EndeRel,MATCH(V28,Codes,0)))*1440,0)&lt;660,1,0),0),0))</f>
      </c>
      <c r="X77" s="1">
        <f>IF(OR(X$52=0,W28="",X28=""),0,IFERROR(IF(AND(INDEX(Arten,MATCH(W28,Codes,0))="Arbeit",INDEX(Arten,MATCH(X28,Codes,0))="Arbeit"),IF(ROUND((1+INDEX(Beginne,MATCH(X28,Codes,0))-INDEX(EndeRel,MATCH(W28,Codes,0)))*1440,0)&lt;660,1,0),0),0))</f>
      </c>
      <c r="Y77" s="1">
        <f>IF(OR(Y$52=0,X28="",Y28=""),0,IFERROR(IF(AND(INDEX(Arten,MATCH(X28,Codes,0))="Arbeit",INDEX(Arten,MATCH(Y28,Codes,0))="Arbeit"),IF(ROUND((1+INDEX(Beginne,MATCH(Y28,Codes,0))-INDEX(EndeRel,MATCH(X28,Codes,0)))*1440,0)&lt;660,1,0),0),0))</f>
      </c>
      <c r="Z77" s="1">
        <f>IF(OR(Z$52=0,Y28="",Z28=""),0,IFERROR(IF(AND(INDEX(Arten,MATCH(Y28,Codes,0))="Arbeit",INDEX(Arten,MATCH(Z28,Codes,0))="Arbeit"),IF(ROUND((1+INDEX(Beginne,MATCH(Z28,Codes,0))-INDEX(EndeRel,MATCH(Y28,Codes,0)))*1440,0)&lt;660,1,0),0),0))</f>
      </c>
      <c r="AA77" s="1">
        <f>IF(OR(AA$52=0,Z28="",AA28=""),0,IFERROR(IF(AND(INDEX(Arten,MATCH(Z28,Codes,0))="Arbeit",INDEX(Arten,MATCH(AA28,Codes,0))="Arbeit"),IF(ROUND((1+INDEX(Beginne,MATCH(AA28,Codes,0))-INDEX(EndeRel,MATCH(Z28,Codes,0)))*1440,0)&lt;660,1,0),0),0))</f>
      </c>
      <c r="AB77" s="1">
        <f>IF(OR(AB$52=0,AA28="",AB28=""),0,IFERROR(IF(AND(INDEX(Arten,MATCH(AA28,Codes,0))="Arbeit",INDEX(Arten,MATCH(AB28,Codes,0))="Arbeit"),IF(ROUND((1+INDEX(Beginne,MATCH(AB28,Codes,0))-INDEX(EndeRel,MATCH(AA28,Codes,0)))*1440,0)&lt;660,1,0),0),0))</f>
      </c>
      <c r="AC77" s="1">
        <f>IF(OR(AC$52=0,AB28="",AC28=""),0,IFERROR(IF(AND(INDEX(Arten,MATCH(AB28,Codes,0))="Arbeit",INDEX(Arten,MATCH(AC28,Codes,0))="Arbeit"),IF(ROUND((1+INDEX(Beginne,MATCH(AC28,Codes,0))-INDEX(EndeRel,MATCH(AB28,Codes,0)))*1440,0)&lt;660,1,0),0),0))</f>
      </c>
      <c r="AD77" s="1">
        <f>IF(OR(AD$52=0,AC28="",AD28=""),0,IFERROR(IF(AND(INDEX(Arten,MATCH(AC28,Codes,0))="Arbeit",INDEX(Arten,MATCH(AD28,Codes,0))="Arbeit"),IF(ROUND((1+INDEX(Beginne,MATCH(AD28,Codes,0))-INDEX(EndeRel,MATCH(AC28,Codes,0)))*1440,0)&lt;660,1,0),0),0))</f>
      </c>
      <c r="AE77" s="1">
        <f>IF(OR(AE$52=0,AD28="",AE28=""),0,IFERROR(IF(AND(INDEX(Arten,MATCH(AD28,Codes,0))="Arbeit",INDEX(Arten,MATCH(AE28,Codes,0))="Arbeit"),IF(ROUND((1+INDEX(Beginne,MATCH(AE28,Codes,0))-INDEX(EndeRel,MATCH(AD28,Codes,0)))*1440,0)&lt;660,1,0),0),0))</f>
      </c>
      <c r="AF77" s="1">
        <f>IF(OR(AF$52=0,AE28="",AF28=""),0,IFERROR(IF(AND(INDEX(Arten,MATCH(AE28,Codes,0))="Arbeit",INDEX(Arten,MATCH(AF28,Codes,0))="Arbeit"),IF(ROUND((1+INDEX(Beginne,MATCH(AF28,Codes,0))-INDEX(EndeRel,MATCH(AE28,Codes,0)))*1440,0)&lt;660,1,0),0),0))</f>
      </c>
    </row>
    <row r="78" hidden="1" spans="1:32" x14ac:dyDescent="0.25">
      <c r="A78" s="1"/>
      <c r="B78" s="1">
        <f>IF(OR(B$52=0,INDEX('Mai'!$B$29:$AF$29,DAY(DATE(Jahr,6,0)))="",B29=""),0,IFERROR(IF(AND(INDEX(Arten,MATCH(INDEX('Mai'!$B$29:$AF$29,DAY(DATE(Jahr,6,0))),Codes,0))="Arbeit",INDEX(Arten,MATCH(B29,Codes,0))="Arbeit"),IF(ROUND((1+INDEX(Beginne,MATCH(B29,Codes,0))-INDEX(EndeRel,MATCH(INDEX('Mai'!$B$29:$AF$29,DAY(DATE(Jahr,6,0))),Codes,0)))*1440,0)&lt;660,1,0),0),0))</f>
      </c>
      <c r="C78" s="1">
        <f>IF(OR(C$52=0,B29="",C29=""),0,IFERROR(IF(AND(INDEX(Arten,MATCH(B29,Codes,0))="Arbeit",INDEX(Arten,MATCH(C29,Codes,0))="Arbeit"),IF(ROUND((1+INDEX(Beginne,MATCH(C29,Codes,0))-INDEX(EndeRel,MATCH(B29,Codes,0)))*1440,0)&lt;660,1,0),0),0))</f>
      </c>
      <c r="D78" s="1">
        <f>IF(OR(D$52=0,C29="",D29=""),0,IFERROR(IF(AND(INDEX(Arten,MATCH(C29,Codes,0))="Arbeit",INDEX(Arten,MATCH(D29,Codes,0))="Arbeit"),IF(ROUND((1+INDEX(Beginne,MATCH(D29,Codes,0))-INDEX(EndeRel,MATCH(C29,Codes,0)))*1440,0)&lt;660,1,0),0),0))</f>
      </c>
      <c r="E78" s="1">
        <f>IF(OR(E$52=0,D29="",E29=""),0,IFERROR(IF(AND(INDEX(Arten,MATCH(D29,Codes,0))="Arbeit",INDEX(Arten,MATCH(E29,Codes,0))="Arbeit"),IF(ROUND((1+INDEX(Beginne,MATCH(E29,Codes,0))-INDEX(EndeRel,MATCH(D29,Codes,0)))*1440,0)&lt;660,1,0),0),0))</f>
      </c>
      <c r="F78" s="1">
        <f>IF(OR(F$52=0,E29="",F29=""),0,IFERROR(IF(AND(INDEX(Arten,MATCH(E29,Codes,0))="Arbeit",INDEX(Arten,MATCH(F29,Codes,0))="Arbeit"),IF(ROUND((1+INDEX(Beginne,MATCH(F29,Codes,0))-INDEX(EndeRel,MATCH(E29,Codes,0)))*1440,0)&lt;660,1,0),0),0))</f>
      </c>
      <c r="G78" s="1">
        <f>IF(OR(G$52=0,F29="",G29=""),0,IFERROR(IF(AND(INDEX(Arten,MATCH(F29,Codes,0))="Arbeit",INDEX(Arten,MATCH(G29,Codes,0))="Arbeit"),IF(ROUND((1+INDEX(Beginne,MATCH(G29,Codes,0))-INDEX(EndeRel,MATCH(F29,Codes,0)))*1440,0)&lt;660,1,0),0),0))</f>
      </c>
      <c r="H78" s="1">
        <f>IF(OR(H$52=0,G29="",H29=""),0,IFERROR(IF(AND(INDEX(Arten,MATCH(G29,Codes,0))="Arbeit",INDEX(Arten,MATCH(H29,Codes,0))="Arbeit"),IF(ROUND((1+INDEX(Beginne,MATCH(H29,Codes,0))-INDEX(EndeRel,MATCH(G29,Codes,0)))*1440,0)&lt;660,1,0),0),0))</f>
      </c>
      <c r="I78" s="1">
        <f>IF(OR(I$52=0,H29="",I29=""),0,IFERROR(IF(AND(INDEX(Arten,MATCH(H29,Codes,0))="Arbeit",INDEX(Arten,MATCH(I29,Codes,0))="Arbeit"),IF(ROUND((1+INDEX(Beginne,MATCH(I29,Codes,0))-INDEX(EndeRel,MATCH(H29,Codes,0)))*1440,0)&lt;660,1,0),0),0))</f>
      </c>
      <c r="J78" s="1">
        <f>IF(OR(J$52=0,I29="",J29=""),0,IFERROR(IF(AND(INDEX(Arten,MATCH(I29,Codes,0))="Arbeit",INDEX(Arten,MATCH(J29,Codes,0))="Arbeit"),IF(ROUND((1+INDEX(Beginne,MATCH(J29,Codes,0))-INDEX(EndeRel,MATCH(I29,Codes,0)))*1440,0)&lt;660,1,0),0),0))</f>
      </c>
      <c r="K78" s="1">
        <f>IF(OR(K$52=0,J29="",K29=""),0,IFERROR(IF(AND(INDEX(Arten,MATCH(J29,Codes,0))="Arbeit",INDEX(Arten,MATCH(K29,Codes,0))="Arbeit"),IF(ROUND((1+INDEX(Beginne,MATCH(K29,Codes,0))-INDEX(EndeRel,MATCH(J29,Codes,0)))*1440,0)&lt;660,1,0),0),0))</f>
      </c>
      <c r="L78" s="1">
        <f>IF(OR(L$52=0,K29="",L29=""),0,IFERROR(IF(AND(INDEX(Arten,MATCH(K29,Codes,0))="Arbeit",INDEX(Arten,MATCH(L29,Codes,0))="Arbeit"),IF(ROUND((1+INDEX(Beginne,MATCH(L29,Codes,0))-INDEX(EndeRel,MATCH(K29,Codes,0)))*1440,0)&lt;660,1,0),0),0))</f>
      </c>
      <c r="M78" s="1">
        <f>IF(OR(M$52=0,L29="",M29=""),0,IFERROR(IF(AND(INDEX(Arten,MATCH(L29,Codes,0))="Arbeit",INDEX(Arten,MATCH(M29,Codes,0))="Arbeit"),IF(ROUND((1+INDEX(Beginne,MATCH(M29,Codes,0))-INDEX(EndeRel,MATCH(L29,Codes,0)))*1440,0)&lt;660,1,0),0),0))</f>
      </c>
      <c r="N78" s="1">
        <f>IF(OR(N$52=0,M29="",N29=""),0,IFERROR(IF(AND(INDEX(Arten,MATCH(M29,Codes,0))="Arbeit",INDEX(Arten,MATCH(N29,Codes,0))="Arbeit"),IF(ROUND((1+INDEX(Beginne,MATCH(N29,Codes,0))-INDEX(EndeRel,MATCH(M29,Codes,0)))*1440,0)&lt;660,1,0),0),0))</f>
      </c>
      <c r="O78" s="1">
        <f>IF(OR(O$52=0,N29="",O29=""),0,IFERROR(IF(AND(INDEX(Arten,MATCH(N29,Codes,0))="Arbeit",INDEX(Arten,MATCH(O29,Codes,0))="Arbeit"),IF(ROUND((1+INDEX(Beginne,MATCH(O29,Codes,0))-INDEX(EndeRel,MATCH(N29,Codes,0)))*1440,0)&lt;660,1,0),0),0))</f>
      </c>
      <c r="P78" s="1">
        <f>IF(OR(P$52=0,O29="",P29=""),0,IFERROR(IF(AND(INDEX(Arten,MATCH(O29,Codes,0))="Arbeit",INDEX(Arten,MATCH(P29,Codes,0))="Arbeit"),IF(ROUND((1+INDEX(Beginne,MATCH(P29,Codes,0))-INDEX(EndeRel,MATCH(O29,Codes,0)))*1440,0)&lt;660,1,0),0),0))</f>
      </c>
      <c r="Q78" s="1">
        <f>IF(OR(Q$52=0,P29="",Q29=""),0,IFERROR(IF(AND(INDEX(Arten,MATCH(P29,Codes,0))="Arbeit",INDEX(Arten,MATCH(Q29,Codes,0))="Arbeit"),IF(ROUND((1+INDEX(Beginne,MATCH(Q29,Codes,0))-INDEX(EndeRel,MATCH(P29,Codes,0)))*1440,0)&lt;660,1,0),0),0))</f>
      </c>
      <c r="R78" s="1">
        <f>IF(OR(R$52=0,Q29="",R29=""),0,IFERROR(IF(AND(INDEX(Arten,MATCH(Q29,Codes,0))="Arbeit",INDEX(Arten,MATCH(R29,Codes,0))="Arbeit"),IF(ROUND((1+INDEX(Beginne,MATCH(R29,Codes,0))-INDEX(EndeRel,MATCH(Q29,Codes,0)))*1440,0)&lt;660,1,0),0),0))</f>
      </c>
      <c r="S78" s="1">
        <f>IF(OR(S$52=0,R29="",S29=""),0,IFERROR(IF(AND(INDEX(Arten,MATCH(R29,Codes,0))="Arbeit",INDEX(Arten,MATCH(S29,Codes,0))="Arbeit"),IF(ROUND((1+INDEX(Beginne,MATCH(S29,Codes,0))-INDEX(EndeRel,MATCH(R29,Codes,0)))*1440,0)&lt;660,1,0),0),0))</f>
      </c>
      <c r="T78" s="1">
        <f>IF(OR(T$52=0,S29="",T29=""),0,IFERROR(IF(AND(INDEX(Arten,MATCH(S29,Codes,0))="Arbeit",INDEX(Arten,MATCH(T29,Codes,0))="Arbeit"),IF(ROUND((1+INDEX(Beginne,MATCH(T29,Codes,0))-INDEX(EndeRel,MATCH(S29,Codes,0)))*1440,0)&lt;660,1,0),0),0))</f>
      </c>
      <c r="U78" s="1">
        <f>IF(OR(U$52=0,T29="",U29=""),0,IFERROR(IF(AND(INDEX(Arten,MATCH(T29,Codes,0))="Arbeit",INDEX(Arten,MATCH(U29,Codes,0))="Arbeit"),IF(ROUND((1+INDEX(Beginne,MATCH(U29,Codes,0))-INDEX(EndeRel,MATCH(T29,Codes,0)))*1440,0)&lt;660,1,0),0),0))</f>
      </c>
      <c r="V78" s="1">
        <f>IF(OR(V$52=0,U29="",V29=""),0,IFERROR(IF(AND(INDEX(Arten,MATCH(U29,Codes,0))="Arbeit",INDEX(Arten,MATCH(V29,Codes,0))="Arbeit"),IF(ROUND((1+INDEX(Beginne,MATCH(V29,Codes,0))-INDEX(EndeRel,MATCH(U29,Codes,0)))*1440,0)&lt;660,1,0),0),0))</f>
      </c>
      <c r="W78" s="1">
        <f>IF(OR(W$52=0,V29="",W29=""),0,IFERROR(IF(AND(INDEX(Arten,MATCH(V29,Codes,0))="Arbeit",INDEX(Arten,MATCH(W29,Codes,0))="Arbeit"),IF(ROUND((1+INDEX(Beginne,MATCH(W29,Codes,0))-INDEX(EndeRel,MATCH(V29,Codes,0)))*1440,0)&lt;660,1,0),0),0))</f>
      </c>
      <c r="X78" s="1">
        <f>IF(OR(X$52=0,W29="",X29=""),0,IFERROR(IF(AND(INDEX(Arten,MATCH(W29,Codes,0))="Arbeit",INDEX(Arten,MATCH(X29,Codes,0))="Arbeit"),IF(ROUND((1+INDEX(Beginne,MATCH(X29,Codes,0))-INDEX(EndeRel,MATCH(W29,Codes,0)))*1440,0)&lt;660,1,0),0),0))</f>
      </c>
      <c r="Y78" s="1">
        <f>IF(OR(Y$52=0,X29="",Y29=""),0,IFERROR(IF(AND(INDEX(Arten,MATCH(X29,Codes,0))="Arbeit",INDEX(Arten,MATCH(Y29,Codes,0))="Arbeit"),IF(ROUND((1+INDEX(Beginne,MATCH(Y29,Codes,0))-INDEX(EndeRel,MATCH(X29,Codes,0)))*1440,0)&lt;660,1,0),0),0))</f>
      </c>
      <c r="Z78" s="1">
        <f>IF(OR(Z$52=0,Y29="",Z29=""),0,IFERROR(IF(AND(INDEX(Arten,MATCH(Y29,Codes,0))="Arbeit",INDEX(Arten,MATCH(Z29,Codes,0))="Arbeit"),IF(ROUND((1+INDEX(Beginne,MATCH(Z29,Codes,0))-INDEX(EndeRel,MATCH(Y29,Codes,0)))*1440,0)&lt;660,1,0),0),0))</f>
      </c>
      <c r="AA78" s="1">
        <f>IF(OR(AA$52=0,Z29="",AA29=""),0,IFERROR(IF(AND(INDEX(Arten,MATCH(Z29,Codes,0))="Arbeit",INDEX(Arten,MATCH(AA29,Codes,0))="Arbeit"),IF(ROUND((1+INDEX(Beginne,MATCH(AA29,Codes,0))-INDEX(EndeRel,MATCH(Z29,Codes,0)))*1440,0)&lt;660,1,0),0),0))</f>
      </c>
      <c r="AB78" s="1">
        <f>IF(OR(AB$52=0,AA29="",AB29=""),0,IFERROR(IF(AND(INDEX(Arten,MATCH(AA29,Codes,0))="Arbeit",INDEX(Arten,MATCH(AB29,Codes,0))="Arbeit"),IF(ROUND((1+INDEX(Beginne,MATCH(AB29,Codes,0))-INDEX(EndeRel,MATCH(AA29,Codes,0)))*1440,0)&lt;660,1,0),0),0))</f>
      </c>
      <c r="AC78" s="1">
        <f>IF(OR(AC$52=0,AB29="",AC29=""),0,IFERROR(IF(AND(INDEX(Arten,MATCH(AB29,Codes,0))="Arbeit",INDEX(Arten,MATCH(AC29,Codes,0))="Arbeit"),IF(ROUND((1+INDEX(Beginne,MATCH(AC29,Codes,0))-INDEX(EndeRel,MATCH(AB29,Codes,0)))*1440,0)&lt;660,1,0),0),0))</f>
      </c>
      <c r="AD78" s="1">
        <f>IF(OR(AD$52=0,AC29="",AD29=""),0,IFERROR(IF(AND(INDEX(Arten,MATCH(AC29,Codes,0))="Arbeit",INDEX(Arten,MATCH(AD29,Codes,0))="Arbeit"),IF(ROUND((1+INDEX(Beginne,MATCH(AD29,Codes,0))-INDEX(EndeRel,MATCH(AC29,Codes,0)))*1440,0)&lt;660,1,0),0),0))</f>
      </c>
      <c r="AE78" s="1">
        <f>IF(OR(AE$52=0,AD29="",AE29=""),0,IFERROR(IF(AND(INDEX(Arten,MATCH(AD29,Codes,0))="Arbeit",INDEX(Arten,MATCH(AE29,Codes,0))="Arbeit"),IF(ROUND((1+INDEX(Beginne,MATCH(AE29,Codes,0))-INDEX(EndeRel,MATCH(AD29,Codes,0)))*1440,0)&lt;660,1,0),0),0))</f>
      </c>
      <c r="AF78" s="1">
        <f>IF(OR(AF$52=0,AE29="",AF29=""),0,IFERROR(IF(AND(INDEX(Arten,MATCH(AE29,Codes,0))="Arbeit",INDEX(Arten,MATCH(AF29,Codes,0))="Arbeit"),IF(ROUND((1+INDEX(Beginne,MATCH(AF29,Codes,0))-INDEX(EndeRel,MATCH(AE29,Codes,0)))*1440,0)&lt;660,1,0),0),0))</f>
      </c>
    </row>
    <row r="79" hidden="1" spans="1:32" x14ac:dyDescent="0.25">
      <c r="A79" s="1"/>
      <c r="B79" s="1">
        <f>IF(OR(B$52=0,INDEX('Mai'!$B$30:$AF$30,DAY(DATE(Jahr,6,0)))="",B30=""),0,IFERROR(IF(AND(INDEX(Arten,MATCH(INDEX('Mai'!$B$30:$AF$30,DAY(DATE(Jahr,6,0))),Codes,0))="Arbeit",INDEX(Arten,MATCH(B30,Codes,0))="Arbeit"),IF(ROUND((1+INDEX(Beginne,MATCH(B30,Codes,0))-INDEX(EndeRel,MATCH(INDEX('Mai'!$B$30:$AF$30,DAY(DATE(Jahr,6,0))),Codes,0)))*1440,0)&lt;660,1,0),0),0))</f>
      </c>
      <c r="C79" s="1">
        <f>IF(OR(C$52=0,B30="",C30=""),0,IFERROR(IF(AND(INDEX(Arten,MATCH(B30,Codes,0))="Arbeit",INDEX(Arten,MATCH(C30,Codes,0))="Arbeit"),IF(ROUND((1+INDEX(Beginne,MATCH(C30,Codes,0))-INDEX(EndeRel,MATCH(B30,Codes,0)))*1440,0)&lt;660,1,0),0),0))</f>
      </c>
      <c r="D79" s="1">
        <f>IF(OR(D$52=0,C30="",D30=""),0,IFERROR(IF(AND(INDEX(Arten,MATCH(C30,Codes,0))="Arbeit",INDEX(Arten,MATCH(D30,Codes,0))="Arbeit"),IF(ROUND((1+INDEX(Beginne,MATCH(D30,Codes,0))-INDEX(EndeRel,MATCH(C30,Codes,0)))*1440,0)&lt;660,1,0),0),0))</f>
      </c>
      <c r="E79" s="1">
        <f>IF(OR(E$52=0,D30="",E30=""),0,IFERROR(IF(AND(INDEX(Arten,MATCH(D30,Codes,0))="Arbeit",INDEX(Arten,MATCH(E30,Codes,0))="Arbeit"),IF(ROUND((1+INDEX(Beginne,MATCH(E30,Codes,0))-INDEX(EndeRel,MATCH(D30,Codes,0)))*1440,0)&lt;660,1,0),0),0))</f>
      </c>
      <c r="F79" s="1">
        <f>IF(OR(F$52=0,E30="",F30=""),0,IFERROR(IF(AND(INDEX(Arten,MATCH(E30,Codes,0))="Arbeit",INDEX(Arten,MATCH(F30,Codes,0))="Arbeit"),IF(ROUND((1+INDEX(Beginne,MATCH(F30,Codes,0))-INDEX(EndeRel,MATCH(E30,Codes,0)))*1440,0)&lt;660,1,0),0),0))</f>
      </c>
      <c r="G79" s="1">
        <f>IF(OR(G$52=0,F30="",G30=""),0,IFERROR(IF(AND(INDEX(Arten,MATCH(F30,Codes,0))="Arbeit",INDEX(Arten,MATCH(G30,Codes,0))="Arbeit"),IF(ROUND((1+INDEX(Beginne,MATCH(G30,Codes,0))-INDEX(EndeRel,MATCH(F30,Codes,0)))*1440,0)&lt;660,1,0),0),0))</f>
      </c>
      <c r="H79" s="1">
        <f>IF(OR(H$52=0,G30="",H30=""),0,IFERROR(IF(AND(INDEX(Arten,MATCH(G30,Codes,0))="Arbeit",INDEX(Arten,MATCH(H30,Codes,0))="Arbeit"),IF(ROUND((1+INDEX(Beginne,MATCH(H30,Codes,0))-INDEX(EndeRel,MATCH(G30,Codes,0)))*1440,0)&lt;660,1,0),0),0))</f>
      </c>
      <c r="I79" s="1">
        <f>IF(OR(I$52=0,H30="",I30=""),0,IFERROR(IF(AND(INDEX(Arten,MATCH(H30,Codes,0))="Arbeit",INDEX(Arten,MATCH(I30,Codes,0))="Arbeit"),IF(ROUND((1+INDEX(Beginne,MATCH(I30,Codes,0))-INDEX(EndeRel,MATCH(H30,Codes,0)))*1440,0)&lt;660,1,0),0),0))</f>
      </c>
      <c r="J79" s="1">
        <f>IF(OR(J$52=0,I30="",J30=""),0,IFERROR(IF(AND(INDEX(Arten,MATCH(I30,Codes,0))="Arbeit",INDEX(Arten,MATCH(J30,Codes,0))="Arbeit"),IF(ROUND((1+INDEX(Beginne,MATCH(J30,Codes,0))-INDEX(EndeRel,MATCH(I30,Codes,0)))*1440,0)&lt;660,1,0),0),0))</f>
      </c>
      <c r="K79" s="1">
        <f>IF(OR(K$52=0,J30="",K30=""),0,IFERROR(IF(AND(INDEX(Arten,MATCH(J30,Codes,0))="Arbeit",INDEX(Arten,MATCH(K30,Codes,0))="Arbeit"),IF(ROUND((1+INDEX(Beginne,MATCH(K30,Codes,0))-INDEX(EndeRel,MATCH(J30,Codes,0)))*1440,0)&lt;660,1,0),0),0))</f>
      </c>
      <c r="L79" s="1">
        <f>IF(OR(L$52=0,K30="",L30=""),0,IFERROR(IF(AND(INDEX(Arten,MATCH(K30,Codes,0))="Arbeit",INDEX(Arten,MATCH(L30,Codes,0))="Arbeit"),IF(ROUND((1+INDEX(Beginne,MATCH(L30,Codes,0))-INDEX(EndeRel,MATCH(K30,Codes,0)))*1440,0)&lt;660,1,0),0),0))</f>
      </c>
      <c r="M79" s="1">
        <f>IF(OR(M$52=0,L30="",M30=""),0,IFERROR(IF(AND(INDEX(Arten,MATCH(L30,Codes,0))="Arbeit",INDEX(Arten,MATCH(M30,Codes,0))="Arbeit"),IF(ROUND((1+INDEX(Beginne,MATCH(M30,Codes,0))-INDEX(EndeRel,MATCH(L30,Codes,0)))*1440,0)&lt;660,1,0),0),0))</f>
      </c>
      <c r="N79" s="1">
        <f>IF(OR(N$52=0,M30="",N30=""),0,IFERROR(IF(AND(INDEX(Arten,MATCH(M30,Codes,0))="Arbeit",INDEX(Arten,MATCH(N30,Codes,0))="Arbeit"),IF(ROUND((1+INDEX(Beginne,MATCH(N30,Codes,0))-INDEX(EndeRel,MATCH(M30,Codes,0)))*1440,0)&lt;660,1,0),0),0))</f>
      </c>
      <c r="O79" s="1">
        <f>IF(OR(O$52=0,N30="",O30=""),0,IFERROR(IF(AND(INDEX(Arten,MATCH(N30,Codes,0))="Arbeit",INDEX(Arten,MATCH(O30,Codes,0))="Arbeit"),IF(ROUND((1+INDEX(Beginne,MATCH(O30,Codes,0))-INDEX(EndeRel,MATCH(N30,Codes,0)))*1440,0)&lt;660,1,0),0),0))</f>
      </c>
      <c r="P79" s="1">
        <f>IF(OR(P$52=0,O30="",P30=""),0,IFERROR(IF(AND(INDEX(Arten,MATCH(O30,Codes,0))="Arbeit",INDEX(Arten,MATCH(P30,Codes,0))="Arbeit"),IF(ROUND((1+INDEX(Beginne,MATCH(P30,Codes,0))-INDEX(EndeRel,MATCH(O30,Codes,0)))*1440,0)&lt;660,1,0),0),0))</f>
      </c>
      <c r="Q79" s="1">
        <f>IF(OR(Q$52=0,P30="",Q30=""),0,IFERROR(IF(AND(INDEX(Arten,MATCH(P30,Codes,0))="Arbeit",INDEX(Arten,MATCH(Q30,Codes,0))="Arbeit"),IF(ROUND((1+INDEX(Beginne,MATCH(Q30,Codes,0))-INDEX(EndeRel,MATCH(P30,Codes,0)))*1440,0)&lt;660,1,0),0),0))</f>
      </c>
      <c r="R79" s="1">
        <f>IF(OR(R$52=0,Q30="",R30=""),0,IFERROR(IF(AND(INDEX(Arten,MATCH(Q30,Codes,0))="Arbeit",INDEX(Arten,MATCH(R30,Codes,0))="Arbeit"),IF(ROUND((1+INDEX(Beginne,MATCH(R30,Codes,0))-INDEX(EndeRel,MATCH(Q30,Codes,0)))*1440,0)&lt;660,1,0),0),0))</f>
      </c>
      <c r="S79" s="1">
        <f>IF(OR(S$52=0,R30="",S30=""),0,IFERROR(IF(AND(INDEX(Arten,MATCH(R30,Codes,0))="Arbeit",INDEX(Arten,MATCH(S30,Codes,0))="Arbeit"),IF(ROUND((1+INDEX(Beginne,MATCH(S30,Codes,0))-INDEX(EndeRel,MATCH(R30,Codes,0)))*1440,0)&lt;660,1,0),0),0))</f>
      </c>
      <c r="T79" s="1">
        <f>IF(OR(T$52=0,S30="",T30=""),0,IFERROR(IF(AND(INDEX(Arten,MATCH(S30,Codes,0))="Arbeit",INDEX(Arten,MATCH(T30,Codes,0))="Arbeit"),IF(ROUND((1+INDEX(Beginne,MATCH(T30,Codes,0))-INDEX(EndeRel,MATCH(S30,Codes,0)))*1440,0)&lt;660,1,0),0),0))</f>
      </c>
      <c r="U79" s="1">
        <f>IF(OR(U$52=0,T30="",U30=""),0,IFERROR(IF(AND(INDEX(Arten,MATCH(T30,Codes,0))="Arbeit",INDEX(Arten,MATCH(U30,Codes,0))="Arbeit"),IF(ROUND((1+INDEX(Beginne,MATCH(U30,Codes,0))-INDEX(EndeRel,MATCH(T30,Codes,0)))*1440,0)&lt;660,1,0),0),0))</f>
      </c>
      <c r="V79" s="1">
        <f>IF(OR(V$52=0,U30="",V30=""),0,IFERROR(IF(AND(INDEX(Arten,MATCH(U30,Codes,0))="Arbeit",INDEX(Arten,MATCH(V30,Codes,0))="Arbeit"),IF(ROUND((1+INDEX(Beginne,MATCH(V30,Codes,0))-INDEX(EndeRel,MATCH(U30,Codes,0)))*1440,0)&lt;660,1,0),0),0))</f>
      </c>
      <c r="W79" s="1">
        <f>IF(OR(W$52=0,V30="",W30=""),0,IFERROR(IF(AND(INDEX(Arten,MATCH(V30,Codes,0))="Arbeit",INDEX(Arten,MATCH(W30,Codes,0))="Arbeit"),IF(ROUND((1+INDEX(Beginne,MATCH(W30,Codes,0))-INDEX(EndeRel,MATCH(V30,Codes,0)))*1440,0)&lt;660,1,0),0),0))</f>
      </c>
      <c r="X79" s="1">
        <f>IF(OR(X$52=0,W30="",X30=""),0,IFERROR(IF(AND(INDEX(Arten,MATCH(W30,Codes,0))="Arbeit",INDEX(Arten,MATCH(X30,Codes,0))="Arbeit"),IF(ROUND((1+INDEX(Beginne,MATCH(X30,Codes,0))-INDEX(EndeRel,MATCH(W30,Codes,0)))*1440,0)&lt;660,1,0),0),0))</f>
      </c>
      <c r="Y79" s="1">
        <f>IF(OR(Y$52=0,X30="",Y30=""),0,IFERROR(IF(AND(INDEX(Arten,MATCH(X30,Codes,0))="Arbeit",INDEX(Arten,MATCH(Y30,Codes,0))="Arbeit"),IF(ROUND((1+INDEX(Beginne,MATCH(Y30,Codes,0))-INDEX(EndeRel,MATCH(X30,Codes,0)))*1440,0)&lt;660,1,0),0),0))</f>
      </c>
      <c r="Z79" s="1">
        <f>IF(OR(Z$52=0,Y30="",Z30=""),0,IFERROR(IF(AND(INDEX(Arten,MATCH(Y30,Codes,0))="Arbeit",INDEX(Arten,MATCH(Z30,Codes,0))="Arbeit"),IF(ROUND((1+INDEX(Beginne,MATCH(Z30,Codes,0))-INDEX(EndeRel,MATCH(Y30,Codes,0)))*1440,0)&lt;660,1,0),0),0))</f>
      </c>
      <c r="AA79" s="1">
        <f>IF(OR(AA$52=0,Z30="",AA30=""),0,IFERROR(IF(AND(INDEX(Arten,MATCH(Z30,Codes,0))="Arbeit",INDEX(Arten,MATCH(AA30,Codes,0))="Arbeit"),IF(ROUND((1+INDEX(Beginne,MATCH(AA30,Codes,0))-INDEX(EndeRel,MATCH(Z30,Codes,0)))*1440,0)&lt;660,1,0),0),0))</f>
      </c>
      <c r="AB79" s="1">
        <f>IF(OR(AB$52=0,AA30="",AB30=""),0,IFERROR(IF(AND(INDEX(Arten,MATCH(AA30,Codes,0))="Arbeit",INDEX(Arten,MATCH(AB30,Codes,0))="Arbeit"),IF(ROUND((1+INDEX(Beginne,MATCH(AB30,Codes,0))-INDEX(EndeRel,MATCH(AA30,Codes,0)))*1440,0)&lt;660,1,0),0),0))</f>
      </c>
      <c r="AC79" s="1">
        <f>IF(OR(AC$52=0,AB30="",AC30=""),0,IFERROR(IF(AND(INDEX(Arten,MATCH(AB30,Codes,0))="Arbeit",INDEX(Arten,MATCH(AC30,Codes,0))="Arbeit"),IF(ROUND((1+INDEX(Beginne,MATCH(AC30,Codes,0))-INDEX(EndeRel,MATCH(AB30,Codes,0)))*1440,0)&lt;660,1,0),0),0))</f>
      </c>
      <c r="AD79" s="1">
        <f>IF(OR(AD$52=0,AC30="",AD30=""),0,IFERROR(IF(AND(INDEX(Arten,MATCH(AC30,Codes,0))="Arbeit",INDEX(Arten,MATCH(AD30,Codes,0))="Arbeit"),IF(ROUND((1+INDEX(Beginne,MATCH(AD30,Codes,0))-INDEX(EndeRel,MATCH(AC30,Codes,0)))*1440,0)&lt;660,1,0),0),0))</f>
      </c>
      <c r="AE79" s="1">
        <f>IF(OR(AE$52=0,AD30="",AE30=""),0,IFERROR(IF(AND(INDEX(Arten,MATCH(AD30,Codes,0))="Arbeit",INDEX(Arten,MATCH(AE30,Codes,0))="Arbeit"),IF(ROUND((1+INDEX(Beginne,MATCH(AE30,Codes,0))-INDEX(EndeRel,MATCH(AD30,Codes,0)))*1440,0)&lt;660,1,0),0),0))</f>
      </c>
      <c r="AF79" s="1">
        <f>IF(OR(AF$52=0,AE30="",AF30=""),0,IFERROR(IF(AND(INDEX(Arten,MATCH(AE30,Codes,0))="Arbeit",INDEX(Arten,MATCH(AF30,Codes,0))="Arbeit"),IF(ROUND((1+INDEX(Beginne,MATCH(AF30,Codes,0))-INDEX(EndeRel,MATCH(AE30,Codes,0)))*1440,0)&lt;660,1,0),0),0))</f>
      </c>
    </row>
    <row r="80" hidden="1" spans="1:32" x14ac:dyDescent="0.25">
      <c r="A80" s="1"/>
      <c r="B80" s="1">
        <f>IF(OR(B$52=0,INDEX('Mai'!$B$31:$AF$31,DAY(DATE(Jahr,6,0)))="",B31=""),0,IFERROR(IF(AND(INDEX(Arten,MATCH(INDEX('Mai'!$B$31:$AF$31,DAY(DATE(Jahr,6,0))),Codes,0))="Arbeit",INDEX(Arten,MATCH(B31,Codes,0))="Arbeit"),IF(ROUND((1+INDEX(Beginne,MATCH(B31,Codes,0))-INDEX(EndeRel,MATCH(INDEX('Mai'!$B$31:$AF$31,DAY(DATE(Jahr,6,0))),Codes,0)))*1440,0)&lt;660,1,0),0),0))</f>
      </c>
      <c r="C80" s="1">
        <f>IF(OR(C$52=0,B31="",C31=""),0,IFERROR(IF(AND(INDEX(Arten,MATCH(B31,Codes,0))="Arbeit",INDEX(Arten,MATCH(C31,Codes,0))="Arbeit"),IF(ROUND((1+INDEX(Beginne,MATCH(C31,Codes,0))-INDEX(EndeRel,MATCH(B31,Codes,0)))*1440,0)&lt;660,1,0),0),0))</f>
      </c>
      <c r="D80" s="1">
        <f>IF(OR(D$52=0,C31="",D31=""),0,IFERROR(IF(AND(INDEX(Arten,MATCH(C31,Codes,0))="Arbeit",INDEX(Arten,MATCH(D31,Codes,0))="Arbeit"),IF(ROUND((1+INDEX(Beginne,MATCH(D31,Codes,0))-INDEX(EndeRel,MATCH(C31,Codes,0)))*1440,0)&lt;660,1,0),0),0))</f>
      </c>
      <c r="E80" s="1">
        <f>IF(OR(E$52=0,D31="",E31=""),0,IFERROR(IF(AND(INDEX(Arten,MATCH(D31,Codes,0))="Arbeit",INDEX(Arten,MATCH(E31,Codes,0))="Arbeit"),IF(ROUND((1+INDEX(Beginne,MATCH(E31,Codes,0))-INDEX(EndeRel,MATCH(D31,Codes,0)))*1440,0)&lt;660,1,0),0),0))</f>
      </c>
      <c r="F80" s="1">
        <f>IF(OR(F$52=0,E31="",F31=""),0,IFERROR(IF(AND(INDEX(Arten,MATCH(E31,Codes,0))="Arbeit",INDEX(Arten,MATCH(F31,Codes,0))="Arbeit"),IF(ROUND((1+INDEX(Beginne,MATCH(F31,Codes,0))-INDEX(EndeRel,MATCH(E31,Codes,0)))*1440,0)&lt;660,1,0),0),0))</f>
      </c>
      <c r="G80" s="1">
        <f>IF(OR(G$52=0,F31="",G31=""),0,IFERROR(IF(AND(INDEX(Arten,MATCH(F31,Codes,0))="Arbeit",INDEX(Arten,MATCH(G31,Codes,0))="Arbeit"),IF(ROUND((1+INDEX(Beginne,MATCH(G31,Codes,0))-INDEX(EndeRel,MATCH(F31,Codes,0)))*1440,0)&lt;660,1,0),0),0))</f>
      </c>
      <c r="H80" s="1">
        <f>IF(OR(H$52=0,G31="",H31=""),0,IFERROR(IF(AND(INDEX(Arten,MATCH(G31,Codes,0))="Arbeit",INDEX(Arten,MATCH(H31,Codes,0))="Arbeit"),IF(ROUND((1+INDEX(Beginne,MATCH(H31,Codes,0))-INDEX(EndeRel,MATCH(G31,Codes,0)))*1440,0)&lt;660,1,0),0),0))</f>
      </c>
      <c r="I80" s="1">
        <f>IF(OR(I$52=0,H31="",I31=""),0,IFERROR(IF(AND(INDEX(Arten,MATCH(H31,Codes,0))="Arbeit",INDEX(Arten,MATCH(I31,Codes,0))="Arbeit"),IF(ROUND((1+INDEX(Beginne,MATCH(I31,Codes,0))-INDEX(EndeRel,MATCH(H31,Codes,0)))*1440,0)&lt;660,1,0),0),0))</f>
      </c>
      <c r="J80" s="1">
        <f>IF(OR(J$52=0,I31="",J31=""),0,IFERROR(IF(AND(INDEX(Arten,MATCH(I31,Codes,0))="Arbeit",INDEX(Arten,MATCH(J31,Codes,0))="Arbeit"),IF(ROUND((1+INDEX(Beginne,MATCH(J31,Codes,0))-INDEX(EndeRel,MATCH(I31,Codes,0)))*1440,0)&lt;660,1,0),0),0))</f>
      </c>
      <c r="K80" s="1">
        <f>IF(OR(K$52=0,J31="",K31=""),0,IFERROR(IF(AND(INDEX(Arten,MATCH(J31,Codes,0))="Arbeit",INDEX(Arten,MATCH(K31,Codes,0))="Arbeit"),IF(ROUND((1+INDEX(Beginne,MATCH(K31,Codes,0))-INDEX(EndeRel,MATCH(J31,Codes,0)))*1440,0)&lt;660,1,0),0),0))</f>
      </c>
      <c r="L80" s="1">
        <f>IF(OR(L$52=0,K31="",L31=""),0,IFERROR(IF(AND(INDEX(Arten,MATCH(K31,Codes,0))="Arbeit",INDEX(Arten,MATCH(L31,Codes,0))="Arbeit"),IF(ROUND((1+INDEX(Beginne,MATCH(L31,Codes,0))-INDEX(EndeRel,MATCH(K31,Codes,0)))*1440,0)&lt;660,1,0),0),0))</f>
      </c>
      <c r="M80" s="1">
        <f>IF(OR(M$52=0,L31="",M31=""),0,IFERROR(IF(AND(INDEX(Arten,MATCH(L31,Codes,0))="Arbeit",INDEX(Arten,MATCH(M31,Codes,0))="Arbeit"),IF(ROUND((1+INDEX(Beginne,MATCH(M31,Codes,0))-INDEX(EndeRel,MATCH(L31,Codes,0)))*1440,0)&lt;660,1,0),0),0))</f>
      </c>
      <c r="N80" s="1">
        <f>IF(OR(N$52=0,M31="",N31=""),0,IFERROR(IF(AND(INDEX(Arten,MATCH(M31,Codes,0))="Arbeit",INDEX(Arten,MATCH(N31,Codes,0))="Arbeit"),IF(ROUND((1+INDEX(Beginne,MATCH(N31,Codes,0))-INDEX(EndeRel,MATCH(M31,Codes,0)))*1440,0)&lt;660,1,0),0),0))</f>
      </c>
      <c r="O80" s="1">
        <f>IF(OR(O$52=0,N31="",O31=""),0,IFERROR(IF(AND(INDEX(Arten,MATCH(N31,Codes,0))="Arbeit",INDEX(Arten,MATCH(O31,Codes,0))="Arbeit"),IF(ROUND((1+INDEX(Beginne,MATCH(O31,Codes,0))-INDEX(EndeRel,MATCH(N31,Codes,0)))*1440,0)&lt;660,1,0),0),0))</f>
      </c>
      <c r="P80" s="1">
        <f>IF(OR(P$52=0,O31="",P31=""),0,IFERROR(IF(AND(INDEX(Arten,MATCH(O31,Codes,0))="Arbeit",INDEX(Arten,MATCH(P31,Codes,0))="Arbeit"),IF(ROUND((1+INDEX(Beginne,MATCH(P31,Codes,0))-INDEX(EndeRel,MATCH(O31,Codes,0)))*1440,0)&lt;660,1,0),0),0))</f>
      </c>
      <c r="Q80" s="1">
        <f>IF(OR(Q$52=0,P31="",Q31=""),0,IFERROR(IF(AND(INDEX(Arten,MATCH(P31,Codes,0))="Arbeit",INDEX(Arten,MATCH(Q31,Codes,0))="Arbeit"),IF(ROUND((1+INDEX(Beginne,MATCH(Q31,Codes,0))-INDEX(EndeRel,MATCH(P31,Codes,0)))*1440,0)&lt;660,1,0),0),0))</f>
      </c>
      <c r="R80" s="1">
        <f>IF(OR(R$52=0,Q31="",R31=""),0,IFERROR(IF(AND(INDEX(Arten,MATCH(Q31,Codes,0))="Arbeit",INDEX(Arten,MATCH(R31,Codes,0))="Arbeit"),IF(ROUND((1+INDEX(Beginne,MATCH(R31,Codes,0))-INDEX(EndeRel,MATCH(Q31,Codes,0)))*1440,0)&lt;660,1,0),0),0))</f>
      </c>
      <c r="S80" s="1">
        <f>IF(OR(S$52=0,R31="",S31=""),0,IFERROR(IF(AND(INDEX(Arten,MATCH(R31,Codes,0))="Arbeit",INDEX(Arten,MATCH(S31,Codes,0))="Arbeit"),IF(ROUND((1+INDEX(Beginne,MATCH(S31,Codes,0))-INDEX(EndeRel,MATCH(R31,Codes,0)))*1440,0)&lt;660,1,0),0),0))</f>
      </c>
      <c r="T80" s="1">
        <f>IF(OR(T$52=0,S31="",T31=""),0,IFERROR(IF(AND(INDEX(Arten,MATCH(S31,Codes,0))="Arbeit",INDEX(Arten,MATCH(T31,Codes,0))="Arbeit"),IF(ROUND((1+INDEX(Beginne,MATCH(T31,Codes,0))-INDEX(EndeRel,MATCH(S31,Codes,0)))*1440,0)&lt;660,1,0),0),0))</f>
      </c>
      <c r="U80" s="1">
        <f>IF(OR(U$52=0,T31="",U31=""),0,IFERROR(IF(AND(INDEX(Arten,MATCH(T31,Codes,0))="Arbeit",INDEX(Arten,MATCH(U31,Codes,0))="Arbeit"),IF(ROUND((1+INDEX(Beginne,MATCH(U31,Codes,0))-INDEX(EndeRel,MATCH(T31,Codes,0)))*1440,0)&lt;660,1,0),0),0))</f>
      </c>
      <c r="V80" s="1">
        <f>IF(OR(V$52=0,U31="",V31=""),0,IFERROR(IF(AND(INDEX(Arten,MATCH(U31,Codes,0))="Arbeit",INDEX(Arten,MATCH(V31,Codes,0))="Arbeit"),IF(ROUND((1+INDEX(Beginne,MATCH(V31,Codes,0))-INDEX(EndeRel,MATCH(U31,Codes,0)))*1440,0)&lt;660,1,0),0),0))</f>
      </c>
      <c r="W80" s="1">
        <f>IF(OR(W$52=0,V31="",W31=""),0,IFERROR(IF(AND(INDEX(Arten,MATCH(V31,Codes,0))="Arbeit",INDEX(Arten,MATCH(W31,Codes,0))="Arbeit"),IF(ROUND((1+INDEX(Beginne,MATCH(W31,Codes,0))-INDEX(EndeRel,MATCH(V31,Codes,0)))*1440,0)&lt;660,1,0),0),0))</f>
      </c>
      <c r="X80" s="1">
        <f>IF(OR(X$52=0,W31="",X31=""),0,IFERROR(IF(AND(INDEX(Arten,MATCH(W31,Codes,0))="Arbeit",INDEX(Arten,MATCH(X31,Codes,0))="Arbeit"),IF(ROUND((1+INDEX(Beginne,MATCH(X31,Codes,0))-INDEX(EndeRel,MATCH(W31,Codes,0)))*1440,0)&lt;660,1,0),0),0))</f>
      </c>
      <c r="Y80" s="1">
        <f>IF(OR(Y$52=0,X31="",Y31=""),0,IFERROR(IF(AND(INDEX(Arten,MATCH(X31,Codes,0))="Arbeit",INDEX(Arten,MATCH(Y31,Codes,0))="Arbeit"),IF(ROUND((1+INDEX(Beginne,MATCH(Y31,Codes,0))-INDEX(EndeRel,MATCH(X31,Codes,0)))*1440,0)&lt;660,1,0),0),0))</f>
      </c>
      <c r="Z80" s="1">
        <f>IF(OR(Z$52=0,Y31="",Z31=""),0,IFERROR(IF(AND(INDEX(Arten,MATCH(Y31,Codes,0))="Arbeit",INDEX(Arten,MATCH(Z31,Codes,0))="Arbeit"),IF(ROUND((1+INDEX(Beginne,MATCH(Z31,Codes,0))-INDEX(EndeRel,MATCH(Y31,Codes,0)))*1440,0)&lt;660,1,0),0),0))</f>
      </c>
      <c r="AA80" s="1">
        <f>IF(OR(AA$52=0,Z31="",AA31=""),0,IFERROR(IF(AND(INDEX(Arten,MATCH(Z31,Codes,0))="Arbeit",INDEX(Arten,MATCH(AA31,Codes,0))="Arbeit"),IF(ROUND((1+INDEX(Beginne,MATCH(AA31,Codes,0))-INDEX(EndeRel,MATCH(Z31,Codes,0)))*1440,0)&lt;660,1,0),0),0))</f>
      </c>
      <c r="AB80" s="1">
        <f>IF(OR(AB$52=0,AA31="",AB31=""),0,IFERROR(IF(AND(INDEX(Arten,MATCH(AA31,Codes,0))="Arbeit",INDEX(Arten,MATCH(AB31,Codes,0))="Arbeit"),IF(ROUND((1+INDEX(Beginne,MATCH(AB31,Codes,0))-INDEX(EndeRel,MATCH(AA31,Codes,0)))*1440,0)&lt;660,1,0),0),0))</f>
      </c>
      <c r="AC80" s="1">
        <f>IF(OR(AC$52=0,AB31="",AC31=""),0,IFERROR(IF(AND(INDEX(Arten,MATCH(AB31,Codes,0))="Arbeit",INDEX(Arten,MATCH(AC31,Codes,0))="Arbeit"),IF(ROUND((1+INDEX(Beginne,MATCH(AC31,Codes,0))-INDEX(EndeRel,MATCH(AB31,Codes,0)))*1440,0)&lt;660,1,0),0),0))</f>
      </c>
      <c r="AD80" s="1">
        <f>IF(OR(AD$52=0,AC31="",AD31=""),0,IFERROR(IF(AND(INDEX(Arten,MATCH(AC31,Codes,0))="Arbeit",INDEX(Arten,MATCH(AD31,Codes,0))="Arbeit"),IF(ROUND((1+INDEX(Beginne,MATCH(AD31,Codes,0))-INDEX(EndeRel,MATCH(AC31,Codes,0)))*1440,0)&lt;660,1,0),0),0))</f>
      </c>
      <c r="AE80" s="1">
        <f>IF(OR(AE$52=0,AD31="",AE31=""),0,IFERROR(IF(AND(INDEX(Arten,MATCH(AD31,Codes,0))="Arbeit",INDEX(Arten,MATCH(AE31,Codes,0))="Arbeit"),IF(ROUND((1+INDEX(Beginne,MATCH(AE31,Codes,0))-INDEX(EndeRel,MATCH(AD31,Codes,0)))*1440,0)&lt;660,1,0),0),0))</f>
      </c>
      <c r="AF80" s="1">
        <f>IF(OR(AF$52=0,AE31="",AF31=""),0,IFERROR(IF(AND(INDEX(Arten,MATCH(AE31,Codes,0))="Arbeit",INDEX(Arten,MATCH(AF31,Codes,0))="Arbeit"),IF(ROUND((1+INDEX(Beginne,MATCH(AF31,Codes,0))-INDEX(EndeRel,MATCH(AE31,Codes,0)))*1440,0)&lt;660,1,0),0),0))</f>
      </c>
    </row>
    <row r="81" hidden="1" spans="1:32" x14ac:dyDescent="0.25">
      <c r="A81" s="1"/>
      <c r="B81" s="1">
        <f>IF(OR(B$52=0,INDEX('Mai'!$B$32:$AF$32,DAY(DATE(Jahr,6,0)))="",B32=""),0,IFERROR(IF(AND(INDEX(Arten,MATCH(INDEX('Mai'!$B$32:$AF$32,DAY(DATE(Jahr,6,0))),Codes,0))="Arbeit",INDEX(Arten,MATCH(B32,Codes,0))="Arbeit"),IF(ROUND((1+INDEX(Beginne,MATCH(B32,Codes,0))-INDEX(EndeRel,MATCH(INDEX('Mai'!$B$32:$AF$32,DAY(DATE(Jahr,6,0))),Codes,0)))*1440,0)&lt;660,1,0),0),0))</f>
      </c>
      <c r="C81" s="1">
        <f>IF(OR(C$52=0,B32="",C32=""),0,IFERROR(IF(AND(INDEX(Arten,MATCH(B32,Codes,0))="Arbeit",INDEX(Arten,MATCH(C32,Codes,0))="Arbeit"),IF(ROUND((1+INDEX(Beginne,MATCH(C32,Codes,0))-INDEX(EndeRel,MATCH(B32,Codes,0)))*1440,0)&lt;660,1,0),0),0))</f>
      </c>
      <c r="D81" s="1">
        <f>IF(OR(D$52=0,C32="",D32=""),0,IFERROR(IF(AND(INDEX(Arten,MATCH(C32,Codes,0))="Arbeit",INDEX(Arten,MATCH(D32,Codes,0))="Arbeit"),IF(ROUND((1+INDEX(Beginne,MATCH(D32,Codes,0))-INDEX(EndeRel,MATCH(C32,Codes,0)))*1440,0)&lt;660,1,0),0),0))</f>
      </c>
      <c r="E81" s="1">
        <f>IF(OR(E$52=0,D32="",E32=""),0,IFERROR(IF(AND(INDEX(Arten,MATCH(D32,Codes,0))="Arbeit",INDEX(Arten,MATCH(E32,Codes,0))="Arbeit"),IF(ROUND((1+INDEX(Beginne,MATCH(E32,Codes,0))-INDEX(EndeRel,MATCH(D32,Codes,0)))*1440,0)&lt;660,1,0),0),0))</f>
      </c>
      <c r="F81" s="1">
        <f>IF(OR(F$52=0,E32="",F32=""),0,IFERROR(IF(AND(INDEX(Arten,MATCH(E32,Codes,0))="Arbeit",INDEX(Arten,MATCH(F32,Codes,0))="Arbeit"),IF(ROUND((1+INDEX(Beginne,MATCH(F32,Codes,0))-INDEX(EndeRel,MATCH(E32,Codes,0)))*1440,0)&lt;660,1,0),0),0))</f>
      </c>
      <c r="G81" s="1">
        <f>IF(OR(G$52=0,F32="",G32=""),0,IFERROR(IF(AND(INDEX(Arten,MATCH(F32,Codes,0))="Arbeit",INDEX(Arten,MATCH(G32,Codes,0))="Arbeit"),IF(ROUND((1+INDEX(Beginne,MATCH(G32,Codes,0))-INDEX(EndeRel,MATCH(F32,Codes,0)))*1440,0)&lt;660,1,0),0),0))</f>
      </c>
      <c r="H81" s="1">
        <f>IF(OR(H$52=0,G32="",H32=""),0,IFERROR(IF(AND(INDEX(Arten,MATCH(G32,Codes,0))="Arbeit",INDEX(Arten,MATCH(H32,Codes,0))="Arbeit"),IF(ROUND((1+INDEX(Beginne,MATCH(H32,Codes,0))-INDEX(EndeRel,MATCH(G32,Codes,0)))*1440,0)&lt;660,1,0),0),0))</f>
      </c>
      <c r="I81" s="1">
        <f>IF(OR(I$52=0,H32="",I32=""),0,IFERROR(IF(AND(INDEX(Arten,MATCH(H32,Codes,0))="Arbeit",INDEX(Arten,MATCH(I32,Codes,0))="Arbeit"),IF(ROUND((1+INDEX(Beginne,MATCH(I32,Codes,0))-INDEX(EndeRel,MATCH(H32,Codes,0)))*1440,0)&lt;660,1,0),0),0))</f>
      </c>
      <c r="J81" s="1">
        <f>IF(OR(J$52=0,I32="",J32=""),0,IFERROR(IF(AND(INDEX(Arten,MATCH(I32,Codes,0))="Arbeit",INDEX(Arten,MATCH(J32,Codes,0))="Arbeit"),IF(ROUND((1+INDEX(Beginne,MATCH(J32,Codes,0))-INDEX(EndeRel,MATCH(I32,Codes,0)))*1440,0)&lt;660,1,0),0),0))</f>
      </c>
      <c r="K81" s="1">
        <f>IF(OR(K$52=0,J32="",K32=""),0,IFERROR(IF(AND(INDEX(Arten,MATCH(J32,Codes,0))="Arbeit",INDEX(Arten,MATCH(K32,Codes,0))="Arbeit"),IF(ROUND((1+INDEX(Beginne,MATCH(K32,Codes,0))-INDEX(EndeRel,MATCH(J32,Codes,0)))*1440,0)&lt;660,1,0),0),0))</f>
      </c>
      <c r="L81" s="1">
        <f>IF(OR(L$52=0,K32="",L32=""),0,IFERROR(IF(AND(INDEX(Arten,MATCH(K32,Codes,0))="Arbeit",INDEX(Arten,MATCH(L32,Codes,0))="Arbeit"),IF(ROUND((1+INDEX(Beginne,MATCH(L32,Codes,0))-INDEX(EndeRel,MATCH(K32,Codes,0)))*1440,0)&lt;660,1,0),0),0))</f>
      </c>
      <c r="M81" s="1">
        <f>IF(OR(M$52=0,L32="",M32=""),0,IFERROR(IF(AND(INDEX(Arten,MATCH(L32,Codes,0))="Arbeit",INDEX(Arten,MATCH(M32,Codes,0))="Arbeit"),IF(ROUND((1+INDEX(Beginne,MATCH(M32,Codes,0))-INDEX(EndeRel,MATCH(L32,Codes,0)))*1440,0)&lt;660,1,0),0),0))</f>
      </c>
      <c r="N81" s="1">
        <f>IF(OR(N$52=0,M32="",N32=""),0,IFERROR(IF(AND(INDEX(Arten,MATCH(M32,Codes,0))="Arbeit",INDEX(Arten,MATCH(N32,Codes,0))="Arbeit"),IF(ROUND((1+INDEX(Beginne,MATCH(N32,Codes,0))-INDEX(EndeRel,MATCH(M32,Codes,0)))*1440,0)&lt;660,1,0),0),0))</f>
      </c>
      <c r="O81" s="1">
        <f>IF(OR(O$52=0,N32="",O32=""),0,IFERROR(IF(AND(INDEX(Arten,MATCH(N32,Codes,0))="Arbeit",INDEX(Arten,MATCH(O32,Codes,0))="Arbeit"),IF(ROUND((1+INDEX(Beginne,MATCH(O32,Codes,0))-INDEX(EndeRel,MATCH(N32,Codes,0)))*1440,0)&lt;660,1,0),0),0))</f>
      </c>
      <c r="P81" s="1">
        <f>IF(OR(P$52=0,O32="",P32=""),0,IFERROR(IF(AND(INDEX(Arten,MATCH(O32,Codes,0))="Arbeit",INDEX(Arten,MATCH(P32,Codes,0))="Arbeit"),IF(ROUND((1+INDEX(Beginne,MATCH(P32,Codes,0))-INDEX(EndeRel,MATCH(O32,Codes,0)))*1440,0)&lt;660,1,0),0),0))</f>
      </c>
      <c r="Q81" s="1">
        <f>IF(OR(Q$52=0,P32="",Q32=""),0,IFERROR(IF(AND(INDEX(Arten,MATCH(P32,Codes,0))="Arbeit",INDEX(Arten,MATCH(Q32,Codes,0))="Arbeit"),IF(ROUND((1+INDEX(Beginne,MATCH(Q32,Codes,0))-INDEX(EndeRel,MATCH(P32,Codes,0)))*1440,0)&lt;660,1,0),0),0))</f>
      </c>
      <c r="R81" s="1">
        <f>IF(OR(R$52=0,Q32="",R32=""),0,IFERROR(IF(AND(INDEX(Arten,MATCH(Q32,Codes,0))="Arbeit",INDEX(Arten,MATCH(R32,Codes,0))="Arbeit"),IF(ROUND((1+INDEX(Beginne,MATCH(R32,Codes,0))-INDEX(EndeRel,MATCH(Q32,Codes,0)))*1440,0)&lt;660,1,0),0),0))</f>
      </c>
      <c r="S81" s="1">
        <f>IF(OR(S$52=0,R32="",S32=""),0,IFERROR(IF(AND(INDEX(Arten,MATCH(R32,Codes,0))="Arbeit",INDEX(Arten,MATCH(S32,Codes,0))="Arbeit"),IF(ROUND((1+INDEX(Beginne,MATCH(S32,Codes,0))-INDEX(EndeRel,MATCH(R32,Codes,0)))*1440,0)&lt;660,1,0),0),0))</f>
      </c>
      <c r="T81" s="1">
        <f>IF(OR(T$52=0,S32="",T32=""),0,IFERROR(IF(AND(INDEX(Arten,MATCH(S32,Codes,0))="Arbeit",INDEX(Arten,MATCH(T32,Codes,0))="Arbeit"),IF(ROUND((1+INDEX(Beginne,MATCH(T32,Codes,0))-INDEX(EndeRel,MATCH(S32,Codes,0)))*1440,0)&lt;660,1,0),0),0))</f>
      </c>
      <c r="U81" s="1">
        <f>IF(OR(U$52=0,T32="",U32=""),0,IFERROR(IF(AND(INDEX(Arten,MATCH(T32,Codes,0))="Arbeit",INDEX(Arten,MATCH(U32,Codes,0))="Arbeit"),IF(ROUND((1+INDEX(Beginne,MATCH(U32,Codes,0))-INDEX(EndeRel,MATCH(T32,Codes,0)))*1440,0)&lt;660,1,0),0),0))</f>
      </c>
      <c r="V81" s="1">
        <f>IF(OR(V$52=0,U32="",V32=""),0,IFERROR(IF(AND(INDEX(Arten,MATCH(U32,Codes,0))="Arbeit",INDEX(Arten,MATCH(V32,Codes,0))="Arbeit"),IF(ROUND((1+INDEX(Beginne,MATCH(V32,Codes,0))-INDEX(EndeRel,MATCH(U32,Codes,0)))*1440,0)&lt;660,1,0),0),0))</f>
      </c>
      <c r="W81" s="1">
        <f>IF(OR(W$52=0,V32="",W32=""),0,IFERROR(IF(AND(INDEX(Arten,MATCH(V32,Codes,0))="Arbeit",INDEX(Arten,MATCH(W32,Codes,0))="Arbeit"),IF(ROUND((1+INDEX(Beginne,MATCH(W32,Codes,0))-INDEX(EndeRel,MATCH(V32,Codes,0)))*1440,0)&lt;660,1,0),0),0))</f>
      </c>
      <c r="X81" s="1">
        <f>IF(OR(X$52=0,W32="",X32=""),0,IFERROR(IF(AND(INDEX(Arten,MATCH(W32,Codes,0))="Arbeit",INDEX(Arten,MATCH(X32,Codes,0))="Arbeit"),IF(ROUND((1+INDEX(Beginne,MATCH(X32,Codes,0))-INDEX(EndeRel,MATCH(W32,Codes,0)))*1440,0)&lt;660,1,0),0),0))</f>
      </c>
      <c r="Y81" s="1">
        <f>IF(OR(Y$52=0,X32="",Y32=""),0,IFERROR(IF(AND(INDEX(Arten,MATCH(X32,Codes,0))="Arbeit",INDEX(Arten,MATCH(Y32,Codes,0))="Arbeit"),IF(ROUND((1+INDEX(Beginne,MATCH(Y32,Codes,0))-INDEX(EndeRel,MATCH(X32,Codes,0)))*1440,0)&lt;660,1,0),0),0))</f>
      </c>
      <c r="Z81" s="1">
        <f>IF(OR(Z$52=0,Y32="",Z32=""),0,IFERROR(IF(AND(INDEX(Arten,MATCH(Y32,Codes,0))="Arbeit",INDEX(Arten,MATCH(Z32,Codes,0))="Arbeit"),IF(ROUND((1+INDEX(Beginne,MATCH(Z32,Codes,0))-INDEX(EndeRel,MATCH(Y32,Codes,0)))*1440,0)&lt;660,1,0),0),0))</f>
      </c>
      <c r="AA81" s="1">
        <f>IF(OR(AA$52=0,Z32="",AA32=""),0,IFERROR(IF(AND(INDEX(Arten,MATCH(Z32,Codes,0))="Arbeit",INDEX(Arten,MATCH(AA32,Codes,0))="Arbeit"),IF(ROUND((1+INDEX(Beginne,MATCH(AA32,Codes,0))-INDEX(EndeRel,MATCH(Z32,Codes,0)))*1440,0)&lt;660,1,0),0),0))</f>
      </c>
      <c r="AB81" s="1">
        <f>IF(OR(AB$52=0,AA32="",AB32=""),0,IFERROR(IF(AND(INDEX(Arten,MATCH(AA32,Codes,0))="Arbeit",INDEX(Arten,MATCH(AB32,Codes,0))="Arbeit"),IF(ROUND((1+INDEX(Beginne,MATCH(AB32,Codes,0))-INDEX(EndeRel,MATCH(AA32,Codes,0)))*1440,0)&lt;660,1,0),0),0))</f>
      </c>
      <c r="AC81" s="1">
        <f>IF(OR(AC$52=0,AB32="",AC32=""),0,IFERROR(IF(AND(INDEX(Arten,MATCH(AB32,Codes,0))="Arbeit",INDEX(Arten,MATCH(AC32,Codes,0))="Arbeit"),IF(ROUND((1+INDEX(Beginne,MATCH(AC32,Codes,0))-INDEX(EndeRel,MATCH(AB32,Codes,0)))*1440,0)&lt;660,1,0),0),0))</f>
      </c>
      <c r="AD81" s="1">
        <f>IF(OR(AD$52=0,AC32="",AD32=""),0,IFERROR(IF(AND(INDEX(Arten,MATCH(AC32,Codes,0))="Arbeit",INDEX(Arten,MATCH(AD32,Codes,0))="Arbeit"),IF(ROUND((1+INDEX(Beginne,MATCH(AD32,Codes,0))-INDEX(EndeRel,MATCH(AC32,Codes,0)))*1440,0)&lt;660,1,0),0),0))</f>
      </c>
      <c r="AE81" s="1">
        <f>IF(OR(AE$52=0,AD32="",AE32=""),0,IFERROR(IF(AND(INDEX(Arten,MATCH(AD32,Codes,0))="Arbeit",INDEX(Arten,MATCH(AE32,Codes,0))="Arbeit"),IF(ROUND((1+INDEX(Beginne,MATCH(AE32,Codes,0))-INDEX(EndeRel,MATCH(AD32,Codes,0)))*1440,0)&lt;660,1,0),0),0))</f>
      </c>
      <c r="AF81" s="1">
        <f>IF(OR(AF$52=0,AE32="",AF32=""),0,IFERROR(IF(AND(INDEX(Arten,MATCH(AE32,Codes,0))="Arbeit",INDEX(Arten,MATCH(AF32,Codes,0))="Arbeit"),IF(ROUND((1+INDEX(Beginne,MATCH(AF32,Codes,0))-INDEX(EndeRel,MATCH(AE32,Codes,0)))*1440,0)&lt;660,1,0),0),0))</f>
      </c>
    </row>
    <row r="82" hidden="1" spans="1:32" x14ac:dyDescent="0.25">
      <c r="A82" s="1"/>
      <c r="B82" s="1">
        <f>IF(OR(B$52=0,INDEX('Mai'!$B$33:$AF$33,DAY(DATE(Jahr,6,0)))="",B33=""),0,IFERROR(IF(AND(INDEX(Arten,MATCH(INDEX('Mai'!$B$33:$AF$33,DAY(DATE(Jahr,6,0))),Codes,0))="Arbeit",INDEX(Arten,MATCH(B33,Codes,0))="Arbeit"),IF(ROUND((1+INDEX(Beginne,MATCH(B33,Codes,0))-INDEX(EndeRel,MATCH(INDEX('Mai'!$B$33:$AF$33,DAY(DATE(Jahr,6,0))),Codes,0)))*1440,0)&lt;660,1,0),0),0))</f>
      </c>
      <c r="C82" s="1">
        <f>IF(OR(C$52=0,B33="",C33=""),0,IFERROR(IF(AND(INDEX(Arten,MATCH(B33,Codes,0))="Arbeit",INDEX(Arten,MATCH(C33,Codes,0))="Arbeit"),IF(ROUND((1+INDEX(Beginne,MATCH(C33,Codes,0))-INDEX(EndeRel,MATCH(B33,Codes,0)))*1440,0)&lt;660,1,0),0),0))</f>
      </c>
      <c r="D82" s="1">
        <f>IF(OR(D$52=0,C33="",D33=""),0,IFERROR(IF(AND(INDEX(Arten,MATCH(C33,Codes,0))="Arbeit",INDEX(Arten,MATCH(D33,Codes,0))="Arbeit"),IF(ROUND((1+INDEX(Beginne,MATCH(D33,Codes,0))-INDEX(EndeRel,MATCH(C33,Codes,0)))*1440,0)&lt;660,1,0),0),0))</f>
      </c>
      <c r="E82" s="1">
        <f>IF(OR(E$52=0,D33="",E33=""),0,IFERROR(IF(AND(INDEX(Arten,MATCH(D33,Codes,0))="Arbeit",INDEX(Arten,MATCH(E33,Codes,0))="Arbeit"),IF(ROUND((1+INDEX(Beginne,MATCH(E33,Codes,0))-INDEX(EndeRel,MATCH(D33,Codes,0)))*1440,0)&lt;660,1,0),0),0))</f>
      </c>
      <c r="F82" s="1">
        <f>IF(OR(F$52=0,E33="",F33=""),0,IFERROR(IF(AND(INDEX(Arten,MATCH(E33,Codes,0))="Arbeit",INDEX(Arten,MATCH(F33,Codes,0))="Arbeit"),IF(ROUND((1+INDEX(Beginne,MATCH(F33,Codes,0))-INDEX(EndeRel,MATCH(E33,Codes,0)))*1440,0)&lt;660,1,0),0),0))</f>
      </c>
      <c r="G82" s="1">
        <f>IF(OR(G$52=0,F33="",G33=""),0,IFERROR(IF(AND(INDEX(Arten,MATCH(F33,Codes,0))="Arbeit",INDEX(Arten,MATCH(G33,Codes,0))="Arbeit"),IF(ROUND((1+INDEX(Beginne,MATCH(G33,Codes,0))-INDEX(EndeRel,MATCH(F33,Codes,0)))*1440,0)&lt;660,1,0),0),0))</f>
      </c>
      <c r="H82" s="1">
        <f>IF(OR(H$52=0,G33="",H33=""),0,IFERROR(IF(AND(INDEX(Arten,MATCH(G33,Codes,0))="Arbeit",INDEX(Arten,MATCH(H33,Codes,0))="Arbeit"),IF(ROUND((1+INDEX(Beginne,MATCH(H33,Codes,0))-INDEX(EndeRel,MATCH(G33,Codes,0)))*1440,0)&lt;660,1,0),0),0))</f>
      </c>
      <c r="I82" s="1">
        <f>IF(OR(I$52=0,H33="",I33=""),0,IFERROR(IF(AND(INDEX(Arten,MATCH(H33,Codes,0))="Arbeit",INDEX(Arten,MATCH(I33,Codes,0))="Arbeit"),IF(ROUND((1+INDEX(Beginne,MATCH(I33,Codes,0))-INDEX(EndeRel,MATCH(H33,Codes,0)))*1440,0)&lt;660,1,0),0),0))</f>
      </c>
      <c r="J82" s="1">
        <f>IF(OR(J$52=0,I33="",J33=""),0,IFERROR(IF(AND(INDEX(Arten,MATCH(I33,Codes,0))="Arbeit",INDEX(Arten,MATCH(J33,Codes,0))="Arbeit"),IF(ROUND((1+INDEX(Beginne,MATCH(J33,Codes,0))-INDEX(EndeRel,MATCH(I33,Codes,0)))*1440,0)&lt;660,1,0),0),0))</f>
      </c>
      <c r="K82" s="1">
        <f>IF(OR(K$52=0,J33="",K33=""),0,IFERROR(IF(AND(INDEX(Arten,MATCH(J33,Codes,0))="Arbeit",INDEX(Arten,MATCH(K33,Codes,0))="Arbeit"),IF(ROUND((1+INDEX(Beginne,MATCH(K33,Codes,0))-INDEX(EndeRel,MATCH(J33,Codes,0)))*1440,0)&lt;660,1,0),0),0))</f>
      </c>
      <c r="L82" s="1">
        <f>IF(OR(L$52=0,K33="",L33=""),0,IFERROR(IF(AND(INDEX(Arten,MATCH(K33,Codes,0))="Arbeit",INDEX(Arten,MATCH(L33,Codes,0))="Arbeit"),IF(ROUND((1+INDEX(Beginne,MATCH(L33,Codes,0))-INDEX(EndeRel,MATCH(K33,Codes,0)))*1440,0)&lt;660,1,0),0),0))</f>
      </c>
      <c r="M82" s="1">
        <f>IF(OR(M$52=0,L33="",M33=""),0,IFERROR(IF(AND(INDEX(Arten,MATCH(L33,Codes,0))="Arbeit",INDEX(Arten,MATCH(M33,Codes,0))="Arbeit"),IF(ROUND((1+INDEX(Beginne,MATCH(M33,Codes,0))-INDEX(EndeRel,MATCH(L33,Codes,0)))*1440,0)&lt;660,1,0),0),0))</f>
      </c>
      <c r="N82" s="1">
        <f>IF(OR(N$52=0,M33="",N33=""),0,IFERROR(IF(AND(INDEX(Arten,MATCH(M33,Codes,0))="Arbeit",INDEX(Arten,MATCH(N33,Codes,0))="Arbeit"),IF(ROUND((1+INDEX(Beginne,MATCH(N33,Codes,0))-INDEX(EndeRel,MATCH(M33,Codes,0)))*1440,0)&lt;660,1,0),0),0))</f>
      </c>
      <c r="O82" s="1">
        <f>IF(OR(O$52=0,N33="",O33=""),0,IFERROR(IF(AND(INDEX(Arten,MATCH(N33,Codes,0))="Arbeit",INDEX(Arten,MATCH(O33,Codes,0))="Arbeit"),IF(ROUND((1+INDEX(Beginne,MATCH(O33,Codes,0))-INDEX(EndeRel,MATCH(N33,Codes,0)))*1440,0)&lt;660,1,0),0),0))</f>
      </c>
      <c r="P82" s="1">
        <f>IF(OR(P$52=0,O33="",P33=""),0,IFERROR(IF(AND(INDEX(Arten,MATCH(O33,Codes,0))="Arbeit",INDEX(Arten,MATCH(P33,Codes,0))="Arbeit"),IF(ROUND((1+INDEX(Beginne,MATCH(P33,Codes,0))-INDEX(EndeRel,MATCH(O33,Codes,0)))*1440,0)&lt;660,1,0),0),0))</f>
      </c>
      <c r="Q82" s="1">
        <f>IF(OR(Q$52=0,P33="",Q33=""),0,IFERROR(IF(AND(INDEX(Arten,MATCH(P33,Codes,0))="Arbeit",INDEX(Arten,MATCH(Q33,Codes,0))="Arbeit"),IF(ROUND((1+INDEX(Beginne,MATCH(Q33,Codes,0))-INDEX(EndeRel,MATCH(P33,Codes,0)))*1440,0)&lt;660,1,0),0),0))</f>
      </c>
      <c r="R82" s="1">
        <f>IF(OR(R$52=0,Q33="",R33=""),0,IFERROR(IF(AND(INDEX(Arten,MATCH(Q33,Codes,0))="Arbeit",INDEX(Arten,MATCH(R33,Codes,0))="Arbeit"),IF(ROUND((1+INDEX(Beginne,MATCH(R33,Codes,0))-INDEX(EndeRel,MATCH(Q33,Codes,0)))*1440,0)&lt;660,1,0),0),0))</f>
      </c>
      <c r="S82" s="1">
        <f>IF(OR(S$52=0,R33="",S33=""),0,IFERROR(IF(AND(INDEX(Arten,MATCH(R33,Codes,0))="Arbeit",INDEX(Arten,MATCH(S33,Codes,0))="Arbeit"),IF(ROUND((1+INDEX(Beginne,MATCH(S33,Codes,0))-INDEX(EndeRel,MATCH(R33,Codes,0)))*1440,0)&lt;660,1,0),0),0))</f>
      </c>
      <c r="T82" s="1">
        <f>IF(OR(T$52=0,S33="",T33=""),0,IFERROR(IF(AND(INDEX(Arten,MATCH(S33,Codes,0))="Arbeit",INDEX(Arten,MATCH(T33,Codes,0))="Arbeit"),IF(ROUND((1+INDEX(Beginne,MATCH(T33,Codes,0))-INDEX(EndeRel,MATCH(S33,Codes,0)))*1440,0)&lt;660,1,0),0),0))</f>
      </c>
      <c r="U82" s="1">
        <f>IF(OR(U$52=0,T33="",U33=""),0,IFERROR(IF(AND(INDEX(Arten,MATCH(T33,Codes,0))="Arbeit",INDEX(Arten,MATCH(U33,Codes,0))="Arbeit"),IF(ROUND((1+INDEX(Beginne,MATCH(U33,Codes,0))-INDEX(EndeRel,MATCH(T33,Codes,0)))*1440,0)&lt;660,1,0),0),0))</f>
      </c>
      <c r="V82" s="1">
        <f>IF(OR(V$52=0,U33="",V33=""),0,IFERROR(IF(AND(INDEX(Arten,MATCH(U33,Codes,0))="Arbeit",INDEX(Arten,MATCH(V33,Codes,0))="Arbeit"),IF(ROUND((1+INDEX(Beginne,MATCH(V33,Codes,0))-INDEX(EndeRel,MATCH(U33,Codes,0)))*1440,0)&lt;660,1,0),0),0))</f>
      </c>
      <c r="W82" s="1">
        <f>IF(OR(W$52=0,V33="",W33=""),0,IFERROR(IF(AND(INDEX(Arten,MATCH(V33,Codes,0))="Arbeit",INDEX(Arten,MATCH(W33,Codes,0))="Arbeit"),IF(ROUND((1+INDEX(Beginne,MATCH(W33,Codes,0))-INDEX(EndeRel,MATCH(V33,Codes,0)))*1440,0)&lt;660,1,0),0),0))</f>
      </c>
      <c r="X82" s="1">
        <f>IF(OR(X$52=0,W33="",X33=""),0,IFERROR(IF(AND(INDEX(Arten,MATCH(W33,Codes,0))="Arbeit",INDEX(Arten,MATCH(X33,Codes,0))="Arbeit"),IF(ROUND((1+INDEX(Beginne,MATCH(X33,Codes,0))-INDEX(EndeRel,MATCH(W33,Codes,0)))*1440,0)&lt;660,1,0),0),0))</f>
      </c>
      <c r="Y82" s="1">
        <f>IF(OR(Y$52=0,X33="",Y33=""),0,IFERROR(IF(AND(INDEX(Arten,MATCH(X33,Codes,0))="Arbeit",INDEX(Arten,MATCH(Y33,Codes,0))="Arbeit"),IF(ROUND((1+INDEX(Beginne,MATCH(Y33,Codes,0))-INDEX(EndeRel,MATCH(X33,Codes,0)))*1440,0)&lt;660,1,0),0),0))</f>
      </c>
      <c r="Z82" s="1">
        <f>IF(OR(Z$52=0,Y33="",Z33=""),0,IFERROR(IF(AND(INDEX(Arten,MATCH(Y33,Codes,0))="Arbeit",INDEX(Arten,MATCH(Z33,Codes,0))="Arbeit"),IF(ROUND((1+INDEX(Beginne,MATCH(Z33,Codes,0))-INDEX(EndeRel,MATCH(Y33,Codes,0)))*1440,0)&lt;660,1,0),0),0))</f>
      </c>
      <c r="AA82" s="1">
        <f>IF(OR(AA$52=0,Z33="",AA33=""),0,IFERROR(IF(AND(INDEX(Arten,MATCH(Z33,Codes,0))="Arbeit",INDEX(Arten,MATCH(AA33,Codes,0))="Arbeit"),IF(ROUND((1+INDEX(Beginne,MATCH(AA33,Codes,0))-INDEX(EndeRel,MATCH(Z33,Codes,0)))*1440,0)&lt;660,1,0),0),0))</f>
      </c>
      <c r="AB82" s="1">
        <f>IF(OR(AB$52=0,AA33="",AB33=""),0,IFERROR(IF(AND(INDEX(Arten,MATCH(AA33,Codes,0))="Arbeit",INDEX(Arten,MATCH(AB33,Codes,0))="Arbeit"),IF(ROUND((1+INDEX(Beginne,MATCH(AB33,Codes,0))-INDEX(EndeRel,MATCH(AA33,Codes,0)))*1440,0)&lt;660,1,0),0),0))</f>
      </c>
      <c r="AC82" s="1">
        <f>IF(OR(AC$52=0,AB33="",AC33=""),0,IFERROR(IF(AND(INDEX(Arten,MATCH(AB33,Codes,0))="Arbeit",INDEX(Arten,MATCH(AC33,Codes,0))="Arbeit"),IF(ROUND((1+INDEX(Beginne,MATCH(AC33,Codes,0))-INDEX(EndeRel,MATCH(AB33,Codes,0)))*1440,0)&lt;660,1,0),0),0))</f>
      </c>
      <c r="AD82" s="1">
        <f>IF(OR(AD$52=0,AC33="",AD33=""),0,IFERROR(IF(AND(INDEX(Arten,MATCH(AC33,Codes,0))="Arbeit",INDEX(Arten,MATCH(AD33,Codes,0))="Arbeit"),IF(ROUND((1+INDEX(Beginne,MATCH(AD33,Codes,0))-INDEX(EndeRel,MATCH(AC33,Codes,0)))*1440,0)&lt;660,1,0),0),0))</f>
      </c>
      <c r="AE82" s="1">
        <f>IF(OR(AE$52=0,AD33="",AE33=""),0,IFERROR(IF(AND(INDEX(Arten,MATCH(AD33,Codes,0))="Arbeit",INDEX(Arten,MATCH(AE33,Codes,0))="Arbeit"),IF(ROUND((1+INDEX(Beginne,MATCH(AE33,Codes,0))-INDEX(EndeRel,MATCH(AD33,Codes,0)))*1440,0)&lt;660,1,0),0),0))</f>
      </c>
      <c r="AF82" s="1">
        <f>IF(OR(AF$52=0,AE33="",AF33=""),0,IFERROR(IF(AND(INDEX(Arten,MATCH(AE33,Codes,0))="Arbeit",INDEX(Arten,MATCH(AF33,Codes,0))="Arbeit"),IF(ROUND((1+INDEX(Beginne,MATCH(AF33,Codes,0))-INDEX(EndeRel,MATCH(AE33,Codes,0)))*1440,0)&lt;660,1,0),0),0))</f>
      </c>
    </row>
    <row r="83" hidden="1" spans="1:32" x14ac:dyDescent="0.25">
      <c r="A83" s="1"/>
      <c r="B83" s="1">
        <f>IF(OR(B$52=0,INDEX('Mai'!$B$34:$AF$34,DAY(DATE(Jahr,6,0)))="",B34=""),0,IFERROR(IF(AND(INDEX(Arten,MATCH(INDEX('Mai'!$B$34:$AF$34,DAY(DATE(Jahr,6,0))),Codes,0))="Arbeit",INDEX(Arten,MATCH(B34,Codes,0))="Arbeit"),IF(ROUND((1+INDEX(Beginne,MATCH(B34,Codes,0))-INDEX(EndeRel,MATCH(INDEX('Mai'!$B$34:$AF$34,DAY(DATE(Jahr,6,0))),Codes,0)))*1440,0)&lt;660,1,0),0),0))</f>
      </c>
      <c r="C83" s="1">
        <f>IF(OR(C$52=0,B34="",C34=""),0,IFERROR(IF(AND(INDEX(Arten,MATCH(B34,Codes,0))="Arbeit",INDEX(Arten,MATCH(C34,Codes,0))="Arbeit"),IF(ROUND((1+INDEX(Beginne,MATCH(C34,Codes,0))-INDEX(EndeRel,MATCH(B34,Codes,0)))*1440,0)&lt;660,1,0),0),0))</f>
      </c>
      <c r="D83" s="1">
        <f>IF(OR(D$52=0,C34="",D34=""),0,IFERROR(IF(AND(INDEX(Arten,MATCH(C34,Codes,0))="Arbeit",INDEX(Arten,MATCH(D34,Codes,0))="Arbeit"),IF(ROUND((1+INDEX(Beginne,MATCH(D34,Codes,0))-INDEX(EndeRel,MATCH(C34,Codes,0)))*1440,0)&lt;660,1,0),0),0))</f>
      </c>
      <c r="E83" s="1">
        <f>IF(OR(E$52=0,D34="",E34=""),0,IFERROR(IF(AND(INDEX(Arten,MATCH(D34,Codes,0))="Arbeit",INDEX(Arten,MATCH(E34,Codes,0))="Arbeit"),IF(ROUND((1+INDEX(Beginne,MATCH(E34,Codes,0))-INDEX(EndeRel,MATCH(D34,Codes,0)))*1440,0)&lt;660,1,0),0),0))</f>
      </c>
      <c r="F83" s="1">
        <f>IF(OR(F$52=0,E34="",F34=""),0,IFERROR(IF(AND(INDEX(Arten,MATCH(E34,Codes,0))="Arbeit",INDEX(Arten,MATCH(F34,Codes,0))="Arbeit"),IF(ROUND((1+INDEX(Beginne,MATCH(F34,Codes,0))-INDEX(EndeRel,MATCH(E34,Codes,0)))*1440,0)&lt;660,1,0),0),0))</f>
      </c>
      <c r="G83" s="1">
        <f>IF(OR(G$52=0,F34="",G34=""),0,IFERROR(IF(AND(INDEX(Arten,MATCH(F34,Codes,0))="Arbeit",INDEX(Arten,MATCH(G34,Codes,0))="Arbeit"),IF(ROUND((1+INDEX(Beginne,MATCH(G34,Codes,0))-INDEX(EndeRel,MATCH(F34,Codes,0)))*1440,0)&lt;660,1,0),0),0))</f>
      </c>
      <c r="H83" s="1">
        <f>IF(OR(H$52=0,G34="",H34=""),0,IFERROR(IF(AND(INDEX(Arten,MATCH(G34,Codes,0))="Arbeit",INDEX(Arten,MATCH(H34,Codes,0))="Arbeit"),IF(ROUND((1+INDEX(Beginne,MATCH(H34,Codes,0))-INDEX(EndeRel,MATCH(G34,Codes,0)))*1440,0)&lt;660,1,0),0),0))</f>
      </c>
      <c r="I83" s="1">
        <f>IF(OR(I$52=0,H34="",I34=""),0,IFERROR(IF(AND(INDEX(Arten,MATCH(H34,Codes,0))="Arbeit",INDEX(Arten,MATCH(I34,Codes,0))="Arbeit"),IF(ROUND((1+INDEX(Beginne,MATCH(I34,Codes,0))-INDEX(EndeRel,MATCH(H34,Codes,0)))*1440,0)&lt;660,1,0),0),0))</f>
      </c>
      <c r="J83" s="1">
        <f>IF(OR(J$52=0,I34="",J34=""),0,IFERROR(IF(AND(INDEX(Arten,MATCH(I34,Codes,0))="Arbeit",INDEX(Arten,MATCH(J34,Codes,0))="Arbeit"),IF(ROUND((1+INDEX(Beginne,MATCH(J34,Codes,0))-INDEX(EndeRel,MATCH(I34,Codes,0)))*1440,0)&lt;660,1,0),0),0))</f>
      </c>
      <c r="K83" s="1">
        <f>IF(OR(K$52=0,J34="",K34=""),0,IFERROR(IF(AND(INDEX(Arten,MATCH(J34,Codes,0))="Arbeit",INDEX(Arten,MATCH(K34,Codes,0))="Arbeit"),IF(ROUND((1+INDEX(Beginne,MATCH(K34,Codes,0))-INDEX(EndeRel,MATCH(J34,Codes,0)))*1440,0)&lt;660,1,0),0),0))</f>
      </c>
      <c r="L83" s="1">
        <f>IF(OR(L$52=0,K34="",L34=""),0,IFERROR(IF(AND(INDEX(Arten,MATCH(K34,Codes,0))="Arbeit",INDEX(Arten,MATCH(L34,Codes,0))="Arbeit"),IF(ROUND((1+INDEX(Beginne,MATCH(L34,Codes,0))-INDEX(EndeRel,MATCH(K34,Codes,0)))*1440,0)&lt;660,1,0),0),0))</f>
      </c>
      <c r="M83" s="1">
        <f>IF(OR(M$52=0,L34="",M34=""),0,IFERROR(IF(AND(INDEX(Arten,MATCH(L34,Codes,0))="Arbeit",INDEX(Arten,MATCH(M34,Codes,0))="Arbeit"),IF(ROUND((1+INDEX(Beginne,MATCH(M34,Codes,0))-INDEX(EndeRel,MATCH(L34,Codes,0)))*1440,0)&lt;660,1,0),0),0))</f>
      </c>
      <c r="N83" s="1">
        <f>IF(OR(N$52=0,M34="",N34=""),0,IFERROR(IF(AND(INDEX(Arten,MATCH(M34,Codes,0))="Arbeit",INDEX(Arten,MATCH(N34,Codes,0))="Arbeit"),IF(ROUND((1+INDEX(Beginne,MATCH(N34,Codes,0))-INDEX(EndeRel,MATCH(M34,Codes,0)))*1440,0)&lt;660,1,0),0),0))</f>
      </c>
      <c r="O83" s="1">
        <f>IF(OR(O$52=0,N34="",O34=""),0,IFERROR(IF(AND(INDEX(Arten,MATCH(N34,Codes,0))="Arbeit",INDEX(Arten,MATCH(O34,Codes,0))="Arbeit"),IF(ROUND((1+INDEX(Beginne,MATCH(O34,Codes,0))-INDEX(EndeRel,MATCH(N34,Codes,0)))*1440,0)&lt;660,1,0),0),0))</f>
      </c>
      <c r="P83" s="1">
        <f>IF(OR(P$52=0,O34="",P34=""),0,IFERROR(IF(AND(INDEX(Arten,MATCH(O34,Codes,0))="Arbeit",INDEX(Arten,MATCH(P34,Codes,0))="Arbeit"),IF(ROUND((1+INDEX(Beginne,MATCH(P34,Codes,0))-INDEX(EndeRel,MATCH(O34,Codes,0)))*1440,0)&lt;660,1,0),0),0))</f>
      </c>
      <c r="Q83" s="1">
        <f>IF(OR(Q$52=0,P34="",Q34=""),0,IFERROR(IF(AND(INDEX(Arten,MATCH(P34,Codes,0))="Arbeit",INDEX(Arten,MATCH(Q34,Codes,0))="Arbeit"),IF(ROUND((1+INDEX(Beginne,MATCH(Q34,Codes,0))-INDEX(EndeRel,MATCH(P34,Codes,0)))*1440,0)&lt;660,1,0),0),0))</f>
      </c>
      <c r="R83" s="1">
        <f>IF(OR(R$52=0,Q34="",R34=""),0,IFERROR(IF(AND(INDEX(Arten,MATCH(Q34,Codes,0))="Arbeit",INDEX(Arten,MATCH(R34,Codes,0))="Arbeit"),IF(ROUND((1+INDEX(Beginne,MATCH(R34,Codes,0))-INDEX(EndeRel,MATCH(Q34,Codes,0)))*1440,0)&lt;660,1,0),0),0))</f>
      </c>
      <c r="S83" s="1">
        <f>IF(OR(S$52=0,R34="",S34=""),0,IFERROR(IF(AND(INDEX(Arten,MATCH(R34,Codes,0))="Arbeit",INDEX(Arten,MATCH(S34,Codes,0))="Arbeit"),IF(ROUND((1+INDEX(Beginne,MATCH(S34,Codes,0))-INDEX(EndeRel,MATCH(R34,Codes,0)))*1440,0)&lt;660,1,0),0),0))</f>
      </c>
      <c r="T83" s="1">
        <f>IF(OR(T$52=0,S34="",T34=""),0,IFERROR(IF(AND(INDEX(Arten,MATCH(S34,Codes,0))="Arbeit",INDEX(Arten,MATCH(T34,Codes,0))="Arbeit"),IF(ROUND((1+INDEX(Beginne,MATCH(T34,Codes,0))-INDEX(EndeRel,MATCH(S34,Codes,0)))*1440,0)&lt;660,1,0),0),0))</f>
      </c>
      <c r="U83" s="1">
        <f>IF(OR(U$52=0,T34="",U34=""),0,IFERROR(IF(AND(INDEX(Arten,MATCH(T34,Codes,0))="Arbeit",INDEX(Arten,MATCH(U34,Codes,0))="Arbeit"),IF(ROUND((1+INDEX(Beginne,MATCH(U34,Codes,0))-INDEX(EndeRel,MATCH(T34,Codes,0)))*1440,0)&lt;660,1,0),0),0))</f>
      </c>
      <c r="V83" s="1">
        <f>IF(OR(V$52=0,U34="",V34=""),0,IFERROR(IF(AND(INDEX(Arten,MATCH(U34,Codes,0))="Arbeit",INDEX(Arten,MATCH(V34,Codes,0))="Arbeit"),IF(ROUND((1+INDEX(Beginne,MATCH(V34,Codes,0))-INDEX(EndeRel,MATCH(U34,Codes,0)))*1440,0)&lt;660,1,0),0),0))</f>
      </c>
      <c r="W83" s="1">
        <f>IF(OR(W$52=0,V34="",W34=""),0,IFERROR(IF(AND(INDEX(Arten,MATCH(V34,Codes,0))="Arbeit",INDEX(Arten,MATCH(W34,Codes,0))="Arbeit"),IF(ROUND((1+INDEX(Beginne,MATCH(W34,Codes,0))-INDEX(EndeRel,MATCH(V34,Codes,0)))*1440,0)&lt;660,1,0),0),0))</f>
      </c>
      <c r="X83" s="1">
        <f>IF(OR(X$52=0,W34="",X34=""),0,IFERROR(IF(AND(INDEX(Arten,MATCH(W34,Codes,0))="Arbeit",INDEX(Arten,MATCH(X34,Codes,0))="Arbeit"),IF(ROUND((1+INDEX(Beginne,MATCH(X34,Codes,0))-INDEX(EndeRel,MATCH(W34,Codes,0)))*1440,0)&lt;660,1,0),0),0))</f>
      </c>
      <c r="Y83" s="1">
        <f>IF(OR(Y$52=0,X34="",Y34=""),0,IFERROR(IF(AND(INDEX(Arten,MATCH(X34,Codes,0))="Arbeit",INDEX(Arten,MATCH(Y34,Codes,0))="Arbeit"),IF(ROUND((1+INDEX(Beginne,MATCH(Y34,Codes,0))-INDEX(EndeRel,MATCH(X34,Codes,0)))*1440,0)&lt;660,1,0),0),0))</f>
      </c>
      <c r="Z83" s="1">
        <f>IF(OR(Z$52=0,Y34="",Z34=""),0,IFERROR(IF(AND(INDEX(Arten,MATCH(Y34,Codes,0))="Arbeit",INDEX(Arten,MATCH(Z34,Codes,0))="Arbeit"),IF(ROUND((1+INDEX(Beginne,MATCH(Z34,Codes,0))-INDEX(EndeRel,MATCH(Y34,Codes,0)))*1440,0)&lt;660,1,0),0),0))</f>
      </c>
      <c r="AA83" s="1">
        <f>IF(OR(AA$52=0,Z34="",AA34=""),0,IFERROR(IF(AND(INDEX(Arten,MATCH(Z34,Codes,0))="Arbeit",INDEX(Arten,MATCH(AA34,Codes,0))="Arbeit"),IF(ROUND((1+INDEX(Beginne,MATCH(AA34,Codes,0))-INDEX(EndeRel,MATCH(Z34,Codes,0)))*1440,0)&lt;660,1,0),0),0))</f>
      </c>
      <c r="AB83" s="1">
        <f>IF(OR(AB$52=0,AA34="",AB34=""),0,IFERROR(IF(AND(INDEX(Arten,MATCH(AA34,Codes,0))="Arbeit",INDEX(Arten,MATCH(AB34,Codes,0))="Arbeit"),IF(ROUND((1+INDEX(Beginne,MATCH(AB34,Codes,0))-INDEX(EndeRel,MATCH(AA34,Codes,0)))*1440,0)&lt;660,1,0),0),0))</f>
      </c>
      <c r="AC83" s="1">
        <f>IF(OR(AC$52=0,AB34="",AC34=""),0,IFERROR(IF(AND(INDEX(Arten,MATCH(AB34,Codes,0))="Arbeit",INDEX(Arten,MATCH(AC34,Codes,0))="Arbeit"),IF(ROUND((1+INDEX(Beginne,MATCH(AC34,Codes,0))-INDEX(EndeRel,MATCH(AB34,Codes,0)))*1440,0)&lt;660,1,0),0),0))</f>
      </c>
      <c r="AD83" s="1">
        <f>IF(OR(AD$52=0,AC34="",AD34=""),0,IFERROR(IF(AND(INDEX(Arten,MATCH(AC34,Codes,0))="Arbeit",INDEX(Arten,MATCH(AD34,Codes,0))="Arbeit"),IF(ROUND((1+INDEX(Beginne,MATCH(AD34,Codes,0))-INDEX(EndeRel,MATCH(AC34,Codes,0)))*1440,0)&lt;660,1,0),0),0))</f>
      </c>
      <c r="AE83" s="1">
        <f>IF(OR(AE$52=0,AD34="",AE34=""),0,IFERROR(IF(AND(INDEX(Arten,MATCH(AD34,Codes,0))="Arbeit",INDEX(Arten,MATCH(AE34,Codes,0))="Arbeit"),IF(ROUND((1+INDEX(Beginne,MATCH(AE34,Codes,0))-INDEX(EndeRel,MATCH(AD34,Codes,0)))*1440,0)&lt;660,1,0),0),0))</f>
      </c>
      <c r="AF83" s="1">
        <f>IF(OR(AF$52=0,AE34="",AF34=""),0,IFERROR(IF(AND(INDEX(Arten,MATCH(AE34,Codes,0))="Arbeit",INDEX(Arten,MATCH(AF34,Codes,0))="Arbeit"),IF(ROUND((1+INDEX(Beginne,MATCH(AF34,Codes,0))-INDEX(EndeRel,MATCH(AE34,Codes,0)))*1440,0)&lt;660,1,0),0),0))</f>
      </c>
    </row>
    <row r="84" hidden="1" spans="1:32" x14ac:dyDescent="0.25">
      <c r="A84" s="1"/>
      <c r="B84" s="1">
        <f>IF(OR(B$52=0,INDEX('Mai'!$B$35:$AF$35,DAY(DATE(Jahr,6,0)))="",B35=""),0,IFERROR(IF(AND(INDEX(Arten,MATCH(INDEX('Mai'!$B$35:$AF$35,DAY(DATE(Jahr,6,0))),Codes,0))="Arbeit",INDEX(Arten,MATCH(B35,Codes,0))="Arbeit"),IF(ROUND((1+INDEX(Beginne,MATCH(B35,Codes,0))-INDEX(EndeRel,MATCH(INDEX('Mai'!$B$35:$AF$35,DAY(DATE(Jahr,6,0))),Codes,0)))*1440,0)&lt;660,1,0),0),0))</f>
      </c>
      <c r="C84" s="1">
        <f>IF(OR(C$52=0,B35="",C35=""),0,IFERROR(IF(AND(INDEX(Arten,MATCH(B35,Codes,0))="Arbeit",INDEX(Arten,MATCH(C35,Codes,0))="Arbeit"),IF(ROUND((1+INDEX(Beginne,MATCH(C35,Codes,0))-INDEX(EndeRel,MATCH(B35,Codes,0)))*1440,0)&lt;660,1,0),0),0))</f>
      </c>
      <c r="D84" s="1">
        <f>IF(OR(D$52=0,C35="",D35=""),0,IFERROR(IF(AND(INDEX(Arten,MATCH(C35,Codes,0))="Arbeit",INDEX(Arten,MATCH(D35,Codes,0))="Arbeit"),IF(ROUND((1+INDEX(Beginne,MATCH(D35,Codes,0))-INDEX(EndeRel,MATCH(C35,Codes,0)))*1440,0)&lt;660,1,0),0),0))</f>
      </c>
      <c r="E84" s="1">
        <f>IF(OR(E$52=0,D35="",E35=""),0,IFERROR(IF(AND(INDEX(Arten,MATCH(D35,Codes,0))="Arbeit",INDEX(Arten,MATCH(E35,Codes,0))="Arbeit"),IF(ROUND((1+INDEX(Beginne,MATCH(E35,Codes,0))-INDEX(EndeRel,MATCH(D35,Codes,0)))*1440,0)&lt;660,1,0),0),0))</f>
      </c>
      <c r="F84" s="1">
        <f>IF(OR(F$52=0,E35="",F35=""),0,IFERROR(IF(AND(INDEX(Arten,MATCH(E35,Codes,0))="Arbeit",INDEX(Arten,MATCH(F35,Codes,0))="Arbeit"),IF(ROUND((1+INDEX(Beginne,MATCH(F35,Codes,0))-INDEX(EndeRel,MATCH(E35,Codes,0)))*1440,0)&lt;660,1,0),0),0))</f>
      </c>
      <c r="G84" s="1">
        <f>IF(OR(G$52=0,F35="",G35=""),0,IFERROR(IF(AND(INDEX(Arten,MATCH(F35,Codes,0))="Arbeit",INDEX(Arten,MATCH(G35,Codes,0))="Arbeit"),IF(ROUND((1+INDEX(Beginne,MATCH(G35,Codes,0))-INDEX(EndeRel,MATCH(F35,Codes,0)))*1440,0)&lt;660,1,0),0),0))</f>
      </c>
      <c r="H84" s="1">
        <f>IF(OR(H$52=0,G35="",H35=""),0,IFERROR(IF(AND(INDEX(Arten,MATCH(G35,Codes,0))="Arbeit",INDEX(Arten,MATCH(H35,Codes,0))="Arbeit"),IF(ROUND((1+INDEX(Beginne,MATCH(H35,Codes,0))-INDEX(EndeRel,MATCH(G35,Codes,0)))*1440,0)&lt;660,1,0),0),0))</f>
      </c>
      <c r="I84" s="1">
        <f>IF(OR(I$52=0,H35="",I35=""),0,IFERROR(IF(AND(INDEX(Arten,MATCH(H35,Codes,0))="Arbeit",INDEX(Arten,MATCH(I35,Codes,0))="Arbeit"),IF(ROUND((1+INDEX(Beginne,MATCH(I35,Codes,0))-INDEX(EndeRel,MATCH(H35,Codes,0)))*1440,0)&lt;660,1,0),0),0))</f>
      </c>
      <c r="J84" s="1">
        <f>IF(OR(J$52=0,I35="",J35=""),0,IFERROR(IF(AND(INDEX(Arten,MATCH(I35,Codes,0))="Arbeit",INDEX(Arten,MATCH(J35,Codes,0))="Arbeit"),IF(ROUND((1+INDEX(Beginne,MATCH(J35,Codes,0))-INDEX(EndeRel,MATCH(I35,Codes,0)))*1440,0)&lt;660,1,0),0),0))</f>
      </c>
      <c r="K84" s="1">
        <f>IF(OR(K$52=0,J35="",K35=""),0,IFERROR(IF(AND(INDEX(Arten,MATCH(J35,Codes,0))="Arbeit",INDEX(Arten,MATCH(K35,Codes,0))="Arbeit"),IF(ROUND((1+INDEX(Beginne,MATCH(K35,Codes,0))-INDEX(EndeRel,MATCH(J35,Codes,0)))*1440,0)&lt;660,1,0),0),0))</f>
      </c>
      <c r="L84" s="1">
        <f>IF(OR(L$52=0,K35="",L35=""),0,IFERROR(IF(AND(INDEX(Arten,MATCH(K35,Codes,0))="Arbeit",INDEX(Arten,MATCH(L35,Codes,0))="Arbeit"),IF(ROUND((1+INDEX(Beginne,MATCH(L35,Codes,0))-INDEX(EndeRel,MATCH(K35,Codes,0)))*1440,0)&lt;660,1,0),0),0))</f>
      </c>
      <c r="M84" s="1">
        <f>IF(OR(M$52=0,L35="",M35=""),0,IFERROR(IF(AND(INDEX(Arten,MATCH(L35,Codes,0))="Arbeit",INDEX(Arten,MATCH(M35,Codes,0))="Arbeit"),IF(ROUND((1+INDEX(Beginne,MATCH(M35,Codes,0))-INDEX(EndeRel,MATCH(L35,Codes,0)))*1440,0)&lt;660,1,0),0),0))</f>
      </c>
      <c r="N84" s="1">
        <f>IF(OR(N$52=0,M35="",N35=""),0,IFERROR(IF(AND(INDEX(Arten,MATCH(M35,Codes,0))="Arbeit",INDEX(Arten,MATCH(N35,Codes,0))="Arbeit"),IF(ROUND((1+INDEX(Beginne,MATCH(N35,Codes,0))-INDEX(EndeRel,MATCH(M35,Codes,0)))*1440,0)&lt;660,1,0),0),0))</f>
      </c>
      <c r="O84" s="1">
        <f>IF(OR(O$52=0,N35="",O35=""),0,IFERROR(IF(AND(INDEX(Arten,MATCH(N35,Codes,0))="Arbeit",INDEX(Arten,MATCH(O35,Codes,0))="Arbeit"),IF(ROUND((1+INDEX(Beginne,MATCH(O35,Codes,0))-INDEX(EndeRel,MATCH(N35,Codes,0)))*1440,0)&lt;660,1,0),0),0))</f>
      </c>
      <c r="P84" s="1">
        <f>IF(OR(P$52=0,O35="",P35=""),0,IFERROR(IF(AND(INDEX(Arten,MATCH(O35,Codes,0))="Arbeit",INDEX(Arten,MATCH(P35,Codes,0))="Arbeit"),IF(ROUND((1+INDEX(Beginne,MATCH(P35,Codes,0))-INDEX(EndeRel,MATCH(O35,Codes,0)))*1440,0)&lt;660,1,0),0),0))</f>
      </c>
      <c r="Q84" s="1">
        <f>IF(OR(Q$52=0,P35="",Q35=""),0,IFERROR(IF(AND(INDEX(Arten,MATCH(P35,Codes,0))="Arbeit",INDEX(Arten,MATCH(Q35,Codes,0))="Arbeit"),IF(ROUND((1+INDEX(Beginne,MATCH(Q35,Codes,0))-INDEX(EndeRel,MATCH(P35,Codes,0)))*1440,0)&lt;660,1,0),0),0))</f>
      </c>
      <c r="R84" s="1">
        <f>IF(OR(R$52=0,Q35="",R35=""),0,IFERROR(IF(AND(INDEX(Arten,MATCH(Q35,Codes,0))="Arbeit",INDEX(Arten,MATCH(R35,Codes,0))="Arbeit"),IF(ROUND((1+INDEX(Beginne,MATCH(R35,Codes,0))-INDEX(EndeRel,MATCH(Q35,Codes,0)))*1440,0)&lt;660,1,0),0),0))</f>
      </c>
      <c r="S84" s="1">
        <f>IF(OR(S$52=0,R35="",S35=""),0,IFERROR(IF(AND(INDEX(Arten,MATCH(R35,Codes,0))="Arbeit",INDEX(Arten,MATCH(S35,Codes,0))="Arbeit"),IF(ROUND((1+INDEX(Beginne,MATCH(S35,Codes,0))-INDEX(EndeRel,MATCH(R35,Codes,0)))*1440,0)&lt;660,1,0),0),0))</f>
      </c>
      <c r="T84" s="1">
        <f>IF(OR(T$52=0,S35="",T35=""),0,IFERROR(IF(AND(INDEX(Arten,MATCH(S35,Codes,0))="Arbeit",INDEX(Arten,MATCH(T35,Codes,0))="Arbeit"),IF(ROUND((1+INDEX(Beginne,MATCH(T35,Codes,0))-INDEX(EndeRel,MATCH(S35,Codes,0)))*1440,0)&lt;660,1,0),0),0))</f>
      </c>
      <c r="U84" s="1">
        <f>IF(OR(U$52=0,T35="",U35=""),0,IFERROR(IF(AND(INDEX(Arten,MATCH(T35,Codes,0))="Arbeit",INDEX(Arten,MATCH(U35,Codes,0))="Arbeit"),IF(ROUND((1+INDEX(Beginne,MATCH(U35,Codes,0))-INDEX(EndeRel,MATCH(T35,Codes,0)))*1440,0)&lt;660,1,0),0),0))</f>
      </c>
      <c r="V84" s="1">
        <f>IF(OR(V$52=0,U35="",V35=""),0,IFERROR(IF(AND(INDEX(Arten,MATCH(U35,Codes,0))="Arbeit",INDEX(Arten,MATCH(V35,Codes,0))="Arbeit"),IF(ROUND((1+INDEX(Beginne,MATCH(V35,Codes,0))-INDEX(EndeRel,MATCH(U35,Codes,0)))*1440,0)&lt;660,1,0),0),0))</f>
      </c>
      <c r="W84" s="1">
        <f>IF(OR(W$52=0,V35="",W35=""),0,IFERROR(IF(AND(INDEX(Arten,MATCH(V35,Codes,0))="Arbeit",INDEX(Arten,MATCH(W35,Codes,0))="Arbeit"),IF(ROUND((1+INDEX(Beginne,MATCH(W35,Codes,0))-INDEX(EndeRel,MATCH(V35,Codes,0)))*1440,0)&lt;660,1,0),0),0))</f>
      </c>
      <c r="X84" s="1">
        <f>IF(OR(X$52=0,W35="",X35=""),0,IFERROR(IF(AND(INDEX(Arten,MATCH(W35,Codes,0))="Arbeit",INDEX(Arten,MATCH(X35,Codes,0))="Arbeit"),IF(ROUND((1+INDEX(Beginne,MATCH(X35,Codes,0))-INDEX(EndeRel,MATCH(W35,Codes,0)))*1440,0)&lt;660,1,0),0),0))</f>
      </c>
      <c r="Y84" s="1">
        <f>IF(OR(Y$52=0,X35="",Y35=""),0,IFERROR(IF(AND(INDEX(Arten,MATCH(X35,Codes,0))="Arbeit",INDEX(Arten,MATCH(Y35,Codes,0))="Arbeit"),IF(ROUND((1+INDEX(Beginne,MATCH(Y35,Codes,0))-INDEX(EndeRel,MATCH(X35,Codes,0)))*1440,0)&lt;660,1,0),0),0))</f>
      </c>
      <c r="Z84" s="1">
        <f>IF(OR(Z$52=0,Y35="",Z35=""),0,IFERROR(IF(AND(INDEX(Arten,MATCH(Y35,Codes,0))="Arbeit",INDEX(Arten,MATCH(Z35,Codes,0))="Arbeit"),IF(ROUND((1+INDEX(Beginne,MATCH(Z35,Codes,0))-INDEX(EndeRel,MATCH(Y35,Codes,0)))*1440,0)&lt;660,1,0),0),0))</f>
      </c>
      <c r="AA84" s="1">
        <f>IF(OR(AA$52=0,Z35="",AA35=""),0,IFERROR(IF(AND(INDEX(Arten,MATCH(Z35,Codes,0))="Arbeit",INDEX(Arten,MATCH(AA35,Codes,0))="Arbeit"),IF(ROUND((1+INDEX(Beginne,MATCH(AA35,Codes,0))-INDEX(EndeRel,MATCH(Z35,Codes,0)))*1440,0)&lt;660,1,0),0),0))</f>
      </c>
      <c r="AB84" s="1">
        <f>IF(OR(AB$52=0,AA35="",AB35=""),0,IFERROR(IF(AND(INDEX(Arten,MATCH(AA35,Codes,0))="Arbeit",INDEX(Arten,MATCH(AB35,Codes,0))="Arbeit"),IF(ROUND((1+INDEX(Beginne,MATCH(AB35,Codes,0))-INDEX(EndeRel,MATCH(AA35,Codes,0)))*1440,0)&lt;660,1,0),0),0))</f>
      </c>
      <c r="AC84" s="1">
        <f>IF(OR(AC$52=0,AB35="",AC35=""),0,IFERROR(IF(AND(INDEX(Arten,MATCH(AB35,Codes,0))="Arbeit",INDEX(Arten,MATCH(AC35,Codes,0))="Arbeit"),IF(ROUND((1+INDEX(Beginne,MATCH(AC35,Codes,0))-INDEX(EndeRel,MATCH(AB35,Codes,0)))*1440,0)&lt;660,1,0),0),0))</f>
      </c>
      <c r="AD84" s="1">
        <f>IF(OR(AD$52=0,AC35="",AD35=""),0,IFERROR(IF(AND(INDEX(Arten,MATCH(AC35,Codes,0))="Arbeit",INDEX(Arten,MATCH(AD35,Codes,0))="Arbeit"),IF(ROUND((1+INDEX(Beginne,MATCH(AD35,Codes,0))-INDEX(EndeRel,MATCH(AC35,Codes,0)))*1440,0)&lt;660,1,0),0),0))</f>
      </c>
      <c r="AE84" s="1">
        <f>IF(OR(AE$52=0,AD35="",AE35=""),0,IFERROR(IF(AND(INDEX(Arten,MATCH(AD35,Codes,0))="Arbeit",INDEX(Arten,MATCH(AE35,Codes,0))="Arbeit"),IF(ROUND((1+INDEX(Beginne,MATCH(AE35,Codes,0))-INDEX(EndeRel,MATCH(AD35,Codes,0)))*1440,0)&lt;660,1,0),0),0))</f>
      </c>
      <c r="AF84" s="1">
        <f>IF(OR(AF$52=0,AE35="",AF35=""),0,IFERROR(IF(AND(INDEX(Arten,MATCH(AE35,Codes,0))="Arbeit",INDEX(Arten,MATCH(AF35,Codes,0))="Arbeit"),IF(ROUND((1+INDEX(Beginne,MATCH(AF35,Codes,0))-INDEX(EndeRel,MATCH(AE35,Codes,0)))*1440,0)&lt;660,1,0),0),0))</f>
      </c>
    </row>
    <row r="86" hidden="1" spans="1:32" x14ac:dyDescent="0.25">
      <c r="A86" s="1"/>
      <c r="B86" s="1">
        <f>IF($AM38="","",IF(OR(B$51&gt;=6,B$50=1),N(INDEX(MinFrei,MATCH(1,ArbeitNr,0))),N(INDEX(MinWerktag,MATCH(1,ArbeitNr,0)))))</f>
      </c>
      <c r="C86" s="1">
        <f>IF($AM38="","",IF(OR(C$51&gt;=6,C$50=1),N(INDEX(MinFrei,MATCH(1,ArbeitNr,0))),N(INDEX(MinWerktag,MATCH(1,ArbeitNr,0)))))</f>
      </c>
      <c r="D86" s="1">
        <f>IF($AM38="","",IF(OR(D$51&gt;=6,D$50=1),N(INDEX(MinFrei,MATCH(1,ArbeitNr,0))),N(INDEX(MinWerktag,MATCH(1,ArbeitNr,0)))))</f>
      </c>
      <c r="E86" s="1">
        <f>IF($AM38="","",IF(OR(E$51&gt;=6,E$50=1),N(INDEX(MinFrei,MATCH(1,ArbeitNr,0))),N(INDEX(MinWerktag,MATCH(1,ArbeitNr,0)))))</f>
      </c>
      <c r="F86" s="1">
        <f>IF($AM38="","",IF(OR(F$51&gt;=6,F$50=1),N(INDEX(MinFrei,MATCH(1,ArbeitNr,0))),N(INDEX(MinWerktag,MATCH(1,ArbeitNr,0)))))</f>
      </c>
      <c r="G86" s="1">
        <f>IF($AM38="","",IF(OR(G$51&gt;=6,G$50=1),N(INDEX(MinFrei,MATCH(1,ArbeitNr,0))),N(INDEX(MinWerktag,MATCH(1,ArbeitNr,0)))))</f>
      </c>
      <c r="H86" s="1">
        <f>IF($AM38="","",IF(OR(H$51&gt;=6,H$50=1),N(INDEX(MinFrei,MATCH(1,ArbeitNr,0))),N(INDEX(MinWerktag,MATCH(1,ArbeitNr,0)))))</f>
      </c>
      <c r="I86" s="1">
        <f>IF($AM38="","",IF(OR(I$51&gt;=6,I$50=1),N(INDEX(MinFrei,MATCH(1,ArbeitNr,0))),N(INDEX(MinWerktag,MATCH(1,ArbeitNr,0)))))</f>
      </c>
      <c r="J86" s="1">
        <f>IF($AM38="","",IF(OR(J$51&gt;=6,J$50=1),N(INDEX(MinFrei,MATCH(1,ArbeitNr,0))),N(INDEX(MinWerktag,MATCH(1,ArbeitNr,0)))))</f>
      </c>
      <c r="K86" s="1">
        <f>IF($AM38="","",IF(OR(K$51&gt;=6,K$50=1),N(INDEX(MinFrei,MATCH(1,ArbeitNr,0))),N(INDEX(MinWerktag,MATCH(1,ArbeitNr,0)))))</f>
      </c>
      <c r="L86" s="1">
        <f>IF($AM38="","",IF(OR(L$51&gt;=6,L$50=1),N(INDEX(MinFrei,MATCH(1,ArbeitNr,0))),N(INDEX(MinWerktag,MATCH(1,ArbeitNr,0)))))</f>
      </c>
      <c r="M86" s="1">
        <f>IF($AM38="","",IF(OR(M$51&gt;=6,M$50=1),N(INDEX(MinFrei,MATCH(1,ArbeitNr,0))),N(INDEX(MinWerktag,MATCH(1,ArbeitNr,0)))))</f>
      </c>
      <c r="N86" s="1">
        <f>IF($AM38="","",IF(OR(N$51&gt;=6,N$50=1),N(INDEX(MinFrei,MATCH(1,ArbeitNr,0))),N(INDEX(MinWerktag,MATCH(1,ArbeitNr,0)))))</f>
      </c>
      <c r="O86" s="1">
        <f>IF($AM38="","",IF(OR(O$51&gt;=6,O$50=1),N(INDEX(MinFrei,MATCH(1,ArbeitNr,0))),N(INDEX(MinWerktag,MATCH(1,ArbeitNr,0)))))</f>
      </c>
      <c r="P86" s="1">
        <f>IF($AM38="","",IF(OR(P$51&gt;=6,P$50=1),N(INDEX(MinFrei,MATCH(1,ArbeitNr,0))),N(INDEX(MinWerktag,MATCH(1,ArbeitNr,0)))))</f>
      </c>
      <c r="Q86" s="1">
        <f>IF($AM38="","",IF(OR(Q$51&gt;=6,Q$50=1),N(INDEX(MinFrei,MATCH(1,ArbeitNr,0))),N(INDEX(MinWerktag,MATCH(1,ArbeitNr,0)))))</f>
      </c>
      <c r="R86" s="1">
        <f>IF($AM38="","",IF(OR(R$51&gt;=6,R$50=1),N(INDEX(MinFrei,MATCH(1,ArbeitNr,0))),N(INDEX(MinWerktag,MATCH(1,ArbeitNr,0)))))</f>
      </c>
      <c r="S86" s="1">
        <f>IF($AM38="","",IF(OR(S$51&gt;=6,S$50=1),N(INDEX(MinFrei,MATCH(1,ArbeitNr,0))),N(INDEX(MinWerktag,MATCH(1,ArbeitNr,0)))))</f>
      </c>
      <c r="T86" s="1">
        <f>IF($AM38="","",IF(OR(T$51&gt;=6,T$50=1),N(INDEX(MinFrei,MATCH(1,ArbeitNr,0))),N(INDEX(MinWerktag,MATCH(1,ArbeitNr,0)))))</f>
      </c>
      <c r="U86" s="1">
        <f>IF($AM38="","",IF(OR(U$51&gt;=6,U$50=1),N(INDEX(MinFrei,MATCH(1,ArbeitNr,0))),N(INDEX(MinWerktag,MATCH(1,ArbeitNr,0)))))</f>
      </c>
      <c r="V86" s="1">
        <f>IF($AM38="","",IF(OR(V$51&gt;=6,V$50=1),N(INDEX(MinFrei,MATCH(1,ArbeitNr,0))),N(INDEX(MinWerktag,MATCH(1,ArbeitNr,0)))))</f>
      </c>
      <c r="W86" s="1">
        <f>IF($AM38="","",IF(OR(W$51&gt;=6,W$50=1),N(INDEX(MinFrei,MATCH(1,ArbeitNr,0))),N(INDEX(MinWerktag,MATCH(1,ArbeitNr,0)))))</f>
      </c>
      <c r="X86" s="1">
        <f>IF($AM38="","",IF(OR(X$51&gt;=6,X$50=1),N(INDEX(MinFrei,MATCH(1,ArbeitNr,0))),N(INDEX(MinWerktag,MATCH(1,ArbeitNr,0)))))</f>
      </c>
      <c r="Y86" s="1">
        <f>IF($AM38="","",IF(OR(Y$51&gt;=6,Y$50=1),N(INDEX(MinFrei,MATCH(1,ArbeitNr,0))),N(INDEX(MinWerktag,MATCH(1,ArbeitNr,0)))))</f>
      </c>
      <c r="Z86" s="1">
        <f>IF($AM38="","",IF(OR(Z$51&gt;=6,Z$50=1),N(INDEX(MinFrei,MATCH(1,ArbeitNr,0))),N(INDEX(MinWerktag,MATCH(1,ArbeitNr,0)))))</f>
      </c>
      <c r="AA86" s="1">
        <f>IF($AM38="","",IF(OR(AA$51&gt;=6,AA$50=1),N(INDEX(MinFrei,MATCH(1,ArbeitNr,0))),N(INDEX(MinWerktag,MATCH(1,ArbeitNr,0)))))</f>
      </c>
      <c r="AB86" s="1">
        <f>IF($AM38="","",IF(OR(AB$51&gt;=6,AB$50=1),N(INDEX(MinFrei,MATCH(1,ArbeitNr,0))),N(INDEX(MinWerktag,MATCH(1,ArbeitNr,0)))))</f>
      </c>
      <c r="AC86" s="1">
        <f>IF($AM38="","",IF(OR(AC$51&gt;=6,AC$50=1),N(INDEX(MinFrei,MATCH(1,ArbeitNr,0))),N(INDEX(MinWerktag,MATCH(1,ArbeitNr,0)))))</f>
      </c>
      <c r="AD86" s="1">
        <f>IF($AM38="","",IF(OR(AD$51&gt;=6,AD$50=1),N(INDEX(MinFrei,MATCH(1,ArbeitNr,0))),N(INDEX(MinWerktag,MATCH(1,ArbeitNr,0)))))</f>
      </c>
      <c r="AE86" s="1">
        <f>IF($AM38="","",IF(OR(AE$51&gt;=6,AE$50=1),N(INDEX(MinFrei,MATCH(1,ArbeitNr,0))),N(INDEX(MinWerktag,MATCH(1,ArbeitNr,0)))))</f>
      </c>
      <c r="AF86" s="1">
        <f>IF($AM38="","",IF(OR(AF$51&gt;=6,AF$50=1),N(INDEX(MinFrei,MATCH(1,ArbeitNr,0))),N(INDEX(MinWerktag,MATCH(1,ArbeitNr,0)))))</f>
      </c>
    </row>
    <row r="87" hidden="1" spans="1:32" x14ac:dyDescent="0.25">
      <c r="A87" s="1"/>
      <c r="B87" s="1">
        <f>IF($AM39="","",IF(OR(B$51&gt;=6,B$50=1),N(INDEX(MinFrei,MATCH(2,ArbeitNr,0))),N(INDEX(MinWerktag,MATCH(2,ArbeitNr,0)))))</f>
      </c>
      <c r="C87" s="1">
        <f>IF($AM39="","",IF(OR(C$51&gt;=6,C$50=1),N(INDEX(MinFrei,MATCH(2,ArbeitNr,0))),N(INDEX(MinWerktag,MATCH(2,ArbeitNr,0)))))</f>
      </c>
      <c r="D87" s="1">
        <f>IF($AM39="","",IF(OR(D$51&gt;=6,D$50=1),N(INDEX(MinFrei,MATCH(2,ArbeitNr,0))),N(INDEX(MinWerktag,MATCH(2,ArbeitNr,0)))))</f>
      </c>
      <c r="E87" s="1">
        <f>IF($AM39="","",IF(OR(E$51&gt;=6,E$50=1),N(INDEX(MinFrei,MATCH(2,ArbeitNr,0))),N(INDEX(MinWerktag,MATCH(2,ArbeitNr,0)))))</f>
      </c>
      <c r="F87" s="1">
        <f>IF($AM39="","",IF(OR(F$51&gt;=6,F$50=1),N(INDEX(MinFrei,MATCH(2,ArbeitNr,0))),N(INDEX(MinWerktag,MATCH(2,ArbeitNr,0)))))</f>
      </c>
      <c r="G87" s="1">
        <f>IF($AM39="","",IF(OR(G$51&gt;=6,G$50=1),N(INDEX(MinFrei,MATCH(2,ArbeitNr,0))),N(INDEX(MinWerktag,MATCH(2,ArbeitNr,0)))))</f>
      </c>
      <c r="H87" s="1">
        <f>IF($AM39="","",IF(OR(H$51&gt;=6,H$50=1),N(INDEX(MinFrei,MATCH(2,ArbeitNr,0))),N(INDEX(MinWerktag,MATCH(2,ArbeitNr,0)))))</f>
      </c>
      <c r="I87" s="1">
        <f>IF($AM39="","",IF(OR(I$51&gt;=6,I$50=1),N(INDEX(MinFrei,MATCH(2,ArbeitNr,0))),N(INDEX(MinWerktag,MATCH(2,ArbeitNr,0)))))</f>
      </c>
      <c r="J87" s="1">
        <f>IF($AM39="","",IF(OR(J$51&gt;=6,J$50=1),N(INDEX(MinFrei,MATCH(2,ArbeitNr,0))),N(INDEX(MinWerktag,MATCH(2,ArbeitNr,0)))))</f>
      </c>
      <c r="K87" s="1">
        <f>IF($AM39="","",IF(OR(K$51&gt;=6,K$50=1),N(INDEX(MinFrei,MATCH(2,ArbeitNr,0))),N(INDEX(MinWerktag,MATCH(2,ArbeitNr,0)))))</f>
      </c>
      <c r="L87" s="1">
        <f>IF($AM39="","",IF(OR(L$51&gt;=6,L$50=1),N(INDEX(MinFrei,MATCH(2,ArbeitNr,0))),N(INDEX(MinWerktag,MATCH(2,ArbeitNr,0)))))</f>
      </c>
      <c r="M87" s="1">
        <f>IF($AM39="","",IF(OR(M$51&gt;=6,M$50=1),N(INDEX(MinFrei,MATCH(2,ArbeitNr,0))),N(INDEX(MinWerktag,MATCH(2,ArbeitNr,0)))))</f>
      </c>
      <c r="N87" s="1">
        <f>IF($AM39="","",IF(OR(N$51&gt;=6,N$50=1),N(INDEX(MinFrei,MATCH(2,ArbeitNr,0))),N(INDEX(MinWerktag,MATCH(2,ArbeitNr,0)))))</f>
      </c>
      <c r="O87" s="1">
        <f>IF($AM39="","",IF(OR(O$51&gt;=6,O$50=1),N(INDEX(MinFrei,MATCH(2,ArbeitNr,0))),N(INDEX(MinWerktag,MATCH(2,ArbeitNr,0)))))</f>
      </c>
      <c r="P87" s="1">
        <f>IF($AM39="","",IF(OR(P$51&gt;=6,P$50=1),N(INDEX(MinFrei,MATCH(2,ArbeitNr,0))),N(INDEX(MinWerktag,MATCH(2,ArbeitNr,0)))))</f>
      </c>
      <c r="Q87" s="1">
        <f>IF($AM39="","",IF(OR(Q$51&gt;=6,Q$50=1),N(INDEX(MinFrei,MATCH(2,ArbeitNr,0))),N(INDEX(MinWerktag,MATCH(2,ArbeitNr,0)))))</f>
      </c>
      <c r="R87" s="1">
        <f>IF($AM39="","",IF(OR(R$51&gt;=6,R$50=1),N(INDEX(MinFrei,MATCH(2,ArbeitNr,0))),N(INDEX(MinWerktag,MATCH(2,ArbeitNr,0)))))</f>
      </c>
      <c r="S87" s="1">
        <f>IF($AM39="","",IF(OR(S$51&gt;=6,S$50=1),N(INDEX(MinFrei,MATCH(2,ArbeitNr,0))),N(INDEX(MinWerktag,MATCH(2,ArbeitNr,0)))))</f>
      </c>
      <c r="T87" s="1">
        <f>IF($AM39="","",IF(OR(T$51&gt;=6,T$50=1),N(INDEX(MinFrei,MATCH(2,ArbeitNr,0))),N(INDEX(MinWerktag,MATCH(2,ArbeitNr,0)))))</f>
      </c>
      <c r="U87" s="1">
        <f>IF($AM39="","",IF(OR(U$51&gt;=6,U$50=1),N(INDEX(MinFrei,MATCH(2,ArbeitNr,0))),N(INDEX(MinWerktag,MATCH(2,ArbeitNr,0)))))</f>
      </c>
      <c r="V87" s="1">
        <f>IF($AM39="","",IF(OR(V$51&gt;=6,V$50=1),N(INDEX(MinFrei,MATCH(2,ArbeitNr,0))),N(INDEX(MinWerktag,MATCH(2,ArbeitNr,0)))))</f>
      </c>
      <c r="W87" s="1">
        <f>IF($AM39="","",IF(OR(W$51&gt;=6,W$50=1),N(INDEX(MinFrei,MATCH(2,ArbeitNr,0))),N(INDEX(MinWerktag,MATCH(2,ArbeitNr,0)))))</f>
      </c>
      <c r="X87" s="1">
        <f>IF($AM39="","",IF(OR(X$51&gt;=6,X$50=1),N(INDEX(MinFrei,MATCH(2,ArbeitNr,0))),N(INDEX(MinWerktag,MATCH(2,ArbeitNr,0)))))</f>
      </c>
      <c r="Y87" s="1">
        <f>IF($AM39="","",IF(OR(Y$51&gt;=6,Y$50=1),N(INDEX(MinFrei,MATCH(2,ArbeitNr,0))),N(INDEX(MinWerktag,MATCH(2,ArbeitNr,0)))))</f>
      </c>
      <c r="Z87" s="1">
        <f>IF($AM39="","",IF(OR(Z$51&gt;=6,Z$50=1),N(INDEX(MinFrei,MATCH(2,ArbeitNr,0))),N(INDEX(MinWerktag,MATCH(2,ArbeitNr,0)))))</f>
      </c>
      <c r="AA87" s="1">
        <f>IF($AM39="","",IF(OR(AA$51&gt;=6,AA$50=1),N(INDEX(MinFrei,MATCH(2,ArbeitNr,0))),N(INDEX(MinWerktag,MATCH(2,ArbeitNr,0)))))</f>
      </c>
      <c r="AB87" s="1">
        <f>IF($AM39="","",IF(OR(AB$51&gt;=6,AB$50=1),N(INDEX(MinFrei,MATCH(2,ArbeitNr,0))),N(INDEX(MinWerktag,MATCH(2,ArbeitNr,0)))))</f>
      </c>
      <c r="AC87" s="1">
        <f>IF($AM39="","",IF(OR(AC$51&gt;=6,AC$50=1),N(INDEX(MinFrei,MATCH(2,ArbeitNr,0))),N(INDEX(MinWerktag,MATCH(2,ArbeitNr,0)))))</f>
      </c>
      <c r="AD87" s="1">
        <f>IF($AM39="","",IF(OR(AD$51&gt;=6,AD$50=1),N(INDEX(MinFrei,MATCH(2,ArbeitNr,0))),N(INDEX(MinWerktag,MATCH(2,ArbeitNr,0)))))</f>
      </c>
      <c r="AE87" s="1">
        <f>IF($AM39="","",IF(OR(AE$51&gt;=6,AE$50=1),N(INDEX(MinFrei,MATCH(2,ArbeitNr,0))),N(INDEX(MinWerktag,MATCH(2,ArbeitNr,0)))))</f>
      </c>
      <c r="AF87" s="1">
        <f>IF($AM39="","",IF(OR(AF$51&gt;=6,AF$50=1),N(INDEX(MinFrei,MATCH(2,ArbeitNr,0))),N(INDEX(MinWerktag,MATCH(2,ArbeitNr,0)))))</f>
      </c>
    </row>
    <row r="88" hidden="1" spans="1:32" x14ac:dyDescent="0.25">
      <c r="A88" s="1"/>
      <c r="B88" s="1">
        <f>IF($AM40="","",IF(OR(B$51&gt;=6,B$50=1),N(INDEX(MinFrei,MATCH(3,ArbeitNr,0))),N(INDEX(MinWerktag,MATCH(3,ArbeitNr,0)))))</f>
      </c>
      <c r="C88" s="1">
        <f>IF($AM40="","",IF(OR(C$51&gt;=6,C$50=1),N(INDEX(MinFrei,MATCH(3,ArbeitNr,0))),N(INDEX(MinWerktag,MATCH(3,ArbeitNr,0)))))</f>
      </c>
      <c r="D88" s="1">
        <f>IF($AM40="","",IF(OR(D$51&gt;=6,D$50=1),N(INDEX(MinFrei,MATCH(3,ArbeitNr,0))),N(INDEX(MinWerktag,MATCH(3,ArbeitNr,0)))))</f>
      </c>
      <c r="E88" s="1">
        <f>IF($AM40="","",IF(OR(E$51&gt;=6,E$50=1),N(INDEX(MinFrei,MATCH(3,ArbeitNr,0))),N(INDEX(MinWerktag,MATCH(3,ArbeitNr,0)))))</f>
      </c>
      <c r="F88" s="1">
        <f>IF($AM40="","",IF(OR(F$51&gt;=6,F$50=1),N(INDEX(MinFrei,MATCH(3,ArbeitNr,0))),N(INDEX(MinWerktag,MATCH(3,ArbeitNr,0)))))</f>
      </c>
      <c r="G88" s="1">
        <f>IF($AM40="","",IF(OR(G$51&gt;=6,G$50=1),N(INDEX(MinFrei,MATCH(3,ArbeitNr,0))),N(INDEX(MinWerktag,MATCH(3,ArbeitNr,0)))))</f>
      </c>
      <c r="H88" s="1">
        <f>IF($AM40="","",IF(OR(H$51&gt;=6,H$50=1),N(INDEX(MinFrei,MATCH(3,ArbeitNr,0))),N(INDEX(MinWerktag,MATCH(3,ArbeitNr,0)))))</f>
      </c>
      <c r="I88" s="1">
        <f>IF($AM40="","",IF(OR(I$51&gt;=6,I$50=1),N(INDEX(MinFrei,MATCH(3,ArbeitNr,0))),N(INDEX(MinWerktag,MATCH(3,ArbeitNr,0)))))</f>
      </c>
      <c r="J88" s="1">
        <f>IF($AM40="","",IF(OR(J$51&gt;=6,J$50=1),N(INDEX(MinFrei,MATCH(3,ArbeitNr,0))),N(INDEX(MinWerktag,MATCH(3,ArbeitNr,0)))))</f>
      </c>
      <c r="K88" s="1">
        <f>IF($AM40="","",IF(OR(K$51&gt;=6,K$50=1),N(INDEX(MinFrei,MATCH(3,ArbeitNr,0))),N(INDEX(MinWerktag,MATCH(3,ArbeitNr,0)))))</f>
      </c>
      <c r="L88" s="1">
        <f>IF($AM40="","",IF(OR(L$51&gt;=6,L$50=1),N(INDEX(MinFrei,MATCH(3,ArbeitNr,0))),N(INDEX(MinWerktag,MATCH(3,ArbeitNr,0)))))</f>
      </c>
      <c r="M88" s="1">
        <f>IF($AM40="","",IF(OR(M$51&gt;=6,M$50=1),N(INDEX(MinFrei,MATCH(3,ArbeitNr,0))),N(INDEX(MinWerktag,MATCH(3,ArbeitNr,0)))))</f>
      </c>
      <c r="N88" s="1">
        <f>IF($AM40="","",IF(OR(N$51&gt;=6,N$50=1),N(INDEX(MinFrei,MATCH(3,ArbeitNr,0))),N(INDEX(MinWerktag,MATCH(3,ArbeitNr,0)))))</f>
      </c>
      <c r="O88" s="1">
        <f>IF($AM40="","",IF(OR(O$51&gt;=6,O$50=1),N(INDEX(MinFrei,MATCH(3,ArbeitNr,0))),N(INDEX(MinWerktag,MATCH(3,ArbeitNr,0)))))</f>
      </c>
      <c r="P88" s="1">
        <f>IF($AM40="","",IF(OR(P$51&gt;=6,P$50=1),N(INDEX(MinFrei,MATCH(3,ArbeitNr,0))),N(INDEX(MinWerktag,MATCH(3,ArbeitNr,0)))))</f>
      </c>
      <c r="Q88" s="1">
        <f>IF($AM40="","",IF(OR(Q$51&gt;=6,Q$50=1),N(INDEX(MinFrei,MATCH(3,ArbeitNr,0))),N(INDEX(MinWerktag,MATCH(3,ArbeitNr,0)))))</f>
      </c>
      <c r="R88" s="1">
        <f>IF($AM40="","",IF(OR(R$51&gt;=6,R$50=1),N(INDEX(MinFrei,MATCH(3,ArbeitNr,0))),N(INDEX(MinWerktag,MATCH(3,ArbeitNr,0)))))</f>
      </c>
      <c r="S88" s="1">
        <f>IF($AM40="","",IF(OR(S$51&gt;=6,S$50=1),N(INDEX(MinFrei,MATCH(3,ArbeitNr,0))),N(INDEX(MinWerktag,MATCH(3,ArbeitNr,0)))))</f>
      </c>
      <c r="T88" s="1">
        <f>IF($AM40="","",IF(OR(T$51&gt;=6,T$50=1),N(INDEX(MinFrei,MATCH(3,ArbeitNr,0))),N(INDEX(MinWerktag,MATCH(3,ArbeitNr,0)))))</f>
      </c>
      <c r="U88" s="1">
        <f>IF($AM40="","",IF(OR(U$51&gt;=6,U$50=1),N(INDEX(MinFrei,MATCH(3,ArbeitNr,0))),N(INDEX(MinWerktag,MATCH(3,ArbeitNr,0)))))</f>
      </c>
      <c r="V88" s="1">
        <f>IF($AM40="","",IF(OR(V$51&gt;=6,V$50=1),N(INDEX(MinFrei,MATCH(3,ArbeitNr,0))),N(INDEX(MinWerktag,MATCH(3,ArbeitNr,0)))))</f>
      </c>
      <c r="W88" s="1">
        <f>IF($AM40="","",IF(OR(W$51&gt;=6,W$50=1),N(INDEX(MinFrei,MATCH(3,ArbeitNr,0))),N(INDEX(MinWerktag,MATCH(3,ArbeitNr,0)))))</f>
      </c>
      <c r="X88" s="1">
        <f>IF($AM40="","",IF(OR(X$51&gt;=6,X$50=1),N(INDEX(MinFrei,MATCH(3,ArbeitNr,0))),N(INDEX(MinWerktag,MATCH(3,ArbeitNr,0)))))</f>
      </c>
      <c r="Y88" s="1">
        <f>IF($AM40="","",IF(OR(Y$51&gt;=6,Y$50=1),N(INDEX(MinFrei,MATCH(3,ArbeitNr,0))),N(INDEX(MinWerktag,MATCH(3,ArbeitNr,0)))))</f>
      </c>
      <c r="Z88" s="1">
        <f>IF($AM40="","",IF(OR(Z$51&gt;=6,Z$50=1),N(INDEX(MinFrei,MATCH(3,ArbeitNr,0))),N(INDEX(MinWerktag,MATCH(3,ArbeitNr,0)))))</f>
      </c>
      <c r="AA88" s="1">
        <f>IF($AM40="","",IF(OR(AA$51&gt;=6,AA$50=1),N(INDEX(MinFrei,MATCH(3,ArbeitNr,0))),N(INDEX(MinWerktag,MATCH(3,ArbeitNr,0)))))</f>
      </c>
      <c r="AB88" s="1">
        <f>IF($AM40="","",IF(OR(AB$51&gt;=6,AB$50=1),N(INDEX(MinFrei,MATCH(3,ArbeitNr,0))),N(INDEX(MinWerktag,MATCH(3,ArbeitNr,0)))))</f>
      </c>
      <c r="AC88" s="1">
        <f>IF($AM40="","",IF(OR(AC$51&gt;=6,AC$50=1),N(INDEX(MinFrei,MATCH(3,ArbeitNr,0))),N(INDEX(MinWerktag,MATCH(3,ArbeitNr,0)))))</f>
      </c>
      <c r="AD88" s="1">
        <f>IF($AM40="","",IF(OR(AD$51&gt;=6,AD$50=1),N(INDEX(MinFrei,MATCH(3,ArbeitNr,0))),N(INDEX(MinWerktag,MATCH(3,ArbeitNr,0)))))</f>
      </c>
      <c r="AE88" s="1">
        <f>IF($AM40="","",IF(OR(AE$51&gt;=6,AE$50=1),N(INDEX(MinFrei,MATCH(3,ArbeitNr,0))),N(INDEX(MinWerktag,MATCH(3,ArbeitNr,0)))))</f>
      </c>
      <c r="AF88" s="1">
        <f>IF($AM40="","",IF(OR(AF$51&gt;=6,AF$50=1),N(INDEX(MinFrei,MATCH(3,ArbeitNr,0))),N(INDEX(MinWerktag,MATCH(3,ArbeitNr,0)))))</f>
      </c>
    </row>
    <row r="89" hidden="1" spans="1:32" x14ac:dyDescent="0.25">
      <c r="A89" s="1"/>
      <c r="B89" s="1">
        <f>IF($AM41="","",IF(OR(B$51&gt;=6,B$50=1),N(INDEX(MinFrei,MATCH(4,ArbeitNr,0))),N(INDEX(MinWerktag,MATCH(4,ArbeitNr,0)))))</f>
      </c>
      <c r="C89" s="1">
        <f>IF($AM41="","",IF(OR(C$51&gt;=6,C$50=1),N(INDEX(MinFrei,MATCH(4,ArbeitNr,0))),N(INDEX(MinWerktag,MATCH(4,ArbeitNr,0)))))</f>
      </c>
      <c r="D89" s="1">
        <f>IF($AM41="","",IF(OR(D$51&gt;=6,D$50=1),N(INDEX(MinFrei,MATCH(4,ArbeitNr,0))),N(INDEX(MinWerktag,MATCH(4,ArbeitNr,0)))))</f>
      </c>
      <c r="E89" s="1">
        <f>IF($AM41="","",IF(OR(E$51&gt;=6,E$50=1),N(INDEX(MinFrei,MATCH(4,ArbeitNr,0))),N(INDEX(MinWerktag,MATCH(4,ArbeitNr,0)))))</f>
      </c>
      <c r="F89" s="1">
        <f>IF($AM41="","",IF(OR(F$51&gt;=6,F$50=1),N(INDEX(MinFrei,MATCH(4,ArbeitNr,0))),N(INDEX(MinWerktag,MATCH(4,ArbeitNr,0)))))</f>
      </c>
      <c r="G89" s="1">
        <f>IF($AM41="","",IF(OR(G$51&gt;=6,G$50=1),N(INDEX(MinFrei,MATCH(4,ArbeitNr,0))),N(INDEX(MinWerktag,MATCH(4,ArbeitNr,0)))))</f>
      </c>
      <c r="H89" s="1">
        <f>IF($AM41="","",IF(OR(H$51&gt;=6,H$50=1),N(INDEX(MinFrei,MATCH(4,ArbeitNr,0))),N(INDEX(MinWerktag,MATCH(4,ArbeitNr,0)))))</f>
      </c>
      <c r="I89" s="1">
        <f>IF($AM41="","",IF(OR(I$51&gt;=6,I$50=1),N(INDEX(MinFrei,MATCH(4,ArbeitNr,0))),N(INDEX(MinWerktag,MATCH(4,ArbeitNr,0)))))</f>
      </c>
      <c r="J89" s="1">
        <f>IF($AM41="","",IF(OR(J$51&gt;=6,J$50=1),N(INDEX(MinFrei,MATCH(4,ArbeitNr,0))),N(INDEX(MinWerktag,MATCH(4,ArbeitNr,0)))))</f>
      </c>
      <c r="K89" s="1">
        <f>IF($AM41="","",IF(OR(K$51&gt;=6,K$50=1),N(INDEX(MinFrei,MATCH(4,ArbeitNr,0))),N(INDEX(MinWerktag,MATCH(4,ArbeitNr,0)))))</f>
      </c>
      <c r="L89" s="1">
        <f>IF($AM41="","",IF(OR(L$51&gt;=6,L$50=1),N(INDEX(MinFrei,MATCH(4,ArbeitNr,0))),N(INDEX(MinWerktag,MATCH(4,ArbeitNr,0)))))</f>
      </c>
      <c r="M89" s="1">
        <f>IF($AM41="","",IF(OR(M$51&gt;=6,M$50=1),N(INDEX(MinFrei,MATCH(4,ArbeitNr,0))),N(INDEX(MinWerktag,MATCH(4,ArbeitNr,0)))))</f>
      </c>
      <c r="N89" s="1">
        <f>IF($AM41="","",IF(OR(N$51&gt;=6,N$50=1),N(INDEX(MinFrei,MATCH(4,ArbeitNr,0))),N(INDEX(MinWerktag,MATCH(4,ArbeitNr,0)))))</f>
      </c>
      <c r="O89" s="1">
        <f>IF($AM41="","",IF(OR(O$51&gt;=6,O$50=1),N(INDEX(MinFrei,MATCH(4,ArbeitNr,0))),N(INDEX(MinWerktag,MATCH(4,ArbeitNr,0)))))</f>
      </c>
      <c r="P89" s="1">
        <f>IF($AM41="","",IF(OR(P$51&gt;=6,P$50=1),N(INDEX(MinFrei,MATCH(4,ArbeitNr,0))),N(INDEX(MinWerktag,MATCH(4,ArbeitNr,0)))))</f>
      </c>
      <c r="Q89" s="1">
        <f>IF($AM41="","",IF(OR(Q$51&gt;=6,Q$50=1),N(INDEX(MinFrei,MATCH(4,ArbeitNr,0))),N(INDEX(MinWerktag,MATCH(4,ArbeitNr,0)))))</f>
      </c>
      <c r="R89" s="1">
        <f>IF($AM41="","",IF(OR(R$51&gt;=6,R$50=1),N(INDEX(MinFrei,MATCH(4,ArbeitNr,0))),N(INDEX(MinWerktag,MATCH(4,ArbeitNr,0)))))</f>
      </c>
      <c r="S89" s="1">
        <f>IF($AM41="","",IF(OR(S$51&gt;=6,S$50=1),N(INDEX(MinFrei,MATCH(4,ArbeitNr,0))),N(INDEX(MinWerktag,MATCH(4,ArbeitNr,0)))))</f>
      </c>
      <c r="T89" s="1">
        <f>IF($AM41="","",IF(OR(T$51&gt;=6,T$50=1),N(INDEX(MinFrei,MATCH(4,ArbeitNr,0))),N(INDEX(MinWerktag,MATCH(4,ArbeitNr,0)))))</f>
      </c>
      <c r="U89" s="1">
        <f>IF($AM41="","",IF(OR(U$51&gt;=6,U$50=1),N(INDEX(MinFrei,MATCH(4,ArbeitNr,0))),N(INDEX(MinWerktag,MATCH(4,ArbeitNr,0)))))</f>
      </c>
      <c r="V89" s="1">
        <f>IF($AM41="","",IF(OR(V$51&gt;=6,V$50=1),N(INDEX(MinFrei,MATCH(4,ArbeitNr,0))),N(INDEX(MinWerktag,MATCH(4,ArbeitNr,0)))))</f>
      </c>
      <c r="W89" s="1">
        <f>IF($AM41="","",IF(OR(W$51&gt;=6,W$50=1),N(INDEX(MinFrei,MATCH(4,ArbeitNr,0))),N(INDEX(MinWerktag,MATCH(4,ArbeitNr,0)))))</f>
      </c>
      <c r="X89" s="1">
        <f>IF($AM41="","",IF(OR(X$51&gt;=6,X$50=1),N(INDEX(MinFrei,MATCH(4,ArbeitNr,0))),N(INDEX(MinWerktag,MATCH(4,ArbeitNr,0)))))</f>
      </c>
      <c r="Y89" s="1">
        <f>IF($AM41="","",IF(OR(Y$51&gt;=6,Y$50=1),N(INDEX(MinFrei,MATCH(4,ArbeitNr,0))),N(INDEX(MinWerktag,MATCH(4,ArbeitNr,0)))))</f>
      </c>
      <c r="Z89" s="1">
        <f>IF($AM41="","",IF(OR(Z$51&gt;=6,Z$50=1),N(INDEX(MinFrei,MATCH(4,ArbeitNr,0))),N(INDEX(MinWerktag,MATCH(4,ArbeitNr,0)))))</f>
      </c>
      <c r="AA89" s="1">
        <f>IF($AM41="","",IF(OR(AA$51&gt;=6,AA$50=1),N(INDEX(MinFrei,MATCH(4,ArbeitNr,0))),N(INDEX(MinWerktag,MATCH(4,ArbeitNr,0)))))</f>
      </c>
      <c r="AB89" s="1">
        <f>IF($AM41="","",IF(OR(AB$51&gt;=6,AB$50=1),N(INDEX(MinFrei,MATCH(4,ArbeitNr,0))),N(INDEX(MinWerktag,MATCH(4,ArbeitNr,0)))))</f>
      </c>
      <c r="AC89" s="1">
        <f>IF($AM41="","",IF(OR(AC$51&gt;=6,AC$50=1),N(INDEX(MinFrei,MATCH(4,ArbeitNr,0))),N(INDEX(MinWerktag,MATCH(4,ArbeitNr,0)))))</f>
      </c>
      <c r="AD89" s="1">
        <f>IF($AM41="","",IF(OR(AD$51&gt;=6,AD$50=1),N(INDEX(MinFrei,MATCH(4,ArbeitNr,0))),N(INDEX(MinWerktag,MATCH(4,ArbeitNr,0)))))</f>
      </c>
      <c r="AE89" s="1">
        <f>IF($AM41="","",IF(OR(AE$51&gt;=6,AE$50=1),N(INDEX(MinFrei,MATCH(4,ArbeitNr,0))),N(INDEX(MinWerktag,MATCH(4,ArbeitNr,0)))))</f>
      </c>
      <c r="AF89" s="1">
        <f>IF($AM41="","",IF(OR(AF$51&gt;=6,AF$50=1),N(INDEX(MinFrei,MATCH(4,ArbeitNr,0))),N(INDEX(MinWerktag,MATCH(4,ArbeitNr,0)))))</f>
      </c>
    </row>
    <row r="90" hidden="1" spans="1:32" x14ac:dyDescent="0.25">
      <c r="A90" s="1"/>
      <c r="B90" s="1">
        <f>IF($AM42="","",IF(OR(B$51&gt;=6,B$50=1),N(INDEX(MinFrei,MATCH(5,ArbeitNr,0))),N(INDEX(MinWerktag,MATCH(5,ArbeitNr,0)))))</f>
      </c>
      <c r="C90" s="1">
        <f>IF($AM42="","",IF(OR(C$51&gt;=6,C$50=1),N(INDEX(MinFrei,MATCH(5,ArbeitNr,0))),N(INDEX(MinWerktag,MATCH(5,ArbeitNr,0)))))</f>
      </c>
      <c r="D90" s="1">
        <f>IF($AM42="","",IF(OR(D$51&gt;=6,D$50=1),N(INDEX(MinFrei,MATCH(5,ArbeitNr,0))),N(INDEX(MinWerktag,MATCH(5,ArbeitNr,0)))))</f>
      </c>
      <c r="E90" s="1">
        <f>IF($AM42="","",IF(OR(E$51&gt;=6,E$50=1),N(INDEX(MinFrei,MATCH(5,ArbeitNr,0))),N(INDEX(MinWerktag,MATCH(5,ArbeitNr,0)))))</f>
      </c>
      <c r="F90" s="1">
        <f>IF($AM42="","",IF(OR(F$51&gt;=6,F$50=1),N(INDEX(MinFrei,MATCH(5,ArbeitNr,0))),N(INDEX(MinWerktag,MATCH(5,ArbeitNr,0)))))</f>
      </c>
      <c r="G90" s="1">
        <f>IF($AM42="","",IF(OR(G$51&gt;=6,G$50=1),N(INDEX(MinFrei,MATCH(5,ArbeitNr,0))),N(INDEX(MinWerktag,MATCH(5,ArbeitNr,0)))))</f>
      </c>
      <c r="H90" s="1">
        <f>IF($AM42="","",IF(OR(H$51&gt;=6,H$50=1),N(INDEX(MinFrei,MATCH(5,ArbeitNr,0))),N(INDEX(MinWerktag,MATCH(5,ArbeitNr,0)))))</f>
      </c>
      <c r="I90" s="1">
        <f>IF($AM42="","",IF(OR(I$51&gt;=6,I$50=1),N(INDEX(MinFrei,MATCH(5,ArbeitNr,0))),N(INDEX(MinWerktag,MATCH(5,ArbeitNr,0)))))</f>
      </c>
      <c r="J90" s="1">
        <f>IF($AM42="","",IF(OR(J$51&gt;=6,J$50=1),N(INDEX(MinFrei,MATCH(5,ArbeitNr,0))),N(INDEX(MinWerktag,MATCH(5,ArbeitNr,0)))))</f>
      </c>
      <c r="K90" s="1">
        <f>IF($AM42="","",IF(OR(K$51&gt;=6,K$50=1),N(INDEX(MinFrei,MATCH(5,ArbeitNr,0))),N(INDEX(MinWerktag,MATCH(5,ArbeitNr,0)))))</f>
      </c>
      <c r="L90" s="1">
        <f>IF($AM42="","",IF(OR(L$51&gt;=6,L$50=1),N(INDEX(MinFrei,MATCH(5,ArbeitNr,0))),N(INDEX(MinWerktag,MATCH(5,ArbeitNr,0)))))</f>
      </c>
      <c r="M90" s="1">
        <f>IF($AM42="","",IF(OR(M$51&gt;=6,M$50=1),N(INDEX(MinFrei,MATCH(5,ArbeitNr,0))),N(INDEX(MinWerktag,MATCH(5,ArbeitNr,0)))))</f>
      </c>
      <c r="N90" s="1">
        <f>IF($AM42="","",IF(OR(N$51&gt;=6,N$50=1),N(INDEX(MinFrei,MATCH(5,ArbeitNr,0))),N(INDEX(MinWerktag,MATCH(5,ArbeitNr,0)))))</f>
      </c>
      <c r="O90" s="1">
        <f>IF($AM42="","",IF(OR(O$51&gt;=6,O$50=1),N(INDEX(MinFrei,MATCH(5,ArbeitNr,0))),N(INDEX(MinWerktag,MATCH(5,ArbeitNr,0)))))</f>
      </c>
      <c r="P90" s="1">
        <f>IF($AM42="","",IF(OR(P$51&gt;=6,P$50=1),N(INDEX(MinFrei,MATCH(5,ArbeitNr,0))),N(INDEX(MinWerktag,MATCH(5,ArbeitNr,0)))))</f>
      </c>
      <c r="Q90" s="1">
        <f>IF($AM42="","",IF(OR(Q$51&gt;=6,Q$50=1),N(INDEX(MinFrei,MATCH(5,ArbeitNr,0))),N(INDEX(MinWerktag,MATCH(5,ArbeitNr,0)))))</f>
      </c>
      <c r="R90" s="1">
        <f>IF($AM42="","",IF(OR(R$51&gt;=6,R$50=1),N(INDEX(MinFrei,MATCH(5,ArbeitNr,0))),N(INDEX(MinWerktag,MATCH(5,ArbeitNr,0)))))</f>
      </c>
      <c r="S90" s="1">
        <f>IF($AM42="","",IF(OR(S$51&gt;=6,S$50=1),N(INDEX(MinFrei,MATCH(5,ArbeitNr,0))),N(INDEX(MinWerktag,MATCH(5,ArbeitNr,0)))))</f>
      </c>
      <c r="T90" s="1">
        <f>IF($AM42="","",IF(OR(T$51&gt;=6,T$50=1),N(INDEX(MinFrei,MATCH(5,ArbeitNr,0))),N(INDEX(MinWerktag,MATCH(5,ArbeitNr,0)))))</f>
      </c>
      <c r="U90" s="1">
        <f>IF($AM42="","",IF(OR(U$51&gt;=6,U$50=1),N(INDEX(MinFrei,MATCH(5,ArbeitNr,0))),N(INDEX(MinWerktag,MATCH(5,ArbeitNr,0)))))</f>
      </c>
      <c r="V90" s="1">
        <f>IF($AM42="","",IF(OR(V$51&gt;=6,V$50=1),N(INDEX(MinFrei,MATCH(5,ArbeitNr,0))),N(INDEX(MinWerktag,MATCH(5,ArbeitNr,0)))))</f>
      </c>
      <c r="W90" s="1">
        <f>IF($AM42="","",IF(OR(W$51&gt;=6,W$50=1),N(INDEX(MinFrei,MATCH(5,ArbeitNr,0))),N(INDEX(MinWerktag,MATCH(5,ArbeitNr,0)))))</f>
      </c>
      <c r="X90" s="1">
        <f>IF($AM42="","",IF(OR(X$51&gt;=6,X$50=1),N(INDEX(MinFrei,MATCH(5,ArbeitNr,0))),N(INDEX(MinWerktag,MATCH(5,ArbeitNr,0)))))</f>
      </c>
      <c r="Y90" s="1">
        <f>IF($AM42="","",IF(OR(Y$51&gt;=6,Y$50=1),N(INDEX(MinFrei,MATCH(5,ArbeitNr,0))),N(INDEX(MinWerktag,MATCH(5,ArbeitNr,0)))))</f>
      </c>
      <c r="Z90" s="1">
        <f>IF($AM42="","",IF(OR(Z$51&gt;=6,Z$50=1),N(INDEX(MinFrei,MATCH(5,ArbeitNr,0))),N(INDEX(MinWerktag,MATCH(5,ArbeitNr,0)))))</f>
      </c>
      <c r="AA90" s="1">
        <f>IF($AM42="","",IF(OR(AA$51&gt;=6,AA$50=1),N(INDEX(MinFrei,MATCH(5,ArbeitNr,0))),N(INDEX(MinWerktag,MATCH(5,ArbeitNr,0)))))</f>
      </c>
      <c r="AB90" s="1">
        <f>IF($AM42="","",IF(OR(AB$51&gt;=6,AB$50=1),N(INDEX(MinFrei,MATCH(5,ArbeitNr,0))),N(INDEX(MinWerktag,MATCH(5,ArbeitNr,0)))))</f>
      </c>
      <c r="AC90" s="1">
        <f>IF($AM42="","",IF(OR(AC$51&gt;=6,AC$50=1),N(INDEX(MinFrei,MATCH(5,ArbeitNr,0))),N(INDEX(MinWerktag,MATCH(5,ArbeitNr,0)))))</f>
      </c>
      <c r="AD90" s="1">
        <f>IF($AM42="","",IF(OR(AD$51&gt;=6,AD$50=1),N(INDEX(MinFrei,MATCH(5,ArbeitNr,0))),N(INDEX(MinWerktag,MATCH(5,ArbeitNr,0)))))</f>
      </c>
      <c r="AE90" s="1">
        <f>IF($AM42="","",IF(OR(AE$51&gt;=6,AE$50=1),N(INDEX(MinFrei,MATCH(5,ArbeitNr,0))),N(INDEX(MinWerktag,MATCH(5,ArbeitNr,0)))))</f>
      </c>
      <c r="AF90" s="1">
        <f>IF($AM42="","",IF(OR(AF$51&gt;=6,AF$50=1),N(INDEX(MinFrei,MATCH(5,ArbeitNr,0))),N(INDEX(MinWerktag,MATCH(5,ArbeitNr,0)))))</f>
      </c>
    </row>
    <row r="91" hidden="1" spans="1:32" x14ac:dyDescent="0.25">
      <c r="A91" s="1"/>
      <c r="B91" s="1">
        <f>IF($AM43="","",IF(OR(B$51&gt;=6,B$50=1),N(INDEX(MinFrei,MATCH(6,ArbeitNr,0))),N(INDEX(MinWerktag,MATCH(6,ArbeitNr,0)))))</f>
      </c>
      <c r="C91" s="1">
        <f>IF($AM43="","",IF(OR(C$51&gt;=6,C$50=1),N(INDEX(MinFrei,MATCH(6,ArbeitNr,0))),N(INDEX(MinWerktag,MATCH(6,ArbeitNr,0)))))</f>
      </c>
      <c r="D91" s="1">
        <f>IF($AM43="","",IF(OR(D$51&gt;=6,D$50=1),N(INDEX(MinFrei,MATCH(6,ArbeitNr,0))),N(INDEX(MinWerktag,MATCH(6,ArbeitNr,0)))))</f>
      </c>
      <c r="E91" s="1">
        <f>IF($AM43="","",IF(OR(E$51&gt;=6,E$50=1),N(INDEX(MinFrei,MATCH(6,ArbeitNr,0))),N(INDEX(MinWerktag,MATCH(6,ArbeitNr,0)))))</f>
      </c>
      <c r="F91" s="1">
        <f>IF($AM43="","",IF(OR(F$51&gt;=6,F$50=1),N(INDEX(MinFrei,MATCH(6,ArbeitNr,0))),N(INDEX(MinWerktag,MATCH(6,ArbeitNr,0)))))</f>
      </c>
      <c r="G91" s="1">
        <f>IF($AM43="","",IF(OR(G$51&gt;=6,G$50=1),N(INDEX(MinFrei,MATCH(6,ArbeitNr,0))),N(INDEX(MinWerktag,MATCH(6,ArbeitNr,0)))))</f>
      </c>
      <c r="H91" s="1">
        <f>IF($AM43="","",IF(OR(H$51&gt;=6,H$50=1),N(INDEX(MinFrei,MATCH(6,ArbeitNr,0))),N(INDEX(MinWerktag,MATCH(6,ArbeitNr,0)))))</f>
      </c>
      <c r="I91" s="1">
        <f>IF($AM43="","",IF(OR(I$51&gt;=6,I$50=1),N(INDEX(MinFrei,MATCH(6,ArbeitNr,0))),N(INDEX(MinWerktag,MATCH(6,ArbeitNr,0)))))</f>
      </c>
      <c r="J91" s="1">
        <f>IF($AM43="","",IF(OR(J$51&gt;=6,J$50=1),N(INDEX(MinFrei,MATCH(6,ArbeitNr,0))),N(INDEX(MinWerktag,MATCH(6,ArbeitNr,0)))))</f>
      </c>
      <c r="K91" s="1">
        <f>IF($AM43="","",IF(OR(K$51&gt;=6,K$50=1),N(INDEX(MinFrei,MATCH(6,ArbeitNr,0))),N(INDEX(MinWerktag,MATCH(6,ArbeitNr,0)))))</f>
      </c>
      <c r="L91" s="1">
        <f>IF($AM43="","",IF(OR(L$51&gt;=6,L$50=1),N(INDEX(MinFrei,MATCH(6,ArbeitNr,0))),N(INDEX(MinWerktag,MATCH(6,ArbeitNr,0)))))</f>
      </c>
      <c r="M91" s="1">
        <f>IF($AM43="","",IF(OR(M$51&gt;=6,M$50=1),N(INDEX(MinFrei,MATCH(6,ArbeitNr,0))),N(INDEX(MinWerktag,MATCH(6,ArbeitNr,0)))))</f>
      </c>
      <c r="N91" s="1">
        <f>IF($AM43="","",IF(OR(N$51&gt;=6,N$50=1),N(INDEX(MinFrei,MATCH(6,ArbeitNr,0))),N(INDEX(MinWerktag,MATCH(6,ArbeitNr,0)))))</f>
      </c>
      <c r="O91" s="1">
        <f>IF($AM43="","",IF(OR(O$51&gt;=6,O$50=1),N(INDEX(MinFrei,MATCH(6,ArbeitNr,0))),N(INDEX(MinWerktag,MATCH(6,ArbeitNr,0)))))</f>
      </c>
      <c r="P91" s="1">
        <f>IF($AM43="","",IF(OR(P$51&gt;=6,P$50=1),N(INDEX(MinFrei,MATCH(6,ArbeitNr,0))),N(INDEX(MinWerktag,MATCH(6,ArbeitNr,0)))))</f>
      </c>
      <c r="Q91" s="1">
        <f>IF($AM43="","",IF(OR(Q$51&gt;=6,Q$50=1),N(INDEX(MinFrei,MATCH(6,ArbeitNr,0))),N(INDEX(MinWerktag,MATCH(6,ArbeitNr,0)))))</f>
      </c>
      <c r="R91" s="1">
        <f>IF($AM43="","",IF(OR(R$51&gt;=6,R$50=1),N(INDEX(MinFrei,MATCH(6,ArbeitNr,0))),N(INDEX(MinWerktag,MATCH(6,ArbeitNr,0)))))</f>
      </c>
      <c r="S91" s="1">
        <f>IF($AM43="","",IF(OR(S$51&gt;=6,S$50=1),N(INDEX(MinFrei,MATCH(6,ArbeitNr,0))),N(INDEX(MinWerktag,MATCH(6,ArbeitNr,0)))))</f>
      </c>
      <c r="T91" s="1">
        <f>IF($AM43="","",IF(OR(T$51&gt;=6,T$50=1),N(INDEX(MinFrei,MATCH(6,ArbeitNr,0))),N(INDEX(MinWerktag,MATCH(6,ArbeitNr,0)))))</f>
      </c>
      <c r="U91" s="1">
        <f>IF($AM43="","",IF(OR(U$51&gt;=6,U$50=1),N(INDEX(MinFrei,MATCH(6,ArbeitNr,0))),N(INDEX(MinWerktag,MATCH(6,ArbeitNr,0)))))</f>
      </c>
      <c r="V91" s="1">
        <f>IF($AM43="","",IF(OR(V$51&gt;=6,V$50=1),N(INDEX(MinFrei,MATCH(6,ArbeitNr,0))),N(INDEX(MinWerktag,MATCH(6,ArbeitNr,0)))))</f>
      </c>
      <c r="W91" s="1">
        <f>IF($AM43="","",IF(OR(W$51&gt;=6,W$50=1),N(INDEX(MinFrei,MATCH(6,ArbeitNr,0))),N(INDEX(MinWerktag,MATCH(6,ArbeitNr,0)))))</f>
      </c>
      <c r="X91" s="1">
        <f>IF($AM43="","",IF(OR(X$51&gt;=6,X$50=1),N(INDEX(MinFrei,MATCH(6,ArbeitNr,0))),N(INDEX(MinWerktag,MATCH(6,ArbeitNr,0)))))</f>
      </c>
      <c r="Y91" s="1">
        <f>IF($AM43="","",IF(OR(Y$51&gt;=6,Y$50=1),N(INDEX(MinFrei,MATCH(6,ArbeitNr,0))),N(INDEX(MinWerktag,MATCH(6,ArbeitNr,0)))))</f>
      </c>
      <c r="Z91" s="1">
        <f>IF($AM43="","",IF(OR(Z$51&gt;=6,Z$50=1),N(INDEX(MinFrei,MATCH(6,ArbeitNr,0))),N(INDEX(MinWerktag,MATCH(6,ArbeitNr,0)))))</f>
      </c>
      <c r="AA91" s="1">
        <f>IF($AM43="","",IF(OR(AA$51&gt;=6,AA$50=1),N(INDEX(MinFrei,MATCH(6,ArbeitNr,0))),N(INDEX(MinWerktag,MATCH(6,ArbeitNr,0)))))</f>
      </c>
      <c r="AB91" s="1">
        <f>IF($AM43="","",IF(OR(AB$51&gt;=6,AB$50=1),N(INDEX(MinFrei,MATCH(6,ArbeitNr,0))),N(INDEX(MinWerktag,MATCH(6,ArbeitNr,0)))))</f>
      </c>
      <c r="AC91" s="1">
        <f>IF($AM43="","",IF(OR(AC$51&gt;=6,AC$50=1),N(INDEX(MinFrei,MATCH(6,ArbeitNr,0))),N(INDEX(MinWerktag,MATCH(6,ArbeitNr,0)))))</f>
      </c>
      <c r="AD91" s="1">
        <f>IF($AM43="","",IF(OR(AD$51&gt;=6,AD$50=1),N(INDEX(MinFrei,MATCH(6,ArbeitNr,0))),N(INDEX(MinWerktag,MATCH(6,ArbeitNr,0)))))</f>
      </c>
      <c r="AE91" s="1">
        <f>IF($AM43="","",IF(OR(AE$51&gt;=6,AE$50=1),N(INDEX(MinFrei,MATCH(6,ArbeitNr,0))),N(INDEX(MinWerktag,MATCH(6,ArbeitNr,0)))))</f>
      </c>
      <c r="AF91" s="1">
        <f>IF($AM43="","",IF(OR(AF$51&gt;=6,AF$50=1),N(INDEX(MinFrei,MATCH(6,ArbeitNr,0))),N(INDEX(MinWerktag,MATCH(6,ArbeitNr,0)))))</f>
      </c>
    </row>
    <row r="92" hidden="1" spans="1:32" x14ac:dyDescent="0.25">
      <c r="A92" s="1"/>
      <c r="B92" s="1">
        <f>IF($AM44="","",IF(OR(B$51&gt;=6,B$50=1),N(INDEX(MinFrei,MATCH(7,ArbeitNr,0))),N(INDEX(MinWerktag,MATCH(7,ArbeitNr,0)))))</f>
      </c>
      <c r="C92" s="1">
        <f>IF($AM44="","",IF(OR(C$51&gt;=6,C$50=1),N(INDEX(MinFrei,MATCH(7,ArbeitNr,0))),N(INDEX(MinWerktag,MATCH(7,ArbeitNr,0)))))</f>
      </c>
      <c r="D92" s="1">
        <f>IF($AM44="","",IF(OR(D$51&gt;=6,D$50=1),N(INDEX(MinFrei,MATCH(7,ArbeitNr,0))),N(INDEX(MinWerktag,MATCH(7,ArbeitNr,0)))))</f>
      </c>
      <c r="E92" s="1">
        <f>IF($AM44="","",IF(OR(E$51&gt;=6,E$50=1),N(INDEX(MinFrei,MATCH(7,ArbeitNr,0))),N(INDEX(MinWerktag,MATCH(7,ArbeitNr,0)))))</f>
      </c>
      <c r="F92" s="1">
        <f>IF($AM44="","",IF(OR(F$51&gt;=6,F$50=1),N(INDEX(MinFrei,MATCH(7,ArbeitNr,0))),N(INDEX(MinWerktag,MATCH(7,ArbeitNr,0)))))</f>
      </c>
      <c r="G92" s="1">
        <f>IF($AM44="","",IF(OR(G$51&gt;=6,G$50=1),N(INDEX(MinFrei,MATCH(7,ArbeitNr,0))),N(INDEX(MinWerktag,MATCH(7,ArbeitNr,0)))))</f>
      </c>
      <c r="H92" s="1">
        <f>IF($AM44="","",IF(OR(H$51&gt;=6,H$50=1),N(INDEX(MinFrei,MATCH(7,ArbeitNr,0))),N(INDEX(MinWerktag,MATCH(7,ArbeitNr,0)))))</f>
      </c>
      <c r="I92" s="1">
        <f>IF($AM44="","",IF(OR(I$51&gt;=6,I$50=1),N(INDEX(MinFrei,MATCH(7,ArbeitNr,0))),N(INDEX(MinWerktag,MATCH(7,ArbeitNr,0)))))</f>
      </c>
      <c r="J92" s="1">
        <f>IF($AM44="","",IF(OR(J$51&gt;=6,J$50=1),N(INDEX(MinFrei,MATCH(7,ArbeitNr,0))),N(INDEX(MinWerktag,MATCH(7,ArbeitNr,0)))))</f>
      </c>
      <c r="K92" s="1">
        <f>IF($AM44="","",IF(OR(K$51&gt;=6,K$50=1),N(INDEX(MinFrei,MATCH(7,ArbeitNr,0))),N(INDEX(MinWerktag,MATCH(7,ArbeitNr,0)))))</f>
      </c>
      <c r="L92" s="1">
        <f>IF($AM44="","",IF(OR(L$51&gt;=6,L$50=1),N(INDEX(MinFrei,MATCH(7,ArbeitNr,0))),N(INDEX(MinWerktag,MATCH(7,ArbeitNr,0)))))</f>
      </c>
      <c r="M92" s="1">
        <f>IF($AM44="","",IF(OR(M$51&gt;=6,M$50=1),N(INDEX(MinFrei,MATCH(7,ArbeitNr,0))),N(INDEX(MinWerktag,MATCH(7,ArbeitNr,0)))))</f>
      </c>
      <c r="N92" s="1">
        <f>IF($AM44="","",IF(OR(N$51&gt;=6,N$50=1),N(INDEX(MinFrei,MATCH(7,ArbeitNr,0))),N(INDEX(MinWerktag,MATCH(7,ArbeitNr,0)))))</f>
      </c>
      <c r="O92" s="1">
        <f>IF($AM44="","",IF(OR(O$51&gt;=6,O$50=1),N(INDEX(MinFrei,MATCH(7,ArbeitNr,0))),N(INDEX(MinWerktag,MATCH(7,ArbeitNr,0)))))</f>
      </c>
      <c r="P92" s="1">
        <f>IF($AM44="","",IF(OR(P$51&gt;=6,P$50=1),N(INDEX(MinFrei,MATCH(7,ArbeitNr,0))),N(INDEX(MinWerktag,MATCH(7,ArbeitNr,0)))))</f>
      </c>
      <c r="Q92" s="1">
        <f>IF($AM44="","",IF(OR(Q$51&gt;=6,Q$50=1),N(INDEX(MinFrei,MATCH(7,ArbeitNr,0))),N(INDEX(MinWerktag,MATCH(7,ArbeitNr,0)))))</f>
      </c>
      <c r="R92" s="1">
        <f>IF($AM44="","",IF(OR(R$51&gt;=6,R$50=1),N(INDEX(MinFrei,MATCH(7,ArbeitNr,0))),N(INDEX(MinWerktag,MATCH(7,ArbeitNr,0)))))</f>
      </c>
      <c r="S92" s="1">
        <f>IF($AM44="","",IF(OR(S$51&gt;=6,S$50=1),N(INDEX(MinFrei,MATCH(7,ArbeitNr,0))),N(INDEX(MinWerktag,MATCH(7,ArbeitNr,0)))))</f>
      </c>
      <c r="T92" s="1">
        <f>IF($AM44="","",IF(OR(T$51&gt;=6,T$50=1),N(INDEX(MinFrei,MATCH(7,ArbeitNr,0))),N(INDEX(MinWerktag,MATCH(7,ArbeitNr,0)))))</f>
      </c>
      <c r="U92" s="1">
        <f>IF($AM44="","",IF(OR(U$51&gt;=6,U$50=1),N(INDEX(MinFrei,MATCH(7,ArbeitNr,0))),N(INDEX(MinWerktag,MATCH(7,ArbeitNr,0)))))</f>
      </c>
      <c r="V92" s="1">
        <f>IF($AM44="","",IF(OR(V$51&gt;=6,V$50=1),N(INDEX(MinFrei,MATCH(7,ArbeitNr,0))),N(INDEX(MinWerktag,MATCH(7,ArbeitNr,0)))))</f>
      </c>
      <c r="W92" s="1">
        <f>IF($AM44="","",IF(OR(W$51&gt;=6,W$50=1),N(INDEX(MinFrei,MATCH(7,ArbeitNr,0))),N(INDEX(MinWerktag,MATCH(7,ArbeitNr,0)))))</f>
      </c>
      <c r="X92" s="1">
        <f>IF($AM44="","",IF(OR(X$51&gt;=6,X$50=1),N(INDEX(MinFrei,MATCH(7,ArbeitNr,0))),N(INDEX(MinWerktag,MATCH(7,ArbeitNr,0)))))</f>
      </c>
      <c r="Y92" s="1">
        <f>IF($AM44="","",IF(OR(Y$51&gt;=6,Y$50=1),N(INDEX(MinFrei,MATCH(7,ArbeitNr,0))),N(INDEX(MinWerktag,MATCH(7,ArbeitNr,0)))))</f>
      </c>
      <c r="Z92" s="1">
        <f>IF($AM44="","",IF(OR(Z$51&gt;=6,Z$50=1),N(INDEX(MinFrei,MATCH(7,ArbeitNr,0))),N(INDEX(MinWerktag,MATCH(7,ArbeitNr,0)))))</f>
      </c>
      <c r="AA92" s="1">
        <f>IF($AM44="","",IF(OR(AA$51&gt;=6,AA$50=1),N(INDEX(MinFrei,MATCH(7,ArbeitNr,0))),N(INDEX(MinWerktag,MATCH(7,ArbeitNr,0)))))</f>
      </c>
      <c r="AB92" s="1">
        <f>IF($AM44="","",IF(OR(AB$51&gt;=6,AB$50=1),N(INDEX(MinFrei,MATCH(7,ArbeitNr,0))),N(INDEX(MinWerktag,MATCH(7,ArbeitNr,0)))))</f>
      </c>
      <c r="AC92" s="1">
        <f>IF($AM44="","",IF(OR(AC$51&gt;=6,AC$50=1),N(INDEX(MinFrei,MATCH(7,ArbeitNr,0))),N(INDEX(MinWerktag,MATCH(7,ArbeitNr,0)))))</f>
      </c>
      <c r="AD92" s="1">
        <f>IF($AM44="","",IF(OR(AD$51&gt;=6,AD$50=1),N(INDEX(MinFrei,MATCH(7,ArbeitNr,0))),N(INDEX(MinWerktag,MATCH(7,ArbeitNr,0)))))</f>
      </c>
      <c r="AE92" s="1">
        <f>IF($AM44="","",IF(OR(AE$51&gt;=6,AE$50=1),N(INDEX(MinFrei,MATCH(7,ArbeitNr,0))),N(INDEX(MinWerktag,MATCH(7,ArbeitNr,0)))))</f>
      </c>
      <c r="AF92" s="1">
        <f>IF($AM44="","",IF(OR(AF$51&gt;=6,AF$50=1),N(INDEX(MinFrei,MATCH(7,ArbeitNr,0))),N(INDEX(MinWerktag,MATCH(7,ArbeitNr,0)))))</f>
      </c>
    </row>
    <row r="93" hidden="1" spans="1:32" x14ac:dyDescent="0.25">
      <c r="A93" s="1"/>
      <c r="B93" s="1">
        <f>IF($AM45="","",IF(OR(B$51&gt;=6,B$50=1),N(INDEX(MinFrei,MATCH(8,ArbeitNr,0))),N(INDEX(MinWerktag,MATCH(8,ArbeitNr,0)))))</f>
      </c>
      <c r="C93" s="1">
        <f>IF($AM45="","",IF(OR(C$51&gt;=6,C$50=1),N(INDEX(MinFrei,MATCH(8,ArbeitNr,0))),N(INDEX(MinWerktag,MATCH(8,ArbeitNr,0)))))</f>
      </c>
      <c r="D93" s="1">
        <f>IF($AM45="","",IF(OR(D$51&gt;=6,D$50=1),N(INDEX(MinFrei,MATCH(8,ArbeitNr,0))),N(INDEX(MinWerktag,MATCH(8,ArbeitNr,0)))))</f>
      </c>
      <c r="E93" s="1">
        <f>IF($AM45="","",IF(OR(E$51&gt;=6,E$50=1),N(INDEX(MinFrei,MATCH(8,ArbeitNr,0))),N(INDEX(MinWerktag,MATCH(8,ArbeitNr,0)))))</f>
      </c>
      <c r="F93" s="1">
        <f>IF($AM45="","",IF(OR(F$51&gt;=6,F$50=1),N(INDEX(MinFrei,MATCH(8,ArbeitNr,0))),N(INDEX(MinWerktag,MATCH(8,ArbeitNr,0)))))</f>
      </c>
      <c r="G93" s="1">
        <f>IF($AM45="","",IF(OR(G$51&gt;=6,G$50=1),N(INDEX(MinFrei,MATCH(8,ArbeitNr,0))),N(INDEX(MinWerktag,MATCH(8,ArbeitNr,0)))))</f>
      </c>
      <c r="H93" s="1">
        <f>IF($AM45="","",IF(OR(H$51&gt;=6,H$50=1),N(INDEX(MinFrei,MATCH(8,ArbeitNr,0))),N(INDEX(MinWerktag,MATCH(8,ArbeitNr,0)))))</f>
      </c>
      <c r="I93" s="1">
        <f>IF($AM45="","",IF(OR(I$51&gt;=6,I$50=1),N(INDEX(MinFrei,MATCH(8,ArbeitNr,0))),N(INDEX(MinWerktag,MATCH(8,ArbeitNr,0)))))</f>
      </c>
      <c r="J93" s="1">
        <f>IF($AM45="","",IF(OR(J$51&gt;=6,J$50=1),N(INDEX(MinFrei,MATCH(8,ArbeitNr,0))),N(INDEX(MinWerktag,MATCH(8,ArbeitNr,0)))))</f>
      </c>
      <c r="K93" s="1">
        <f>IF($AM45="","",IF(OR(K$51&gt;=6,K$50=1),N(INDEX(MinFrei,MATCH(8,ArbeitNr,0))),N(INDEX(MinWerktag,MATCH(8,ArbeitNr,0)))))</f>
      </c>
      <c r="L93" s="1">
        <f>IF($AM45="","",IF(OR(L$51&gt;=6,L$50=1),N(INDEX(MinFrei,MATCH(8,ArbeitNr,0))),N(INDEX(MinWerktag,MATCH(8,ArbeitNr,0)))))</f>
      </c>
      <c r="M93" s="1">
        <f>IF($AM45="","",IF(OR(M$51&gt;=6,M$50=1),N(INDEX(MinFrei,MATCH(8,ArbeitNr,0))),N(INDEX(MinWerktag,MATCH(8,ArbeitNr,0)))))</f>
      </c>
      <c r="N93" s="1">
        <f>IF($AM45="","",IF(OR(N$51&gt;=6,N$50=1),N(INDEX(MinFrei,MATCH(8,ArbeitNr,0))),N(INDEX(MinWerktag,MATCH(8,ArbeitNr,0)))))</f>
      </c>
      <c r="O93" s="1">
        <f>IF($AM45="","",IF(OR(O$51&gt;=6,O$50=1),N(INDEX(MinFrei,MATCH(8,ArbeitNr,0))),N(INDEX(MinWerktag,MATCH(8,ArbeitNr,0)))))</f>
      </c>
      <c r="P93" s="1">
        <f>IF($AM45="","",IF(OR(P$51&gt;=6,P$50=1),N(INDEX(MinFrei,MATCH(8,ArbeitNr,0))),N(INDEX(MinWerktag,MATCH(8,ArbeitNr,0)))))</f>
      </c>
      <c r="Q93" s="1">
        <f>IF($AM45="","",IF(OR(Q$51&gt;=6,Q$50=1),N(INDEX(MinFrei,MATCH(8,ArbeitNr,0))),N(INDEX(MinWerktag,MATCH(8,ArbeitNr,0)))))</f>
      </c>
      <c r="R93" s="1">
        <f>IF($AM45="","",IF(OR(R$51&gt;=6,R$50=1),N(INDEX(MinFrei,MATCH(8,ArbeitNr,0))),N(INDEX(MinWerktag,MATCH(8,ArbeitNr,0)))))</f>
      </c>
      <c r="S93" s="1">
        <f>IF($AM45="","",IF(OR(S$51&gt;=6,S$50=1),N(INDEX(MinFrei,MATCH(8,ArbeitNr,0))),N(INDEX(MinWerktag,MATCH(8,ArbeitNr,0)))))</f>
      </c>
      <c r="T93" s="1">
        <f>IF($AM45="","",IF(OR(T$51&gt;=6,T$50=1),N(INDEX(MinFrei,MATCH(8,ArbeitNr,0))),N(INDEX(MinWerktag,MATCH(8,ArbeitNr,0)))))</f>
      </c>
      <c r="U93" s="1">
        <f>IF($AM45="","",IF(OR(U$51&gt;=6,U$50=1),N(INDEX(MinFrei,MATCH(8,ArbeitNr,0))),N(INDEX(MinWerktag,MATCH(8,ArbeitNr,0)))))</f>
      </c>
      <c r="V93" s="1">
        <f>IF($AM45="","",IF(OR(V$51&gt;=6,V$50=1),N(INDEX(MinFrei,MATCH(8,ArbeitNr,0))),N(INDEX(MinWerktag,MATCH(8,ArbeitNr,0)))))</f>
      </c>
      <c r="W93" s="1">
        <f>IF($AM45="","",IF(OR(W$51&gt;=6,W$50=1),N(INDEX(MinFrei,MATCH(8,ArbeitNr,0))),N(INDEX(MinWerktag,MATCH(8,ArbeitNr,0)))))</f>
      </c>
      <c r="X93" s="1">
        <f>IF($AM45="","",IF(OR(X$51&gt;=6,X$50=1),N(INDEX(MinFrei,MATCH(8,ArbeitNr,0))),N(INDEX(MinWerktag,MATCH(8,ArbeitNr,0)))))</f>
      </c>
      <c r="Y93" s="1">
        <f>IF($AM45="","",IF(OR(Y$51&gt;=6,Y$50=1),N(INDEX(MinFrei,MATCH(8,ArbeitNr,0))),N(INDEX(MinWerktag,MATCH(8,ArbeitNr,0)))))</f>
      </c>
      <c r="Z93" s="1">
        <f>IF($AM45="","",IF(OR(Z$51&gt;=6,Z$50=1),N(INDEX(MinFrei,MATCH(8,ArbeitNr,0))),N(INDEX(MinWerktag,MATCH(8,ArbeitNr,0)))))</f>
      </c>
      <c r="AA93" s="1">
        <f>IF($AM45="","",IF(OR(AA$51&gt;=6,AA$50=1),N(INDEX(MinFrei,MATCH(8,ArbeitNr,0))),N(INDEX(MinWerktag,MATCH(8,ArbeitNr,0)))))</f>
      </c>
      <c r="AB93" s="1">
        <f>IF($AM45="","",IF(OR(AB$51&gt;=6,AB$50=1),N(INDEX(MinFrei,MATCH(8,ArbeitNr,0))),N(INDEX(MinWerktag,MATCH(8,ArbeitNr,0)))))</f>
      </c>
      <c r="AC93" s="1">
        <f>IF($AM45="","",IF(OR(AC$51&gt;=6,AC$50=1),N(INDEX(MinFrei,MATCH(8,ArbeitNr,0))),N(INDEX(MinWerktag,MATCH(8,ArbeitNr,0)))))</f>
      </c>
      <c r="AD93" s="1">
        <f>IF($AM45="","",IF(OR(AD$51&gt;=6,AD$50=1),N(INDEX(MinFrei,MATCH(8,ArbeitNr,0))),N(INDEX(MinWerktag,MATCH(8,ArbeitNr,0)))))</f>
      </c>
      <c r="AE93" s="1">
        <f>IF($AM45="","",IF(OR(AE$51&gt;=6,AE$50=1),N(INDEX(MinFrei,MATCH(8,ArbeitNr,0))),N(INDEX(MinWerktag,MATCH(8,ArbeitNr,0)))))</f>
      </c>
      <c r="AF93" s="1">
        <f>IF($AM45="","",IF(OR(AF$51&gt;=6,AF$50=1),N(INDEX(MinFrei,MATCH(8,ArbeitNr,0))),N(INDEX(MinWerktag,MATCH(8,ArbeitNr,0)))))</f>
      </c>
    </row>
  </sheetData>
  <sheetProtection sheet="1" formatCells="0" formatColumns="0" formatRows="0"/>
  <mergeCells count="1">
    <mergeCell ref="B48:U48"/>
  </mergeCells>
  <conditionalFormatting sqref="B6:AF35">
    <cfRule type="expression" dxfId="100" priority="1">
      <formula>B$52=0</formula>
    </cfRule>
    <cfRule type="expression" dxfId="101" priority="2">
      <formula>B55=1</formula>
    </cfRule>
    <cfRule type="expression" dxfId="102" priority="3">
      <formula>AND(B6&lt;&gt;"",UPPER(B6)=UPPER(Einstellungen!$A$9))</formula>
    </cfRule>
    <cfRule type="expression" dxfId="103" priority="4">
      <formula>AND(B6&lt;&gt;"",UPPER(B6)=UPPER(Einstellungen!$A$10))</formula>
    </cfRule>
    <cfRule type="expression" dxfId="104" priority="5">
      <formula>AND(B6&lt;&gt;"",UPPER(B6)=UPPER(Einstellungen!$A$11))</formula>
    </cfRule>
    <cfRule type="expression" dxfId="105" priority="6">
      <formula>AND(B6&lt;&gt;"",UPPER(B6)=UPPER(Einstellungen!$A$12))</formula>
    </cfRule>
    <cfRule type="expression" dxfId="106" priority="7">
      <formula>AND(B6&lt;&gt;"",UPPER(B6)=UPPER(Einstellungen!$A$13))</formula>
    </cfRule>
    <cfRule type="expression" dxfId="107" priority="8">
      <formula>AND(B6&lt;&gt;"",UPPER(B6)=UPPER(Einstellungen!$A$14))</formula>
    </cfRule>
    <cfRule type="expression" dxfId="108" priority="9">
      <formula>AND(B6&lt;&gt;"",UPPER(B6)=UPPER(Einstellungen!$A$15))</formula>
    </cfRule>
    <cfRule type="expression" dxfId="109" priority="10">
      <formula>AND(B6&lt;&gt;"",UPPER(B6)=UPPER(Einstellungen!$A$16))</formula>
    </cfRule>
    <cfRule type="expression" dxfId="110" priority="11">
      <formula>AND(B6&lt;&gt;"",UPPER(B6)=UPPER(Einstellungen!$A$17))</formula>
    </cfRule>
    <cfRule type="expression" dxfId="111" priority="12">
      <formula>AND(B6&lt;&gt;"",UPPER(B6)=UPPER(Einstellungen!$A$18))</formula>
    </cfRule>
    <cfRule type="expression" dxfId="112" priority="13">
      <formula>AND(B6&lt;&gt;"",UPPER(B6)=UPPER(Einstellungen!$A$19))</formula>
    </cfRule>
    <cfRule type="expression" dxfId="113" priority="14">
      <formula>AND(B6&lt;&gt;"",UPPER(B6)=UPPER(Einstellungen!$A$20))</formula>
    </cfRule>
    <cfRule type="expression" dxfId="114" priority="20">
      <formula>B$50=1</formula>
    </cfRule>
    <cfRule type="expression" dxfId="115" priority="21">
      <formula>B$51&gt;=6</formula>
    </cfRule>
  </conditionalFormatting>
  <conditionalFormatting sqref="B4:AF5">
    <cfRule type="expression" dxfId="116" priority="22">
      <formula>B$52=0</formula>
    </cfRule>
    <cfRule type="expression" dxfId="117" priority="23">
      <formula>B$50=1</formula>
    </cfRule>
    <cfRule type="expression" dxfId="118" priority="24">
      <formula>B$51&gt;=6</formula>
    </cfRule>
  </conditionalFormatting>
  <conditionalFormatting sqref="B38:AF45">
    <cfRule type="expression" dxfId="119" priority="25">
      <formula>AND(B38&lt;&gt;"",N(B38)&lt;N(B86))</formula>
    </cfRule>
  </conditionalFormatting>
  <dataValidations count="4">
    <dataValidation type="list" allowBlank="1" showErrorMessage="1" errorTitle="Schicht" error="Bitte ein Kürzel aus den Einstellungen wählen (z. B. F, S, N, U, K)." sqref="AA10:AF35">
      <formula1>Codes</formula1>
    </dataValidation>
    <dataValidation type="list" allowBlank="1" showErrorMessage="1" errorTitle="Schicht" error="Bitte ein Kürzel aus den Einstellungen wählen (z. B. F, S, N, U, K)." sqref="AA6:AF35">
      <formula1>Codes</formula1>
    </dataValidation>
    <dataValidation type="list" allowBlank="1" showErrorMessage="1" errorTitle="Schicht" error="Bitte ein Kürzel aus den Einstellungen wählen (z. B. F, S, N, U, K)." sqref="B10:AF35">
      <formula1>Codes</formula1>
    </dataValidation>
    <dataValidation type="list" allowBlank="1" showErrorMessage="1" errorTitle="Schicht" error="Bitte ein Kürzel aus den Einstellungen wählen (z. B. F, S, N, U, K)." sqref="B6:AF35">
      <formula1>Codes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93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32" width="4.2" customWidth="1"/>
    <col min="36" max="37" width="7" customWidth="1"/>
    <col min="38" max="38" width="30" customWidth="1"/>
    <col min="39" max="39" width="9" hidden="1" customWidth="1"/>
  </cols>
  <sheetData>
    <row r="1" spans="1:1" x14ac:dyDescent="0.25">
      <c r="A1" s="5">
        <f>"Dienstplan Juli "&amp;Jahr&amp;IF(Team="",""," · "&amp;Team)</f>
      </c>
    </row>
    <row r="2" spans="1:1" x14ac:dyDescent="0.25">
      <c r="A2" s="7">
        <f>IF(Bundesland="","Bitte in den Einstellungen das Bundesland wählen, damit die Feiertage stimmen.","Feiertage: "&amp;Bundesland)</f>
      </c>
    </row>
    <row r="3" spans="1:1" x14ac:dyDescent="0.25">
      <c r="A3" s="30">
        <f>Legende</f>
      </c>
    </row>
    <row r="4" spans="1:32" x14ac:dyDescent="0.25">
      <c r="A4" s="1"/>
      <c r="B4" s="31">
        <f>IF(B$5="","",CHOOSE(WEEKDAY(B$5,2),"Mo","Di","Mi","Do","Fr","Sa","So"))</f>
      </c>
      <c r="C4" s="31">
        <f>IF(C$5="","",CHOOSE(WEEKDAY(C$5,2),"Mo","Di","Mi","Do","Fr","Sa","So"))</f>
      </c>
      <c r="D4" s="31">
        <f>IF(D$5="","",CHOOSE(WEEKDAY(D$5,2),"Mo","Di","Mi","Do","Fr","Sa","So"))</f>
      </c>
      <c r="E4" s="31">
        <f>IF(E$5="","",CHOOSE(WEEKDAY(E$5,2),"Mo","Di","Mi","Do","Fr","Sa","So"))</f>
      </c>
      <c r="F4" s="31">
        <f>IF(F$5="","",CHOOSE(WEEKDAY(F$5,2),"Mo","Di","Mi","Do","Fr","Sa","So"))</f>
      </c>
      <c r="G4" s="31">
        <f>IF(G$5="","",CHOOSE(WEEKDAY(G$5,2),"Mo","Di","Mi","Do","Fr","Sa","So"))</f>
      </c>
      <c r="H4" s="31">
        <f>IF(H$5="","",CHOOSE(WEEKDAY(H$5,2),"Mo","Di","Mi","Do","Fr","Sa","So"))</f>
      </c>
      <c r="I4" s="31">
        <f>IF(I$5="","",CHOOSE(WEEKDAY(I$5,2),"Mo","Di","Mi","Do","Fr","Sa","So"))</f>
      </c>
      <c r="J4" s="31">
        <f>IF(J$5="","",CHOOSE(WEEKDAY(J$5,2),"Mo","Di","Mi","Do","Fr","Sa","So"))</f>
      </c>
      <c r="K4" s="31">
        <f>IF(K$5="","",CHOOSE(WEEKDAY(K$5,2),"Mo","Di","Mi","Do","Fr","Sa","So"))</f>
      </c>
      <c r="L4" s="31">
        <f>IF(L$5="","",CHOOSE(WEEKDAY(L$5,2),"Mo","Di","Mi","Do","Fr","Sa","So"))</f>
      </c>
      <c r="M4" s="31">
        <f>IF(M$5="","",CHOOSE(WEEKDAY(M$5,2),"Mo","Di","Mi","Do","Fr","Sa","So"))</f>
      </c>
      <c r="N4" s="31">
        <f>IF(N$5="","",CHOOSE(WEEKDAY(N$5,2),"Mo","Di","Mi","Do","Fr","Sa","So"))</f>
      </c>
      <c r="O4" s="31">
        <f>IF(O$5="","",CHOOSE(WEEKDAY(O$5,2),"Mo","Di","Mi","Do","Fr","Sa","So"))</f>
      </c>
      <c r="P4" s="31">
        <f>IF(P$5="","",CHOOSE(WEEKDAY(P$5,2),"Mo","Di","Mi","Do","Fr","Sa","So"))</f>
      </c>
      <c r="Q4" s="31">
        <f>IF(Q$5="","",CHOOSE(WEEKDAY(Q$5,2),"Mo","Di","Mi","Do","Fr","Sa","So"))</f>
      </c>
      <c r="R4" s="31">
        <f>IF(R$5="","",CHOOSE(WEEKDAY(R$5,2),"Mo","Di","Mi","Do","Fr","Sa","So"))</f>
      </c>
      <c r="S4" s="31">
        <f>IF(S$5="","",CHOOSE(WEEKDAY(S$5,2),"Mo","Di","Mi","Do","Fr","Sa","So"))</f>
      </c>
      <c r="T4" s="31">
        <f>IF(T$5="","",CHOOSE(WEEKDAY(T$5,2),"Mo","Di","Mi","Do","Fr","Sa","So"))</f>
      </c>
      <c r="U4" s="31">
        <f>IF(U$5="","",CHOOSE(WEEKDAY(U$5,2),"Mo","Di","Mi","Do","Fr","Sa","So"))</f>
      </c>
      <c r="V4" s="31">
        <f>IF(V$5="","",CHOOSE(WEEKDAY(V$5,2),"Mo","Di","Mi","Do","Fr","Sa","So"))</f>
      </c>
      <c r="W4" s="31">
        <f>IF(W$5="","",CHOOSE(WEEKDAY(W$5,2),"Mo","Di","Mi","Do","Fr","Sa","So"))</f>
      </c>
      <c r="X4" s="31">
        <f>IF(X$5="","",CHOOSE(WEEKDAY(X$5,2),"Mo","Di","Mi","Do","Fr","Sa","So"))</f>
      </c>
      <c r="Y4" s="31">
        <f>IF(Y$5="","",CHOOSE(WEEKDAY(Y$5,2),"Mo","Di","Mi","Do","Fr","Sa","So"))</f>
      </c>
      <c r="Z4" s="31">
        <f>IF(Z$5="","",CHOOSE(WEEKDAY(Z$5,2),"Mo","Di","Mi","Do","Fr","Sa","So"))</f>
      </c>
      <c r="AA4" s="31">
        <f>IF(AA$5="","",CHOOSE(WEEKDAY(AA$5,2),"Mo","Di","Mi","Do","Fr","Sa","So"))</f>
      </c>
      <c r="AB4" s="31">
        <f>IF(AB$5="","",CHOOSE(WEEKDAY(AB$5,2),"Mo","Di","Mi","Do","Fr","Sa","So"))</f>
      </c>
      <c r="AC4" s="31">
        <f>IF(AC$5="","",CHOOSE(WEEKDAY(AC$5,2),"Mo","Di","Mi","Do","Fr","Sa","So"))</f>
      </c>
      <c r="AD4" s="31">
        <f>IF(AD$5="","",CHOOSE(WEEKDAY(AD$5,2),"Mo","Di","Mi","Do","Fr","Sa","So"))</f>
      </c>
      <c r="AE4" s="31">
        <f>IF(AE$5="","",CHOOSE(WEEKDAY(AE$5,2),"Mo","Di","Mi","Do","Fr","Sa","So"))</f>
      </c>
      <c r="AF4" s="31">
        <f>IF(AF$5="","",CHOOSE(WEEKDAY(AF$5,2),"Mo","Di","Mi","Do","Fr","Sa","So"))</f>
      </c>
    </row>
    <row r="5" ht="18" customHeight="1" spans="1:38" x14ac:dyDescent="0.25">
      <c r="A5" s="10" t="s">
        <v>52</v>
      </c>
      <c r="B5" s="32">
        <f>IF(MONTH(DATE(Jahr,7,1))=7,DATE(Jahr,7,1),"")</f>
      </c>
      <c r="C5" s="32">
        <f>IF(MONTH(DATE(Jahr,7,2))=7,DATE(Jahr,7,2),"")</f>
      </c>
      <c r="D5" s="32">
        <f>IF(MONTH(DATE(Jahr,7,3))=7,DATE(Jahr,7,3),"")</f>
      </c>
      <c r="E5" s="32">
        <f>IF(MONTH(DATE(Jahr,7,4))=7,DATE(Jahr,7,4),"")</f>
      </c>
      <c r="F5" s="32">
        <f>IF(MONTH(DATE(Jahr,7,5))=7,DATE(Jahr,7,5),"")</f>
      </c>
      <c r="G5" s="32">
        <f>IF(MONTH(DATE(Jahr,7,6))=7,DATE(Jahr,7,6),"")</f>
      </c>
      <c r="H5" s="32">
        <f>IF(MONTH(DATE(Jahr,7,7))=7,DATE(Jahr,7,7),"")</f>
      </c>
      <c r="I5" s="32">
        <f>IF(MONTH(DATE(Jahr,7,8))=7,DATE(Jahr,7,8),"")</f>
      </c>
      <c r="J5" s="32">
        <f>IF(MONTH(DATE(Jahr,7,9))=7,DATE(Jahr,7,9),"")</f>
      </c>
      <c r="K5" s="32">
        <f>IF(MONTH(DATE(Jahr,7,10))=7,DATE(Jahr,7,10),"")</f>
      </c>
      <c r="L5" s="32">
        <f>IF(MONTH(DATE(Jahr,7,11))=7,DATE(Jahr,7,11),"")</f>
      </c>
      <c r="M5" s="32">
        <f>IF(MONTH(DATE(Jahr,7,12))=7,DATE(Jahr,7,12),"")</f>
      </c>
      <c r="N5" s="32">
        <f>IF(MONTH(DATE(Jahr,7,13))=7,DATE(Jahr,7,13),"")</f>
      </c>
      <c r="O5" s="32">
        <f>IF(MONTH(DATE(Jahr,7,14))=7,DATE(Jahr,7,14),"")</f>
      </c>
      <c r="P5" s="32">
        <f>IF(MONTH(DATE(Jahr,7,15))=7,DATE(Jahr,7,15),"")</f>
      </c>
      <c r="Q5" s="32">
        <f>IF(MONTH(DATE(Jahr,7,16))=7,DATE(Jahr,7,16),"")</f>
      </c>
      <c r="R5" s="32">
        <f>IF(MONTH(DATE(Jahr,7,17))=7,DATE(Jahr,7,17),"")</f>
      </c>
      <c r="S5" s="32">
        <f>IF(MONTH(DATE(Jahr,7,18))=7,DATE(Jahr,7,18),"")</f>
      </c>
      <c r="T5" s="32">
        <f>IF(MONTH(DATE(Jahr,7,19))=7,DATE(Jahr,7,19),"")</f>
      </c>
      <c r="U5" s="32">
        <f>IF(MONTH(DATE(Jahr,7,20))=7,DATE(Jahr,7,20),"")</f>
      </c>
      <c r="V5" s="32">
        <f>IF(MONTH(DATE(Jahr,7,21))=7,DATE(Jahr,7,21),"")</f>
      </c>
      <c r="W5" s="32">
        <f>IF(MONTH(DATE(Jahr,7,22))=7,DATE(Jahr,7,22),"")</f>
      </c>
      <c r="X5" s="32">
        <f>IF(MONTH(DATE(Jahr,7,23))=7,DATE(Jahr,7,23),"")</f>
      </c>
      <c r="Y5" s="32">
        <f>IF(MONTH(DATE(Jahr,7,24))=7,DATE(Jahr,7,24),"")</f>
      </c>
      <c r="Z5" s="32">
        <f>IF(MONTH(DATE(Jahr,7,25))=7,DATE(Jahr,7,25),"")</f>
      </c>
      <c r="AA5" s="32">
        <f>IF(MONTH(DATE(Jahr,7,26))=7,DATE(Jahr,7,26),"")</f>
      </c>
      <c r="AB5" s="32">
        <f>IF(MONTH(DATE(Jahr,7,27))=7,DATE(Jahr,7,27),"")</f>
      </c>
      <c r="AC5" s="32">
        <f>IF(MONTH(DATE(Jahr,7,28))=7,DATE(Jahr,7,28),"")</f>
      </c>
      <c r="AD5" s="32">
        <f>IF(MONTH(DATE(Jahr,7,29))=7,DATE(Jahr,7,29),"")</f>
      </c>
      <c r="AE5" s="32">
        <f>IF(MONTH(DATE(Jahr,7,30))=7,DATE(Jahr,7,30),"")</f>
      </c>
      <c r="AF5" s="32">
        <f>IF(MONTH(DATE(Jahr,7,31))=7,DATE(Jahr,7,31),"")</f>
      </c>
      <c r="AG5" s="10" t="s">
        <v>60</v>
      </c>
      <c r="AH5" s="10" t="s">
        <v>61</v>
      </c>
      <c r="AI5" s="10" t="s">
        <v>62</v>
      </c>
      <c r="AJ5" s="10" t="s">
        <v>44</v>
      </c>
      <c r="AK5" s="10" t="s">
        <v>46</v>
      </c>
      <c r="AL5" s="10" t="s">
        <v>33</v>
      </c>
    </row>
    <row r="6" spans="1:38" x14ac:dyDescent="0.25">
      <c r="A6" s="33">
        <f>Mitarbeiter!$A$5&amp;""</f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5">
        <f>IF($A6="","",SUMPRODUCT(COUNTIFS(B6:AF6,Codes,$B$52:$AF$52,1)*(Arten="Arbeit")*Erste*NettoTage)+SUMPRODUCT(COUNTIFS(B6:AF6,Codes,$B$53:$AF$53,1)*((Arten="Urlaub")+(Arten="Krank")+(Arten="Bezahlt abwesend"))*Erste)*N(Mitarbeiter!$B$5)/5/24)</f>
      </c>
      <c r="AH6" s="35">
        <f>IF($A6="","",N(Mitarbeiter!$B$5)/5/24*SUM($B$53:$AF$53))</f>
      </c>
      <c r="AI6" s="36">
        <f>IF($A6="","",IF((AG6-AH6)&lt;0,"-","+")&amp;TEXT(ABS((AG6-AH6)),"[h]:mm"))</f>
      </c>
      <c r="AJ6" s="37">
        <f>IF($A6="","",SUMPRODUCT(COUNTIFS(B6:AF6,Codes,$B$53:$AF$53,1)*(Arten="Urlaub")*Erste))</f>
      </c>
      <c r="AK6" s="37">
        <f>IF($A6="","",SUMPRODUCT(COUNTIFS(B6:AF6,Codes,$B$53:$AF$53,1)*(Arten="Krank")*Erste))</f>
      </c>
      <c r="AL6" s="38">
        <f>IF($A6="","",IF(COUNTIF(B55:AF55,1)&gt;0,COUNTIF(B55:AF55,1)&amp;"× Ruhezeit unter 11 Std. (§ 5)","")&amp;IF((COUNTIFS(B6:AF6,"?*",$B$52:$AF$52,1)-SUMPRODUCT(COUNTIFS(B6:AF6,Codes,$B$52:$AF$52,1)*(Codes&lt;&gt;"")*Erste))&gt;0,IF(COUNTIF(B55:AF55,1)&gt;0,"; ","")&amp;(COUNTIFS(B6:AF6,"?*",$B$52:$AF$52,1)-SUMPRODUCT(COUNTIFS(B6:AF6,Codes,$B$52:$AF$52,1)*(Codes&lt;&gt;"")*Erste))&amp;"× unbekanntes Kürzel",""))</f>
      </c>
    </row>
    <row r="7" spans="1:38" x14ac:dyDescent="0.25">
      <c r="A7" s="33">
        <f>Mitarbeiter!$A$6&amp;""</f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5">
        <f>IF($A7="","",SUMPRODUCT(COUNTIFS(B7:AF7,Codes,$B$52:$AF$52,1)*(Arten="Arbeit")*Erste*NettoTage)+SUMPRODUCT(COUNTIFS(B7:AF7,Codes,$B$53:$AF$53,1)*((Arten="Urlaub")+(Arten="Krank")+(Arten="Bezahlt abwesend"))*Erste)*N(Mitarbeiter!$B$6)/5/24)</f>
      </c>
      <c r="AH7" s="35">
        <f>IF($A7="","",N(Mitarbeiter!$B$6)/5/24*SUM($B$53:$AF$53))</f>
      </c>
      <c r="AI7" s="36">
        <f>IF($A7="","",IF((AG7-AH7)&lt;0,"-","+")&amp;TEXT(ABS((AG7-AH7)),"[h]:mm"))</f>
      </c>
      <c r="AJ7" s="37">
        <f>IF($A7="","",SUMPRODUCT(COUNTIFS(B7:AF7,Codes,$B$53:$AF$53,1)*(Arten="Urlaub")*Erste))</f>
      </c>
      <c r="AK7" s="37">
        <f>IF($A7="","",SUMPRODUCT(COUNTIFS(B7:AF7,Codes,$B$53:$AF$53,1)*(Arten="Krank")*Erste))</f>
      </c>
      <c r="AL7" s="38">
        <f>IF($A7="","",IF(COUNTIF(B56:AF56,1)&gt;0,COUNTIF(B56:AF56,1)&amp;"× Ruhezeit unter 11 Std. (§ 5)","")&amp;IF((COUNTIFS(B7:AF7,"?*",$B$52:$AF$52,1)-SUMPRODUCT(COUNTIFS(B7:AF7,Codes,$B$52:$AF$52,1)*(Codes&lt;&gt;"")*Erste))&gt;0,IF(COUNTIF(B56:AF56,1)&gt;0,"; ","")&amp;(COUNTIFS(B7:AF7,"?*",$B$52:$AF$52,1)-SUMPRODUCT(COUNTIFS(B7:AF7,Codes,$B$52:$AF$52,1)*(Codes&lt;&gt;"")*Erste))&amp;"× unbekanntes Kürzel",""))</f>
      </c>
    </row>
    <row r="8" spans="1:38" x14ac:dyDescent="0.25">
      <c r="A8" s="33">
        <f>Mitarbeiter!$A$7&amp;""</f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5">
        <f>IF($A8="","",SUMPRODUCT(COUNTIFS(B8:AF8,Codes,$B$52:$AF$52,1)*(Arten="Arbeit")*Erste*NettoTage)+SUMPRODUCT(COUNTIFS(B8:AF8,Codes,$B$53:$AF$53,1)*((Arten="Urlaub")+(Arten="Krank")+(Arten="Bezahlt abwesend"))*Erste)*N(Mitarbeiter!$B$7)/5/24)</f>
      </c>
      <c r="AH8" s="35">
        <f>IF($A8="","",N(Mitarbeiter!$B$7)/5/24*SUM($B$53:$AF$53))</f>
      </c>
      <c r="AI8" s="36">
        <f>IF($A8="","",IF((AG8-AH8)&lt;0,"-","+")&amp;TEXT(ABS((AG8-AH8)),"[h]:mm"))</f>
      </c>
      <c r="AJ8" s="37">
        <f>IF($A8="","",SUMPRODUCT(COUNTIFS(B8:AF8,Codes,$B$53:$AF$53,1)*(Arten="Urlaub")*Erste))</f>
      </c>
      <c r="AK8" s="37">
        <f>IF($A8="","",SUMPRODUCT(COUNTIFS(B8:AF8,Codes,$B$53:$AF$53,1)*(Arten="Krank")*Erste))</f>
      </c>
      <c r="AL8" s="38">
        <f>IF($A8="","",IF(COUNTIF(B57:AF57,1)&gt;0,COUNTIF(B57:AF57,1)&amp;"× Ruhezeit unter 11 Std. (§ 5)","")&amp;IF((COUNTIFS(B8:AF8,"?*",$B$52:$AF$52,1)-SUMPRODUCT(COUNTIFS(B8:AF8,Codes,$B$52:$AF$52,1)*(Codes&lt;&gt;"")*Erste))&gt;0,IF(COUNTIF(B57:AF57,1)&gt;0,"; ","")&amp;(COUNTIFS(B8:AF8,"?*",$B$52:$AF$52,1)-SUMPRODUCT(COUNTIFS(B8:AF8,Codes,$B$52:$AF$52,1)*(Codes&lt;&gt;"")*Erste))&amp;"× unbekanntes Kürzel",""))</f>
      </c>
    </row>
    <row r="9" spans="1:38" x14ac:dyDescent="0.25">
      <c r="A9" s="33">
        <f>Mitarbeiter!$A$8&amp;""</f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5">
        <f>IF($A9="","",SUMPRODUCT(COUNTIFS(B9:AF9,Codes,$B$52:$AF$52,1)*(Arten="Arbeit")*Erste*NettoTage)+SUMPRODUCT(COUNTIFS(B9:AF9,Codes,$B$53:$AF$53,1)*((Arten="Urlaub")+(Arten="Krank")+(Arten="Bezahlt abwesend"))*Erste)*N(Mitarbeiter!$B$8)/5/24)</f>
      </c>
      <c r="AH9" s="35">
        <f>IF($A9="","",N(Mitarbeiter!$B$8)/5/24*SUM($B$53:$AF$53))</f>
      </c>
      <c r="AI9" s="36">
        <f>IF($A9="","",IF((AG9-AH9)&lt;0,"-","+")&amp;TEXT(ABS((AG9-AH9)),"[h]:mm"))</f>
      </c>
      <c r="AJ9" s="37">
        <f>IF($A9="","",SUMPRODUCT(COUNTIFS(B9:AF9,Codes,$B$53:$AF$53,1)*(Arten="Urlaub")*Erste))</f>
      </c>
      <c r="AK9" s="37">
        <f>IF($A9="","",SUMPRODUCT(COUNTIFS(B9:AF9,Codes,$B$53:$AF$53,1)*(Arten="Krank")*Erste))</f>
      </c>
      <c r="AL9" s="38">
        <f>IF($A9="","",IF(COUNTIF(B58:AF58,1)&gt;0,COUNTIF(B58:AF58,1)&amp;"× Ruhezeit unter 11 Std. (§ 5)","")&amp;IF((COUNTIFS(B9:AF9,"?*",$B$52:$AF$52,1)-SUMPRODUCT(COUNTIFS(B9:AF9,Codes,$B$52:$AF$52,1)*(Codes&lt;&gt;"")*Erste))&gt;0,IF(COUNTIF(B58:AF58,1)&gt;0,"; ","")&amp;(COUNTIFS(B9:AF9,"?*",$B$52:$AF$52,1)-SUMPRODUCT(COUNTIFS(B9:AF9,Codes,$B$52:$AF$52,1)*(Codes&lt;&gt;"")*Erste))&amp;"× unbekanntes Kürzel",""))</f>
      </c>
    </row>
    <row r="10" spans="1:38" x14ac:dyDescent="0.25">
      <c r="A10" s="33">
        <f>Mitarbeiter!$A$9&amp;""</f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5">
        <f>IF($A10="","",SUMPRODUCT(COUNTIFS(B10:AF10,Codes,$B$52:$AF$52,1)*(Arten="Arbeit")*Erste*NettoTage)+SUMPRODUCT(COUNTIFS(B10:AF10,Codes,$B$53:$AF$53,1)*((Arten="Urlaub")+(Arten="Krank")+(Arten="Bezahlt abwesend"))*Erste)*N(Mitarbeiter!$B$9)/5/24)</f>
      </c>
      <c r="AH10" s="35">
        <f>IF($A10="","",N(Mitarbeiter!$B$9)/5/24*SUM($B$53:$AF$53))</f>
      </c>
      <c r="AI10" s="36">
        <f>IF($A10="","",IF((AG10-AH10)&lt;0,"-","+")&amp;TEXT(ABS((AG10-AH10)),"[h]:mm"))</f>
      </c>
      <c r="AJ10" s="37">
        <f>IF($A10="","",SUMPRODUCT(COUNTIFS(B10:AF10,Codes,$B$53:$AF$53,1)*(Arten="Urlaub")*Erste))</f>
      </c>
      <c r="AK10" s="37">
        <f>IF($A10="","",SUMPRODUCT(COUNTIFS(B10:AF10,Codes,$B$53:$AF$53,1)*(Arten="Krank")*Erste))</f>
      </c>
      <c r="AL10" s="38">
        <f>IF($A10="","",IF(COUNTIF(B59:AF59,1)&gt;0,COUNTIF(B59:AF59,1)&amp;"× Ruhezeit unter 11 Std. (§ 5)","")&amp;IF((COUNTIFS(B10:AF10,"?*",$B$52:$AF$52,1)-SUMPRODUCT(COUNTIFS(B10:AF10,Codes,$B$52:$AF$52,1)*(Codes&lt;&gt;"")*Erste))&gt;0,IF(COUNTIF(B59:AF59,1)&gt;0,"; ","")&amp;(COUNTIFS(B10:AF10,"?*",$B$52:$AF$52,1)-SUMPRODUCT(COUNTIFS(B10:AF10,Codes,$B$52:$AF$52,1)*(Codes&lt;&gt;"")*Erste))&amp;"× unbekanntes Kürzel",""))</f>
      </c>
    </row>
    <row r="11" spans="1:38" x14ac:dyDescent="0.25">
      <c r="A11" s="33">
        <f>Mitarbeiter!$A$10&amp;""</f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5">
        <f>IF($A11="","",SUMPRODUCT(COUNTIFS(B11:AF11,Codes,$B$52:$AF$52,1)*(Arten="Arbeit")*Erste*NettoTage)+SUMPRODUCT(COUNTIFS(B11:AF11,Codes,$B$53:$AF$53,1)*((Arten="Urlaub")+(Arten="Krank")+(Arten="Bezahlt abwesend"))*Erste)*N(Mitarbeiter!$B$10)/5/24)</f>
      </c>
      <c r="AH11" s="35">
        <f>IF($A11="","",N(Mitarbeiter!$B$10)/5/24*SUM($B$53:$AF$53))</f>
      </c>
      <c r="AI11" s="36">
        <f>IF($A11="","",IF((AG11-AH11)&lt;0,"-","+")&amp;TEXT(ABS((AG11-AH11)),"[h]:mm"))</f>
      </c>
      <c r="AJ11" s="37">
        <f>IF($A11="","",SUMPRODUCT(COUNTIFS(B11:AF11,Codes,$B$53:$AF$53,1)*(Arten="Urlaub")*Erste))</f>
      </c>
      <c r="AK11" s="37">
        <f>IF($A11="","",SUMPRODUCT(COUNTIFS(B11:AF11,Codes,$B$53:$AF$53,1)*(Arten="Krank")*Erste))</f>
      </c>
      <c r="AL11" s="38">
        <f>IF($A11="","",IF(COUNTIF(B60:AF60,1)&gt;0,COUNTIF(B60:AF60,1)&amp;"× Ruhezeit unter 11 Std. (§ 5)","")&amp;IF((COUNTIFS(B11:AF11,"?*",$B$52:$AF$52,1)-SUMPRODUCT(COUNTIFS(B11:AF11,Codes,$B$52:$AF$52,1)*(Codes&lt;&gt;"")*Erste))&gt;0,IF(COUNTIF(B60:AF60,1)&gt;0,"; ","")&amp;(COUNTIFS(B11:AF11,"?*",$B$52:$AF$52,1)-SUMPRODUCT(COUNTIFS(B11:AF11,Codes,$B$52:$AF$52,1)*(Codes&lt;&gt;"")*Erste))&amp;"× unbekanntes Kürzel",""))</f>
      </c>
    </row>
    <row r="12" spans="1:38" x14ac:dyDescent="0.25">
      <c r="A12" s="33">
        <f>Mitarbeiter!$A$11&amp;""</f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5">
        <f>IF($A12="","",SUMPRODUCT(COUNTIFS(B12:AF12,Codes,$B$52:$AF$52,1)*(Arten="Arbeit")*Erste*NettoTage)+SUMPRODUCT(COUNTIFS(B12:AF12,Codes,$B$53:$AF$53,1)*((Arten="Urlaub")+(Arten="Krank")+(Arten="Bezahlt abwesend"))*Erste)*N(Mitarbeiter!$B$11)/5/24)</f>
      </c>
      <c r="AH12" s="35">
        <f>IF($A12="","",N(Mitarbeiter!$B$11)/5/24*SUM($B$53:$AF$53))</f>
      </c>
      <c r="AI12" s="36">
        <f>IF($A12="","",IF((AG12-AH12)&lt;0,"-","+")&amp;TEXT(ABS((AG12-AH12)),"[h]:mm"))</f>
      </c>
      <c r="AJ12" s="37">
        <f>IF($A12="","",SUMPRODUCT(COUNTIFS(B12:AF12,Codes,$B$53:$AF$53,1)*(Arten="Urlaub")*Erste))</f>
      </c>
      <c r="AK12" s="37">
        <f>IF($A12="","",SUMPRODUCT(COUNTIFS(B12:AF12,Codes,$B$53:$AF$53,1)*(Arten="Krank")*Erste))</f>
      </c>
      <c r="AL12" s="38">
        <f>IF($A12="","",IF(COUNTIF(B61:AF61,1)&gt;0,COUNTIF(B61:AF61,1)&amp;"× Ruhezeit unter 11 Std. (§ 5)","")&amp;IF((COUNTIFS(B12:AF12,"?*",$B$52:$AF$52,1)-SUMPRODUCT(COUNTIFS(B12:AF12,Codes,$B$52:$AF$52,1)*(Codes&lt;&gt;"")*Erste))&gt;0,IF(COUNTIF(B61:AF61,1)&gt;0,"; ","")&amp;(COUNTIFS(B12:AF12,"?*",$B$52:$AF$52,1)-SUMPRODUCT(COUNTIFS(B12:AF12,Codes,$B$52:$AF$52,1)*(Codes&lt;&gt;"")*Erste))&amp;"× unbekanntes Kürzel",""))</f>
      </c>
    </row>
    <row r="13" spans="1:38" x14ac:dyDescent="0.25">
      <c r="A13" s="33">
        <f>Mitarbeiter!$A$12&amp;""</f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5">
        <f>IF($A13="","",SUMPRODUCT(COUNTIFS(B13:AF13,Codes,$B$52:$AF$52,1)*(Arten="Arbeit")*Erste*NettoTage)+SUMPRODUCT(COUNTIFS(B13:AF13,Codes,$B$53:$AF$53,1)*((Arten="Urlaub")+(Arten="Krank")+(Arten="Bezahlt abwesend"))*Erste)*N(Mitarbeiter!$B$12)/5/24)</f>
      </c>
      <c r="AH13" s="35">
        <f>IF($A13="","",N(Mitarbeiter!$B$12)/5/24*SUM($B$53:$AF$53))</f>
      </c>
      <c r="AI13" s="36">
        <f>IF($A13="","",IF((AG13-AH13)&lt;0,"-","+")&amp;TEXT(ABS((AG13-AH13)),"[h]:mm"))</f>
      </c>
      <c r="AJ13" s="37">
        <f>IF($A13="","",SUMPRODUCT(COUNTIFS(B13:AF13,Codes,$B$53:$AF$53,1)*(Arten="Urlaub")*Erste))</f>
      </c>
      <c r="AK13" s="37">
        <f>IF($A13="","",SUMPRODUCT(COUNTIFS(B13:AF13,Codes,$B$53:$AF$53,1)*(Arten="Krank")*Erste))</f>
      </c>
      <c r="AL13" s="38">
        <f>IF($A13="","",IF(COUNTIF(B62:AF62,1)&gt;0,COUNTIF(B62:AF62,1)&amp;"× Ruhezeit unter 11 Std. (§ 5)","")&amp;IF((COUNTIFS(B13:AF13,"?*",$B$52:$AF$52,1)-SUMPRODUCT(COUNTIFS(B13:AF13,Codes,$B$52:$AF$52,1)*(Codes&lt;&gt;"")*Erste))&gt;0,IF(COUNTIF(B62:AF62,1)&gt;0,"; ","")&amp;(COUNTIFS(B13:AF13,"?*",$B$52:$AF$52,1)-SUMPRODUCT(COUNTIFS(B13:AF13,Codes,$B$52:$AF$52,1)*(Codes&lt;&gt;"")*Erste))&amp;"× unbekanntes Kürzel",""))</f>
      </c>
    </row>
    <row r="14" spans="1:38" x14ac:dyDescent="0.25">
      <c r="A14" s="33">
        <f>Mitarbeiter!$A$13&amp;""</f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5">
        <f>IF($A14="","",SUMPRODUCT(COUNTIFS(B14:AF14,Codes,$B$52:$AF$52,1)*(Arten="Arbeit")*Erste*NettoTage)+SUMPRODUCT(COUNTIFS(B14:AF14,Codes,$B$53:$AF$53,1)*((Arten="Urlaub")+(Arten="Krank")+(Arten="Bezahlt abwesend"))*Erste)*N(Mitarbeiter!$B$13)/5/24)</f>
      </c>
      <c r="AH14" s="35">
        <f>IF($A14="","",N(Mitarbeiter!$B$13)/5/24*SUM($B$53:$AF$53))</f>
      </c>
      <c r="AI14" s="36">
        <f>IF($A14="","",IF((AG14-AH14)&lt;0,"-","+")&amp;TEXT(ABS((AG14-AH14)),"[h]:mm"))</f>
      </c>
      <c r="AJ14" s="37">
        <f>IF($A14="","",SUMPRODUCT(COUNTIFS(B14:AF14,Codes,$B$53:$AF$53,1)*(Arten="Urlaub")*Erste))</f>
      </c>
      <c r="AK14" s="37">
        <f>IF($A14="","",SUMPRODUCT(COUNTIFS(B14:AF14,Codes,$B$53:$AF$53,1)*(Arten="Krank")*Erste))</f>
      </c>
      <c r="AL14" s="38">
        <f>IF($A14="","",IF(COUNTIF(B63:AF63,1)&gt;0,COUNTIF(B63:AF63,1)&amp;"× Ruhezeit unter 11 Std. (§ 5)","")&amp;IF((COUNTIFS(B14:AF14,"?*",$B$52:$AF$52,1)-SUMPRODUCT(COUNTIFS(B14:AF14,Codes,$B$52:$AF$52,1)*(Codes&lt;&gt;"")*Erste))&gt;0,IF(COUNTIF(B63:AF63,1)&gt;0,"; ","")&amp;(COUNTIFS(B14:AF14,"?*",$B$52:$AF$52,1)-SUMPRODUCT(COUNTIFS(B14:AF14,Codes,$B$52:$AF$52,1)*(Codes&lt;&gt;"")*Erste))&amp;"× unbekanntes Kürzel",""))</f>
      </c>
    </row>
    <row r="15" spans="1:38" x14ac:dyDescent="0.25">
      <c r="A15" s="33">
        <f>Mitarbeiter!$A$14&amp;""</f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5">
        <f>IF($A15="","",SUMPRODUCT(COUNTIFS(B15:AF15,Codes,$B$52:$AF$52,1)*(Arten="Arbeit")*Erste*NettoTage)+SUMPRODUCT(COUNTIFS(B15:AF15,Codes,$B$53:$AF$53,1)*((Arten="Urlaub")+(Arten="Krank")+(Arten="Bezahlt abwesend"))*Erste)*N(Mitarbeiter!$B$14)/5/24)</f>
      </c>
      <c r="AH15" s="35">
        <f>IF($A15="","",N(Mitarbeiter!$B$14)/5/24*SUM($B$53:$AF$53))</f>
      </c>
      <c r="AI15" s="36">
        <f>IF($A15="","",IF((AG15-AH15)&lt;0,"-","+")&amp;TEXT(ABS((AG15-AH15)),"[h]:mm"))</f>
      </c>
      <c r="AJ15" s="37">
        <f>IF($A15="","",SUMPRODUCT(COUNTIFS(B15:AF15,Codes,$B$53:$AF$53,1)*(Arten="Urlaub")*Erste))</f>
      </c>
      <c r="AK15" s="37">
        <f>IF($A15="","",SUMPRODUCT(COUNTIFS(B15:AF15,Codes,$B$53:$AF$53,1)*(Arten="Krank")*Erste))</f>
      </c>
      <c r="AL15" s="38">
        <f>IF($A15="","",IF(COUNTIF(B64:AF64,1)&gt;0,COUNTIF(B64:AF64,1)&amp;"× Ruhezeit unter 11 Std. (§ 5)","")&amp;IF((COUNTIFS(B15:AF15,"?*",$B$52:$AF$52,1)-SUMPRODUCT(COUNTIFS(B15:AF15,Codes,$B$52:$AF$52,1)*(Codes&lt;&gt;"")*Erste))&gt;0,IF(COUNTIF(B64:AF64,1)&gt;0,"; ","")&amp;(COUNTIFS(B15:AF15,"?*",$B$52:$AF$52,1)-SUMPRODUCT(COUNTIFS(B15:AF15,Codes,$B$52:$AF$52,1)*(Codes&lt;&gt;"")*Erste))&amp;"× unbekanntes Kürzel",""))</f>
      </c>
    </row>
    <row r="16" spans="1:38" x14ac:dyDescent="0.25">
      <c r="A16" s="33">
        <f>Mitarbeiter!$A$15&amp;""</f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5">
        <f>IF($A16="","",SUMPRODUCT(COUNTIFS(B16:AF16,Codes,$B$52:$AF$52,1)*(Arten="Arbeit")*Erste*NettoTage)+SUMPRODUCT(COUNTIFS(B16:AF16,Codes,$B$53:$AF$53,1)*((Arten="Urlaub")+(Arten="Krank")+(Arten="Bezahlt abwesend"))*Erste)*N(Mitarbeiter!$B$15)/5/24)</f>
      </c>
      <c r="AH16" s="35">
        <f>IF($A16="","",N(Mitarbeiter!$B$15)/5/24*SUM($B$53:$AF$53))</f>
      </c>
      <c r="AI16" s="36">
        <f>IF($A16="","",IF((AG16-AH16)&lt;0,"-","+")&amp;TEXT(ABS((AG16-AH16)),"[h]:mm"))</f>
      </c>
      <c r="AJ16" s="37">
        <f>IF($A16="","",SUMPRODUCT(COUNTIFS(B16:AF16,Codes,$B$53:$AF$53,1)*(Arten="Urlaub")*Erste))</f>
      </c>
      <c r="AK16" s="37">
        <f>IF($A16="","",SUMPRODUCT(COUNTIFS(B16:AF16,Codes,$B$53:$AF$53,1)*(Arten="Krank")*Erste))</f>
      </c>
      <c r="AL16" s="38">
        <f>IF($A16="","",IF(COUNTIF(B65:AF65,1)&gt;0,COUNTIF(B65:AF65,1)&amp;"× Ruhezeit unter 11 Std. (§ 5)","")&amp;IF((COUNTIFS(B16:AF16,"?*",$B$52:$AF$52,1)-SUMPRODUCT(COUNTIFS(B16:AF16,Codes,$B$52:$AF$52,1)*(Codes&lt;&gt;"")*Erste))&gt;0,IF(COUNTIF(B65:AF65,1)&gt;0,"; ","")&amp;(COUNTIFS(B16:AF16,"?*",$B$52:$AF$52,1)-SUMPRODUCT(COUNTIFS(B16:AF16,Codes,$B$52:$AF$52,1)*(Codes&lt;&gt;"")*Erste))&amp;"× unbekanntes Kürzel",""))</f>
      </c>
    </row>
    <row r="17" spans="1:38" x14ac:dyDescent="0.25">
      <c r="A17" s="33">
        <f>Mitarbeiter!$A$16&amp;""</f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5">
        <f>IF($A17="","",SUMPRODUCT(COUNTIFS(B17:AF17,Codes,$B$52:$AF$52,1)*(Arten="Arbeit")*Erste*NettoTage)+SUMPRODUCT(COUNTIFS(B17:AF17,Codes,$B$53:$AF$53,1)*((Arten="Urlaub")+(Arten="Krank")+(Arten="Bezahlt abwesend"))*Erste)*N(Mitarbeiter!$B$16)/5/24)</f>
      </c>
      <c r="AH17" s="35">
        <f>IF($A17="","",N(Mitarbeiter!$B$16)/5/24*SUM($B$53:$AF$53))</f>
      </c>
      <c r="AI17" s="36">
        <f>IF($A17="","",IF((AG17-AH17)&lt;0,"-","+")&amp;TEXT(ABS((AG17-AH17)),"[h]:mm"))</f>
      </c>
      <c r="AJ17" s="37">
        <f>IF($A17="","",SUMPRODUCT(COUNTIFS(B17:AF17,Codes,$B$53:$AF$53,1)*(Arten="Urlaub")*Erste))</f>
      </c>
      <c r="AK17" s="37">
        <f>IF($A17="","",SUMPRODUCT(COUNTIFS(B17:AF17,Codes,$B$53:$AF$53,1)*(Arten="Krank")*Erste))</f>
      </c>
      <c r="AL17" s="38">
        <f>IF($A17="","",IF(COUNTIF(B66:AF66,1)&gt;0,COUNTIF(B66:AF66,1)&amp;"× Ruhezeit unter 11 Std. (§ 5)","")&amp;IF((COUNTIFS(B17:AF17,"?*",$B$52:$AF$52,1)-SUMPRODUCT(COUNTIFS(B17:AF17,Codes,$B$52:$AF$52,1)*(Codes&lt;&gt;"")*Erste))&gt;0,IF(COUNTIF(B66:AF66,1)&gt;0,"; ","")&amp;(COUNTIFS(B17:AF17,"?*",$B$52:$AF$52,1)-SUMPRODUCT(COUNTIFS(B17:AF17,Codes,$B$52:$AF$52,1)*(Codes&lt;&gt;"")*Erste))&amp;"× unbekanntes Kürzel",""))</f>
      </c>
    </row>
    <row r="18" spans="1:38" x14ac:dyDescent="0.25">
      <c r="A18" s="33">
        <f>Mitarbeiter!$A$17&amp;""</f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5">
        <f>IF($A18="","",SUMPRODUCT(COUNTIFS(B18:AF18,Codes,$B$52:$AF$52,1)*(Arten="Arbeit")*Erste*NettoTage)+SUMPRODUCT(COUNTIFS(B18:AF18,Codes,$B$53:$AF$53,1)*((Arten="Urlaub")+(Arten="Krank")+(Arten="Bezahlt abwesend"))*Erste)*N(Mitarbeiter!$B$17)/5/24)</f>
      </c>
      <c r="AH18" s="35">
        <f>IF($A18="","",N(Mitarbeiter!$B$17)/5/24*SUM($B$53:$AF$53))</f>
      </c>
      <c r="AI18" s="36">
        <f>IF($A18="","",IF((AG18-AH18)&lt;0,"-","+")&amp;TEXT(ABS((AG18-AH18)),"[h]:mm"))</f>
      </c>
      <c r="AJ18" s="37">
        <f>IF($A18="","",SUMPRODUCT(COUNTIFS(B18:AF18,Codes,$B$53:$AF$53,1)*(Arten="Urlaub")*Erste))</f>
      </c>
      <c r="AK18" s="37">
        <f>IF($A18="","",SUMPRODUCT(COUNTIFS(B18:AF18,Codes,$B$53:$AF$53,1)*(Arten="Krank")*Erste))</f>
      </c>
      <c r="AL18" s="38">
        <f>IF($A18="","",IF(COUNTIF(B67:AF67,1)&gt;0,COUNTIF(B67:AF67,1)&amp;"× Ruhezeit unter 11 Std. (§ 5)","")&amp;IF((COUNTIFS(B18:AF18,"?*",$B$52:$AF$52,1)-SUMPRODUCT(COUNTIFS(B18:AF18,Codes,$B$52:$AF$52,1)*(Codes&lt;&gt;"")*Erste))&gt;0,IF(COUNTIF(B67:AF67,1)&gt;0,"; ","")&amp;(COUNTIFS(B18:AF18,"?*",$B$52:$AF$52,1)-SUMPRODUCT(COUNTIFS(B18:AF18,Codes,$B$52:$AF$52,1)*(Codes&lt;&gt;"")*Erste))&amp;"× unbekanntes Kürzel",""))</f>
      </c>
    </row>
    <row r="19" spans="1:38" x14ac:dyDescent="0.25">
      <c r="A19" s="33">
        <f>Mitarbeiter!$A$18&amp;""</f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5">
        <f>IF($A19="","",SUMPRODUCT(COUNTIFS(B19:AF19,Codes,$B$52:$AF$52,1)*(Arten="Arbeit")*Erste*NettoTage)+SUMPRODUCT(COUNTIFS(B19:AF19,Codes,$B$53:$AF$53,1)*((Arten="Urlaub")+(Arten="Krank")+(Arten="Bezahlt abwesend"))*Erste)*N(Mitarbeiter!$B$18)/5/24)</f>
      </c>
      <c r="AH19" s="35">
        <f>IF($A19="","",N(Mitarbeiter!$B$18)/5/24*SUM($B$53:$AF$53))</f>
      </c>
      <c r="AI19" s="36">
        <f>IF($A19="","",IF((AG19-AH19)&lt;0,"-","+")&amp;TEXT(ABS((AG19-AH19)),"[h]:mm"))</f>
      </c>
      <c r="AJ19" s="37">
        <f>IF($A19="","",SUMPRODUCT(COUNTIFS(B19:AF19,Codes,$B$53:$AF$53,1)*(Arten="Urlaub")*Erste))</f>
      </c>
      <c r="AK19" s="37">
        <f>IF($A19="","",SUMPRODUCT(COUNTIFS(B19:AF19,Codes,$B$53:$AF$53,1)*(Arten="Krank")*Erste))</f>
      </c>
      <c r="AL19" s="38">
        <f>IF($A19="","",IF(COUNTIF(B68:AF68,1)&gt;0,COUNTIF(B68:AF68,1)&amp;"× Ruhezeit unter 11 Std. (§ 5)","")&amp;IF((COUNTIFS(B19:AF19,"?*",$B$52:$AF$52,1)-SUMPRODUCT(COUNTIFS(B19:AF19,Codes,$B$52:$AF$52,1)*(Codes&lt;&gt;"")*Erste))&gt;0,IF(COUNTIF(B68:AF68,1)&gt;0,"; ","")&amp;(COUNTIFS(B19:AF19,"?*",$B$52:$AF$52,1)-SUMPRODUCT(COUNTIFS(B19:AF19,Codes,$B$52:$AF$52,1)*(Codes&lt;&gt;"")*Erste))&amp;"× unbekanntes Kürzel",""))</f>
      </c>
    </row>
    <row r="20" spans="1:38" x14ac:dyDescent="0.25">
      <c r="A20" s="33">
        <f>Mitarbeiter!$A$19&amp;""</f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5">
        <f>IF($A20="","",SUMPRODUCT(COUNTIFS(B20:AF20,Codes,$B$52:$AF$52,1)*(Arten="Arbeit")*Erste*NettoTage)+SUMPRODUCT(COUNTIFS(B20:AF20,Codes,$B$53:$AF$53,1)*((Arten="Urlaub")+(Arten="Krank")+(Arten="Bezahlt abwesend"))*Erste)*N(Mitarbeiter!$B$19)/5/24)</f>
      </c>
      <c r="AH20" s="35">
        <f>IF($A20="","",N(Mitarbeiter!$B$19)/5/24*SUM($B$53:$AF$53))</f>
      </c>
      <c r="AI20" s="36">
        <f>IF($A20="","",IF((AG20-AH20)&lt;0,"-","+")&amp;TEXT(ABS((AG20-AH20)),"[h]:mm"))</f>
      </c>
      <c r="AJ20" s="37">
        <f>IF($A20="","",SUMPRODUCT(COUNTIFS(B20:AF20,Codes,$B$53:$AF$53,1)*(Arten="Urlaub")*Erste))</f>
      </c>
      <c r="AK20" s="37">
        <f>IF($A20="","",SUMPRODUCT(COUNTIFS(B20:AF20,Codes,$B$53:$AF$53,1)*(Arten="Krank")*Erste))</f>
      </c>
      <c r="AL20" s="38">
        <f>IF($A20="","",IF(COUNTIF(B69:AF69,1)&gt;0,COUNTIF(B69:AF69,1)&amp;"× Ruhezeit unter 11 Std. (§ 5)","")&amp;IF((COUNTIFS(B20:AF20,"?*",$B$52:$AF$52,1)-SUMPRODUCT(COUNTIFS(B20:AF20,Codes,$B$52:$AF$52,1)*(Codes&lt;&gt;"")*Erste))&gt;0,IF(COUNTIF(B69:AF69,1)&gt;0,"; ","")&amp;(COUNTIFS(B20:AF20,"?*",$B$52:$AF$52,1)-SUMPRODUCT(COUNTIFS(B20:AF20,Codes,$B$52:$AF$52,1)*(Codes&lt;&gt;"")*Erste))&amp;"× unbekanntes Kürzel",""))</f>
      </c>
    </row>
    <row r="21" spans="1:38" x14ac:dyDescent="0.25">
      <c r="A21" s="33">
        <f>Mitarbeiter!$A$20&amp;""</f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5">
        <f>IF($A21="","",SUMPRODUCT(COUNTIFS(B21:AF21,Codes,$B$52:$AF$52,1)*(Arten="Arbeit")*Erste*NettoTage)+SUMPRODUCT(COUNTIFS(B21:AF21,Codes,$B$53:$AF$53,1)*((Arten="Urlaub")+(Arten="Krank")+(Arten="Bezahlt abwesend"))*Erste)*N(Mitarbeiter!$B$20)/5/24)</f>
      </c>
      <c r="AH21" s="35">
        <f>IF($A21="","",N(Mitarbeiter!$B$20)/5/24*SUM($B$53:$AF$53))</f>
      </c>
      <c r="AI21" s="36">
        <f>IF($A21="","",IF((AG21-AH21)&lt;0,"-","+")&amp;TEXT(ABS((AG21-AH21)),"[h]:mm"))</f>
      </c>
      <c r="AJ21" s="37">
        <f>IF($A21="","",SUMPRODUCT(COUNTIFS(B21:AF21,Codes,$B$53:$AF$53,1)*(Arten="Urlaub")*Erste))</f>
      </c>
      <c r="AK21" s="37">
        <f>IF($A21="","",SUMPRODUCT(COUNTIFS(B21:AF21,Codes,$B$53:$AF$53,1)*(Arten="Krank")*Erste))</f>
      </c>
      <c r="AL21" s="38">
        <f>IF($A21="","",IF(COUNTIF(B70:AF70,1)&gt;0,COUNTIF(B70:AF70,1)&amp;"× Ruhezeit unter 11 Std. (§ 5)","")&amp;IF((COUNTIFS(B21:AF21,"?*",$B$52:$AF$52,1)-SUMPRODUCT(COUNTIFS(B21:AF21,Codes,$B$52:$AF$52,1)*(Codes&lt;&gt;"")*Erste))&gt;0,IF(COUNTIF(B70:AF70,1)&gt;0,"; ","")&amp;(COUNTIFS(B21:AF21,"?*",$B$52:$AF$52,1)-SUMPRODUCT(COUNTIFS(B21:AF21,Codes,$B$52:$AF$52,1)*(Codes&lt;&gt;"")*Erste))&amp;"× unbekanntes Kürzel",""))</f>
      </c>
    </row>
    <row r="22" spans="1:38" x14ac:dyDescent="0.25">
      <c r="A22" s="33">
        <f>Mitarbeiter!$A$21&amp;""</f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5">
        <f>IF($A22="","",SUMPRODUCT(COUNTIFS(B22:AF22,Codes,$B$52:$AF$52,1)*(Arten="Arbeit")*Erste*NettoTage)+SUMPRODUCT(COUNTIFS(B22:AF22,Codes,$B$53:$AF$53,1)*((Arten="Urlaub")+(Arten="Krank")+(Arten="Bezahlt abwesend"))*Erste)*N(Mitarbeiter!$B$21)/5/24)</f>
      </c>
      <c r="AH22" s="35">
        <f>IF($A22="","",N(Mitarbeiter!$B$21)/5/24*SUM($B$53:$AF$53))</f>
      </c>
      <c r="AI22" s="36">
        <f>IF($A22="","",IF((AG22-AH22)&lt;0,"-","+")&amp;TEXT(ABS((AG22-AH22)),"[h]:mm"))</f>
      </c>
      <c r="AJ22" s="37">
        <f>IF($A22="","",SUMPRODUCT(COUNTIFS(B22:AF22,Codes,$B$53:$AF$53,1)*(Arten="Urlaub")*Erste))</f>
      </c>
      <c r="AK22" s="37">
        <f>IF($A22="","",SUMPRODUCT(COUNTIFS(B22:AF22,Codes,$B$53:$AF$53,1)*(Arten="Krank")*Erste))</f>
      </c>
      <c r="AL22" s="38">
        <f>IF($A22="","",IF(COUNTIF(B71:AF71,1)&gt;0,COUNTIF(B71:AF71,1)&amp;"× Ruhezeit unter 11 Std. (§ 5)","")&amp;IF((COUNTIFS(B22:AF22,"?*",$B$52:$AF$52,1)-SUMPRODUCT(COUNTIFS(B22:AF22,Codes,$B$52:$AF$52,1)*(Codes&lt;&gt;"")*Erste))&gt;0,IF(COUNTIF(B71:AF71,1)&gt;0,"; ","")&amp;(COUNTIFS(B22:AF22,"?*",$B$52:$AF$52,1)-SUMPRODUCT(COUNTIFS(B22:AF22,Codes,$B$52:$AF$52,1)*(Codes&lt;&gt;"")*Erste))&amp;"× unbekanntes Kürzel",""))</f>
      </c>
    </row>
    <row r="23" spans="1:38" x14ac:dyDescent="0.25">
      <c r="A23" s="33">
        <f>Mitarbeiter!$A$22&amp;""</f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5">
        <f>IF($A23="","",SUMPRODUCT(COUNTIFS(B23:AF23,Codes,$B$52:$AF$52,1)*(Arten="Arbeit")*Erste*NettoTage)+SUMPRODUCT(COUNTIFS(B23:AF23,Codes,$B$53:$AF$53,1)*((Arten="Urlaub")+(Arten="Krank")+(Arten="Bezahlt abwesend"))*Erste)*N(Mitarbeiter!$B$22)/5/24)</f>
      </c>
      <c r="AH23" s="35">
        <f>IF($A23="","",N(Mitarbeiter!$B$22)/5/24*SUM($B$53:$AF$53))</f>
      </c>
      <c r="AI23" s="36">
        <f>IF($A23="","",IF((AG23-AH23)&lt;0,"-","+")&amp;TEXT(ABS((AG23-AH23)),"[h]:mm"))</f>
      </c>
      <c r="AJ23" s="37">
        <f>IF($A23="","",SUMPRODUCT(COUNTIFS(B23:AF23,Codes,$B$53:$AF$53,1)*(Arten="Urlaub")*Erste))</f>
      </c>
      <c r="AK23" s="37">
        <f>IF($A23="","",SUMPRODUCT(COUNTIFS(B23:AF23,Codes,$B$53:$AF$53,1)*(Arten="Krank")*Erste))</f>
      </c>
      <c r="AL23" s="38">
        <f>IF($A23="","",IF(COUNTIF(B72:AF72,1)&gt;0,COUNTIF(B72:AF72,1)&amp;"× Ruhezeit unter 11 Std. (§ 5)","")&amp;IF((COUNTIFS(B23:AF23,"?*",$B$52:$AF$52,1)-SUMPRODUCT(COUNTIFS(B23:AF23,Codes,$B$52:$AF$52,1)*(Codes&lt;&gt;"")*Erste))&gt;0,IF(COUNTIF(B72:AF72,1)&gt;0,"; ","")&amp;(COUNTIFS(B23:AF23,"?*",$B$52:$AF$52,1)-SUMPRODUCT(COUNTIFS(B23:AF23,Codes,$B$52:$AF$52,1)*(Codes&lt;&gt;"")*Erste))&amp;"× unbekanntes Kürzel",""))</f>
      </c>
    </row>
    <row r="24" spans="1:38" x14ac:dyDescent="0.25">
      <c r="A24" s="33">
        <f>Mitarbeiter!$A$23&amp;""</f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5">
        <f>IF($A24="","",SUMPRODUCT(COUNTIFS(B24:AF24,Codes,$B$52:$AF$52,1)*(Arten="Arbeit")*Erste*NettoTage)+SUMPRODUCT(COUNTIFS(B24:AF24,Codes,$B$53:$AF$53,1)*((Arten="Urlaub")+(Arten="Krank")+(Arten="Bezahlt abwesend"))*Erste)*N(Mitarbeiter!$B$23)/5/24)</f>
      </c>
      <c r="AH24" s="35">
        <f>IF($A24="","",N(Mitarbeiter!$B$23)/5/24*SUM($B$53:$AF$53))</f>
      </c>
      <c r="AI24" s="36">
        <f>IF($A24="","",IF((AG24-AH24)&lt;0,"-","+")&amp;TEXT(ABS((AG24-AH24)),"[h]:mm"))</f>
      </c>
      <c r="AJ24" s="37">
        <f>IF($A24="","",SUMPRODUCT(COUNTIFS(B24:AF24,Codes,$B$53:$AF$53,1)*(Arten="Urlaub")*Erste))</f>
      </c>
      <c r="AK24" s="37">
        <f>IF($A24="","",SUMPRODUCT(COUNTIFS(B24:AF24,Codes,$B$53:$AF$53,1)*(Arten="Krank")*Erste))</f>
      </c>
      <c r="AL24" s="38">
        <f>IF($A24="","",IF(COUNTIF(B73:AF73,1)&gt;0,COUNTIF(B73:AF73,1)&amp;"× Ruhezeit unter 11 Std. (§ 5)","")&amp;IF((COUNTIFS(B24:AF24,"?*",$B$52:$AF$52,1)-SUMPRODUCT(COUNTIFS(B24:AF24,Codes,$B$52:$AF$52,1)*(Codes&lt;&gt;"")*Erste))&gt;0,IF(COUNTIF(B73:AF73,1)&gt;0,"; ","")&amp;(COUNTIFS(B24:AF24,"?*",$B$52:$AF$52,1)-SUMPRODUCT(COUNTIFS(B24:AF24,Codes,$B$52:$AF$52,1)*(Codes&lt;&gt;"")*Erste))&amp;"× unbekanntes Kürzel",""))</f>
      </c>
    </row>
    <row r="25" spans="1:38" x14ac:dyDescent="0.25">
      <c r="A25" s="33">
        <f>Mitarbeiter!$A$24&amp;""</f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5">
        <f>IF($A25="","",SUMPRODUCT(COUNTIFS(B25:AF25,Codes,$B$52:$AF$52,1)*(Arten="Arbeit")*Erste*NettoTage)+SUMPRODUCT(COUNTIFS(B25:AF25,Codes,$B$53:$AF$53,1)*((Arten="Urlaub")+(Arten="Krank")+(Arten="Bezahlt abwesend"))*Erste)*N(Mitarbeiter!$B$24)/5/24)</f>
      </c>
      <c r="AH25" s="35">
        <f>IF($A25="","",N(Mitarbeiter!$B$24)/5/24*SUM($B$53:$AF$53))</f>
      </c>
      <c r="AI25" s="36">
        <f>IF($A25="","",IF((AG25-AH25)&lt;0,"-","+")&amp;TEXT(ABS((AG25-AH25)),"[h]:mm"))</f>
      </c>
      <c r="AJ25" s="37">
        <f>IF($A25="","",SUMPRODUCT(COUNTIFS(B25:AF25,Codes,$B$53:$AF$53,1)*(Arten="Urlaub")*Erste))</f>
      </c>
      <c r="AK25" s="37">
        <f>IF($A25="","",SUMPRODUCT(COUNTIFS(B25:AF25,Codes,$B$53:$AF$53,1)*(Arten="Krank")*Erste))</f>
      </c>
      <c r="AL25" s="38">
        <f>IF($A25="","",IF(COUNTIF(B74:AF74,1)&gt;0,COUNTIF(B74:AF74,1)&amp;"× Ruhezeit unter 11 Std. (§ 5)","")&amp;IF((COUNTIFS(B25:AF25,"?*",$B$52:$AF$52,1)-SUMPRODUCT(COUNTIFS(B25:AF25,Codes,$B$52:$AF$52,1)*(Codes&lt;&gt;"")*Erste))&gt;0,IF(COUNTIF(B74:AF74,1)&gt;0,"; ","")&amp;(COUNTIFS(B25:AF25,"?*",$B$52:$AF$52,1)-SUMPRODUCT(COUNTIFS(B25:AF25,Codes,$B$52:$AF$52,1)*(Codes&lt;&gt;"")*Erste))&amp;"× unbekanntes Kürzel",""))</f>
      </c>
    </row>
    <row r="26" spans="1:38" x14ac:dyDescent="0.25">
      <c r="A26" s="33">
        <f>Mitarbeiter!$A$25&amp;""</f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5">
        <f>IF($A26="","",SUMPRODUCT(COUNTIFS(B26:AF26,Codes,$B$52:$AF$52,1)*(Arten="Arbeit")*Erste*NettoTage)+SUMPRODUCT(COUNTIFS(B26:AF26,Codes,$B$53:$AF$53,1)*((Arten="Urlaub")+(Arten="Krank")+(Arten="Bezahlt abwesend"))*Erste)*N(Mitarbeiter!$B$25)/5/24)</f>
      </c>
      <c r="AH26" s="35">
        <f>IF($A26="","",N(Mitarbeiter!$B$25)/5/24*SUM($B$53:$AF$53))</f>
      </c>
      <c r="AI26" s="36">
        <f>IF($A26="","",IF((AG26-AH26)&lt;0,"-","+")&amp;TEXT(ABS((AG26-AH26)),"[h]:mm"))</f>
      </c>
      <c r="AJ26" s="37">
        <f>IF($A26="","",SUMPRODUCT(COUNTIFS(B26:AF26,Codes,$B$53:$AF$53,1)*(Arten="Urlaub")*Erste))</f>
      </c>
      <c r="AK26" s="37">
        <f>IF($A26="","",SUMPRODUCT(COUNTIFS(B26:AF26,Codes,$B$53:$AF$53,1)*(Arten="Krank")*Erste))</f>
      </c>
      <c r="AL26" s="38">
        <f>IF($A26="","",IF(COUNTIF(B75:AF75,1)&gt;0,COUNTIF(B75:AF75,1)&amp;"× Ruhezeit unter 11 Std. (§ 5)","")&amp;IF((COUNTIFS(B26:AF26,"?*",$B$52:$AF$52,1)-SUMPRODUCT(COUNTIFS(B26:AF26,Codes,$B$52:$AF$52,1)*(Codes&lt;&gt;"")*Erste))&gt;0,IF(COUNTIF(B75:AF75,1)&gt;0,"; ","")&amp;(COUNTIFS(B26:AF26,"?*",$B$52:$AF$52,1)-SUMPRODUCT(COUNTIFS(B26:AF26,Codes,$B$52:$AF$52,1)*(Codes&lt;&gt;"")*Erste))&amp;"× unbekanntes Kürzel",""))</f>
      </c>
    </row>
    <row r="27" spans="1:38" x14ac:dyDescent="0.25">
      <c r="A27" s="33">
        <f>Mitarbeiter!$A$26&amp;""</f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5">
        <f>IF($A27="","",SUMPRODUCT(COUNTIFS(B27:AF27,Codes,$B$52:$AF$52,1)*(Arten="Arbeit")*Erste*NettoTage)+SUMPRODUCT(COUNTIFS(B27:AF27,Codes,$B$53:$AF$53,1)*((Arten="Urlaub")+(Arten="Krank")+(Arten="Bezahlt abwesend"))*Erste)*N(Mitarbeiter!$B$26)/5/24)</f>
      </c>
      <c r="AH27" s="35">
        <f>IF($A27="","",N(Mitarbeiter!$B$26)/5/24*SUM($B$53:$AF$53))</f>
      </c>
      <c r="AI27" s="36">
        <f>IF($A27="","",IF((AG27-AH27)&lt;0,"-","+")&amp;TEXT(ABS((AG27-AH27)),"[h]:mm"))</f>
      </c>
      <c r="AJ27" s="37">
        <f>IF($A27="","",SUMPRODUCT(COUNTIFS(B27:AF27,Codes,$B$53:$AF$53,1)*(Arten="Urlaub")*Erste))</f>
      </c>
      <c r="AK27" s="37">
        <f>IF($A27="","",SUMPRODUCT(COUNTIFS(B27:AF27,Codes,$B$53:$AF$53,1)*(Arten="Krank")*Erste))</f>
      </c>
      <c r="AL27" s="38">
        <f>IF($A27="","",IF(COUNTIF(B76:AF76,1)&gt;0,COUNTIF(B76:AF76,1)&amp;"× Ruhezeit unter 11 Std. (§ 5)","")&amp;IF((COUNTIFS(B27:AF27,"?*",$B$52:$AF$52,1)-SUMPRODUCT(COUNTIFS(B27:AF27,Codes,$B$52:$AF$52,1)*(Codes&lt;&gt;"")*Erste))&gt;0,IF(COUNTIF(B76:AF76,1)&gt;0,"; ","")&amp;(COUNTIFS(B27:AF27,"?*",$B$52:$AF$52,1)-SUMPRODUCT(COUNTIFS(B27:AF27,Codes,$B$52:$AF$52,1)*(Codes&lt;&gt;"")*Erste))&amp;"× unbekanntes Kürzel",""))</f>
      </c>
    </row>
    <row r="28" spans="1:38" x14ac:dyDescent="0.25">
      <c r="A28" s="33">
        <f>Mitarbeiter!$A$27&amp;""</f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5">
        <f>IF($A28="","",SUMPRODUCT(COUNTIFS(B28:AF28,Codes,$B$52:$AF$52,1)*(Arten="Arbeit")*Erste*NettoTage)+SUMPRODUCT(COUNTIFS(B28:AF28,Codes,$B$53:$AF$53,1)*((Arten="Urlaub")+(Arten="Krank")+(Arten="Bezahlt abwesend"))*Erste)*N(Mitarbeiter!$B$27)/5/24)</f>
      </c>
      <c r="AH28" s="35">
        <f>IF($A28="","",N(Mitarbeiter!$B$27)/5/24*SUM($B$53:$AF$53))</f>
      </c>
      <c r="AI28" s="36">
        <f>IF($A28="","",IF((AG28-AH28)&lt;0,"-","+")&amp;TEXT(ABS((AG28-AH28)),"[h]:mm"))</f>
      </c>
      <c r="AJ28" s="37">
        <f>IF($A28="","",SUMPRODUCT(COUNTIFS(B28:AF28,Codes,$B$53:$AF$53,1)*(Arten="Urlaub")*Erste))</f>
      </c>
      <c r="AK28" s="37">
        <f>IF($A28="","",SUMPRODUCT(COUNTIFS(B28:AF28,Codes,$B$53:$AF$53,1)*(Arten="Krank")*Erste))</f>
      </c>
      <c r="AL28" s="38">
        <f>IF($A28="","",IF(COUNTIF(B77:AF77,1)&gt;0,COUNTIF(B77:AF77,1)&amp;"× Ruhezeit unter 11 Std. (§ 5)","")&amp;IF((COUNTIFS(B28:AF28,"?*",$B$52:$AF$52,1)-SUMPRODUCT(COUNTIFS(B28:AF28,Codes,$B$52:$AF$52,1)*(Codes&lt;&gt;"")*Erste))&gt;0,IF(COUNTIF(B77:AF77,1)&gt;0,"; ","")&amp;(COUNTIFS(B28:AF28,"?*",$B$52:$AF$52,1)-SUMPRODUCT(COUNTIFS(B28:AF28,Codes,$B$52:$AF$52,1)*(Codes&lt;&gt;"")*Erste))&amp;"× unbekanntes Kürzel",""))</f>
      </c>
    </row>
    <row r="29" spans="1:38" x14ac:dyDescent="0.25">
      <c r="A29" s="33">
        <f>Mitarbeiter!$A$28&amp;""</f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5">
        <f>IF($A29="","",SUMPRODUCT(COUNTIFS(B29:AF29,Codes,$B$52:$AF$52,1)*(Arten="Arbeit")*Erste*NettoTage)+SUMPRODUCT(COUNTIFS(B29:AF29,Codes,$B$53:$AF$53,1)*((Arten="Urlaub")+(Arten="Krank")+(Arten="Bezahlt abwesend"))*Erste)*N(Mitarbeiter!$B$28)/5/24)</f>
      </c>
      <c r="AH29" s="35">
        <f>IF($A29="","",N(Mitarbeiter!$B$28)/5/24*SUM($B$53:$AF$53))</f>
      </c>
      <c r="AI29" s="36">
        <f>IF($A29="","",IF((AG29-AH29)&lt;0,"-","+")&amp;TEXT(ABS((AG29-AH29)),"[h]:mm"))</f>
      </c>
      <c r="AJ29" s="37">
        <f>IF($A29="","",SUMPRODUCT(COUNTIFS(B29:AF29,Codes,$B$53:$AF$53,1)*(Arten="Urlaub")*Erste))</f>
      </c>
      <c r="AK29" s="37">
        <f>IF($A29="","",SUMPRODUCT(COUNTIFS(B29:AF29,Codes,$B$53:$AF$53,1)*(Arten="Krank")*Erste))</f>
      </c>
      <c r="AL29" s="38">
        <f>IF($A29="","",IF(COUNTIF(B78:AF78,1)&gt;0,COUNTIF(B78:AF78,1)&amp;"× Ruhezeit unter 11 Std. (§ 5)","")&amp;IF((COUNTIFS(B29:AF29,"?*",$B$52:$AF$52,1)-SUMPRODUCT(COUNTIFS(B29:AF29,Codes,$B$52:$AF$52,1)*(Codes&lt;&gt;"")*Erste))&gt;0,IF(COUNTIF(B78:AF78,1)&gt;0,"; ","")&amp;(COUNTIFS(B29:AF29,"?*",$B$52:$AF$52,1)-SUMPRODUCT(COUNTIFS(B29:AF29,Codes,$B$52:$AF$52,1)*(Codes&lt;&gt;"")*Erste))&amp;"× unbekanntes Kürzel",""))</f>
      </c>
    </row>
    <row r="30" spans="1:38" x14ac:dyDescent="0.25">
      <c r="A30" s="33">
        <f>Mitarbeiter!$A$29&amp;""</f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5">
        <f>IF($A30="","",SUMPRODUCT(COUNTIFS(B30:AF30,Codes,$B$52:$AF$52,1)*(Arten="Arbeit")*Erste*NettoTage)+SUMPRODUCT(COUNTIFS(B30:AF30,Codes,$B$53:$AF$53,1)*((Arten="Urlaub")+(Arten="Krank")+(Arten="Bezahlt abwesend"))*Erste)*N(Mitarbeiter!$B$29)/5/24)</f>
      </c>
      <c r="AH30" s="35">
        <f>IF($A30="","",N(Mitarbeiter!$B$29)/5/24*SUM($B$53:$AF$53))</f>
      </c>
      <c r="AI30" s="36">
        <f>IF($A30="","",IF((AG30-AH30)&lt;0,"-","+")&amp;TEXT(ABS((AG30-AH30)),"[h]:mm"))</f>
      </c>
      <c r="AJ30" s="37">
        <f>IF($A30="","",SUMPRODUCT(COUNTIFS(B30:AF30,Codes,$B$53:$AF$53,1)*(Arten="Urlaub")*Erste))</f>
      </c>
      <c r="AK30" s="37">
        <f>IF($A30="","",SUMPRODUCT(COUNTIFS(B30:AF30,Codes,$B$53:$AF$53,1)*(Arten="Krank")*Erste))</f>
      </c>
      <c r="AL30" s="38">
        <f>IF($A30="","",IF(COUNTIF(B79:AF79,1)&gt;0,COUNTIF(B79:AF79,1)&amp;"× Ruhezeit unter 11 Std. (§ 5)","")&amp;IF((COUNTIFS(B30:AF30,"?*",$B$52:$AF$52,1)-SUMPRODUCT(COUNTIFS(B30:AF30,Codes,$B$52:$AF$52,1)*(Codes&lt;&gt;"")*Erste))&gt;0,IF(COUNTIF(B79:AF79,1)&gt;0,"; ","")&amp;(COUNTIFS(B30:AF30,"?*",$B$52:$AF$52,1)-SUMPRODUCT(COUNTIFS(B30:AF30,Codes,$B$52:$AF$52,1)*(Codes&lt;&gt;"")*Erste))&amp;"× unbekanntes Kürzel",""))</f>
      </c>
    </row>
    <row r="31" spans="1:38" x14ac:dyDescent="0.25">
      <c r="A31" s="33">
        <f>Mitarbeiter!$A$30&amp;""</f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5">
        <f>IF($A31="","",SUMPRODUCT(COUNTIFS(B31:AF31,Codes,$B$52:$AF$52,1)*(Arten="Arbeit")*Erste*NettoTage)+SUMPRODUCT(COUNTIFS(B31:AF31,Codes,$B$53:$AF$53,1)*((Arten="Urlaub")+(Arten="Krank")+(Arten="Bezahlt abwesend"))*Erste)*N(Mitarbeiter!$B$30)/5/24)</f>
      </c>
      <c r="AH31" s="35">
        <f>IF($A31="","",N(Mitarbeiter!$B$30)/5/24*SUM($B$53:$AF$53))</f>
      </c>
      <c r="AI31" s="36">
        <f>IF($A31="","",IF((AG31-AH31)&lt;0,"-","+")&amp;TEXT(ABS((AG31-AH31)),"[h]:mm"))</f>
      </c>
      <c r="AJ31" s="37">
        <f>IF($A31="","",SUMPRODUCT(COUNTIFS(B31:AF31,Codes,$B$53:$AF$53,1)*(Arten="Urlaub")*Erste))</f>
      </c>
      <c r="AK31" s="37">
        <f>IF($A31="","",SUMPRODUCT(COUNTIFS(B31:AF31,Codes,$B$53:$AF$53,1)*(Arten="Krank")*Erste))</f>
      </c>
      <c r="AL31" s="38">
        <f>IF($A31="","",IF(COUNTIF(B80:AF80,1)&gt;0,COUNTIF(B80:AF80,1)&amp;"× Ruhezeit unter 11 Std. (§ 5)","")&amp;IF((COUNTIFS(B31:AF31,"?*",$B$52:$AF$52,1)-SUMPRODUCT(COUNTIFS(B31:AF31,Codes,$B$52:$AF$52,1)*(Codes&lt;&gt;"")*Erste))&gt;0,IF(COUNTIF(B80:AF80,1)&gt;0,"; ","")&amp;(COUNTIFS(B31:AF31,"?*",$B$52:$AF$52,1)-SUMPRODUCT(COUNTIFS(B31:AF31,Codes,$B$52:$AF$52,1)*(Codes&lt;&gt;"")*Erste))&amp;"× unbekanntes Kürzel",""))</f>
      </c>
    </row>
    <row r="32" spans="1:38" x14ac:dyDescent="0.25">
      <c r="A32" s="33">
        <f>Mitarbeiter!$A$31&amp;""</f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5">
        <f>IF($A32="","",SUMPRODUCT(COUNTIFS(B32:AF32,Codes,$B$52:$AF$52,1)*(Arten="Arbeit")*Erste*NettoTage)+SUMPRODUCT(COUNTIFS(B32:AF32,Codes,$B$53:$AF$53,1)*((Arten="Urlaub")+(Arten="Krank")+(Arten="Bezahlt abwesend"))*Erste)*N(Mitarbeiter!$B$31)/5/24)</f>
      </c>
      <c r="AH32" s="35">
        <f>IF($A32="","",N(Mitarbeiter!$B$31)/5/24*SUM($B$53:$AF$53))</f>
      </c>
      <c r="AI32" s="36">
        <f>IF($A32="","",IF((AG32-AH32)&lt;0,"-","+")&amp;TEXT(ABS((AG32-AH32)),"[h]:mm"))</f>
      </c>
      <c r="AJ32" s="37">
        <f>IF($A32="","",SUMPRODUCT(COUNTIFS(B32:AF32,Codes,$B$53:$AF$53,1)*(Arten="Urlaub")*Erste))</f>
      </c>
      <c r="AK32" s="37">
        <f>IF($A32="","",SUMPRODUCT(COUNTIFS(B32:AF32,Codes,$B$53:$AF$53,1)*(Arten="Krank")*Erste))</f>
      </c>
      <c r="AL32" s="38">
        <f>IF($A32="","",IF(COUNTIF(B81:AF81,1)&gt;0,COUNTIF(B81:AF81,1)&amp;"× Ruhezeit unter 11 Std. (§ 5)","")&amp;IF((COUNTIFS(B32:AF32,"?*",$B$52:$AF$52,1)-SUMPRODUCT(COUNTIFS(B32:AF32,Codes,$B$52:$AF$52,1)*(Codes&lt;&gt;"")*Erste))&gt;0,IF(COUNTIF(B81:AF81,1)&gt;0,"; ","")&amp;(COUNTIFS(B32:AF32,"?*",$B$52:$AF$52,1)-SUMPRODUCT(COUNTIFS(B32:AF32,Codes,$B$52:$AF$52,1)*(Codes&lt;&gt;"")*Erste))&amp;"× unbekanntes Kürzel",""))</f>
      </c>
    </row>
    <row r="33" spans="1:38" x14ac:dyDescent="0.25">
      <c r="A33" s="33">
        <f>Mitarbeiter!$A$32&amp;""</f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5">
        <f>IF($A33="","",SUMPRODUCT(COUNTIFS(B33:AF33,Codes,$B$52:$AF$52,1)*(Arten="Arbeit")*Erste*NettoTage)+SUMPRODUCT(COUNTIFS(B33:AF33,Codes,$B$53:$AF$53,1)*((Arten="Urlaub")+(Arten="Krank")+(Arten="Bezahlt abwesend"))*Erste)*N(Mitarbeiter!$B$32)/5/24)</f>
      </c>
      <c r="AH33" s="35">
        <f>IF($A33="","",N(Mitarbeiter!$B$32)/5/24*SUM($B$53:$AF$53))</f>
      </c>
      <c r="AI33" s="36">
        <f>IF($A33="","",IF((AG33-AH33)&lt;0,"-","+")&amp;TEXT(ABS((AG33-AH33)),"[h]:mm"))</f>
      </c>
      <c r="AJ33" s="37">
        <f>IF($A33="","",SUMPRODUCT(COUNTIFS(B33:AF33,Codes,$B$53:$AF$53,1)*(Arten="Urlaub")*Erste))</f>
      </c>
      <c r="AK33" s="37">
        <f>IF($A33="","",SUMPRODUCT(COUNTIFS(B33:AF33,Codes,$B$53:$AF$53,1)*(Arten="Krank")*Erste))</f>
      </c>
      <c r="AL33" s="38">
        <f>IF($A33="","",IF(COUNTIF(B82:AF82,1)&gt;0,COUNTIF(B82:AF82,1)&amp;"× Ruhezeit unter 11 Std. (§ 5)","")&amp;IF((COUNTIFS(B33:AF33,"?*",$B$52:$AF$52,1)-SUMPRODUCT(COUNTIFS(B33:AF33,Codes,$B$52:$AF$52,1)*(Codes&lt;&gt;"")*Erste))&gt;0,IF(COUNTIF(B82:AF82,1)&gt;0,"; ","")&amp;(COUNTIFS(B33:AF33,"?*",$B$52:$AF$52,1)-SUMPRODUCT(COUNTIFS(B33:AF33,Codes,$B$52:$AF$52,1)*(Codes&lt;&gt;"")*Erste))&amp;"× unbekanntes Kürzel",""))</f>
      </c>
    </row>
    <row r="34" spans="1:38" x14ac:dyDescent="0.25">
      <c r="A34" s="33">
        <f>Mitarbeiter!$A$33&amp;""</f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5">
        <f>IF($A34="","",SUMPRODUCT(COUNTIFS(B34:AF34,Codes,$B$52:$AF$52,1)*(Arten="Arbeit")*Erste*NettoTage)+SUMPRODUCT(COUNTIFS(B34:AF34,Codes,$B$53:$AF$53,1)*((Arten="Urlaub")+(Arten="Krank")+(Arten="Bezahlt abwesend"))*Erste)*N(Mitarbeiter!$B$33)/5/24)</f>
      </c>
      <c r="AH34" s="35">
        <f>IF($A34="","",N(Mitarbeiter!$B$33)/5/24*SUM($B$53:$AF$53))</f>
      </c>
      <c r="AI34" s="36">
        <f>IF($A34="","",IF((AG34-AH34)&lt;0,"-","+")&amp;TEXT(ABS((AG34-AH34)),"[h]:mm"))</f>
      </c>
      <c r="AJ34" s="37">
        <f>IF($A34="","",SUMPRODUCT(COUNTIFS(B34:AF34,Codes,$B$53:$AF$53,1)*(Arten="Urlaub")*Erste))</f>
      </c>
      <c r="AK34" s="37">
        <f>IF($A34="","",SUMPRODUCT(COUNTIFS(B34:AF34,Codes,$B$53:$AF$53,1)*(Arten="Krank")*Erste))</f>
      </c>
      <c r="AL34" s="38">
        <f>IF($A34="","",IF(COUNTIF(B83:AF83,1)&gt;0,COUNTIF(B83:AF83,1)&amp;"× Ruhezeit unter 11 Std. (§ 5)","")&amp;IF((COUNTIFS(B34:AF34,"?*",$B$52:$AF$52,1)-SUMPRODUCT(COUNTIFS(B34:AF34,Codes,$B$52:$AF$52,1)*(Codes&lt;&gt;"")*Erste))&gt;0,IF(COUNTIF(B83:AF83,1)&gt;0,"; ","")&amp;(COUNTIFS(B34:AF34,"?*",$B$52:$AF$52,1)-SUMPRODUCT(COUNTIFS(B34:AF34,Codes,$B$52:$AF$52,1)*(Codes&lt;&gt;"")*Erste))&amp;"× unbekanntes Kürzel",""))</f>
      </c>
    </row>
    <row r="35" spans="1:38" x14ac:dyDescent="0.25">
      <c r="A35" s="33">
        <f>Mitarbeiter!$A$34&amp;""</f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5">
        <f>IF($A35="","",SUMPRODUCT(COUNTIFS(B35:AF35,Codes,$B$52:$AF$52,1)*(Arten="Arbeit")*Erste*NettoTage)+SUMPRODUCT(COUNTIFS(B35:AF35,Codes,$B$53:$AF$53,1)*((Arten="Urlaub")+(Arten="Krank")+(Arten="Bezahlt abwesend"))*Erste)*N(Mitarbeiter!$B$34)/5/24)</f>
      </c>
      <c r="AH35" s="35">
        <f>IF($A35="","",N(Mitarbeiter!$B$34)/5/24*SUM($B$53:$AF$53))</f>
      </c>
      <c r="AI35" s="36">
        <f>IF($A35="","",IF((AG35-AH35)&lt;0,"-","+")&amp;TEXT(ABS((AG35-AH35)),"[h]:mm"))</f>
      </c>
      <c r="AJ35" s="37">
        <f>IF($A35="","",SUMPRODUCT(COUNTIFS(B35:AF35,Codes,$B$53:$AF$53,1)*(Arten="Urlaub")*Erste))</f>
      </c>
      <c r="AK35" s="37">
        <f>IF($A35="","",SUMPRODUCT(COUNTIFS(B35:AF35,Codes,$B$53:$AF$53,1)*(Arten="Krank")*Erste))</f>
      </c>
      <c r="AL35" s="38">
        <f>IF($A35="","",IF(COUNTIF(B84:AF84,1)&gt;0,COUNTIF(B84:AF84,1)&amp;"× Ruhezeit unter 11 Std. (§ 5)","")&amp;IF((COUNTIFS(B35:AF35,"?*",$B$52:$AF$52,1)-SUMPRODUCT(COUNTIFS(B35:AF35,Codes,$B$52:$AF$52,1)*(Codes&lt;&gt;"")*Erste))&gt;0,IF(COUNTIF(B84:AF84,1)&gt;0,"; ","")&amp;(COUNTIFS(B35:AF35,"?*",$B$52:$AF$52,1)-SUMPRODUCT(COUNTIFS(B35:AF35,Codes,$B$52:$AF$52,1)*(Codes&lt;&gt;"")*Erste))&amp;"× unbekanntes Kürzel",""))</f>
      </c>
    </row>
    <row r="37" spans="1:1" x14ac:dyDescent="0.25">
      <c r="A37" s="39" t="s">
        <v>63</v>
      </c>
    </row>
    <row r="38" spans="1:39" x14ac:dyDescent="0.25">
      <c r="A38" s="40">
        <f>IFERROR(INDEX(Codes,MATCH(1,ArbeitNr,0))&amp;" "&amp;INDEX(Bezeichnungen,MATCH(1,ArbeitNr,0)),"")</f>
      </c>
      <c r="B38" s="41">
        <f>IF(OR($AM38="",B$52=0),"",COUNTIF(B$6:B$35,$AM38))</f>
      </c>
      <c r="C38" s="41">
        <f>IF(OR($AM38="",C$52=0),"",COUNTIF(C$6:C$35,$AM38))</f>
      </c>
      <c r="D38" s="41">
        <f>IF(OR($AM38="",D$52=0),"",COUNTIF(D$6:D$35,$AM38))</f>
      </c>
      <c r="E38" s="41">
        <f>IF(OR($AM38="",E$52=0),"",COUNTIF(E$6:E$35,$AM38))</f>
      </c>
      <c r="F38" s="41">
        <f>IF(OR($AM38="",F$52=0),"",COUNTIF(F$6:F$35,$AM38))</f>
      </c>
      <c r="G38" s="41">
        <f>IF(OR($AM38="",G$52=0),"",COUNTIF(G$6:G$35,$AM38))</f>
      </c>
      <c r="H38" s="41">
        <f>IF(OR($AM38="",H$52=0),"",COUNTIF(H$6:H$35,$AM38))</f>
      </c>
      <c r="I38" s="41">
        <f>IF(OR($AM38="",I$52=0),"",COUNTIF(I$6:I$35,$AM38))</f>
      </c>
      <c r="J38" s="41">
        <f>IF(OR($AM38="",J$52=0),"",COUNTIF(J$6:J$35,$AM38))</f>
      </c>
      <c r="K38" s="41">
        <f>IF(OR($AM38="",K$52=0),"",COUNTIF(K$6:K$35,$AM38))</f>
      </c>
      <c r="L38" s="41">
        <f>IF(OR($AM38="",L$52=0),"",COUNTIF(L$6:L$35,$AM38))</f>
      </c>
      <c r="M38" s="41">
        <f>IF(OR($AM38="",M$52=0),"",COUNTIF(M$6:M$35,$AM38))</f>
      </c>
      <c r="N38" s="41">
        <f>IF(OR($AM38="",N$52=0),"",COUNTIF(N$6:N$35,$AM38))</f>
      </c>
      <c r="O38" s="41">
        <f>IF(OR($AM38="",O$52=0),"",COUNTIF(O$6:O$35,$AM38))</f>
      </c>
      <c r="P38" s="41">
        <f>IF(OR($AM38="",P$52=0),"",COUNTIF(P$6:P$35,$AM38))</f>
      </c>
      <c r="Q38" s="41">
        <f>IF(OR($AM38="",Q$52=0),"",COUNTIF(Q$6:Q$35,$AM38))</f>
      </c>
      <c r="R38" s="41">
        <f>IF(OR($AM38="",R$52=0),"",COUNTIF(R$6:R$35,$AM38))</f>
      </c>
      <c r="S38" s="41">
        <f>IF(OR($AM38="",S$52=0),"",COUNTIF(S$6:S$35,$AM38))</f>
      </c>
      <c r="T38" s="41">
        <f>IF(OR($AM38="",T$52=0),"",COUNTIF(T$6:T$35,$AM38))</f>
      </c>
      <c r="U38" s="41">
        <f>IF(OR($AM38="",U$52=0),"",COUNTIF(U$6:U$35,$AM38))</f>
      </c>
      <c r="V38" s="41">
        <f>IF(OR($AM38="",V$52=0),"",COUNTIF(V$6:V$35,$AM38))</f>
      </c>
      <c r="W38" s="41">
        <f>IF(OR($AM38="",W$52=0),"",COUNTIF(W$6:W$35,$AM38))</f>
      </c>
      <c r="X38" s="41">
        <f>IF(OR($AM38="",X$52=0),"",COUNTIF(X$6:X$35,$AM38))</f>
      </c>
      <c r="Y38" s="41">
        <f>IF(OR($AM38="",Y$52=0),"",COUNTIF(Y$6:Y$35,$AM38))</f>
      </c>
      <c r="Z38" s="41">
        <f>IF(OR($AM38="",Z$52=0),"",COUNTIF(Z$6:Z$35,$AM38))</f>
      </c>
      <c r="AA38" s="41">
        <f>IF(OR($AM38="",AA$52=0),"",COUNTIF(AA$6:AA$35,$AM38))</f>
      </c>
      <c r="AB38" s="41">
        <f>IF(OR($AM38="",AB$52=0),"",COUNTIF(AB$6:AB$35,$AM38))</f>
      </c>
      <c r="AC38" s="41">
        <f>IF(OR($AM38="",AC$52=0),"",COUNTIF(AC$6:AC$35,$AM38))</f>
      </c>
      <c r="AD38" s="41">
        <f>IF(OR($AM38="",AD$52=0),"",COUNTIF(AD$6:AD$35,$AM38))</f>
      </c>
      <c r="AE38" s="41">
        <f>IF(OR($AM38="",AE$52=0),"",COUNTIF(AE$6:AE$35,$AM38))</f>
      </c>
      <c r="AF38" s="41">
        <f>IF(OR($AM38="",AF$52=0),"",COUNTIF(AF$6:AF$35,$AM38))</f>
      </c>
      <c r="AG38" s="1"/>
      <c r="AH38" s="1"/>
      <c r="AI38" s="1"/>
      <c r="AJ38" s="1"/>
      <c r="AK38" s="1"/>
      <c r="AL38" s="1"/>
      <c r="AM38" s="1">
        <f>IFERROR(INDEX(Codes,MATCH(1,ArbeitNr,0)),"")</f>
      </c>
    </row>
    <row r="39" spans="1:39" x14ac:dyDescent="0.25">
      <c r="A39" s="40">
        <f>IFERROR(INDEX(Codes,MATCH(2,ArbeitNr,0))&amp;" "&amp;INDEX(Bezeichnungen,MATCH(2,ArbeitNr,0)),"")</f>
      </c>
      <c r="B39" s="41">
        <f>IF(OR($AM39="",B$52=0),"",COUNTIF(B$6:B$35,$AM39))</f>
      </c>
      <c r="C39" s="41">
        <f>IF(OR($AM39="",C$52=0),"",COUNTIF(C$6:C$35,$AM39))</f>
      </c>
      <c r="D39" s="41">
        <f>IF(OR($AM39="",D$52=0),"",COUNTIF(D$6:D$35,$AM39))</f>
      </c>
      <c r="E39" s="41">
        <f>IF(OR($AM39="",E$52=0),"",COUNTIF(E$6:E$35,$AM39))</f>
      </c>
      <c r="F39" s="41">
        <f>IF(OR($AM39="",F$52=0),"",COUNTIF(F$6:F$35,$AM39))</f>
      </c>
      <c r="G39" s="41">
        <f>IF(OR($AM39="",G$52=0),"",COUNTIF(G$6:G$35,$AM39))</f>
      </c>
      <c r="H39" s="41">
        <f>IF(OR($AM39="",H$52=0),"",COUNTIF(H$6:H$35,$AM39))</f>
      </c>
      <c r="I39" s="41">
        <f>IF(OR($AM39="",I$52=0),"",COUNTIF(I$6:I$35,$AM39))</f>
      </c>
      <c r="J39" s="41">
        <f>IF(OR($AM39="",J$52=0),"",COUNTIF(J$6:J$35,$AM39))</f>
      </c>
      <c r="K39" s="41">
        <f>IF(OR($AM39="",K$52=0),"",COUNTIF(K$6:K$35,$AM39))</f>
      </c>
      <c r="L39" s="41">
        <f>IF(OR($AM39="",L$52=0),"",COUNTIF(L$6:L$35,$AM39))</f>
      </c>
      <c r="M39" s="41">
        <f>IF(OR($AM39="",M$52=0),"",COUNTIF(M$6:M$35,$AM39))</f>
      </c>
      <c r="N39" s="41">
        <f>IF(OR($AM39="",N$52=0),"",COUNTIF(N$6:N$35,$AM39))</f>
      </c>
      <c r="O39" s="41">
        <f>IF(OR($AM39="",O$52=0),"",COUNTIF(O$6:O$35,$AM39))</f>
      </c>
      <c r="P39" s="41">
        <f>IF(OR($AM39="",P$52=0),"",COUNTIF(P$6:P$35,$AM39))</f>
      </c>
      <c r="Q39" s="41">
        <f>IF(OR($AM39="",Q$52=0),"",COUNTIF(Q$6:Q$35,$AM39))</f>
      </c>
      <c r="R39" s="41">
        <f>IF(OR($AM39="",R$52=0),"",COUNTIF(R$6:R$35,$AM39))</f>
      </c>
      <c r="S39" s="41">
        <f>IF(OR($AM39="",S$52=0),"",COUNTIF(S$6:S$35,$AM39))</f>
      </c>
      <c r="T39" s="41">
        <f>IF(OR($AM39="",T$52=0),"",COUNTIF(T$6:T$35,$AM39))</f>
      </c>
      <c r="U39" s="41">
        <f>IF(OR($AM39="",U$52=0),"",COUNTIF(U$6:U$35,$AM39))</f>
      </c>
      <c r="V39" s="41">
        <f>IF(OR($AM39="",V$52=0),"",COUNTIF(V$6:V$35,$AM39))</f>
      </c>
      <c r="W39" s="41">
        <f>IF(OR($AM39="",W$52=0),"",COUNTIF(W$6:W$35,$AM39))</f>
      </c>
      <c r="X39" s="41">
        <f>IF(OR($AM39="",X$52=0),"",COUNTIF(X$6:X$35,$AM39))</f>
      </c>
      <c r="Y39" s="41">
        <f>IF(OR($AM39="",Y$52=0),"",COUNTIF(Y$6:Y$35,$AM39))</f>
      </c>
      <c r="Z39" s="41">
        <f>IF(OR($AM39="",Z$52=0),"",COUNTIF(Z$6:Z$35,$AM39))</f>
      </c>
      <c r="AA39" s="41">
        <f>IF(OR($AM39="",AA$52=0),"",COUNTIF(AA$6:AA$35,$AM39))</f>
      </c>
      <c r="AB39" s="41">
        <f>IF(OR($AM39="",AB$52=0),"",COUNTIF(AB$6:AB$35,$AM39))</f>
      </c>
      <c r="AC39" s="41">
        <f>IF(OR($AM39="",AC$52=0),"",COUNTIF(AC$6:AC$35,$AM39))</f>
      </c>
      <c r="AD39" s="41">
        <f>IF(OR($AM39="",AD$52=0),"",COUNTIF(AD$6:AD$35,$AM39))</f>
      </c>
      <c r="AE39" s="41">
        <f>IF(OR($AM39="",AE$52=0),"",COUNTIF(AE$6:AE$35,$AM39))</f>
      </c>
      <c r="AF39" s="41">
        <f>IF(OR($AM39="",AF$52=0),"",COUNTIF(AF$6:AF$35,$AM39))</f>
      </c>
      <c r="AG39" s="1"/>
      <c r="AH39" s="1"/>
      <c r="AI39" s="1"/>
      <c r="AJ39" s="1"/>
      <c r="AK39" s="1"/>
      <c r="AL39" s="1"/>
      <c r="AM39" s="1">
        <f>IFERROR(INDEX(Codes,MATCH(2,ArbeitNr,0)),"")</f>
      </c>
    </row>
    <row r="40" spans="1:39" x14ac:dyDescent="0.25">
      <c r="A40" s="40">
        <f>IFERROR(INDEX(Codes,MATCH(3,ArbeitNr,0))&amp;" "&amp;INDEX(Bezeichnungen,MATCH(3,ArbeitNr,0)),"")</f>
      </c>
      <c r="B40" s="41">
        <f>IF(OR($AM40="",B$52=0),"",COUNTIF(B$6:B$35,$AM40))</f>
      </c>
      <c r="C40" s="41">
        <f>IF(OR($AM40="",C$52=0),"",COUNTIF(C$6:C$35,$AM40))</f>
      </c>
      <c r="D40" s="41">
        <f>IF(OR($AM40="",D$52=0),"",COUNTIF(D$6:D$35,$AM40))</f>
      </c>
      <c r="E40" s="41">
        <f>IF(OR($AM40="",E$52=0),"",COUNTIF(E$6:E$35,$AM40))</f>
      </c>
      <c r="F40" s="41">
        <f>IF(OR($AM40="",F$52=0),"",COUNTIF(F$6:F$35,$AM40))</f>
      </c>
      <c r="G40" s="41">
        <f>IF(OR($AM40="",G$52=0),"",COUNTIF(G$6:G$35,$AM40))</f>
      </c>
      <c r="H40" s="41">
        <f>IF(OR($AM40="",H$52=0),"",COUNTIF(H$6:H$35,$AM40))</f>
      </c>
      <c r="I40" s="41">
        <f>IF(OR($AM40="",I$52=0),"",COUNTIF(I$6:I$35,$AM40))</f>
      </c>
      <c r="J40" s="41">
        <f>IF(OR($AM40="",J$52=0),"",COUNTIF(J$6:J$35,$AM40))</f>
      </c>
      <c r="K40" s="41">
        <f>IF(OR($AM40="",K$52=0),"",COUNTIF(K$6:K$35,$AM40))</f>
      </c>
      <c r="L40" s="41">
        <f>IF(OR($AM40="",L$52=0),"",COUNTIF(L$6:L$35,$AM40))</f>
      </c>
      <c r="M40" s="41">
        <f>IF(OR($AM40="",M$52=0),"",COUNTIF(M$6:M$35,$AM40))</f>
      </c>
      <c r="N40" s="41">
        <f>IF(OR($AM40="",N$52=0),"",COUNTIF(N$6:N$35,$AM40))</f>
      </c>
      <c r="O40" s="41">
        <f>IF(OR($AM40="",O$52=0),"",COUNTIF(O$6:O$35,$AM40))</f>
      </c>
      <c r="P40" s="41">
        <f>IF(OR($AM40="",P$52=0),"",COUNTIF(P$6:P$35,$AM40))</f>
      </c>
      <c r="Q40" s="41">
        <f>IF(OR($AM40="",Q$52=0),"",COUNTIF(Q$6:Q$35,$AM40))</f>
      </c>
      <c r="R40" s="41">
        <f>IF(OR($AM40="",R$52=0),"",COUNTIF(R$6:R$35,$AM40))</f>
      </c>
      <c r="S40" s="41">
        <f>IF(OR($AM40="",S$52=0),"",COUNTIF(S$6:S$35,$AM40))</f>
      </c>
      <c r="T40" s="41">
        <f>IF(OR($AM40="",T$52=0),"",COUNTIF(T$6:T$35,$AM40))</f>
      </c>
      <c r="U40" s="41">
        <f>IF(OR($AM40="",U$52=0),"",COUNTIF(U$6:U$35,$AM40))</f>
      </c>
      <c r="V40" s="41">
        <f>IF(OR($AM40="",V$52=0),"",COUNTIF(V$6:V$35,$AM40))</f>
      </c>
      <c r="W40" s="41">
        <f>IF(OR($AM40="",W$52=0),"",COUNTIF(W$6:W$35,$AM40))</f>
      </c>
      <c r="X40" s="41">
        <f>IF(OR($AM40="",X$52=0),"",COUNTIF(X$6:X$35,$AM40))</f>
      </c>
      <c r="Y40" s="41">
        <f>IF(OR($AM40="",Y$52=0),"",COUNTIF(Y$6:Y$35,$AM40))</f>
      </c>
      <c r="Z40" s="41">
        <f>IF(OR($AM40="",Z$52=0),"",COUNTIF(Z$6:Z$35,$AM40))</f>
      </c>
      <c r="AA40" s="41">
        <f>IF(OR($AM40="",AA$52=0),"",COUNTIF(AA$6:AA$35,$AM40))</f>
      </c>
      <c r="AB40" s="41">
        <f>IF(OR($AM40="",AB$52=0),"",COUNTIF(AB$6:AB$35,$AM40))</f>
      </c>
      <c r="AC40" s="41">
        <f>IF(OR($AM40="",AC$52=0),"",COUNTIF(AC$6:AC$35,$AM40))</f>
      </c>
      <c r="AD40" s="41">
        <f>IF(OR($AM40="",AD$52=0),"",COUNTIF(AD$6:AD$35,$AM40))</f>
      </c>
      <c r="AE40" s="41">
        <f>IF(OR($AM40="",AE$52=0),"",COUNTIF(AE$6:AE$35,$AM40))</f>
      </c>
      <c r="AF40" s="41">
        <f>IF(OR($AM40="",AF$52=0),"",COUNTIF(AF$6:AF$35,$AM40))</f>
      </c>
      <c r="AG40" s="1"/>
      <c r="AH40" s="1"/>
      <c r="AI40" s="1"/>
      <c r="AJ40" s="1"/>
      <c r="AK40" s="1"/>
      <c r="AL40" s="1"/>
      <c r="AM40" s="1">
        <f>IFERROR(INDEX(Codes,MATCH(3,ArbeitNr,0)),"")</f>
      </c>
    </row>
    <row r="41" spans="1:39" x14ac:dyDescent="0.25">
      <c r="A41" s="40">
        <f>IFERROR(INDEX(Codes,MATCH(4,ArbeitNr,0))&amp;" "&amp;INDEX(Bezeichnungen,MATCH(4,ArbeitNr,0)),"")</f>
      </c>
      <c r="B41" s="41">
        <f>IF(OR($AM41="",B$52=0),"",COUNTIF(B$6:B$35,$AM41))</f>
      </c>
      <c r="C41" s="41">
        <f>IF(OR($AM41="",C$52=0),"",COUNTIF(C$6:C$35,$AM41))</f>
      </c>
      <c r="D41" s="41">
        <f>IF(OR($AM41="",D$52=0),"",COUNTIF(D$6:D$35,$AM41))</f>
      </c>
      <c r="E41" s="41">
        <f>IF(OR($AM41="",E$52=0),"",COUNTIF(E$6:E$35,$AM41))</f>
      </c>
      <c r="F41" s="41">
        <f>IF(OR($AM41="",F$52=0),"",COUNTIF(F$6:F$35,$AM41))</f>
      </c>
      <c r="G41" s="41">
        <f>IF(OR($AM41="",G$52=0),"",COUNTIF(G$6:G$35,$AM41))</f>
      </c>
      <c r="H41" s="41">
        <f>IF(OR($AM41="",H$52=0),"",COUNTIF(H$6:H$35,$AM41))</f>
      </c>
      <c r="I41" s="41">
        <f>IF(OR($AM41="",I$52=0),"",COUNTIF(I$6:I$35,$AM41))</f>
      </c>
      <c r="J41" s="41">
        <f>IF(OR($AM41="",J$52=0),"",COUNTIF(J$6:J$35,$AM41))</f>
      </c>
      <c r="K41" s="41">
        <f>IF(OR($AM41="",K$52=0),"",COUNTIF(K$6:K$35,$AM41))</f>
      </c>
      <c r="L41" s="41">
        <f>IF(OR($AM41="",L$52=0),"",COUNTIF(L$6:L$35,$AM41))</f>
      </c>
      <c r="M41" s="41">
        <f>IF(OR($AM41="",M$52=0),"",COUNTIF(M$6:M$35,$AM41))</f>
      </c>
      <c r="N41" s="41">
        <f>IF(OR($AM41="",N$52=0),"",COUNTIF(N$6:N$35,$AM41))</f>
      </c>
      <c r="O41" s="41">
        <f>IF(OR($AM41="",O$52=0),"",COUNTIF(O$6:O$35,$AM41))</f>
      </c>
      <c r="P41" s="41">
        <f>IF(OR($AM41="",P$52=0),"",COUNTIF(P$6:P$35,$AM41))</f>
      </c>
      <c r="Q41" s="41">
        <f>IF(OR($AM41="",Q$52=0),"",COUNTIF(Q$6:Q$35,$AM41))</f>
      </c>
      <c r="R41" s="41">
        <f>IF(OR($AM41="",R$52=0),"",COUNTIF(R$6:R$35,$AM41))</f>
      </c>
      <c r="S41" s="41">
        <f>IF(OR($AM41="",S$52=0),"",COUNTIF(S$6:S$35,$AM41))</f>
      </c>
      <c r="T41" s="41">
        <f>IF(OR($AM41="",T$52=0),"",COUNTIF(T$6:T$35,$AM41))</f>
      </c>
      <c r="U41" s="41">
        <f>IF(OR($AM41="",U$52=0),"",COUNTIF(U$6:U$35,$AM41))</f>
      </c>
      <c r="V41" s="41">
        <f>IF(OR($AM41="",V$52=0),"",COUNTIF(V$6:V$35,$AM41))</f>
      </c>
      <c r="W41" s="41">
        <f>IF(OR($AM41="",W$52=0),"",COUNTIF(W$6:W$35,$AM41))</f>
      </c>
      <c r="X41" s="41">
        <f>IF(OR($AM41="",X$52=0),"",COUNTIF(X$6:X$35,$AM41))</f>
      </c>
      <c r="Y41" s="41">
        <f>IF(OR($AM41="",Y$52=0),"",COUNTIF(Y$6:Y$35,$AM41))</f>
      </c>
      <c r="Z41" s="41">
        <f>IF(OR($AM41="",Z$52=0),"",COUNTIF(Z$6:Z$35,$AM41))</f>
      </c>
      <c r="AA41" s="41">
        <f>IF(OR($AM41="",AA$52=0),"",COUNTIF(AA$6:AA$35,$AM41))</f>
      </c>
      <c r="AB41" s="41">
        <f>IF(OR($AM41="",AB$52=0),"",COUNTIF(AB$6:AB$35,$AM41))</f>
      </c>
      <c r="AC41" s="41">
        <f>IF(OR($AM41="",AC$52=0),"",COUNTIF(AC$6:AC$35,$AM41))</f>
      </c>
      <c r="AD41" s="41">
        <f>IF(OR($AM41="",AD$52=0),"",COUNTIF(AD$6:AD$35,$AM41))</f>
      </c>
      <c r="AE41" s="41">
        <f>IF(OR($AM41="",AE$52=0),"",COUNTIF(AE$6:AE$35,$AM41))</f>
      </c>
      <c r="AF41" s="41">
        <f>IF(OR($AM41="",AF$52=0),"",COUNTIF(AF$6:AF$35,$AM41))</f>
      </c>
      <c r="AG41" s="1"/>
      <c r="AH41" s="1"/>
      <c r="AI41" s="1"/>
      <c r="AJ41" s="1"/>
      <c r="AK41" s="1"/>
      <c r="AL41" s="1"/>
      <c r="AM41" s="1">
        <f>IFERROR(INDEX(Codes,MATCH(4,ArbeitNr,0)),"")</f>
      </c>
    </row>
    <row r="42" spans="1:39" x14ac:dyDescent="0.25">
      <c r="A42" s="40">
        <f>IFERROR(INDEX(Codes,MATCH(5,ArbeitNr,0))&amp;" "&amp;INDEX(Bezeichnungen,MATCH(5,ArbeitNr,0)),"")</f>
      </c>
      <c r="B42" s="41">
        <f>IF(OR($AM42="",B$52=0),"",COUNTIF(B$6:B$35,$AM42))</f>
      </c>
      <c r="C42" s="41">
        <f>IF(OR($AM42="",C$52=0),"",COUNTIF(C$6:C$35,$AM42))</f>
      </c>
      <c r="D42" s="41">
        <f>IF(OR($AM42="",D$52=0),"",COUNTIF(D$6:D$35,$AM42))</f>
      </c>
      <c r="E42" s="41">
        <f>IF(OR($AM42="",E$52=0),"",COUNTIF(E$6:E$35,$AM42))</f>
      </c>
      <c r="F42" s="41">
        <f>IF(OR($AM42="",F$52=0),"",COUNTIF(F$6:F$35,$AM42))</f>
      </c>
      <c r="G42" s="41">
        <f>IF(OR($AM42="",G$52=0),"",COUNTIF(G$6:G$35,$AM42))</f>
      </c>
      <c r="H42" s="41">
        <f>IF(OR($AM42="",H$52=0),"",COUNTIF(H$6:H$35,$AM42))</f>
      </c>
      <c r="I42" s="41">
        <f>IF(OR($AM42="",I$52=0),"",COUNTIF(I$6:I$35,$AM42))</f>
      </c>
      <c r="J42" s="41">
        <f>IF(OR($AM42="",J$52=0),"",COUNTIF(J$6:J$35,$AM42))</f>
      </c>
      <c r="K42" s="41">
        <f>IF(OR($AM42="",K$52=0),"",COUNTIF(K$6:K$35,$AM42))</f>
      </c>
      <c r="L42" s="41">
        <f>IF(OR($AM42="",L$52=0),"",COUNTIF(L$6:L$35,$AM42))</f>
      </c>
      <c r="M42" s="41">
        <f>IF(OR($AM42="",M$52=0),"",COUNTIF(M$6:M$35,$AM42))</f>
      </c>
      <c r="N42" s="41">
        <f>IF(OR($AM42="",N$52=0),"",COUNTIF(N$6:N$35,$AM42))</f>
      </c>
      <c r="O42" s="41">
        <f>IF(OR($AM42="",O$52=0),"",COUNTIF(O$6:O$35,$AM42))</f>
      </c>
      <c r="P42" s="41">
        <f>IF(OR($AM42="",P$52=0),"",COUNTIF(P$6:P$35,$AM42))</f>
      </c>
      <c r="Q42" s="41">
        <f>IF(OR($AM42="",Q$52=0),"",COUNTIF(Q$6:Q$35,$AM42))</f>
      </c>
      <c r="R42" s="41">
        <f>IF(OR($AM42="",R$52=0),"",COUNTIF(R$6:R$35,$AM42))</f>
      </c>
      <c r="S42" s="41">
        <f>IF(OR($AM42="",S$52=0),"",COUNTIF(S$6:S$35,$AM42))</f>
      </c>
      <c r="T42" s="41">
        <f>IF(OR($AM42="",T$52=0),"",COUNTIF(T$6:T$35,$AM42))</f>
      </c>
      <c r="U42" s="41">
        <f>IF(OR($AM42="",U$52=0),"",COUNTIF(U$6:U$35,$AM42))</f>
      </c>
      <c r="V42" s="41">
        <f>IF(OR($AM42="",V$52=0),"",COUNTIF(V$6:V$35,$AM42))</f>
      </c>
      <c r="W42" s="41">
        <f>IF(OR($AM42="",W$52=0),"",COUNTIF(W$6:W$35,$AM42))</f>
      </c>
      <c r="X42" s="41">
        <f>IF(OR($AM42="",X$52=0),"",COUNTIF(X$6:X$35,$AM42))</f>
      </c>
      <c r="Y42" s="41">
        <f>IF(OR($AM42="",Y$52=0),"",COUNTIF(Y$6:Y$35,$AM42))</f>
      </c>
      <c r="Z42" s="41">
        <f>IF(OR($AM42="",Z$52=0),"",COUNTIF(Z$6:Z$35,$AM42))</f>
      </c>
      <c r="AA42" s="41">
        <f>IF(OR($AM42="",AA$52=0),"",COUNTIF(AA$6:AA$35,$AM42))</f>
      </c>
      <c r="AB42" s="41">
        <f>IF(OR($AM42="",AB$52=0),"",COUNTIF(AB$6:AB$35,$AM42))</f>
      </c>
      <c r="AC42" s="41">
        <f>IF(OR($AM42="",AC$52=0),"",COUNTIF(AC$6:AC$35,$AM42))</f>
      </c>
      <c r="AD42" s="41">
        <f>IF(OR($AM42="",AD$52=0),"",COUNTIF(AD$6:AD$35,$AM42))</f>
      </c>
      <c r="AE42" s="41">
        <f>IF(OR($AM42="",AE$52=0),"",COUNTIF(AE$6:AE$35,$AM42))</f>
      </c>
      <c r="AF42" s="41">
        <f>IF(OR($AM42="",AF$52=0),"",COUNTIF(AF$6:AF$35,$AM42))</f>
      </c>
      <c r="AG42" s="1"/>
      <c r="AH42" s="1"/>
      <c r="AI42" s="1"/>
      <c r="AJ42" s="1"/>
      <c r="AK42" s="1"/>
      <c r="AL42" s="1"/>
      <c r="AM42" s="1">
        <f>IFERROR(INDEX(Codes,MATCH(5,ArbeitNr,0)),"")</f>
      </c>
    </row>
    <row r="43" spans="1:39" x14ac:dyDescent="0.25">
      <c r="A43" s="40">
        <f>IFERROR(INDEX(Codes,MATCH(6,ArbeitNr,0))&amp;" "&amp;INDEX(Bezeichnungen,MATCH(6,ArbeitNr,0)),"")</f>
      </c>
      <c r="B43" s="41">
        <f>IF(OR($AM43="",B$52=0),"",COUNTIF(B$6:B$35,$AM43))</f>
      </c>
      <c r="C43" s="41">
        <f>IF(OR($AM43="",C$52=0),"",COUNTIF(C$6:C$35,$AM43))</f>
      </c>
      <c r="D43" s="41">
        <f>IF(OR($AM43="",D$52=0),"",COUNTIF(D$6:D$35,$AM43))</f>
      </c>
      <c r="E43" s="41">
        <f>IF(OR($AM43="",E$52=0),"",COUNTIF(E$6:E$35,$AM43))</f>
      </c>
      <c r="F43" s="41">
        <f>IF(OR($AM43="",F$52=0),"",COUNTIF(F$6:F$35,$AM43))</f>
      </c>
      <c r="G43" s="41">
        <f>IF(OR($AM43="",G$52=0),"",COUNTIF(G$6:G$35,$AM43))</f>
      </c>
      <c r="H43" s="41">
        <f>IF(OR($AM43="",H$52=0),"",COUNTIF(H$6:H$35,$AM43))</f>
      </c>
      <c r="I43" s="41">
        <f>IF(OR($AM43="",I$52=0),"",COUNTIF(I$6:I$35,$AM43))</f>
      </c>
      <c r="J43" s="41">
        <f>IF(OR($AM43="",J$52=0),"",COUNTIF(J$6:J$35,$AM43))</f>
      </c>
      <c r="K43" s="41">
        <f>IF(OR($AM43="",K$52=0),"",COUNTIF(K$6:K$35,$AM43))</f>
      </c>
      <c r="L43" s="41">
        <f>IF(OR($AM43="",L$52=0),"",COUNTIF(L$6:L$35,$AM43))</f>
      </c>
      <c r="M43" s="41">
        <f>IF(OR($AM43="",M$52=0),"",COUNTIF(M$6:M$35,$AM43))</f>
      </c>
      <c r="N43" s="41">
        <f>IF(OR($AM43="",N$52=0),"",COUNTIF(N$6:N$35,$AM43))</f>
      </c>
      <c r="O43" s="41">
        <f>IF(OR($AM43="",O$52=0),"",COUNTIF(O$6:O$35,$AM43))</f>
      </c>
      <c r="P43" s="41">
        <f>IF(OR($AM43="",P$52=0),"",COUNTIF(P$6:P$35,$AM43))</f>
      </c>
      <c r="Q43" s="41">
        <f>IF(OR($AM43="",Q$52=0),"",COUNTIF(Q$6:Q$35,$AM43))</f>
      </c>
      <c r="R43" s="41">
        <f>IF(OR($AM43="",R$52=0),"",COUNTIF(R$6:R$35,$AM43))</f>
      </c>
      <c r="S43" s="41">
        <f>IF(OR($AM43="",S$52=0),"",COUNTIF(S$6:S$35,$AM43))</f>
      </c>
      <c r="T43" s="41">
        <f>IF(OR($AM43="",T$52=0),"",COUNTIF(T$6:T$35,$AM43))</f>
      </c>
      <c r="U43" s="41">
        <f>IF(OR($AM43="",U$52=0),"",COUNTIF(U$6:U$35,$AM43))</f>
      </c>
      <c r="V43" s="41">
        <f>IF(OR($AM43="",V$52=0),"",COUNTIF(V$6:V$35,$AM43))</f>
      </c>
      <c r="W43" s="41">
        <f>IF(OR($AM43="",W$52=0),"",COUNTIF(W$6:W$35,$AM43))</f>
      </c>
      <c r="X43" s="41">
        <f>IF(OR($AM43="",X$52=0),"",COUNTIF(X$6:X$35,$AM43))</f>
      </c>
      <c r="Y43" s="41">
        <f>IF(OR($AM43="",Y$52=0),"",COUNTIF(Y$6:Y$35,$AM43))</f>
      </c>
      <c r="Z43" s="41">
        <f>IF(OR($AM43="",Z$52=0),"",COUNTIF(Z$6:Z$35,$AM43))</f>
      </c>
      <c r="AA43" s="41">
        <f>IF(OR($AM43="",AA$52=0),"",COUNTIF(AA$6:AA$35,$AM43))</f>
      </c>
      <c r="AB43" s="41">
        <f>IF(OR($AM43="",AB$52=0),"",COUNTIF(AB$6:AB$35,$AM43))</f>
      </c>
      <c r="AC43" s="41">
        <f>IF(OR($AM43="",AC$52=0),"",COUNTIF(AC$6:AC$35,$AM43))</f>
      </c>
      <c r="AD43" s="41">
        <f>IF(OR($AM43="",AD$52=0),"",COUNTIF(AD$6:AD$35,$AM43))</f>
      </c>
      <c r="AE43" s="41">
        <f>IF(OR($AM43="",AE$52=0),"",COUNTIF(AE$6:AE$35,$AM43))</f>
      </c>
      <c r="AF43" s="41">
        <f>IF(OR($AM43="",AF$52=0),"",COUNTIF(AF$6:AF$35,$AM43))</f>
      </c>
      <c r="AG43" s="1"/>
      <c r="AH43" s="1"/>
      <c r="AI43" s="1"/>
      <c r="AJ43" s="1"/>
      <c r="AK43" s="1"/>
      <c r="AL43" s="1"/>
      <c r="AM43" s="1">
        <f>IFERROR(INDEX(Codes,MATCH(6,ArbeitNr,0)),"")</f>
      </c>
    </row>
    <row r="44" spans="1:39" x14ac:dyDescent="0.25">
      <c r="A44" s="40">
        <f>IFERROR(INDEX(Codes,MATCH(7,ArbeitNr,0))&amp;" "&amp;INDEX(Bezeichnungen,MATCH(7,ArbeitNr,0)),"")</f>
      </c>
      <c r="B44" s="41">
        <f>IF(OR($AM44="",B$52=0),"",COUNTIF(B$6:B$35,$AM44))</f>
      </c>
      <c r="C44" s="41">
        <f>IF(OR($AM44="",C$52=0),"",COUNTIF(C$6:C$35,$AM44))</f>
      </c>
      <c r="D44" s="41">
        <f>IF(OR($AM44="",D$52=0),"",COUNTIF(D$6:D$35,$AM44))</f>
      </c>
      <c r="E44" s="41">
        <f>IF(OR($AM44="",E$52=0),"",COUNTIF(E$6:E$35,$AM44))</f>
      </c>
      <c r="F44" s="41">
        <f>IF(OR($AM44="",F$52=0),"",COUNTIF(F$6:F$35,$AM44))</f>
      </c>
      <c r="G44" s="41">
        <f>IF(OR($AM44="",G$52=0),"",COUNTIF(G$6:G$35,$AM44))</f>
      </c>
      <c r="H44" s="41">
        <f>IF(OR($AM44="",H$52=0),"",COUNTIF(H$6:H$35,$AM44))</f>
      </c>
      <c r="I44" s="41">
        <f>IF(OR($AM44="",I$52=0),"",COUNTIF(I$6:I$35,$AM44))</f>
      </c>
      <c r="J44" s="41">
        <f>IF(OR($AM44="",J$52=0),"",COUNTIF(J$6:J$35,$AM44))</f>
      </c>
      <c r="K44" s="41">
        <f>IF(OR($AM44="",K$52=0),"",COUNTIF(K$6:K$35,$AM44))</f>
      </c>
      <c r="L44" s="41">
        <f>IF(OR($AM44="",L$52=0),"",COUNTIF(L$6:L$35,$AM44))</f>
      </c>
      <c r="M44" s="41">
        <f>IF(OR($AM44="",M$52=0),"",COUNTIF(M$6:M$35,$AM44))</f>
      </c>
      <c r="N44" s="41">
        <f>IF(OR($AM44="",N$52=0),"",COUNTIF(N$6:N$35,$AM44))</f>
      </c>
      <c r="O44" s="41">
        <f>IF(OR($AM44="",O$52=0),"",COUNTIF(O$6:O$35,$AM44))</f>
      </c>
      <c r="P44" s="41">
        <f>IF(OR($AM44="",P$52=0),"",COUNTIF(P$6:P$35,$AM44))</f>
      </c>
      <c r="Q44" s="41">
        <f>IF(OR($AM44="",Q$52=0),"",COUNTIF(Q$6:Q$35,$AM44))</f>
      </c>
      <c r="R44" s="41">
        <f>IF(OR($AM44="",R$52=0),"",COUNTIF(R$6:R$35,$AM44))</f>
      </c>
      <c r="S44" s="41">
        <f>IF(OR($AM44="",S$52=0),"",COUNTIF(S$6:S$35,$AM44))</f>
      </c>
      <c r="T44" s="41">
        <f>IF(OR($AM44="",T$52=0),"",COUNTIF(T$6:T$35,$AM44))</f>
      </c>
      <c r="U44" s="41">
        <f>IF(OR($AM44="",U$52=0),"",COUNTIF(U$6:U$35,$AM44))</f>
      </c>
      <c r="V44" s="41">
        <f>IF(OR($AM44="",V$52=0),"",COUNTIF(V$6:V$35,$AM44))</f>
      </c>
      <c r="W44" s="41">
        <f>IF(OR($AM44="",W$52=0),"",COUNTIF(W$6:W$35,$AM44))</f>
      </c>
      <c r="X44" s="41">
        <f>IF(OR($AM44="",X$52=0),"",COUNTIF(X$6:X$35,$AM44))</f>
      </c>
      <c r="Y44" s="41">
        <f>IF(OR($AM44="",Y$52=0),"",COUNTIF(Y$6:Y$35,$AM44))</f>
      </c>
      <c r="Z44" s="41">
        <f>IF(OR($AM44="",Z$52=0),"",COUNTIF(Z$6:Z$35,$AM44))</f>
      </c>
      <c r="AA44" s="41">
        <f>IF(OR($AM44="",AA$52=0),"",COUNTIF(AA$6:AA$35,$AM44))</f>
      </c>
      <c r="AB44" s="41">
        <f>IF(OR($AM44="",AB$52=0),"",COUNTIF(AB$6:AB$35,$AM44))</f>
      </c>
      <c r="AC44" s="41">
        <f>IF(OR($AM44="",AC$52=0),"",COUNTIF(AC$6:AC$35,$AM44))</f>
      </c>
      <c r="AD44" s="41">
        <f>IF(OR($AM44="",AD$52=0),"",COUNTIF(AD$6:AD$35,$AM44))</f>
      </c>
      <c r="AE44" s="41">
        <f>IF(OR($AM44="",AE$52=0),"",COUNTIF(AE$6:AE$35,$AM44))</f>
      </c>
      <c r="AF44" s="41">
        <f>IF(OR($AM44="",AF$52=0),"",COUNTIF(AF$6:AF$35,$AM44))</f>
      </c>
      <c r="AG44" s="1"/>
      <c r="AH44" s="1"/>
      <c r="AI44" s="1"/>
      <c r="AJ44" s="1"/>
      <c r="AK44" s="1"/>
      <c r="AL44" s="1"/>
      <c r="AM44" s="1">
        <f>IFERROR(INDEX(Codes,MATCH(7,ArbeitNr,0)),"")</f>
      </c>
    </row>
    <row r="45" spans="1:39" x14ac:dyDescent="0.25">
      <c r="A45" s="40">
        <f>IFERROR(INDEX(Codes,MATCH(8,ArbeitNr,0))&amp;" "&amp;INDEX(Bezeichnungen,MATCH(8,ArbeitNr,0)),"")</f>
      </c>
      <c r="B45" s="41">
        <f>IF(OR($AM45="",B$52=0),"",COUNTIF(B$6:B$35,$AM45))</f>
      </c>
      <c r="C45" s="41">
        <f>IF(OR($AM45="",C$52=0),"",COUNTIF(C$6:C$35,$AM45))</f>
      </c>
      <c r="D45" s="41">
        <f>IF(OR($AM45="",D$52=0),"",COUNTIF(D$6:D$35,$AM45))</f>
      </c>
      <c r="E45" s="41">
        <f>IF(OR($AM45="",E$52=0),"",COUNTIF(E$6:E$35,$AM45))</f>
      </c>
      <c r="F45" s="41">
        <f>IF(OR($AM45="",F$52=0),"",COUNTIF(F$6:F$35,$AM45))</f>
      </c>
      <c r="G45" s="41">
        <f>IF(OR($AM45="",G$52=0),"",COUNTIF(G$6:G$35,$AM45))</f>
      </c>
      <c r="H45" s="41">
        <f>IF(OR($AM45="",H$52=0),"",COUNTIF(H$6:H$35,$AM45))</f>
      </c>
      <c r="I45" s="41">
        <f>IF(OR($AM45="",I$52=0),"",COUNTIF(I$6:I$35,$AM45))</f>
      </c>
      <c r="J45" s="41">
        <f>IF(OR($AM45="",J$52=0),"",COUNTIF(J$6:J$35,$AM45))</f>
      </c>
      <c r="K45" s="41">
        <f>IF(OR($AM45="",K$52=0),"",COUNTIF(K$6:K$35,$AM45))</f>
      </c>
      <c r="L45" s="41">
        <f>IF(OR($AM45="",L$52=0),"",COUNTIF(L$6:L$35,$AM45))</f>
      </c>
      <c r="M45" s="41">
        <f>IF(OR($AM45="",M$52=0),"",COUNTIF(M$6:M$35,$AM45))</f>
      </c>
      <c r="N45" s="41">
        <f>IF(OR($AM45="",N$52=0),"",COUNTIF(N$6:N$35,$AM45))</f>
      </c>
      <c r="O45" s="41">
        <f>IF(OR($AM45="",O$52=0),"",COUNTIF(O$6:O$35,$AM45))</f>
      </c>
      <c r="P45" s="41">
        <f>IF(OR($AM45="",P$52=0),"",COUNTIF(P$6:P$35,$AM45))</f>
      </c>
      <c r="Q45" s="41">
        <f>IF(OR($AM45="",Q$52=0),"",COUNTIF(Q$6:Q$35,$AM45))</f>
      </c>
      <c r="R45" s="41">
        <f>IF(OR($AM45="",R$52=0),"",COUNTIF(R$6:R$35,$AM45))</f>
      </c>
      <c r="S45" s="41">
        <f>IF(OR($AM45="",S$52=0),"",COUNTIF(S$6:S$35,$AM45))</f>
      </c>
      <c r="T45" s="41">
        <f>IF(OR($AM45="",T$52=0),"",COUNTIF(T$6:T$35,$AM45))</f>
      </c>
      <c r="U45" s="41">
        <f>IF(OR($AM45="",U$52=0),"",COUNTIF(U$6:U$35,$AM45))</f>
      </c>
      <c r="V45" s="41">
        <f>IF(OR($AM45="",V$52=0),"",COUNTIF(V$6:V$35,$AM45))</f>
      </c>
      <c r="W45" s="41">
        <f>IF(OR($AM45="",W$52=0),"",COUNTIF(W$6:W$35,$AM45))</f>
      </c>
      <c r="X45" s="41">
        <f>IF(OR($AM45="",X$52=0),"",COUNTIF(X$6:X$35,$AM45))</f>
      </c>
      <c r="Y45" s="41">
        <f>IF(OR($AM45="",Y$52=0),"",COUNTIF(Y$6:Y$35,$AM45))</f>
      </c>
      <c r="Z45" s="41">
        <f>IF(OR($AM45="",Z$52=0),"",COUNTIF(Z$6:Z$35,$AM45))</f>
      </c>
      <c r="AA45" s="41">
        <f>IF(OR($AM45="",AA$52=0),"",COUNTIF(AA$6:AA$35,$AM45))</f>
      </c>
      <c r="AB45" s="41">
        <f>IF(OR($AM45="",AB$52=0),"",COUNTIF(AB$6:AB$35,$AM45))</f>
      </c>
      <c r="AC45" s="41">
        <f>IF(OR($AM45="",AC$52=0),"",COUNTIF(AC$6:AC$35,$AM45))</f>
      </c>
      <c r="AD45" s="41">
        <f>IF(OR($AM45="",AD$52=0),"",COUNTIF(AD$6:AD$35,$AM45))</f>
      </c>
      <c r="AE45" s="41">
        <f>IF(OR($AM45="",AE$52=0),"",COUNTIF(AE$6:AE$35,$AM45))</f>
      </c>
      <c r="AF45" s="41">
        <f>IF(OR($AM45="",AF$52=0),"",COUNTIF(AF$6:AF$35,$AM45))</f>
      </c>
      <c r="AG45" s="1"/>
      <c r="AH45" s="1"/>
      <c r="AI45" s="1"/>
      <c r="AJ45" s="1"/>
      <c r="AK45" s="1"/>
      <c r="AL45" s="1"/>
      <c r="AM45" s="1">
        <f>IFERROR(INDEX(Codes,MATCH(8,ArbeitNr,0)),"")</f>
      </c>
    </row>
    <row r="46" ht="22" customHeight="1" spans="1:32" x14ac:dyDescent="0.25">
      <c r="A46" s="42" t="s">
        <v>64</v>
      </c>
      <c r="B46" s="43">
        <f>TRIM(IF(AND(B38&lt;&gt;"",N(B38)&lt;N(B86)),$AM38&amp;" ","")&amp;IF(AND(B39&lt;&gt;"",N(B39)&lt;N(B87)),$AM39&amp;" ","")&amp;IF(AND(B40&lt;&gt;"",N(B40)&lt;N(B88)),$AM40&amp;" ","")&amp;IF(AND(B41&lt;&gt;"",N(B41)&lt;N(B89)),$AM41&amp;" ","")&amp;IF(AND(B42&lt;&gt;"",N(B42)&lt;N(B90)),$AM42&amp;" ","")&amp;IF(AND(B43&lt;&gt;"",N(B43)&lt;N(B91)),$AM43&amp;" ","")&amp;IF(AND(B44&lt;&gt;"",N(B44)&lt;N(B92)),$AM44&amp;" ","")&amp;IF(AND(B45&lt;&gt;"",N(B45)&lt;N(B93)),$AM45&amp;" ",""))</f>
      </c>
      <c r="C46" s="43">
        <f>TRIM(IF(AND(C38&lt;&gt;"",N(C38)&lt;N(C86)),$AM38&amp;" ","")&amp;IF(AND(C39&lt;&gt;"",N(C39)&lt;N(C87)),$AM39&amp;" ","")&amp;IF(AND(C40&lt;&gt;"",N(C40)&lt;N(C88)),$AM40&amp;" ","")&amp;IF(AND(C41&lt;&gt;"",N(C41)&lt;N(C89)),$AM41&amp;" ","")&amp;IF(AND(C42&lt;&gt;"",N(C42)&lt;N(C90)),$AM42&amp;" ","")&amp;IF(AND(C43&lt;&gt;"",N(C43)&lt;N(C91)),$AM43&amp;" ","")&amp;IF(AND(C44&lt;&gt;"",N(C44)&lt;N(C92)),$AM44&amp;" ","")&amp;IF(AND(C45&lt;&gt;"",N(C45)&lt;N(C93)),$AM45&amp;" ",""))</f>
      </c>
      <c r="D46" s="43">
        <f>TRIM(IF(AND(D38&lt;&gt;"",N(D38)&lt;N(D86)),$AM38&amp;" ","")&amp;IF(AND(D39&lt;&gt;"",N(D39)&lt;N(D87)),$AM39&amp;" ","")&amp;IF(AND(D40&lt;&gt;"",N(D40)&lt;N(D88)),$AM40&amp;" ","")&amp;IF(AND(D41&lt;&gt;"",N(D41)&lt;N(D89)),$AM41&amp;" ","")&amp;IF(AND(D42&lt;&gt;"",N(D42)&lt;N(D90)),$AM42&amp;" ","")&amp;IF(AND(D43&lt;&gt;"",N(D43)&lt;N(D91)),$AM43&amp;" ","")&amp;IF(AND(D44&lt;&gt;"",N(D44)&lt;N(D92)),$AM44&amp;" ","")&amp;IF(AND(D45&lt;&gt;"",N(D45)&lt;N(D93)),$AM45&amp;" ",""))</f>
      </c>
      <c r="E46" s="43">
        <f>TRIM(IF(AND(E38&lt;&gt;"",N(E38)&lt;N(E86)),$AM38&amp;" ","")&amp;IF(AND(E39&lt;&gt;"",N(E39)&lt;N(E87)),$AM39&amp;" ","")&amp;IF(AND(E40&lt;&gt;"",N(E40)&lt;N(E88)),$AM40&amp;" ","")&amp;IF(AND(E41&lt;&gt;"",N(E41)&lt;N(E89)),$AM41&amp;" ","")&amp;IF(AND(E42&lt;&gt;"",N(E42)&lt;N(E90)),$AM42&amp;" ","")&amp;IF(AND(E43&lt;&gt;"",N(E43)&lt;N(E91)),$AM43&amp;" ","")&amp;IF(AND(E44&lt;&gt;"",N(E44)&lt;N(E92)),$AM44&amp;" ","")&amp;IF(AND(E45&lt;&gt;"",N(E45)&lt;N(E93)),$AM45&amp;" ",""))</f>
      </c>
      <c r="F46" s="43">
        <f>TRIM(IF(AND(F38&lt;&gt;"",N(F38)&lt;N(F86)),$AM38&amp;" ","")&amp;IF(AND(F39&lt;&gt;"",N(F39)&lt;N(F87)),$AM39&amp;" ","")&amp;IF(AND(F40&lt;&gt;"",N(F40)&lt;N(F88)),$AM40&amp;" ","")&amp;IF(AND(F41&lt;&gt;"",N(F41)&lt;N(F89)),$AM41&amp;" ","")&amp;IF(AND(F42&lt;&gt;"",N(F42)&lt;N(F90)),$AM42&amp;" ","")&amp;IF(AND(F43&lt;&gt;"",N(F43)&lt;N(F91)),$AM43&amp;" ","")&amp;IF(AND(F44&lt;&gt;"",N(F44)&lt;N(F92)),$AM44&amp;" ","")&amp;IF(AND(F45&lt;&gt;"",N(F45)&lt;N(F93)),$AM45&amp;" ",""))</f>
      </c>
      <c r="G46" s="43">
        <f>TRIM(IF(AND(G38&lt;&gt;"",N(G38)&lt;N(G86)),$AM38&amp;" ","")&amp;IF(AND(G39&lt;&gt;"",N(G39)&lt;N(G87)),$AM39&amp;" ","")&amp;IF(AND(G40&lt;&gt;"",N(G40)&lt;N(G88)),$AM40&amp;" ","")&amp;IF(AND(G41&lt;&gt;"",N(G41)&lt;N(G89)),$AM41&amp;" ","")&amp;IF(AND(G42&lt;&gt;"",N(G42)&lt;N(G90)),$AM42&amp;" ","")&amp;IF(AND(G43&lt;&gt;"",N(G43)&lt;N(G91)),$AM43&amp;" ","")&amp;IF(AND(G44&lt;&gt;"",N(G44)&lt;N(G92)),$AM44&amp;" ","")&amp;IF(AND(G45&lt;&gt;"",N(G45)&lt;N(G93)),$AM45&amp;" ",""))</f>
      </c>
      <c r="H46" s="43">
        <f>TRIM(IF(AND(H38&lt;&gt;"",N(H38)&lt;N(H86)),$AM38&amp;" ","")&amp;IF(AND(H39&lt;&gt;"",N(H39)&lt;N(H87)),$AM39&amp;" ","")&amp;IF(AND(H40&lt;&gt;"",N(H40)&lt;N(H88)),$AM40&amp;" ","")&amp;IF(AND(H41&lt;&gt;"",N(H41)&lt;N(H89)),$AM41&amp;" ","")&amp;IF(AND(H42&lt;&gt;"",N(H42)&lt;N(H90)),$AM42&amp;" ","")&amp;IF(AND(H43&lt;&gt;"",N(H43)&lt;N(H91)),$AM43&amp;" ","")&amp;IF(AND(H44&lt;&gt;"",N(H44)&lt;N(H92)),$AM44&amp;" ","")&amp;IF(AND(H45&lt;&gt;"",N(H45)&lt;N(H93)),$AM45&amp;" ",""))</f>
      </c>
      <c r="I46" s="43">
        <f>TRIM(IF(AND(I38&lt;&gt;"",N(I38)&lt;N(I86)),$AM38&amp;" ","")&amp;IF(AND(I39&lt;&gt;"",N(I39)&lt;N(I87)),$AM39&amp;" ","")&amp;IF(AND(I40&lt;&gt;"",N(I40)&lt;N(I88)),$AM40&amp;" ","")&amp;IF(AND(I41&lt;&gt;"",N(I41)&lt;N(I89)),$AM41&amp;" ","")&amp;IF(AND(I42&lt;&gt;"",N(I42)&lt;N(I90)),$AM42&amp;" ","")&amp;IF(AND(I43&lt;&gt;"",N(I43)&lt;N(I91)),$AM43&amp;" ","")&amp;IF(AND(I44&lt;&gt;"",N(I44)&lt;N(I92)),$AM44&amp;" ","")&amp;IF(AND(I45&lt;&gt;"",N(I45)&lt;N(I93)),$AM45&amp;" ",""))</f>
      </c>
      <c r="J46" s="43">
        <f>TRIM(IF(AND(J38&lt;&gt;"",N(J38)&lt;N(J86)),$AM38&amp;" ","")&amp;IF(AND(J39&lt;&gt;"",N(J39)&lt;N(J87)),$AM39&amp;" ","")&amp;IF(AND(J40&lt;&gt;"",N(J40)&lt;N(J88)),$AM40&amp;" ","")&amp;IF(AND(J41&lt;&gt;"",N(J41)&lt;N(J89)),$AM41&amp;" ","")&amp;IF(AND(J42&lt;&gt;"",N(J42)&lt;N(J90)),$AM42&amp;" ","")&amp;IF(AND(J43&lt;&gt;"",N(J43)&lt;N(J91)),$AM43&amp;" ","")&amp;IF(AND(J44&lt;&gt;"",N(J44)&lt;N(J92)),$AM44&amp;" ","")&amp;IF(AND(J45&lt;&gt;"",N(J45)&lt;N(J93)),$AM45&amp;" ",""))</f>
      </c>
      <c r="K46" s="43">
        <f>TRIM(IF(AND(K38&lt;&gt;"",N(K38)&lt;N(K86)),$AM38&amp;" ","")&amp;IF(AND(K39&lt;&gt;"",N(K39)&lt;N(K87)),$AM39&amp;" ","")&amp;IF(AND(K40&lt;&gt;"",N(K40)&lt;N(K88)),$AM40&amp;" ","")&amp;IF(AND(K41&lt;&gt;"",N(K41)&lt;N(K89)),$AM41&amp;" ","")&amp;IF(AND(K42&lt;&gt;"",N(K42)&lt;N(K90)),$AM42&amp;" ","")&amp;IF(AND(K43&lt;&gt;"",N(K43)&lt;N(K91)),$AM43&amp;" ","")&amp;IF(AND(K44&lt;&gt;"",N(K44)&lt;N(K92)),$AM44&amp;" ","")&amp;IF(AND(K45&lt;&gt;"",N(K45)&lt;N(K93)),$AM45&amp;" ",""))</f>
      </c>
      <c r="L46" s="43">
        <f>TRIM(IF(AND(L38&lt;&gt;"",N(L38)&lt;N(L86)),$AM38&amp;" ","")&amp;IF(AND(L39&lt;&gt;"",N(L39)&lt;N(L87)),$AM39&amp;" ","")&amp;IF(AND(L40&lt;&gt;"",N(L40)&lt;N(L88)),$AM40&amp;" ","")&amp;IF(AND(L41&lt;&gt;"",N(L41)&lt;N(L89)),$AM41&amp;" ","")&amp;IF(AND(L42&lt;&gt;"",N(L42)&lt;N(L90)),$AM42&amp;" ","")&amp;IF(AND(L43&lt;&gt;"",N(L43)&lt;N(L91)),$AM43&amp;" ","")&amp;IF(AND(L44&lt;&gt;"",N(L44)&lt;N(L92)),$AM44&amp;" ","")&amp;IF(AND(L45&lt;&gt;"",N(L45)&lt;N(L93)),$AM45&amp;" ",""))</f>
      </c>
      <c r="M46" s="43">
        <f>TRIM(IF(AND(M38&lt;&gt;"",N(M38)&lt;N(M86)),$AM38&amp;" ","")&amp;IF(AND(M39&lt;&gt;"",N(M39)&lt;N(M87)),$AM39&amp;" ","")&amp;IF(AND(M40&lt;&gt;"",N(M40)&lt;N(M88)),$AM40&amp;" ","")&amp;IF(AND(M41&lt;&gt;"",N(M41)&lt;N(M89)),$AM41&amp;" ","")&amp;IF(AND(M42&lt;&gt;"",N(M42)&lt;N(M90)),$AM42&amp;" ","")&amp;IF(AND(M43&lt;&gt;"",N(M43)&lt;N(M91)),$AM43&amp;" ","")&amp;IF(AND(M44&lt;&gt;"",N(M44)&lt;N(M92)),$AM44&amp;" ","")&amp;IF(AND(M45&lt;&gt;"",N(M45)&lt;N(M93)),$AM45&amp;" ",""))</f>
      </c>
      <c r="N46" s="43">
        <f>TRIM(IF(AND(N38&lt;&gt;"",N(N38)&lt;N(N86)),$AM38&amp;" ","")&amp;IF(AND(N39&lt;&gt;"",N(N39)&lt;N(N87)),$AM39&amp;" ","")&amp;IF(AND(N40&lt;&gt;"",N(N40)&lt;N(N88)),$AM40&amp;" ","")&amp;IF(AND(N41&lt;&gt;"",N(N41)&lt;N(N89)),$AM41&amp;" ","")&amp;IF(AND(N42&lt;&gt;"",N(N42)&lt;N(N90)),$AM42&amp;" ","")&amp;IF(AND(N43&lt;&gt;"",N(N43)&lt;N(N91)),$AM43&amp;" ","")&amp;IF(AND(N44&lt;&gt;"",N(N44)&lt;N(N92)),$AM44&amp;" ","")&amp;IF(AND(N45&lt;&gt;"",N(N45)&lt;N(N93)),$AM45&amp;" ",""))</f>
      </c>
      <c r="O46" s="43">
        <f>TRIM(IF(AND(O38&lt;&gt;"",N(O38)&lt;N(O86)),$AM38&amp;" ","")&amp;IF(AND(O39&lt;&gt;"",N(O39)&lt;N(O87)),$AM39&amp;" ","")&amp;IF(AND(O40&lt;&gt;"",N(O40)&lt;N(O88)),$AM40&amp;" ","")&amp;IF(AND(O41&lt;&gt;"",N(O41)&lt;N(O89)),$AM41&amp;" ","")&amp;IF(AND(O42&lt;&gt;"",N(O42)&lt;N(O90)),$AM42&amp;" ","")&amp;IF(AND(O43&lt;&gt;"",N(O43)&lt;N(O91)),$AM43&amp;" ","")&amp;IF(AND(O44&lt;&gt;"",N(O44)&lt;N(O92)),$AM44&amp;" ","")&amp;IF(AND(O45&lt;&gt;"",N(O45)&lt;N(O93)),$AM45&amp;" ",""))</f>
      </c>
      <c r="P46" s="43">
        <f>TRIM(IF(AND(P38&lt;&gt;"",N(P38)&lt;N(P86)),$AM38&amp;" ","")&amp;IF(AND(P39&lt;&gt;"",N(P39)&lt;N(P87)),$AM39&amp;" ","")&amp;IF(AND(P40&lt;&gt;"",N(P40)&lt;N(P88)),$AM40&amp;" ","")&amp;IF(AND(P41&lt;&gt;"",N(P41)&lt;N(P89)),$AM41&amp;" ","")&amp;IF(AND(P42&lt;&gt;"",N(P42)&lt;N(P90)),$AM42&amp;" ","")&amp;IF(AND(P43&lt;&gt;"",N(P43)&lt;N(P91)),$AM43&amp;" ","")&amp;IF(AND(P44&lt;&gt;"",N(P44)&lt;N(P92)),$AM44&amp;" ","")&amp;IF(AND(P45&lt;&gt;"",N(P45)&lt;N(P93)),$AM45&amp;" ",""))</f>
      </c>
      <c r="Q46" s="43">
        <f>TRIM(IF(AND(Q38&lt;&gt;"",N(Q38)&lt;N(Q86)),$AM38&amp;" ","")&amp;IF(AND(Q39&lt;&gt;"",N(Q39)&lt;N(Q87)),$AM39&amp;" ","")&amp;IF(AND(Q40&lt;&gt;"",N(Q40)&lt;N(Q88)),$AM40&amp;" ","")&amp;IF(AND(Q41&lt;&gt;"",N(Q41)&lt;N(Q89)),$AM41&amp;" ","")&amp;IF(AND(Q42&lt;&gt;"",N(Q42)&lt;N(Q90)),$AM42&amp;" ","")&amp;IF(AND(Q43&lt;&gt;"",N(Q43)&lt;N(Q91)),$AM43&amp;" ","")&amp;IF(AND(Q44&lt;&gt;"",N(Q44)&lt;N(Q92)),$AM44&amp;" ","")&amp;IF(AND(Q45&lt;&gt;"",N(Q45)&lt;N(Q93)),$AM45&amp;" ",""))</f>
      </c>
      <c r="R46" s="43">
        <f>TRIM(IF(AND(R38&lt;&gt;"",N(R38)&lt;N(R86)),$AM38&amp;" ","")&amp;IF(AND(R39&lt;&gt;"",N(R39)&lt;N(R87)),$AM39&amp;" ","")&amp;IF(AND(R40&lt;&gt;"",N(R40)&lt;N(R88)),$AM40&amp;" ","")&amp;IF(AND(R41&lt;&gt;"",N(R41)&lt;N(R89)),$AM41&amp;" ","")&amp;IF(AND(R42&lt;&gt;"",N(R42)&lt;N(R90)),$AM42&amp;" ","")&amp;IF(AND(R43&lt;&gt;"",N(R43)&lt;N(R91)),$AM43&amp;" ","")&amp;IF(AND(R44&lt;&gt;"",N(R44)&lt;N(R92)),$AM44&amp;" ","")&amp;IF(AND(R45&lt;&gt;"",N(R45)&lt;N(R93)),$AM45&amp;" ",""))</f>
      </c>
      <c r="S46" s="43">
        <f>TRIM(IF(AND(S38&lt;&gt;"",N(S38)&lt;N(S86)),$AM38&amp;" ","")&amp;IF(AND(S39&lt;&gt;"",N(S39)&lt;N(S87)),$AM39&amp;" ","")&amp;IF(AND(S40&lt;&gt;"",N(S40)&lt;N(S88)),$AM40&amp;" ","")&amp;IF(AND(S41&lt;&gt;"",N(S41)&lt;N(S89)),$AM41&amp;" ","")&amp;IF(AND(S42&lt;&gt;"",N(S42)&lt;N(S90)),$AM42&amp;" ","")&amp;IF(AND(S43&lt;&gt;"",N(S43)&lt;N(S91)),$AM43&amp;" ","")&amp;IF(AND(S44&lt;&gt;"",N(S44)&lt;N(S92)),$AM44&amp;" ","")&amp;IF(AND(S45&lt;&gt;"",N(S45)&lt;N(S93)),$AM45&amp;" ",""))</f>
      </c>
      <c r="T46" s="43">
        <f>TRIM(IF(AND(T38&lt;&gt;"",N(T38)&lt;N(T86)),$AM38&amp;" ","")&amp;IF(AND(T39&lt;&gt;"",N(T39)&lt;N(T87)),$AM39&amp;" ","")&amp;IF(AND(T40&lt;&gt;"",N(T40)&lt;N(T88)),$AM40&amp;" ","")&amp;IF(AND(T41&lt;&gt;"",N(T41)&lt;N(T89)),$AM41&amp;" ","")&amp;IF(AND(T42&lt;&gt;"",N(T42)&lt;N(T90)),$AM42&amp;" ","")&amp;IF(AND(T43&lt;&gt;"",N(T43)&lt;N(T91)),$AM43&amp;" ","")&amp;IF(AND(T44&lt;&gt;"",N(T44)&lt;N(T92)),$AM44&amp;" ","")&amp;IF(AND(T45&lt;&gt;"",N(T45)&lt;N(T93)),$AM45&amp;" ",""))</f>
      </c>
      <c r="U46" s="43">
        <f>TRIM(IF(AND(U38&lt;&gt;"",N(U38)&lt;N(U86)),$AM38&amp;" ","")&amp;IF(AND(U39&lt;&gt;"",N(U39)&lt;N(U87)),$AM39&amp;" ","")&amp;IF(AND(U40&lt;&gt;"",N(U40)&lt;N(U88)),$AM40&amp;" ","")&amp;IF(AND(U41&lt;&gt;"",N(U41)&lt;N(U89)),$AM41&amp;" ","")&amp;IF(AND(U42&lt;&gt;"",N(U42)&lt;N(U90)),$AM42&amp;" ","")&amp;IF(AND(U43&lt;&gt;"",N(U43)&lt;N(U91)),$AM43&amp;" ","")&amp;IF(AND(U44&lt;&gt;"",N(U44)&lt;N(U92)),$AM44&amp;" ","")&amp;IF(AND(U45&lt;&gt;"",N(U45)&lt;N(U93)),$AM45&amp;" ",""))</f>
      </c>
      <c r="V46" s="43">
        <f>TRIM(IF(AND(V38&lt;&gt;"",N(V38)&lt;N(V86)),$AM38&amp;" ","")&amp;IF(AND(V39&lt;&gt;"",N(V39)&lt;N(V87)),$AM39&amp;" ","")&amp;IF(AND(V40&lt;&gt;"",N(V40)&lt;N(V88)),$AM40&amp;" ","")&amp;IF(AND(V41&lt;&gt;"",N(V41)&lt;N(V89)),$AM41&amp;" ","")&amp;IF(AND(V42&lt;&gt;"",N(V42)&lt;N(V90)),$AM42&amp;" ","")&amp;IF(AND(V43&lt;&gt;"",N(V43)&lt;N(V91)),$AM43&amp;" ","")&amp;IF(AND(V44&lt;&gt;"",N(V44)&lt;N(V92)),$AM44&amp;" ","")&amp;IF(AND(V45&lt;&gt;"",N(V45)&lt;N(V93)),$AM45&amp;" ",""))</f>
      </c>
      <c r="W46" s="43">
        <f>TRIM(IF(AND(W38&lt;&gt;"",N(W38)&lt;N(W86)),$AM38&amp;" ","")&amp;IF(AND(W39&lt;&gt;"",N(W39)&lt;N(W87)),$AM39&amp;" ","")&amp;IF(AND(W40&lt;&gt;"",N(W40)&lt;N(W88)),$AM40&amp;" ","")&amp;IF(AND(W41&lt;&gt;"",N(W41)&lt;N(W89)),$AM41&amp;" ","")&amp;IF(AND(W42&lt;&gt;"",N(W42)&lt;N(W90)),$AM42&amp;" ","")&amp;IF(AND(W43&lt;&gt;"",N(W43)&lt;N(W91)),$AM43&amp;" ","")&amp;IF(AND(W44&lt;&gt;"",N(W44)&lt;N(W92)),$AM44&amp;" ","")&amp;IF(AND(W45&lt;&gt;"",N(W45)&lt;N(W93)),$AM45&amp;" ",""))</f>
      </c>
      <c r="X46" s="43">
        <f>TRIM(IF(AND(X38&lt;&gt;"",N(X38)&lt;N(X86)),$AM38&amp;" ","")&amp;IF(AND(X39&lt;&gt;"",N(X39)&lt;N(X87)),$AM39&amp;" ","")&amp;IF(AND(X40&lt;&gt;"",N(X40)&lt;N(X88)),$AM40&amp;" ","")&amp;IF(AND(X41&lt;&gt;"",N(X41)&lt;N(X89)),$AM41&amp;" ","")&amp;IF(AND(X42&lt;&gt;"",N(X42)&lt;N(X90)),$AM42&amp;" ","")&amp;IF(AND(X43&lt;&gt;"",N(X43)&lt;N(X91)),$AM43&amp;" ","")&amp;IF(AND(X44&lt;&gt;"",N(X44)&lt;N(X92)),$AM44&amp;" ","")&amp;IF(AND(X45&lt;&gt;"",N(X45)&lt;N(X93)),$AM45&amp;" ",""))</f>
      </c>
      <c r="Y46" s="43">
        <f>TRIM(IF(AND(Y38&lt;&gt;"",N(Y38)&lt;N(Y86)),$AM38&amp;" ","")&amp;IF(AND(Y39&lt;&gt;"",N(Y39)&lt;N(Y87)),$AM39&amp;" ","")&amp;IF(AND(Y40&lt;&gt;"",N(Y40)&lt;N(Y88)),$AM40&amp;" ","")&amp;IF(AND(Y41&lt;&gt;"",N(Y41)&lt;N(Y89)),$AM41&amp;" ","")&amp;IF(AND(Y42&lt;&gt;"",N(Y42)&lt;N(Y90)),$AM42&amp;" ","")&amp;IF(AND(Y43&lt;&gt;"",N(Y43)&lt;N(Y91)),$AM43&amp;" ","")&amp;IF(AND(Y44&lt;&gt;"",N(Y44)&lt;N(Y92)),$AM44&amp;" ","")&amp;IF(AND(Y45&lt;&gt;"",N(Y45)&lt;N(Y93)),$AM45&amp;" ",""))</f>
      </c>
      <c r="Z46" s="43">
        <f>TRIM(IF(AND(Z38&lt;&gt;"",N(Z38)&lt;N(Z86)),$AM38&amp;" ","")&amp;IF(AND(Z39&lt;&gt;"",N(Z39)&lt;N(Z87)),$AM39&amp;" ","")&amp;IF(AND(Z40&lt;&gt;"",N(Z40)&lt;N(Z88)),$AM40&amp;" ","")&amp;IF(AND(Z41&lt;&gt;"",N(Z41)&lt;N(Z89)),$AM41&amp;" ","")&amp;IF(AND(Z42&lt;&gt;"",N(Z42)&lt;N(Z90)),$AM42&amp;" ","")&amp;IF(AND(Z43&lt;&gt;"",N(Z43)&lt;N(Z91)),$AM43&amp;" ","")&amp;IF(AND(Z44&lt;&gt;"",N(Z44)&lt;N(Z92)),$AM44&amp;" ","")&amp;IF(AND(Z45&lt;&gt;"",N(Z45)&lt;N(Z93)),$AM45&amp;" ",""))</f>
      </c>
      <c r="AA46" s="43">
        <f>TRIM(IF(AND(AA38&lt;&gt;"",N(AA38)&lt;N(AA86)),$AM38&amp;" ","")&amp;IF(AND(AA39&lt;&gt;"",N(AA39)&lt;N(AA87)),$AM39&amp;" ","")&amp;IF(AND(AA40&lt;&gt;"",N(AA40)&lt;N(AA88)),$AM40&amp;" ","")&amp;IF(AND(AA41&lt;&gt;"",N(AA41)&lt;N(AA89)),$AM41&amp;" ","")&amp;IF(AND(AA42&lt;&gt;"",N(AA42)&lt;N(AA90)),$AM42&amp;" ","")&amp;IF(AND(AA43&lt;&gt;"",N(AA43)&lt;N(AA91)),$AM43&amp;" ","")&amp;IF(AND(AA44&lt;&gt;"",N(AA44)&lt;N(AA92)),$AM44&amp;" ","")&amp;IF(AND(AA45&lt;&gt;"",N(AA45)&lt;N(AA93)),$AM45&amp;" ",""))</f>
      </c>
      <c r="AB46" s="43">
        <f>TRIM(IF(AND(AB38&lt;&gt;"",N(AB38)&lt;N(AB86)),$AM38&amp;" ","")&amp;IF(AND(AB39&lt;&gt;"",N(AB39)&lt;N(AB87)),$AM39&amp;" ","")&amp;IF(AND(AB40&lt;&gt;"",N(AB40)&lt;N(AB88)),$AM40&amp;" ","")&amp;IF(AND(AB41&lt;&gt;"",N(AB41)&lt;N(AB89)),$AM41&amp;" ","")&amp;IF(AND(AB42&lt;&gt;"",N(AB42)&lt;N(AB90)),$AM42&amp;" ","")&amp;IF(AND(AB43&lt;&gt;"",N(AB43)&lt;N(AB91)),$AM43&amp;" ","")&amp;IF(AND(AB44&lt;&gt;"",N(AB44)&lt;N(AB92)),$AM44&amp;" ","")&amp;IF(AND(AB45&lt;&gt;"",N(AB45)&lt;N(AB93)),$AM45&amp;" ",""))</f>
      </c>
      <c r="AC46" s="43">
        <f>TRIM(IF(AND(AC38&lt;&gt;"",N(AC38)&lt;N(AC86)),$AM38&amp;" ","")&amp;IF(AND(AC39&lt;&gt;"",N(AC39)&lt;N(AC87)),$AM39&amp;" ","")&amp;IF(AND(AC40&lt;&gt;"",N(AC40)&lt;N(AC88)),$AM40&amp;" ","")&amp;IF(AND(AC41&lt;&gt;"",N(AC41)&lt;N(AC89)),$AM41&amp;" ","")&amp;IF(AND(AC42&lt;&gt;"",N(AC42)&lt;N(AC90)),$AM42&amp;" ","")&amp;IF(AND(AC43&lt;&gt;"",N(AC43)&lt;N(AC91)),$AM43&amp;" ","")&amp;IF(AND(AC44&lt;&gt;"",N(AC44)&lt;N(AC92)),$AM44&amp;" ","")&amp;IF(AND(AC45&lt;&gt;"",N(AC45)&lt;N(AC93)),$AM45&amp;" ",""))</f>
      </c>
      <c r="AD46" s="43">
        <f>TRIM(IF(AND(AD38&lt;&gt;"",N(AD38)&lt;N(AD86)),$AM38&amp;" ","")&amp;IF(AND(AD39&lt;&gt;"",N(AD39)&lt;N(AD87)),$AM39&amp;" ","")&amp;IF(AND(AD40&lt;&gt;"",N(AD40)&lt;N(AD88)),$AM40&amp;" ","")&amp;IF(AND(AD41&lt;&gt;"",N(AD41)&lt;N(AD89)),$AM41&amp;" ","")&amp;IF(AND(AD42&lt;&gt;"",N(AD42)&lt;N(AD90)),$AM42&amp;" ","")&amp;IF(AND(AD43&lt;&gt;"",N(AD43)&lt;N(AD91)),$AM43&amp;" ","")&amp;IF(AND(AD44&lt;&gt;"",N(AD44)&lt;N(AD92)),$AM44&amp;" ","")&amp;IF(AND(AD45&lt;&gt;"",N(AD45)&lt;N(AD93)),$AM45&amp;" ",""))</f>
      </c>
      <c r="AE46" s="43">
        <f>TRIM(IF(AND(AE38&lt;&gt;"",N(AE38)&lt;N(AE86)),$AM38&amp;" ","")&amp;IF(AND(AE39&lt;&gt;"",N(AE39)&lt;N(AE87)),$AM39&amp;" ","")&amp;IF(AND(AE40&lt;&gt;"",N(AE40)&lt;N(AE88)),$AM40&amp;" ","")&amp;IF(AND(AE41&lt;&gt;"",N(AE41)&lt;N(AE89)),$AM41&amp;" ","")&amp;IF(AND(AE42&lt;&gt;"",N(AE42)&lt;N(AE90)),$AM42&amp;" ","")&amp;IF(AND(AE43&lt;&gt;"",N(AE43)&lt;N(AE91)),$AM43&amp;" ","")&amp;IF(AND(AE44&lt;&gt;"",N(AE44)&lt;N(AE92)),$AM44&amp;" ","")&amp;IF(AND(AE45&lt;&gt;"",N(AE45)&lt;N(AE93)),$AM45&amp;" ",""))</f>
      </c>
      <c r="AF46" s="43">
        <f>TRIM(IF(AND(AF38&lt;&gt;"",N(AF38)&lt;N(AF86)),$AM38&amp;" ","")&amp;IF(AND(AF39&lt;&gt;"",N(AF39)&lt;N(AF87)),$AM39&amp;" ","")&amp;IF(AND(AF40&lt;&gt;"",N(AF40)&lt;N(AF88)),$AM40&amp;" ","")&amp;IF(AND(AF41&lt;&gt;"",N(AF41)&lt;N(AF89)),$AM41&amp;" ","")&amp;IF(AND(AF42&lt;&gt;"",N(AF42)&lt;N(AF90)),$AM42&amp;" ","")&amp;IF(AND(AF43&lt;&gt;"",N(AF43)&lt;N(AF91)),$AM43&amp;" ","")&amp;IF(AND(AF44&lt;&gt;"",N(AF44)&lt;N(AF92)),$AM44&amp;" ","")&amp;IF(AND(AF45&lt;&gt;"",N(AF45)&lt;N(AF93)),$AM45&amp;" ",""))</f>
      </c>
    </row>
    <row r="48" spans="1:38" x14ac:dyDescent="0.25">
      <c r="A48" s="7" t="s">
        <v>65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1"/>
      <c r="W48" s="1"/>
      <c r="X48" s="7" t="s">
        <v>66</v>
      </c>
      <c r="Y48" s="1"/>
      <c r="Z48" s="1"/>
      <c r="AA48" s="1"/>
      <c r="AB48" s="1"/>
      <c r="AC48" s="1"/>
      <c r="AD48" s="1"/>
      <c r="AE48" s="1"/>
      <c r="AF48" s="1"/>
      <c r="AG48" s="44"/>
      <c r="AH48" s="44"/>
      <c r="AI48" s="44"/>
      <c r="AJ48" s="44"/>
      <c r="AK48" s="44"/>
      <c r="AL48" s="44"/>
    </row>
    <row r="50" hidden="1" spans="1:32" x14ac:dyDescent="0.25">
      <c r="A50" s="1"/>
      <c r="B50" s="1">
        <f>IF(B$5="",0,IF(ISNUMBER(MATCH(B$5,FeiertagDaten,0)),1,0))</f>
      </c>
      <c r="C50" s="1">
        <f>IF(C$5="",0,IF(ISNUMBER(MATCH(C$5,FeiertagDaten,0)),1,0))</f>
      </c>
      <c r="D50" s="1">
        <f>IF(D$5="",0,IF(ISNUMBER(MATCH(D$5,FeiertagDaten,0)),1,0))</f>
      </c>
      <c r="E50" s="1">
        <f>IF(E$5="",0,IF(ISNUMBER(MATCH(E$5,FeiertagDaten,0)),1,0))</f>
      </c>
      <c r="F50" s="1">
        <f>IF(F$5="",0,IF(ISNUMBER(MATCH(F$5,FeiertagDaten,0)),1,0))</f>
      </c>
      <c r="G50" s="1">
        <f>IF(G$5="",0,IF(ISNUMBER(MATCH(G$5,FeiertagDaten,0)),1,0))</f>
      </c>
      <c r="H50" s="1">
        <f>IF(H$5="",0,IF(ISNUMBER(MATCH(H$5,FeiertagDaten,0)),1,0))</f>
      </c>
      <c r="I50" s="1">
        <f>IF(I$5="",0,IF(ISNUMBER(MATCH(I$5,FeiertagDaten,0)),1,0))</f>
      </c>
      <c r="J50" s="1">
        <f>IF(J$5="",0,IF(ISNUMBER(MATCH(J$5,FeiertagDaten,0)),1,0))</f>
      </c>
      <c r="K50" s="1">
        <f>IF(K$5="",0,IF(ISNUMBER(MATCH(K$5,FeiertagDaten,0)),1,0))</f>
      </c>
      <c r="L50" s="1">
        <f>IF(L$5="",0,IF(ISNUMBER(MATCH(L$5,FeiertagDaten,0)),1,0))</f>
      </c>
      <c r="M50" s="1">
        <f>IF(M$5="",0,IF(ISNUMBER(MATCH(M$5,FeiertagDaten,0)),1,0))</f>
      </c>
      <c r="N50" s="1">
        <f>IF(N$5="",0,IF(ISNUMBER(MATCH(N$5,FeiertagDaten,0)),1,0))</f>
      </c>
      <c r="O50" s="1">
        <f>IF(O$5="",0,IF(ISNUMBER(MATCH(O$5,FeiertagDaten,0)),1,0))</f>
      </c>
      <c r="P50" s="1">
        <f>IF(P$5="",0,IF(ISNUMBER(MATCH(P$5,FeiertagDaten,0)),1,0))</f>
      </c>
      <c r="Q50" s="1">
        <f>IF(Q$5="",0,IF(ISNUMBER(MATCH(Q$5,FeiertagDaten,0)),1,0))</f>
      </c>
      <c r="R50" s="1">
        <f>IF(R$5="",0,IF(ISNUMBER(MATCH(R$5,FeiertagDaten,0)),1,0))</f>
      </c>
      <c r="S50" s="1">
        <f>IF(S$5="",0,IF(ISNUMBER(MATCH(S$5,FeiertagDaten,0)),1,0))</f>
      </c>
      <c r="T50" s="1">
        <f>IF(T$5="",0,IF(ISNUMBER(MATCH(T$5,FeiertagDaten,0)),1,0))</f>
      </c>
      <c r="U50" s="1">
        <f>IF(U$5="",0,IF(ISNUMBER(MATCH(U$5,FeiertagDaten,0)),1,0))</f>
      </c>
      <c r="V50" s="1">
        <f>IF(V$5="",0,IF(ISNUMBER(MATCH(V$5,FeiertagDaten,0)),1,0))</f>
      </c>
      <c r="W50" s="1">
        <f>IF(W$5="",0,IF(ISNUMBER(MATCH(W$5,FeiertagDaten,0)),1,0))</f>
      </c>
      <c r="X50" s="1">
        <f>IF(X$5="",0,IF(ISNUMBER(MATCH(X$5,FeiertagDaten,0)),1,0))</f>
      </c>
      <c r="Y50" s="1">
        <f>IF(Y$5="",0,IF(ISNUMBER(MATCH(Y$5,FeiertagDaten,0)),1,0))</f>
      </c>
      <c r="Z50" s="1">
        <f>IF(Z$5="",0,IF(ISNUMBER(MATCH(Z$5,FeiertagDaten,0)),1,0))</f>
      </c>
      <c r="AA50" s="1">
        <f>IF(AA$5="",0,IF(ISNUMBER(MATCH(AA$5,FeiertagDaten,0)),1,0))</f>
      </c>
      <c r="AB50" s="1">
        <f>IF(AB$5="",0,IF(ISNUMBER(MATCH(AB$5,FeiertagDaten,0)),1,0))</f>
      </c>
      <c r="AC50" s="1">
        <f>IF(AC$5="",0,IF(ISNUMBER(MATCH(AC$5,FeiertagDaten,0)),1,0))</f>
      </c>
      <c r="AD50" s="1">
        <f>IF(AD$5="",0,IF(ISNUMBER(MATCH(AD$5,FeiertagDaten,0)),1,0))</f>
      </c>
      <c r="AE50" s="1">
        <f>IF(AE$5="",0,IF(ISNUMBER(MATCH(AE$5,FeiertagDaten,0)),1,0))</f>
      </c>
      <c r="AF50" s="1">
        <f>IF(AF$5="",0,IF(ISNUMBER(MATCH(AF$5,FeiertagDaten,0)),1,0))</f>
      </c>
    </row>
    <row r="51" hidden="1" spans="1:32" x14ac:dyDescent="0.25">
      <c r="A51" s="1"/>
      <c r="B51" s="1">
        <f>IF(B$5="",0,WEEKDAY(B$5,2))</f>
      </c>
      <c r="C51" s="1">
        <f>IF(C$5="",0,WEEKDAY(C$5,2))</f>
      </c>
      <c r="D51" s="1">
        <f>IF(D$5="",0,WEEKDAY(D$5,2))</f>
      </c>
      <c r="E51" s="1">
        <f>IF(E$5="",0,WEEKDAY(E$5,2))</f>
      </c>
      <c r="F51" s="1">
        <f>IF(F$5="",0,WEEKDAY(F$5,2))</f>
      </c>
      <c r="G51" s="1">
        <f>IF(G$5="",0,WEEKDAY(G$5,2))</f>
      </c>
      <c r="H51" s="1">
        <f>IF(H$5="",0,WEEKDAY(H$5,2))</f>
      </c>
      <c r="I51" s="1">
        <f>IF(I$5="",0,WEEKDAY(I$5,2))</f>
      </c>
      <c r="J51" s="1">
        <f>IF(J$5="",0,WEEKDAY(J$5,2))</f>
      </c>
      <c r="K51" s="1">
        <f>IF(K$5="",0,WEEKDAY(K$5,2))</f>
      </c>
      <c r="L51" s="1">
        <f>IF(L$5="",0,WEEKDAY(L$5,2))</f>
      </c>
      <c r="M51" s="1">
        <f>IF(M$5="",0,WEEKDAY(M$5,2))</f>
      </c>
      <c r="N51" s="1">
        <f>IF(N$5="",0,WEEKDAY(N$5,2))</f>
      </c>
      <c r="O51" s="1">
        <f>IF(O$5="",0,WEEKDAY(O$5,2))</f>
      </c>
      <c r="P51" s="1">
        <f>IF(P$5="",0,WEEKDAY(P$5,2))</f>
      </c>
      <c r="Q51" s="1">
        <f>IF(Q$5="",0,WEEKDAY(Q$5,2))</f>
      </c>
      <c r="R51" s="1">
        <f>IF(R$5="",0,WEEKDAY(R$5,2))</f>
      </c>
      <c r="S51" s="1">
        <f>IF(S$5="",0,WEEKDAY(S$5,2))</f>
      </c>
      <c r="T51" s="1">
        <f>IF(T$5="",0,WEEKDAY(T$5,2))</f>
      </c>
      <c r="U51" s="1">
        <f>IF(U$5="",0,WEEKDAY(U$5,2))</f>
      </c>
      <c r="V51" s="1">
        <f>IF(V$5="",0,WEEKDAY(V$5,2))</f>
      </c>
      <c r="W51" s="1">
        <f>IF(W$5="",0,WEEKDAY(W$5,2))</f>
      </c>
      <c r="X51" s="1">
        <f>IF(X$5="",0,WEEKDAY(X$5,2))</f>
      </c>
      <c r="Y51" s="1">
        <f>IF(Y$5="",0,WEEKDAY(Y$5,2))</f>
      </c>
      <c r="Z51" s="1">
        <f>IF(Z$5="",0,WEEKDAY(Z$5,2))</f>
      </c>
      <c r="AA51" s="1">
        <f>IF(AA$5="",0,WEEKDAY(AA$5,2))</f>
      </c>
      <c r="AB51" s="1">
        <f>IF(AB$5="",0,WEEKDAY(AB$5,2))</f>
      </c>
      <c r="AC51" s="1">
        <f>IF(AC$5="",0,WEEKDAY(AC$5,2))</f>
      </c>
      <c r="AD51" s="1">
        <f>IF(AD$5="",0,WEEKDAY(AD$5,2))</f>
      </c>
      <c r="AE51" s="1">
        <f>IF(AE$5="",0,WEEKDAY(AE$5,2))</f>
      </c>
      <c r="AF51" s="1">
        <f>IF(AF$5="",0,WEEKDAY(AF$5,2))</f>
      </c>
    </row>
    <row r="52" hidden="1" spans="1:32" x14ac:dyDescent="0.25">
      <c r="A52" s="1"/>
      <c r="B52" s="1">
        <f>IF(B$5="",0,1)</f>
      </c>
      <c r="C52" s="1">
        <f>IF(C$5="",0,1)</f>
      </c>
      <c r="D52" s="1">
        <f>IF(D$5="",0,1)</f>
      </c>
      <c r="E52" s="1">
        <f>IF(E$5="",0,1)</f>
      </c>
      <c r="F52" s="1">
        <f>IF(F$5="",0,1)</f>
      </c>
      <c r="G52" s="1">
        <f>IF(G$5="",0,1)</f>
      </c>
      <c r="H52" s="1">
        <f>IF(H$5="",0,1)</f>
      </c>
      <c r="I52" s="1">
        <f>IF(I$5="",0,1)</f>
      </c>
      <c r="J52" s="1">
        <f>IF(J$5="",0,1)</f>
      </c>
      <c r="K52" s="1">
        <f>IF(K$5="",0,1)</f>
      </c>
      <c r="L52" s="1">
        <f>IF(L$5="",0,1)</f>
      </c>
      <c r="M52" s="1">
        <f>IF(M$5="",0,1)</f>
      </c>
      <c r="N52" s="1">
        <f>IF(N$5="",0,1)</f>
      </c>
      <c r="O52" s="1">
        <f>IF(O$5="",0,1)</f>
      </c>
      <c r="P52" s="1">
        <f>IF(P$5="",0,1)</f>
      </c>
      <c r="Q52" s="1">
        <f>IF(Q$5="",0,1)</f>
      </c>
      <c r="R52" s="1">
        <f>IF(R$5="",0,1)</f>
      </c>
      <c r="S52" s="1">
        <f>IF(S$5="",0,1)</f>
      </c>
      <c r="T52" s="1">
        <f>IF(T$5="",0,1)</f>
      </c>
      <c r="U52" s="1">
        <f>IF(U$5="",0,1)</f>
      </c>
      <c r="V52" s="1">
        <f>IF(V$5="",0,1)</f>
      </c>
      <c r="W52" s="1">
        <f>IF(W$5="",0,1)</f>
      </c>
      <c r="X52" s="1">
        <f>IF(X$5="",0,1)</f>
      </c>
      <c r="Y52" s="1">
        <f>IF(Y$5="",0,1)</f>
      </c>
      <c r="Z52" s="1">
        <f>IF(Z$5="",0,1)</f>
      </c>
      <c r="AA52" s="1">
        <f>IF(AA$5="",0,1)</f>
      </c>
      <c r="AB52" s="1">
        <f>IF(AB$5="",0,1)</f>
      </c>
      <c r="AC52" s="1">
        <f>IF(AC$5="",0,1)</f>
      </c>
      <c r="AD52" s="1">
        <f>IF(AD$5="",0,1)</f>
      </c>
      <c r="AE52" s="1">
        <f>IF(AE$5="",0,1)</f>
      </c>
      <c r="AF52" s="1">
        <f>IF(AF$5="",0,1)</f>
      </c>
    </row>
    <row r="53" hidden="1" spans="1:32" x14ac:dyDescent="0.25">
      <c r="A53" s="1"/>
      <c r="B53" s="1">
        <f>IF(AND(B51&gt;=1,B51&lt;=5,B50=0),1,0)</f>
      </c>
      <c r="C53" s="1">
        <f>IF(AND(C51&gt;=1,C51&lt;=5,C50=0),1,0)</f>
      </c>
      <c r="D53" s="1">
        <f>IF(AND(D51&gt;=1,D51&lt;=5,D50=0),1,0)</f>
      </c>
      <c r="E53" s="1">
        <f>IF(AND(E51&gt;=1,E51&lt;=5,E50=0),1,0)</f>
      </c>
      <c r="F53" s="1">
        <f>IF(AND(F51&gt;=1,F51&lt;=5,F50=0),1,0)</f>
      </c>
      <c r="G53" s="1">
        <f>IF(AND(G51&gt;=1,G51&lt;=5,G50=0),1,0)</f>
      </c>
      <c r="H53" s="1">
        <f>IF(AND(H51&gt;=1,H51&lt;=5,H50=0),1,0)</f>
      </c>
      <c r="I53" s="1">
        <f>IF(AND(I51&gt;=1,I51&lt;=5,I50=0),1,0)</f>
      </c>
      <c r="J53" s="1">
        <f>IF(AND(J51&gt;=1,J51&lt;=5,J50=0),1,0)</f>
      </c>
      <c r="K53" s="1">
        <f>IF(AND(K51&gt;=1,K51&lt;=5,K50=0),1,0)</f>
      </c>
      <c r="L53" s="1">
        <f>IF(AND(L51&gt;=1,L51&lt;=5,L50=0),1,0)</f>
      </c>
      <c r="M53" s="1">
        <f>IF(AND(M51&gt;=1,M51&lt;=5,M50=0),1,0)</f>
      </c>
      <c r="N53" s="1">
        <f>IF(AND(N51&gt;=1,N51&lt;=5,N50=0),1,0)</f>
      </c>
      <c r="O53" s="1">
        <f>IF(AND(O51&gt;=1,O51&lt;=5,O50=0),1,0)</f>
      </c>
      <c r="P53" s="1">
        <f>IF(AND(P51&gt;=1,P51&lt;=5,P50=0),1,0)</f>
      </c>
      <c r="Q53" s="1">
        <f>IF(AND(Q51&gt;=1,Q51&lt;=5,Q50=0),1,0)</f>
      </c>
      <c r="R53" s="1">
        <f>IF(AND(R51&gt;=1,R51&lt;=5,R50=0),1,0)</f>
      </c>
      <c r="S53" s="1">
        <f>IF(AND(S51&gt;=1,S51&lt;=5,S50=0),1,0)</f>
      </c>
      <c r="T53" s="1">
        <f>IF(AND(T51&gt;=1,T51&lt;=5,T50=0),1,0)</f>
      </c>
      <c r="U53" s="1">
        <f>IF(AND(U51&gt;=1,U51&lt;=5,U50=0),1,0)</f>
      </c>
      <c r="V53" s="1">
        <f>IF(AND(V51&gt;=1,V51&lt;=5,V50=0),1,0)</f>
      </c>
      <c r="W53" s="1">
        <f>IF(AND(W51&gt;=1,W51&lt;=5,W50=0),1,0)</f>
      </c>
      <c r="X53" s="1">
        <f>IF(AND(X51&gt;=1,X51&lt;=5,X50=0),1,0)</f>
      </c>
      <c r="Y53" s="1">
        <f>IF(AND(Y51&gt;=1,Y51&lt;=5,Y50=0),1,0)</f>
      </c>
      <c r="Z53" s="1">
        <f>IF(AND(Z51&gt;=1,Z51&lt;=5,Z50=0),1,0)</f>
      </c>
      <c r="AA53" s="1">
        <f>IF(AND(AA51&gt;=1,AA51&lt;=5,AA50=0),1,0)</f>
      </c>
      <c r="AB53" s="1">
        <f>IF(AND(AB51&gt;=1,AB51&lt;=5,AB50=0),1,0)</f>
      </c>
      <c r="AC53" s="1">
        <f>IF(AND(AC51&gt;=1,AC51&lt;=5,AC50=0),1,0)</f>
      </c>
      <c r="AD53" s="1">
        <f>IF(AND(AD51&gt;=1,AD51&lt;=5,AD50=0),1,0)</f>
      </c>
      <c r="AE53" s="1">
        <f>IF(AND(AE51&gt;=1,AE51&lt;=5,AE50=0),1,0)</f>
      </c>
      <c r="AF53" s="1">
        <f>IF(AND(AF51&gt;=1,AF51&lt;=5,AF50=0),1,0)</f>
      </c>
    </row>
    <row r="55" hidden="1" spans="1:32" x14ac:dyDescent="0.25">
      <c r="A55" s="1"/>
      <c r="B55" s="1">
        <f>IF(OR(B$52=0,INDEX('Juni'!$B$6:$AF$6,DAY(DATE(Jahr,7,0)))="",B6=""),0,IFERROR(IF(AND(INDEX(Arten,MATCH(INDEX('Juni'!$B$6:$AF$6,DAY(DATE(Jahr,7,0))),Codes,0))="Arbeit",INDEX(Arten,MATCH(B6,Codes,0))="Arbeit"),IF(ROUND((1+INDEX(Beginne,MATCH(B6,Codes,0))-INDEX(EndeRel,MATCH(INDEX('Juni'!$B$6:$AF$6,DAY(DATE(Jahr,7,0))),Codes,0)))*1440,0)&lt;660,1,0),0),0))</f>
      </c>
      <c r="C55" s="1">
        <f>IF(OR(C$52=0,B6="",C6=""),0,IFERROR(IF(AND(INDEX(Arten,MATCH(B6,Codes,0))="Arbeit",INDEX(Arten,MATCH(C6,Codes,0))="Arbeit"),IF(ROUND((1+INDEX(Beginne,MATCH(C6,Codes,0))-INDEX(EndeRel,MATCH(B6,Codes,0)))*1440,0)&lt;660,1,0),0),0))</f>
      </c>
      <c r="D55" s="1">
        <f>IF(OR(D$52=0,C6="",D6=""),0,IFERROR(IF(AND(INDEX(Arten,MATCH(C6,Codes,0))="Arbeit",INDEX(Arten,MATCH(D6,Codes,0))="Arbeit"),IF(ROUND((1+INDEX(Beginne,MATCH(D6,Codes,0))-INDEX(EndeRel,MATCH(C6,Codes,0)))*1440,0)&lt;660,1,0),0),0))</f>
      </c>
      <c r="E55" s="1">
        <f>IF(OR(E$52=0,D6="",E6=""),0,IFERROR(IF(AND(INDEX(Arten,MATCH(D6,Codes,0))="Arbeit",INDEX(Arten,MATCH(E6,Codes,0))="Arbeit"),IF(ROUND((1+INDEX(Beginne,MATCH(E6,Codes,0))-INDEX(EndeRel,MATCH(D6,Codes,0)))*1440,0)&lt;660,1,0),0),0))</f>
      </c>
      <c r="F55" s="1">
        <f>IF(OR(F$52=0,E6="",F6=""),0,IFERROR(IF(AND(INDEX(Arten,MATCH(E6,Codes,0))="Arbeit",INDEX(Arten,MATCH(F6,Codes,0))="Arbeit"),IF(ROUND((1+INDEX(Beginne,MATCH(F6,Codes,0))-INDEX(EndeRel,MATCH(E6,Codes,0)))*1440,0)&lt;660,1,0),0),0))</f>
      </c>
      <c r="G55" s="1">
        <f>IF(OR(G$52=0,F6="",G6=""),0,IFERROR(IF(AND(INDEX(Arten,MATCH(F6,Codes,0))="Arbeit",INDEX(Arten,MATCH(G6,Codes,0))="Arbeit"),IF(ROUND((1+INDEX(Beginne,MATCH(G6,Codes,0))-INDEX(EndeRel,MATCH(F6,Codes,0)))*1440,0)&lt;660,1,0),0),0))</f>
      </c>
      <c r="H55" s="1">
        <f>IF(OR(H$52=0,G6="",H6=""),0,IFERROR(IF(AND(INDEX(Arten,MATCH(G6,Codes,0))="Arbeit",INDEX(Arten,MATCH(H6,Codes,0))="Arbeit"),IF(ROUND((1+INDEX(Beginne,MATCH(H6,Codes,0))-INDEX(EndeRel,MATCH(G6,Codes,0)))*1440,0)&lt;660,1,0),0),0))</f>
      </c>
      <c r="I55" s="1">
        <f>IF(OR(I$52=0,H6="",I6=""),0,IFERROR(IF(AND(INDEX(Arten,MATCH(H6,Codes,0))="Arbeit",INDEX(Arten,MATCH(I6,Codes,0))="Arbeit"),IF(ROUND((1+INDEX(Beginne,MATCH(I6,Codes,0))-INDEX(EndeRel,MATCH(H6,Codes,0)))*1440,0)&lt;660,1,0),0),0))</f>
      </c>
      <c r="J55" s="1">
        <f>IF(OR(J$52=0,I6="",J6=""),0,IFERROR(IF(AND(INDEX(Arten,MATCH(I6,Codes,0))="Arbeit",INDEX(Arten,MATCH(J6,Codes,0))="Arbeit"),IF(ROUND((1+INDEX(Beginne,MATCH(J6,Codes,0))-INDEX(EndeRel,MATCH(I6,Codes,0)))*1440,0)&lt;660,1,0),0),0))</f>
      </c>
      <c r="K55" s="1">
        <f>IF(OR(K$52=0,J6="",K6=""),0,IFERROR(IF(AND(INDEX(Arten,MATCH(J6,Codes,0))="Arbeit",INDEX(Arten,MATCH(K6,Codes,0))="Arbeit"),IF(ROUND((1+INDEX(Beginne,MATCH(K6,Codes,0))-INDEX(EndeRel,MATCH(J6,Codes,0)))*1440,0)&lt;660,1,0),0),0))</f>
      </c>
      <c r="L55" s="1">
        <f>IF(OR(L$52=0,K6="",L6=""),0,IFERROR(IF(AND(INDEX(Arten,MATCH(K6,Codes,0))="Arbeit",INDEX(Arten,MATCH(L6,Codes,0))="Arbeit"),IF(ROUND((1+INDEX(Beginne,MATCH(L6,Codes,0))-INDEX(EndeRel,MATCH(K6,Codes,0)))*1440,0)&lt;660,1,0),0),0))</f>
      </c>
      <c r="M55" s="1">
        <f>IF(OR(M$52=0,L6="",M6=""),0,IFERROR(IF(AND(INDEX(Arten,MATCH(L6,Codes,0))="Arbeit",INDEX(Arten,MATCH(M6,Codes,0))="Arbeit"),IF(ROUND((1+INDEX(Beginne,MATCH(M6,Codes,0))-INDEX(EndeRel,MATCH(L6,Codes,0)))*1440,0)&lt;660,1,0),0),0))</f>
      </c>
      <c r="N55" s="1">
        <f>IF(OR(N$52=0,M6="",N6=""),0,IFERROR(IF(AND(INDEX(Arten,MATCH(M6,Codes,0))="Arbeit",INDEX(Arten,MATCH(N6,Codes,0))="Arbeit"),IF(ROUND((1+INDEX(Beginne,MATCH(N6,Codes,0))-INDEX(EndeRel,MATCH(M6,Codes,0)))*1440,0)&lt;660,1,0),0),0))</f>
      </c>
      <c r="O55" s="1">
        <f>IF(OR(O$52=0,N6="",O6=""),0,IFERROR(IF(AND(INDEX(Arten,MATCH(N6,Codes,0))="Arbeit",INDEX(Arten,MATCH(O6,Codes,0))="Arbeit"),IF(ROUND((1+INDEX(Beginne,MATCH(O6,Codes,0))-INDEX(EndeRel,MATCH(N6,Codes,0)))*1440,0)&lt;660,1,0),0),0))</f>
      </c>
      <c r="P55" s="1">
        <f>IF(OR(P$52=0,O6="",P6=""),0,IFERROR(IF(AND(INDEX(Arten,MATCH(O6,Codes,0))="Arbeit",INDEX(Arten,MATCH(P6,Codes,0))="Arbeit"),IF(ROUND((1+INDEX(Beginne,MATCH(P6,Codes,0))-INDEX(EndeRel,MATCH(O6,Codes,0)))*1440,0)&lt;660,1,0),0),0))</f>
      </c>
      <c r="Q55" s="1">
        <f>IF(OR(Q$52=0,P6="",Q6=""),0,IFERROR(IF(AND(INDEX(Arten,MATCH(P6,Codes,0))="Arbeit",INDEX(Arten,MATCH(Q6,Codes,0))="Arbeit"),IF(ROUND((1+INDEX(Beginne,MATCH(Q6,Codes,0))-INDEX(EndeRel,MATCH(P6,Codes,0)))*1440,0)&lt;660,1,0),0),0))</f>
      </c>
      <c r="R55" s="1">
        <f>IF(OR(R$52=0,Q6="",R6=""),0,IFERROR(IF(AND(INDEX(Arten,MATCH(Q6,Codes,0))="Arbeit",INDEX(Arten,MATCH(R6,Codes,0))="Arbeit"),IF(ROUND((1+INDEX(Beginne,MATCH(R6,Codes,0))-INDEX(EndeRel,MATCH(Q6,Codes,0)))*1440,0)&lt;660,1,0),0),0))</f>
      </c>
      <c r="S55" s="1">
        <f>IF(OR(S$52=0,R6="",S6=""),0,IFERROR(IF(AND(INDEX(Arten,MATCH(R6,Codes,0))="Arbeit",INDEX(Arten,MATCH(S6,Codes,0))="Arbeit"),IF(ROUND((1+INDEX(Beginne,MATCH(S6,Codes,0))-INDEX(EndeRel,MATCH(R6,Codes,0)))*1440,0)&lt;660,1,0),0),0))</f>
      </c>
      <c r="T55" s="1">
        <f>IF(OR(T$52=0,S6="",T6=""),0,IFERROR(IF(AND(INDEX(Arten,MATCH(S6,Codes,0))="Arbeit",INDEX(Arten,MATCH(T6,Codes,0))="Arbeit"),IF(ROUND((1+INDEX(Beginne,MATCH(T6,Codes,0))-INDEX(EndeRel,MATCH(S6,Codes,0)))*1440,0)&lt;660,1,0),0),0))</f>
      </c>
      <c r="U55" s="1">
        <f>IF(OR(U$52=0,T6="",U6=""),0,IFERROR(IF(AND(INDEX(Arten,MATCH(T6,Codes,0))="Arbeit",INDEX(Arten,MATCH(U6,Codes,0))="Arbeit"),IF(ROUND((1+INDEX(Beginne,MATCH(U6,Codes,0))-INDEX(EndeRel,MATCH(T6,Codes,0)))*1440,0)&lt;660,1,0),0),0))</f>
      </c>
      <c r="V55" s="1">
        <f>IF(OR(V$52=0,U6="",V6=""),0,IFERROR(IF(AND(INDEX(Arten,MATCH(U6,Codes,0))="Arbeit",INDEX(Arten,MATCH(V6,Codes,0))="Arbeit"),IF(ROUND((1+INDEX(Beginne,MATCH(V6,Codes,0))-INDEX(EndeRel,MATCH(U6,Codes,0)))*1440,0)&lt;660,1,0),0),0))</f>
      </c>
      <c r="W55" s="1">
        <f>IF(OR(W$52=0,V6="",W6=""),0,IFERROR(IF(AND(INDEX(Arten,MATCH(V6,Codes,0))="Arbeit",INDEX(Arten,MATCH(W6,Codes,0))="Arbeit"),IF(ROUND((1+INDEX(Beginne,MATCH(W6,Codes,0))-INDEX(EndeRel,MATCH(V6,Codes,0)))*1440,0)&lt;660,1,0),0),0))</f>
      </c>
      <c r="X55" s="1">
        <f>IF(OR(X$52=0,W6="",X6=""),0,IFERROR(IF(AND(INDEX(Arten,MATCH(W6,Codes,0))="Arbeit",INDEX(Arten,MATCH(X6,Codes,0))="Arbeit"),IF(ROUND((1+INDEX(Beginne,MATCH(X6,Codes,0))-INDEX(EndeRel,MATCH(W6,Codes,0)))*1440,0)&lt;660,1,0),0),0))</f>
      </c>
      <c r="Y55" s="1">
        <f>IF(OR(Y$52=0,X6="",Y6=""),0,IFERROR(IF(AND(INDEX(Arten,MATCH(X6,Codes,0))="Arbeit",INDEX(Arten,MATCH(Y6,Codes,0))="Arbeit"),IF(ROUND((1+INDEX(Beginne,MATCH(Y6,Codes,0))-INDEX(EndeRel,MATCH(X6,Codes,0)))*1440,0)&lt;660,1,0),0),0))</f>
      </c>
      <c r="Z55" s="1">
        <f>IF(OR(Z$52=0,Y6="",Z6=""),0,IFERROR(IF(AND(INDEX(Arten,MATCH(Y6,Codes,0))="Arbeit",INDEX(Arten,MATCH(Z6,Codes,0))="Arbeit"),IF(ROUND((1+INDEX(Beginne,MATCH(Z6,Codes,0))-INDEX(EndeRel,MATCH(Y6,Codes,0)))*1440,0)&lt;660,1,0),0),0))</f>
      </c>
      <c r="AA55" s="1">
        <f>IF(OR(AA$52=0,Z6="",AA6=""),0,IFERROR(IF(AND(INDEX(Arten,MATCH(Z6,Codes,0))="Arbeit",INDEX(Arten,MATCH(AA6,Codes,0))="Arbeit"),IF(ROUND((1+INDEX(Beginne,MATCH(AA6,Codes,0))-INDEX(EndeRel,MATCH(Z6,Codes,0)))*1440,0)&lt;660,1,0),0),0))</f>
      </c>
      <c r="AB55" s="1">
        <f>IF(OR(AB$52=0,AA6="",AB6=""),0,IFERROR(IF(AND(INDEX(Arten,MATCH(AA6,Codes,0))="Arbeit",INDEX(Arten,MATCH(AB6,Codes,0))="Arbeit"),IF(ROUND((1+INDEX(Beginne,MATCH(AB6,Codes,0))-INDEX(EndeRel,MATCH(AA6,Codes,0)))*1440,0)&lt;660,1,0),0),0))</f>
      </c>
      <c r="AC55" s="1">
        <f>IF(OR(AC$52=0,AB6="",AC6=""),0,IFERROR(IF(AND(INDEX(Arten,MATCH(AB6,Codes,0))="Arbeit",INDEX(Arten,MATCH(AC6,Codes,0))="Arbeit"),IF(ROUND((1+INDEX(Beginne,MATCH(AC6,Codes,0))-INDEX(EndeRel,MATCH(AB6,Codes,0)))*1440,0)&lt;660,1,0),0),0))</f>
      </c>
      <c r="AD55" s="1">
        <f>IF(OR(AD$52=0,AC6="",AD6=""),0,IFERROR(IF(AND(INDEX(Arten,MATCH(AC6,Codes,0))="Arbeit",INDEX(Arten,MATCH(AD6,Codes,0))="Arbeit"),IF(ROUND((1+INDEX(Beginne,MATCH(AD6,Codes,0))-INDEX(EndeRel,MATCH(AC6,Codes,0)))*1440,0)&lt;660,1,0),0),0))</f>
      </c>
      <c r="AE55" s="1">
        <f>IF(OR(AE$52=0,AD6="",AE6=""),0,IFERROR(IF(AND(INDEX(Arten,MATCH(AD6,Codes,0))="Arbeit",INDEX(Arten,MATCH(AE6,Codes,0))="Arbeit"),IF(ROUND((1+INDEX(Beginne,MATCH(AE6,Codes,0))-INDEX(EndeRel,MATCH(AD6,Codes,0)))*1440,0)&lt;660,1,0),0),0))</f>
      </c>
      <c r="AF55" s="1">
        <f>IF(OR(AF$52=0,AE6="",AF6=""),0,IFERROR(IF(AND(INDEX(Arten,MATCH(AE6,Codes,0))="Arbeit",INDEX(Arten,MATCH(AF6,Codes,0))="Arbeit"),IF(ROUND((1+INDEX(Beginne,MATCH(AF6,Codes,0))-INDEX(EndeRel,MATCH(AE6,Codes,0)))*1440,0)&lt;660,1,0),0),0))</f>
      </c>
    </row>
    <row r="56" hidden="1" spans="1:32" x14ac:dyDescent="0.25">
      <c r="A56" s="1"/>
      <c r="B56" s="1">
        <f>IF(OR(B$52=0,INDEX('Juni'!$B$7:$AF$7,DAY(DATE(Jahr,7,0)))="",B7=""),0,IFERROR(IF(AND(INDEX(Arten,MATCH(INDEX('Juni'!$B$7:$AF$7,DAY(DATE(Jahr,7,0))),Codes,0))="Arbeit",INDEX(Arten,MATCH(B7,Codes,0))="Arbeit"),IF(ROUND((1+INDEX(Beginne,MATCH(B7,Codes,0))-INDEX(EndeRel,MATCH(INDEX('Juni'!$B$7:$AF$7,DAY(DATE(Jahr,7,0))),Codes,0)))*1440,0)&lt;660,1,0),0),0))</f>
      </c>
      <c r="C56" s="1">
        <f>IF(OR(C$52=0,B7="",C7=""),0,IFERROR(IF(AND(INDEX(Arten,MATCH(B7,Codes,0))="Arbeit",INDEX(Arten,MATCH(C7,Codes,0))="Arbeit"),IF(ROUND((1+INDEX(Beginne,MATCH(C7,Codes,0))-INDEX(EndeRel,MATCH(B7,Codes,0)))*1440,0)&lt;660,1,0),0),0))</f>
      </c>
      <c r="D56" s="1">
        <f>IF(OR(D$52=0,C7="",D7=""),0,IFERROR(IF(AND(INDEX(Arten,MATCH(C7,Codes,0))="Arbeit",INDEX(Arten,MATCH(D7,Codes,0))="Arbeit"),IF(ROUND((1+INDEX(Beginne,MATCH(D7,Codes,0))-INDEX(EndeRel,MATCH(C7,Codes,0)))*1440,0)&lt;660,1,0),0),0))</f>
      </c>
      <c r="E56" s="1">
        <f>IF(OR(E$52=0,D7="",E7=""),0,IFERROR(IF(AND(INDEX(Arten,MATCH(D7,Codes,0))="Arbeit",INDEX(Arten,MATCH(E7,Codes,0))="Arbeit"),IF(ROUND((1+INDEX(Beginne,MATCH(E7,Codes,0))-INDEX(EndeRel,MATCH(D7,Codes,0)))*1440,0)&lt;660,1,0),0),0))</f>
      </c>
      <c r="F56" s="1">
        <f>IF(OR(F$52=0,E7="",F7=""),0,IFERROR(IF(AND(INDEX(Arten,MATCH(E7,Codes,0))="Arbeit",INDEX(Arten,MATCH(F7,Codes,0))="Arbeit"),IF(ROUND((1+INDEX(Beginne,MATCH(F7,Codes,0))-INDEX(EndeRel,MATCH(E7,Codes,0)))*1440,0)&lt;660,1,0),0),0))</f>
      </c>
      <c r="G56" s="1">
        <f>IF(OR(G$52=0,F7="",G7=""),0,IFERROR(IF(AND(INDEX(Arten,MATCH(F7,Codes,0))="Arbeit",INDEX(Arten,MATCH(G7,Codes,0))="Arbeit"),IF(ROUND((1+INDEX(Beginne,MATCH(G7,Codes,0))-INDEX(EndeRel,MATCH(F7,Codes,0)))*1440,0)&lt;660,1,0),0),0))</f>
      </c>
      <c r="H56" s="1">
        <f>IF(OR(H$52=0,G7="",H7=""),0,IFERROR(IF(AND(INDEX(Arten,MATCH(G7,Codes,0))="Arbeit",INDEX(Arten,MATCH(H7,Codes,0))="Arbeit"),IF(ROUND((1+INDEX(Beginne,MATCH(H7,Codes,0))-INDEX(EndeRel,MATCH(G7,Codes,0)))*1440,0)&lt;660,1,0),0),0))</f>
      </c>
      <c r="I56" s="1">
        <f>IF(OR(I$52=0,H7="",I7=""),0,IFERROR(IF(AND(INDEX(Arten,MATCH(H7,Codes,0))="Arbeit",INDEX(Arten,MATCH(I7,Codes,0))="Arbeit"),IF(ROUND((1+INDEX(Beginne,MATCH(I7,Codes,0))-INDEX(EndeRel,MATCH(H7,Codes,0)))*1440,0)&lt;660,1,0),0),0))</f>
      </c>
      <c r="J56" s="1">
        <f>IF(OR(J$52=0,I7="",J7=""),0,IFERROR(IF(AND(INDEX(Arten,MATCH(I7,Codes,0))="Arbeit",INDEX(Arten,MATCH(J7,Codes,0))="Arbeit"),IF(ROUND((1+INDEX(Beginne,MATCH(J7,Codes,0))-INDEX(EndeRel,MATCH(I7,Codes,0)))*1440,0)&lt;660,1,0),0),0))</f>
      </c>
      <c r="K56" s="1">
        <f>IF(OR(K$52=0,J7="",K7=""),0,IFERROR(IF(AND(INDEX(Arten,MATCH(J7,Codes,0))="Arbeit",INDEX(Arten,MATCH(K7,Codes,0))="Arbeit"),IF(ROUND((1+INDEX(Beginne,MATCH(K7,Codes,0))-INDEX(EndeRel,MATCH(J7,Codes,0)))*1440,0)&lt;660,1,0),0),0))</f>
      </c>
      <c r="L56" s="1">
        <f>IF(OR(L$52=0,K7="",L7=""),0,IFERROR(IF(AND(INDEX(Arten,MATCH(K7,Codes,0))="Arbeit",INDEX(Arten,MATCH(L7,Codes,0))="Arbeit"),IF(ROUND((1+INDEX(Beginne,MATCH(L7,Codes,0))-INDEX(EndeRel,MATCH(K7,Codes,0)))*1440,0)&lt;660,1,0),0),0))</f>
      </c>
      <c r="M56" s="1">
        <f>IF(OR(M$52=0,L7="",M7=""),0,IFERROR(IF(AND(INDEX(Arten,MATCH(L7,Codes,0))="Arbeit",INDEX(Arten,MATCH(M7,Codes,0))="Arbeit"),IF(ROUND((1+INDEX(Beginne,MATCH(M7,Codes,0))-INDEX(EndeRel,MATCH(L7,Codes,0)))*1440,0)&lt;660,1,0),0),0))</f>
      </c>
      <c r="N56" s="1">
        <f>IF(OR(N$52=0,M7="",N7=""),0,IFERROR(IF(AND(INDEX(Arten,MATCH(M7,Codes,0))="Arbeit",INDEX(Arten,MATCH(N7,Codes,0))="Arbeit"),IF(ROUND((1+INDEX(Beginne,MATCH(N7,Codes,0))-INDEX(EndeRel,MATCH(M7,Codes,0)))*1440,0)&lt;660,1,0),0),0))</f>
      </c>
      <c r="O56" s="1">
        <f>IF(OR(O$52=0,N7="",O7=""),0,IFERROR(IF(AND(INDEX(Arten,MATCH(N7,Codes,0))="Arbeit",INDEX(Arten,MATCH(O7,Codes,0))="Arbeit"),IF(ROUND((1+INDEX(Beginne,MATCH(O7,Codes,0))-INDEX(EndeRel,MATCH(N7,Codes,0)))*1440,0)&lt;660,1,0),0),0))</f>
      </c>
      <c r="P56" s="1">
        <f>IF(OR(P$52=0,O7="",P7=""),0,IFERROR(IF(AND(INDEX(Arten,MATCH(O7,Codes,0))="Arbeit",INDEX(Arten,MATCH(P7,Codes,0))="Arbeit"),IF(ROUND((1+INDEX(Beginne,MATCH(P7,Codes,0))-INDEX(EndeRel,MATCH(O7,Codes,0)))*1440,0)&lt;660,1,0),0),0))</f>
      </c>
      <c r="Q56" s="1">
        <f>IF(OR(Q$52=0,P7="",Q7=""),0,IFERROR(IF(AND(INDEX(Arten,MATCH(P7,Codes,0))="Arbeit",INDEX(Arten,MATCH(Q7,Codes,0))="Arbeit"),IF(ROUND((1+INDEX(Beginne,MATCH(Q7,Codes,0))-INDEX(EndeRel,MATCH(P7,Codes,0)))*1440,0)&lt;660,1,0),0),0))</f>
      </c>
      <c r="R56" s="1">
        <f>IF(OR(R$52=0,Q7="",R7=""),0,IFERROR(IF(AND(INDEX(Arten,MATCH(Q7,Codes,0))="Arbeit",INDEX(Arten,MATCH(R7,Codes,0))="Arbeit"),IF(ROUND((1+INDEX(Beginne,MATCH(R7,Codes,0))-INDEX(EndeRel,MATCH(Q7,Codes,0)))*1440,0)&lt;660,1,0),0),0))</f>
      </c>
      <c r="S56" s="1">
        <f>IF(OR(S$52=0,R7="",S7=""),0,IFERROR(IF(AND(INDEX(Arten,MATCH(R7,Codes,0))="Arbeit",INDEX(Arten,MATCH(S7,Codes,0))="Arbeit"),IF(ROUND((1+INDEX(Beginne,MATCH(S7,Codes,0))-INDEX(EndeRel,MATCH(R7,Codes,0)))*1440,0)&lt;660,1,0),0),0))</f>
      </c>
      <c r="T56" s="1">
        <f>IF(OR(T$52=0,S7="",T7=""),0,IFERROR(IF(AND(INDEX(Arten,MATCH(S7,Codes,0))="Arbeit",INDEX(Arten,MATCH(T7,Codes,0))="Arbeit"),IF(ROUND((1+INDEX(Beginne,MATCH(T7,Codes,0))-INDEX(EndeRel,MATCH(S7,Codes,0)))*1440,0)&lt;660,1,0),0),0))</f>
      </c>
      <c r="U56" s="1">
        <f>IF(OR(U$52=0,T7="",U7=""),0,IFERROR(IF(AND(INDEX(Arten,MATCH(T7,Codes,0))="Arbeit",INDEX(Arten,MATCH(U7,Codes,0))="Arbeit"),IF(ROUND((1+INDEX(Beginne,MATCH(U7,Codes,0))-INDEX(EndeRel,MATCH(T7,Codes,0)))*1440,0)&lt;660,1,0),0),0))</f>
      </c>
      <c r="V56" s="1">
        <f>IF(OR(V$52=0,U7="",V7=""),0,IFERROR(IF(AND(INDEX(Arten,MATCH(U7,Codes,0))="Arbeit",INDEX(Arten,MATCH(V7,Codes,0))="Arbeit"),IF(ROUND((1+INDEX(Beginne,MATCH(V7,Codes,0))-INDEX(EndeRel,MATCH(U7,Codes,0)))*1440,0)&lt;660,1,0),0),0))</f>
      </c>
      <c r="W56" s="1">
        <f>IF(OR(W$52=0,V7="",W7=""),0,IFERROR(IF(AND(INDEX(Arten,MATCH(V7,Codes,0))="Arbeit",INDEX(Arten,MATCH(W7,Codes,0))="Arbeit"),IF(ROUND((1+INDEX(Beginne,MATCH(W7,Codes,0))-INDEX(EndeRel,MATCH(V7,Codes,0)))*1440,0)&lt;660,1,0),0),0))</f>
      </c>
      <c r="X56" s="1">
        <f>IF(OR(X$52=0,W7="",X7=""),0,IFERROR(IF(AND(INDEX(Arten,MATCH(W7,Codes,0))="Arbeit",INDEX(Arten,MATCH(X7,Codes,0))="Arbeit"),IF(ROUND((1+INDEX(Beginne,MATCH(X7,Codes,0))-INDEX(EndeRel,MATCH(W7,Codes,0)))*1440,0)&lt;660,1,0),0),0))</f>
      </c>
      <c r="Y56" s="1">
        <f>IF(OR(Y$52=0,X7="",Y7=""),0,IFERROR(IF(AND(INDEX(Arten,MATCH(X7,Codes,0))="Arbeit",INDEX(Arten,MATCH(Y7,Codes,0))="Arbeit"),IF(ROUND((1+INDEX(Beginne,MATCH(Y7,Codes,0))-INDEX(EndeRel,MATCH(X7,Codes,0)))*1440,0)&lt;660,1,0),0),0))</f>
      </c>
      <c r="Z56" s="1">
        <f>IF(OR(Z$52=0,Y7="",Z7=""),0,IFERROR(IF(AND(INDEX(Arten,MATCH(Y7,Codes,0))="Arbeit",INDEX(Arten,MATCH(Z7,Codes,0))="Arbeit"),IF(ROUND((1+INDEX(Beginne,MATCH(Z7,Codes,0))-INDEX(EndeRel,MATCH(Y7,Codes,0)))*1440,0)&lt;660,1,0),0),0))</f>
      </c>
      <c r="AA56" s="1">
        <f>IF(OR(AA$52=0,Z7="",AA7=""),0,IFERROR(IF(AND(INDEX(Arten,MATCH(Z7,Codes,0))="Arbeit",INDEX(Arten,MATCH(AA7,Codes,0))="Arbeit"),IF(ROUND((1+INDEX(Beginne,MATCH(AA7,Codes,0))-INDEX(EndeRel,MATCH(Z7,Codes,0)))*1440,0)&lt;660,1,0),0),0))</f>
      </c>
      <c r="AB56" s="1">
        <f>IF(OR(AB$52=0,AA7="",AB7=""),0,IFERROR(IF(AND(INDEX(Arten,MATCH(AA7,Codes,0))="Arbeit",INDEX(Arten,MATCH(AB7,Codes,0))="Arbeit"),IF(ROUND((1+INDEX(Beginne,MATCH(AB7,Codes,0))-INDEX(EndeRel,MATCH(AA7,Codes,0)))*1440,0)&lt;660,1,0),0),0))</f>
      </c>
      <c r="AC56" s="1">
        <f>IF(OR(AC$52=0,AB7="",AC7=""),0,IFERROR(IF(AND(INDEX(Arten,MATCH(AB7,Codes,0))="Arbeit",INDEX(Arten,MATCH(AC7,Codes,0))="Arbeit"),IF(ROUND((1+INDEX(Beginne,MATCH(AC7,Codes,0))-INDEX(EndeRel,MATCH(AB7,Codes,0)))*1440,0)&lt;660,1,0),0),0))</f>
      </c>
      <c r="AD56" s="1">
        <f>IF(OR(AD$52=0,AC7="",AD7=""),0,IFERROR(IF(AND(INDEX(Arten,MATCH(AC7,Codes,0))="Arbeit",INDEX(Arten,MATCH(AD7,Codes,0))="Arbeit"),IF(ROUND((1+INDEX(Beginne,MATCH(AD7,Codes,0))-INDEX(EndeRel,MATCH(AC7,Codes,0)))*1440,0)&lt;660,1,0),0),0))</f>
      </c>
      <c r="AE56" s="1">
        <f>IF(OR(AE$52=0,AD7="",AE7=""),0,IFERROR(IF(AND(INDEX(Arten,MATCH(AD7,Codes,0))="Arbeit",INDEX(Arten,MATCH(AE7,Codes,0))="Arbeit"),IF(ROUND((1+INDEX(Beginne,MATCH(AE7,Codes,0))-INDEX(EndeRel,MATCH(AD7,Codes,0)))*1440,0)&lt;660,1,0),0),0))</f>
      </c>
      <c r="AF56" s="1">
        <f>IF(OR(AF$52=0,AE7="",AF7=""),0,IFERROR(IF(AND(INDEX(Arten,MATCH(AE7,Codes,0))="Arbeit",INDEX(Arten,MATCH(AF7,Codes,0))="Arbeit"),IF(ROUND((1+INDEX(Beginne,MATCH(AF7,Codes,0))-INDEX(EndeRel,MATCH(AE7,Codes,0)))*1440,0)&lt;660,1,0),0),0))</f>
      </c>
    </row>
    <row r="57" hidden="1" spans="1:32" x14ac:dyDescent="0.25">
      <c r="A57" s="1"/>
      <c r="B57" s="1">
        <f>IF(OR(B$52=0,INDEX('Juni'!$B$8:$AF$8,DAY(DATE(Jahr,7,0)))="",B8=""),0,IFERROR(IF(AND(INDEX(Arten,MATCH(INDEX('Juni'!$B$8:$AF$8,DAY(DATE(Jahr,7,0))),Codes,0))="Arbeit",INDEX(Arten,MATCH(B8,Codes,0))="Arbeit"),IF(ROUND((1+INDEX(Beginne,MATCH(B8,Codes,0))-INDEX(EndeRel,MATCH(INDEX('Juni'!$B$8:$AF$8,DAY(DATE(Jahr,7,0))),Codes,0)))*1440,0)&lt;660,1,0),0),0))</f>
      </c>
      <c r="C57" s="1">
        <f>IF(OR(C$52=0,B8="",C8=""),0,IFERROR(IF(AND(INDEX(Arten,MATCH(B8,Codes,0))="Arbeit",INDEX(Arten,MATCH(C8,Codes,0))="Arbeit"),IF(ROUND((1+INDEX(Beginne,MATCH(C8,Codes,0))-INDEX(EndeRel,MATCH(B8,Codes,0)))*1440,0)&lt;660,1,0),0),0))</f>
      </c>
      <c r="D57" s="1">
        <f>IF(OR(D$52=0,C8="",D8=""),0,IFERROR(IF(AND(INDEX(Arten,MATCH(C8,Codes,0))="Arbeit",INDEX(Arten,MATCH(D8,Codes,0))="Arbeit"),IF(ROUND((1+INDEX(Beginne,MATCH(D8,Codes,0))-INDEX(EndeRel,MATCH(C8,Codes,0)))*1440,0)&lt;660,1,0),0),0))</f>
      </c>
      <c r="E57" s="1">
        <f>IF(OR(E$52=0,D8="",E8=""),0,IFERROR(IF(AND(INDEX(Arten,MATCH(D8,Codes,0))="Arbeit",INDEX(Arten,MATCH(E8,Codes,0))="Arbeit"),IF(ROUND((1+INDEX(Beginne,MATCH(E8,Codes,0))-INDEX(EndeRel,MATCH(D8,Codes,0)))*1440,0)&lt;660,1,0),0),0))</f>
      </c>
      <c r="F57" s="1">
        <f>IF(OR(F$52=0,E8="",F8=""),0,IFERROR(IF(AND(INDEX(Arten,MATCH(E8,Codes,0))="Arbeit",INDEX(Arten,MATCH(F8,Codes,0))="Arbeit"),IF(ROUND((1+INDEX(Beginne,MATCH(F8,Codes,0))-INDEX(EndeRel,MATCH(E8,Codes,0)))*1440,0)&lt;660,1,0),0),0))</f>
      </c>
      <c r="G57" s="1">
        <f>IF(OR(G$52=0,F8="",G8=""),0,IFERROR(IF(AND(INDEX(Arten,MATCH(F8,Codes,0))="Arbeit",INDEX(Arten,MATCH(G8,Codes,0))="Arbeit"),IF(ROUND((1+INDEX(Beginne,MATCH(G8,Codes,0))-INDEX(EndeRel,MATCH(F8,Codes,0)))*1440,0)&lt;660,1,0),0),0))</f>
      </c>
      <c r="H57" s="1">
        <f>IF(OR(H$52=0,G8="",H8=""),0,IFERROR(IF(AND(INDEX(Arten,MATCH(G8,Codes,0))="Arbeit",INDEX(Arten,MATCH(H8,Codes,0))="Arbeit"),IF(ROUND((1+INDEX(Beginne,MATCH(H8,Codes,0))-INDEX(EndeRel,MATCH(G8,Codes,0)))*1440,0)&lt;660,1,0),0),0))</f>
      </c>
      <c r="I57" s="1">
        <f>IF(OR(I$52=0,H8="",I8=""),0,IFERROR(IF(AND(INDEX(Arten,MATCH(H8,Codes,0))="Arbeit",INDEX(Arten,MATCH(I8,Codes,0))="Arbeit"),IF(ROUND((1+INDEX(Beginne,MATCH(I8,Codes,0))-INDEX(EndeRel,MATCH(H8,Codes,0)))*1440,0)&lt;660,1,0),0),0))</f>
      </c>
      <c r="J57" s="1">
        <f>IF(OR(J$52=0,I8="",J8=""),0,IFERROR(IF(AND(INDEX(Arten,MATCH(I8,Codes,0))="Arbeit",INDEX(Arten,MATCH(J8,Codes,0))="Arbeit"),IF(ROUND((1+INDEX(Beginne,MATCH(J8,Codes,0))-INDEX(EndeRel,MATCH(I8,Codes,0)))*1440,0)&lt;660,1,0),0),0))</f>
      </c>
      <c r="K57" s="1">
        <f>IF(OR(K$52=0,J8="",K8=""),0,IFERROR(IF(AND(INDEX(Arten,MATCH(J8,Codes,0))="Arbeit",INDEX(Arten,MATCH(K8,Codes,0))="Arbeit"),IF(ROUND((1+INDEX(Beginne,MATCH(K8,Codes,0))-INDEX(EndeRel,MATCH(J8,Codes,0)))*1440,0)&lt;660,1,0),0),0))</f>
      </c>
      <c r="L57" s="1">
        <f>IF(OR(L$52=0,K8="",L8=""),0,IFERROR(IF(AND(INDEX(Arten,MATCH(K8,Codes,0))="Arbeit",INDEX(Arten,MATCH(L8,Codes,0))="Arbeit"),IF(ROUND((1+INDEX(Beginne,MATCH(L8,Codes,0))-INDEX(EndeRel,MATCH(K8,Codes,0)))*1440,0)&lt;660,1,0),0),0))</f>
      </c>
      <c r="M57" s="1">
        <f>IF(OR(M$52=0,L8="",M8=""),0,IFERROR(IF(AND(INDEX(Arten,MATCH(L8,Codes,0))="Arbeit",INDEX(Arten,MATCH(M8,Codes,0))="Arbeit"),IF(ROUND((1+INDEX(Beginne,MATCH(M8,Codes,0))-INDEX(EndeRel,MATCH(L8,Codes,0)))*1440,0)&lt;660,1,0),0),0))</f>
      </c>
      <c r="N57" s="1">
        <f>IF(OR(N$52=0,M8="",N8=""),0,IFERROR(IF(AND(INDEX(Arten,MATCH(M8,Codes,0))="Arbeit",INDEX(Arten,MATCH(N8,Codes,0))="Arbeit"),IF(ROUND((1+INDEX(Beginne,MATCH(N8,Codes,0))-INDEX(EndeRel,MATCH(M8,Codes,0)))*1440,0)&lt;660,1,0),0),0))</f>
      </c>
      <c r="O57" s="1">
        <f>IF(OR(O$52=0,N8="",O8=""),0,IFERROR(IF(AND(INDEX(Arten,MATCH(N8,Codes,0))="Arbeit",INDEX(Arten,MATCH(O8,Codes,0))="Arbeit"),IF(ROUND((1+INDEX(Beginne,MATCH(O8,Codes,0))-INDEX(EndeRel,MATCH(N8,Codes,0)))*1440,0)&lt;660,1,0),0),0))</f>
      </c>
      <c r="P57" s="1">
        <f>IF(OR(P$52=0,O8="",P8=""),0,IFERROR(IF(AND(INDEX(Arten,MATCH(O8,Codes,0))="Arbeit",INDEX(Arten,MATCH(P8,Codes,0))="Arbeit"),IF(ROUND((1+INDEX(Beginne,MATCH(P8,Codes,0))-INDEX(EndeRel,MATCH(O8,Codes,0)))*1440,0)&lt;660,1,0),0),0))</f>
      </c>
      <c r="Q57" s="1">
        <f>IF(OR(Q$52=0,P8="",Q8=""),0,IFERROR(IF(AND(INDEX(Arten,MATCH(P8,Codes,0))="Arbeit",INDEX(Arten,MATCH(Q8,Codes,0))="Arbeit"),IF(ROUND((1+INDEX(Beginne,MATCH(Q8,Codes,0))-INDEX(EndeRel,MATCH(P8,Codes,0)))*1440,0)&lt;660,1,0),0),0))</f>
      </c>
      <c r="R57" s="1">
        <f>IF(OR(R$52=0,Q8="",R8=""),0,IFERROR(IF(AND(INDEX(Arten,MATCH(Q8,Codes,0))="Arbeit",INDEX(Arten,MATCH(R8,Codes,0))="Arbeit"),IF(ROUND((1+INDEX(Beginne,MATCH(R8,Codes,0))-INDEX(EndeRel,MATCH(Q8,Codes,0)))*1440,0)&lt;660,1,0),0),0))</f>
      </c>
      <c r="S57" s="1">
        <f>IF(OR(S$52=0,R8="",S8=""),0,IFERROR(IF(AND(INDEX(Arten,MATCH(R8,Codes,0))="Arbeit",INDEX(Arten,MATCH(S8,Codes,0))="Arbeit"),IF(ROUND((1+INDEX(Beginne,MATCH(S8,Codes,0))-INDEX(EndeRel,MATCH(R8,Codes,0)))*1440,0)&lt;660,1,0),0),0))</f>
      </c>
      <c r="T57" s="1">
        <f>IF(OR(T$52=0,S8="",T8=""),0,IFERROR(IF(AND(INDEX(Arten,MATCH(S8,Codes,0))="Arbeit",INDEX(Arten,MATCH(T8,Codes,0))="Arbeit"),IF(ROUND((1+INDEX(Beginne,MATCH(T8,Codes,0))-INDEX(EndeRel,MATCH(S8,Codes,0)))*1440,0)&lt;660,1,0),0),0))</f>
      </c>
      <c r="U57" s="1">
        <f>IF(OR(U$52=0,T8="",U8=""),0,IFERROR(IF(AND(INDEX(Arten,MATCH(T8,Codes,0))="Arbeit",INDEX(Arten,MATCH(U8,Codes,0))="Arbeit"),IF(ROUND((1+INDEX(Beginne,MATCH(U8,Codes,0))-INDEX(EndeRel,MATCH(T8,Codes,0)))*1440,0)&lt;660,1,0),0),0))</f>
      </c>
      <c r="V57" s="1">
        <f>IF(OR(V$52=0,U8="",V8=""),0,IFERROR(IF(AND(INDEX(Arten,MATCH(U8,Codes,0))="Arbeit",INDEX(Arten,MATCH(V8,Codes,0))="Arbeit"),IF(ROUND((1+INDEX(Beginne,MATCH(V8,Codes,0))-INDEX(EndeRel,MATCH(U8,Codes,0)))*1440,0)&lt;660,1,0),0),0))</f>
      </c>
      <c r="W57" s="1">
        <f>IF(OR(W$52=0,V8="",W8=""),0,IFERROR(IF(AND(INDEX(Arten,MATCH(V8,Codes,0))="Arbeit",INDEX(Arten,MATCH(W8,Codes,0))="Arbeit"),IF(ROUND((1+INDEX(Beginne,MATCH(W8,Codes,0))-INDEX(EndeRel,MATCH(V8,Codes,0)))*1440,0)&lt;660,1,0),0),0))</f>
      </c>
      <c r="X57" s="1">
        <f>IF(OR(X$52=0,W8="",X8=""),0,IFERROR(IF(AND(INDEX(Arten,MATCH(W8,Codes,0))="Arbeit",INDEX(Arten,MATCH(X8,Codes,0))="Arbeit"),IF(ROUND((1+INDEX(Beginne,MATCH(X8,Codes,0))-INDEX(EndeRel,MATCH(W8,Codes,0)))*1440,0)&lt;660,1,0),0),0))</f>
      </c>
      <c r="Y57" s="1">
        <f>IF(OR(Y$52=0,X8="",Y8=""),0,IFERROR(IF(AND(INDEX(Arten,MATCH(X8,Codes,0))="Arbeit",INDEX(Arten,MATCH(Y8,Codes,0))="Arbeit"),IF(ROUND((1+INDEX(Beginne,MATCH(Y8,Codes,0))-INDEX(EndeRel,MATCH(X8,Codes,0)))*1440,0)&lt;660,1,0),0),0))</f>
      </c>
      <c r="Z57" s="1">
        <f>IF(OR(Z$52=0,Y8="",Z8=""),0,IFERROR(IF(AND(INDEX(Arten,MATCH(Y8,Codes,0))="Arbeit",INDEX(Arten,MATCH(Z8,Codes,0))="Arbeit"),IF(ROUND((1+INDEX(Beginne,MATCH(Z8,Codes,0))-INDEX(EndeRel,MATCH(Y8,Codes,0)))*1440,0)&lt;660,1,0),0),0))</f>
      </c>
      <c r="AA57" s="1">
        <f>IF(OR(AA$52=0,Z8="",AA8=""),0,IFERROR(IF(AND(INDEX(Arten,MATCH(Z8,Codes,0))="Arbeit",INDEX(Arten,MATCH(AA8,Codes,0))="Arbeit"),IF(ROUND((1+INDEX(Beginne,MATCH(AA8,Codes,0))-INDEX(EndeRel,MATCH(Z8,Codes,0)))*1440,0)&lt;660,1,0),0),0))</f>
      </c>
      <c r="AB57" s="1">
        <f>IF(OR(AB$52=0,AA8="",AB8=""),0,IFERROR(IF(AND(INDEX(Arten,MATCH(AA8,Codes,0))="Arbeit",INDEX(Arten,MATCH(AB8,Codes,0))="Arbeit"),IF(ROUND((1+INDEX(Beginne,MATCH(AB8,Codes,0))-INDEX(EndeRel,MATCH(AA8,Codes,0)))*1440,0)&lt;660,1,0),0),0))</f>
      </c>
      <c r="AC57" s="1">
        <f>IF(OR(AC$52=0,AB8="",AC8=""),0,IFERROR(IF(AND(INDEX(Arten,MATCH(AB8,Codes,0))="Arbeit",INDEX(Arten,MATCH(AC8,Codes,0))="Arbeit"),IF(ROUND((1+INDEX(Beginne,MATCH(AC8,Codes,0))-INDEX(EndeRel,MATCH(AB8,Codes,0)))*1440,0)&lt;660,1,0),0),0))</f>
      </c>
      <c r="AD57" s="1">
        <f>IF(OR(AD$52=0,AC8="",AD8=""),0,IFERROR(IF(AND(INDEX(Arten,MATCH(AC8,Codes,0))="Arbeit",INDEX(Arten,MATCH(AD8,Codes,0))="Arbeit"),IF(ROUND((1+INDEX(Beginne,MATCH(AD8,Codes,0))-INDEX(EndeRel,MATCH(AC8,Codes,0)))*1440,0)&lt;660,1,0),0),0))</f>
      </c>
      <c r="AE57" s="1">
        <f>IF(OR(AE$52=0,AD8="",AE8=""),0,IFERROR(IF(AND(INDEX(Arten,MATCH(AD8,Codes,0))="Arbeit",INDEX(Arten,MATCH(AE8,Codes,0))="Arbeit"),IF(ROUND((1+INDEX(Beginne,MATCH(AE8,Codes,0))-INDEX(EndeRel,MATCH(AD8,Codes,0)))*1440,0)&lt;660,1,0),0),0))</f>
      </c>
      <c r="AF57" s="1">
        <f>IF(OR(AF$52=0,AE8="",AF8=""),0,IFERROR(IF(AND(INDEX(Arten,MATCH(AE8,Codes,0))="Arbeit",INDEX(Arten,MATCH(AF8,Codes,0))="Arbeit"),IF(ROUND((1+INDEX(Beginne,MATCH(AF8,Codes,0))-INDEX(EndeRel,MATCH(AE8,Codes,0)))*1440,0)&lt;660,1,0),0),0))</f>
      </c>
    </row>
    <row r="58" hidden="1" spans="1:32" x14ac:dyDescent="0.25">
      <c r="A58" s="1"/>
      <c r="B58" s="1">
        <f>IF(OR(B$52=0,INDEX('Juni'!$B$9:$AF$9,DAY(DATE(Jahr,7,0)))="",B9=""),0,IFERROR(IF(AND(INDEX(Arten,MATCH(INDEX('Juni'!$B$9:$AF$9,DAY(DATE(Jahr,7,0))),Codes,0))="Arbeit",INDEX(Arten,MATCH(B9,Codes,0))="Arbeit"),IF(ROUND((1+INDEX(Beginne,MATCH(B9,Codes,0))-INDEX(EndeRel,MATCH(INDEX('Juni'!$B$9:$AF$9,DAY(DATE(Jahr,7,0))),Codes,0)))*1440,0)&lt;660,1,0),0),0))</f>
      </c>
      <c r="C58" s="1">
        <f>IF(OR(C$52=0,B9="",C9=""),0,IFERROR(IF(AND(INDEX(Arten,MATCH(B9,Codes,0))="Arbeit",INDEX(Arten,MATCH(C9,Codes,0))="Arbeit"),IF(ROUND((1+INDEX(Beginne,MATCH(C9,Codes,0))-INDEX(EndeRel,MATCH(B9,Codes,0)))*1440,0)&lt;660,1,0),0),0))</f>
      </c>
      <c r="D58" s="1">
        <f>IF(OR(D$52=0,C9="",D9=""),0,IFERROR(IF(AND(INDEX(Arten,MATCH(C9,Codes,0))="Arbeit",INDEX(Arten,MATCH(D9,Codes,0))="Arbeit"),IF(ROUND((1+INDEX(Beginne,MATCH(D9,Codes,0))-INDEX(EndeRel,MATCH(C9,Codes,0)))*1440,0)&lt;660,1,0),0),0))</f>
      </c>
      <c r="E58" s="1">
        <f>IF(OR(E$52=0,D9="",E9=""),0,IFERROR(IF(AND(INDEX(Arten,MATCH(D9,Codes,0))="Arbeit",INDEX(Arten,MATCH(E9,Codes,0))="Arbeit"),IF(ROUND((1+INDEX(Beginne,MATCH(E9,Codes,0))-INDEX(EndeRel,MATCH(D9,Codes,0)))*1440,0)&lt;660,1,0),0),0))</f>
      </c>
      <c r="F58" s="1">
        <f>IF(OR(F$52=0,E9="",F9=""),0,IFERROR(IF(AND(INDEX(Arten,MATCH(E9,Codes,0))="Arbeit",INDEX(Arten,MATCH(F9,Codes,0))="Arbeit"),IF(ROUND((1+INDEX(Beginne,MATCH(F9,Codes,0))-INDEX(EndeRel,MATCH(E9,Codes,0)))*1440,0)&lt;660,1,0),0),0))</f>
      </c>
      <c r="G58" s="1">
        <f>IF(OR(G$52=0,F9="",G9=""),0,IFERROR(IF(AND(INDEX(Arten,MATCH(F9,Codes,0))="Arbeit",INDEX(Arten,MATCH(G9,Codes,0))="Arbeit"),IF(ROUND((1+INDEX(Beginne,MATCH(G9,Codes,0))-INDEX(EndeRel,MATCH(F9,Codes,0)))*1440,0)&lt;660,1,0),0),0))</f>
      </c>
      <c r="H58" s="1">
        <f>IF(OR(H$52=0,G9="",H9=""),0,IFERROR(IF(AND(INDEX(Arten,MATCH(G9,Codes,0))="Arbeit",INDEX(Arten,MATCH(H9,Codes,0))="Arbeit"),IF(ROUND((1+INDEX(Beginne,MATCH(H9,Codes,0))-INDEX(EndeRel,MATCH(G9,Codes,0)))*1440,0)&lt;660,1,0),0),0))</f>
      </c>
      <c r="I58" s="1">
        <f>IF(OR(I$52=0,H9="",I9=""),0,IFERROR(IF(AND(INDEX(Arten,MATCH(H9,Codes,0))="Arbeit",INDEX(Arten,MATCH(I9,Codes,0))="Arbeit"),IF(ROUND((1+INDEX(Beginne,MATCH(I9,Codes,0))-INDEX(EndeRel,MATCH(H9,Codes,0)))*1440,0)&lt;660,1,0),0),0))</f>
      </c>
      <c r="J58" s="1">
        <f>IF(OR(J$52=0,I9="",J9=""),0,IFERROR(IF(AND(INDEX(Arten,MATCH(I9,Codes,0))="Arbeit",INDEX(Arten,MATCH(J9,Codes,0))="Arbeit"),IF(ROUND((1+INDEX(Beginne,MATCH(J9,Codes,0))-INDEX(EndeRel,MATCH(I9,Codes,0)))*1440,0)&lt;660,1,0),0),0))</f>
      </c>
      <c r="K58" s="1">
        <f>IF(OR(K$52=0,J9="",K9=""),0,IFERROR(IF(AND(INDEX(Arten,MATCH(J9,Codes,0))="Arbeit",INDEX(Arten,MATCH(K9,Codes,0))="Arbeit"),IF(ROUND((1+INDEX(Beginne,MATCH(K9,Codes,0))-INDEX(EndeRel,MATCH(J9,Codes,0)))*1440,0)&lt;660,1,0),0),0))</f>
      </c>
      <c r="L58" s="1">
        <f>IF(OR(L$52=0,K9="",L9=""),0,IFERROR(IF(AND(INDEX(Arten,MATCH(K9,Codes,0))="Arbeit",INDEX(Arten,MATCH(L9,Codes,0))="Arbeit"),IF(ROUND((1+INDEX(Beginne,MATCH(L9,Codes,0))-INDEX(EndeRel,MATCH(K9,Codes,0)))*1440,0)&lt;660,1,0),0),0))</f>
      </c>
      <c r="M58" s="1">
        <f>IF(OR(M$52=0,L9="",M9=""),0,IFERROR(IF(AND(INDEX(Arten,MATCH(L9,Codes,0))="Arbeit",INDEX(Arten,MATCH(M9,Codes,0))="Arbeit"),IF(ROUND((1+INDEX(Beginne,MATCH(M9,Codes,0))-INDEX(EndeRel,MATCH(L9,Codes,0)))*1440,0)&lt;660,1,0),0),0))</f>
      </c>
      <c r="N58" s="1">
        <f>IF(OR(N$52=0,M9="",N9=""),0,IFERROR(IF(AND(INDEX(Arten,MATCH(M9,Codes,0))="Arbeit",INDEX(Arten,MATCH(N9,Codes,0))="Arbeit"),IF(ROUND((1+INDEX(Beginne,MATCH(N9,Codes,0))-INDEX(EndeRel,MATCH(M9,Codes,0)))*1440,0)&lt;660,1,0),0),0))</f>
      </c>
      <c r="O58" s="1">
        <f>IF(OR(O$52=0,N9="",O9=""),0,IFERROR(IF(AND(INDEX(Arten,MATCH(N9,Codes,0))="Arbeit",INDEX(Arten,MATCH(O9,Codes,0))="Arbeit"),IF(ROUND((1+INDEX(Beginne,MATCH(O9,Codes,0))-INDEX(EndeRel,MATCH(N9,Codes,0)))*1440,0)&lt;660,1,0),0),0))</f>
      </c>
      <c r="P58" s="1">
        <f>IF(OR(P$52=0,O9="",P9=""),0,IFERROR(IF(AND(INDEX(Arten,MATCH(O9,Codes,0))="Arbeit",INDEX(Arten,MATCH(P9,Codes,0))="Arbeit"),IF(ROUND((1+INDEX(Beginne,MATCH(P9,Codes,0))-INDEX(EndeRel,MATCH(O9,Codes,0)))*1440,0)&lt;660,1,0),0),0))</f>
      </c>
      <c r="Q58" s="1">
        <f>IF(OR(Q$52=0,P9="",Q9=""),0,IFERROR(IF(AND(INDEX(Arten,MATCH(P9,Codes,0))="Arbeit",INDEX(Arten,MATCH(Q9,Codes,0))="Arbeit"),IF(ROUND((1+INDEX(Beginne,MATCH(Q9,Codes,0))-INDEX(EndeRel,MATCH(P9,Codes,0)))*1440,0)&lt;660,1,0),0),0))</f>
      </c>
      <c r="R58" s="1">
        <f>IF(OR(R$52=0,Q9="",R9=""),0,IFERROR(IF(AND(INDEX(Arten,MATCH(Q9,Codes,0))="Arbeit",INDEX(Arten,MATCH(R9,Codes,0))="Arbeit"),IF(ROUND((1+INDEX(Beginne,MATCH(R9,Codes,0))-INDEX(EndeRel,MATCH(Q9,Codes,0)))*1440,0)&lt;660,1,0),0),0))</f>
      </c>
      <c r="S58" s="1">
        <f>IF(OR(S$52=0,R9="",S9=""),0,IFERROR(IF(AND(INDEX(Arten,MATCH(R9,Codes,0))="Arbeit",INDEX(Arten,MATCH(S9,Codes,0))="Arbeit"),IF(ROUND((1+INDEX(Beginne,MATCH(S9,Codes,0))-INDEX(EndeRel,MATCH(R9,Codes,0)))*1440,0)&lt;660,1,0),0),0))</f>
      </c>
      <c r="T58" s="1">
        <f>IF(OR(T$52=0,S9="",T9=""),0,IFERROR(IF(AND(INDEX(Arten,MATCH(S9,Codes,0))="Arbeit",INDEX(Arten,MATCH(T9,Codes,0))="Arbeit"),IF(ROUND((1+INDEX(Beginne,MATCH(T9,Codes,0))-INDEX(EndeRel,MATCH(S9,Codes,0)))*1440,0)&lt;660,1,0),0),0))</f>
      </c>
      <c r="U58" s="1">
        <f>IF(OR(U$52=0,T9="",U9=""),0,IFERROR(IF(AND(INDEX(Arten,MATCH(T9,Codes,0))="Arbeit",INDEX(Arten,MATCH(U9,Codes,0))="Arbeit"),IF(ROUND((1+INDEX(Beginne,MATCH(U9,Codes,0))-INDEX(EndeRel,MATCH(T9,Codes,0)))*1440,0)&lt;660,1,0),0),0))</f>
      </c>
      <c r="V58" s="1">
        <f>IF(OR(V$52=0,U9="",V9=""),0,IFERROR(IF(AND(INDEX(Arten,MATCH(U9,Codes,0))="Arbeit",INDEX(Arten,MATCH(V9,Codes,0))="Arbeit"),IF(ROUND((1+INDEX(Beginne,MATCH(V9,Codes,0))-INDEX(EndeRel,MATCH(U9,Codes,0)))*1440,0)&lt;660,1,0),0),0))</f>
      </c>
      <c r="W58" s="1">
        <f>IF(OR(W$52=0,V9="",W9=""),0,IFERROR(IF(AND(INDEX(Arten,MATCH(V9,Codes,0))="Arbeit",INDEX(Arten,MATCH(W9,Codes,0))="Arbeit"),IF(ROUND((1+INDEX(Beginne,MATCH(W9,Codes,0))-INDEX(EndeRel,MATCH(V9,Codes,0)))*1440,0)&lt;660,1,0),0),0))</f>
      </c>
      <c r="X58" s="1">
        <f>IF(OR(X$52=0,W9="",X9=""),0,IFERROR(IF(AND(INDEX(Arten,MATCH(W9,Codes,0))="Arbeit",INDEX(Arten,MATCH(X9,Codes,0))="Arbeit"),IF(ROUND((1+INDEX(Beginne,MATCH(X9,Codes,0))-INDEX(EndeRel,MATCH(W9,Codes,0)))*1440,0)&lt;660,1,0),0),0))</f>
      </c>
      <c r="Y58" s="1">
        <f>IF(OR(Y$52=0,X9="",Y9=""),0,IFERROR(IF(AND(INDEX(Arten,MATCH(X9,Codes,0))="Arbeit",INDEX(Arten,MATCH(Y9,Codes,0))="Arbeit"),IF(ROUND((1+INDEX(Beginne,MATCH(Y9,Codes,0))-INDEX(EndeRel,MATCH(X9,Codes,0)))*1440,0)&lt;660,1,0),0),0))</f>
      </c>
      <c r="Z58" s="1">
        <f>IF(OR(Z$52=0,Y9="",Z9=""),0,IFERROR(IF(AND(INDEX(Arten,MATCH(Y9,Codes,0))="Arbeit",INDEX(Arten,MATCH(Z9,Codes,0))="Arbeit"),IF(ROUND((1+INDEX(Beginne,MATCH(Z9,Codes,0))-INDEX(EndeRel,MATCH(Y9,Codes,0)))*1440,0)&lt;660,1,0),0),0))</f>
      </c>
      <c r="AA58" s="1">
        <f>IF(OR(AA$52=0,Z9="",AA9=""),0,IFERROR(IF(AND(INDEX(Arten,MATCH(Z9,Codes,0))="Arbeit",INDEX(Arten,MATCH(AA9,Codes,0))="Arbeit"),IF(ROUND((1+INDEX(Beginne,MATCH(AA9,Codes,0))-INDEX(EndeRel,MATCH(Z9,Codes,0)))*1440,0)&lt;660,1,0),0),0))</f>
      </c>
      <c r="AB58" s="1">
        <f>IF(OR(AB$52=0,AA9="",AB9=""),0,IFERROR(IF(AND(INDEX(Arten,MATCH(AA9,Codes,0))="Arbeit",INDEX(Arten,MATCH(AB9,Codes,0))="Arbeit"),IF(ROUND((1+INDEX(Beginne,MATCH(AB9,Codes,0))-INDEX(EndeRel,MATCH(AA9,Codes,0)))*1440,0)&lt;660,1,0),0),0))</f>
      </c>
      <c r="AC58" s="1">
        <f>IF(OR(AC$52=0,AB9="",AC9=""),0,IFERROR(IF(AND(INDEX(Arten,MATCH(AB9,Codes,0))="Arbeit",INDEX(Arten,MATCH(AC9,Codes,0))="Arbeit"),IF(ROUND((1+INDEX(Beginne,MATCH(AC9,Codes,0))-INDEX(EndeRel,MATCH(AB9,Codes,0)))*1440,0)&lt;660,1,0),0),0))</f>
      </c>
      <c r="AD58" s="1">
        <f>IF(OR(AD$52=0,AC9="",AD9=""),0,IFERROR(IF(AND(INDEX(Arten,MATCH(AC9,Codes,0))="Arbeit",INDEX(Arten,MATCH(AD9,Codes,0))="Arbeit"),IF(ROUND((1+INDEX(Beginne,MATCH(AD9,Codes,0))-INDEX(EndeRel,MATCH(AC9,Codes,0)))*1440,0)&lt;660,1,0),0),0))</f>
      </c>
      <c r="AE58" s="1">
        <f>IF(OR(AE$52=0,AD9="",AE9=""),0,IFERROR(IF(AND(INDEX(Arten,MATCH(AD9,Codes,0))="Arbeit",INDEX(Arten,MATCH(AE9,Codes,0))="Arbeit"),IF(ROUND((1+INDEX(Beginne,MATCH(AE9,Codes,0))-INDEX(EndeRel,MATCH(AD9,Codes,0)))*1440,0)&lt;660,1,0),0),0))</f>
      </c>
      <c r="AF58" s="1">
        <f>IF(OR(AF$52=0,AE9="",AF9=""),0,IFERROR(IF(AND(INDEX(Arten,MATCH(AE9,Codes,0))="Arbeit",INDEX(Arten,MATCH(AF9,Codes,0))="Arbeit"),IF(ROUND((1+INDEX(Beginne,MATCH(AF9,Codes,0))-INDEX(EndeRel,MATCH(AE9,Codes,0)))*1440,0)&lt;660,1,0),0),0))</f>
      </c>
    </row>
    <row r="59" hidden="1" spans="1:32" x14ac:dyDescent="0.25">
      <c r="A59" s="1"/>
      <c r="B59" s="1">
        <f>IF(OR(B$52=0,INDEX('Juni'!$B$10:$AF$10,DAY(DATE(Jahr,7,0)))="",B10=""),0,IFERROR(IF(AND(INDEX(Arten,MATCH(INDEX('Juni'!$B$10:$AF$10,DAY(DATE(Jahr,7,0))),Codes,0))="Arbeit",INDEX(Arten,MATCH(B10,Codes,0))="Arbeit"),IF(ROUND((1+INDEX(Beginne,MATCH(B10,Codes,0))-INDEX(EndeRel,MATCH(INDEX('Juni'!$B$10:$AF$10,DAY(DATE(Jahr,7,0))),Codes,0)))*1440,0)&lt;660,1,0),0),0))</f>
      </c>
      <c r="C59" s="1">
        <f>IF(OR(C$52=0,B10="",C10=""),0,IFERROR(IF(AND(INDEX(Arten,MATCH(B10,Codes,0))="Arbeit",INDEX(Arten,MATCH(C10,Codes,0))="Arbeit"),IF(ROUND((1+INDEX(Beginne,MATCH(C10,Codes,0))-INDEX(EndeRel,MATCH(B10,Codes,0)))*1440,0)&lt;660,1,0),0),0))</f>
      </c>
      <c r="D59" s="1">
        <f>IF(OR(D$52=0,C10="",D10=""),0,IFERROR(IF(AND(INDEX(Arten,MATCH(C10,Codes,0))="Arbeit",INDEX(Arten,MATCH(D10,Codes,0))="Arbeit"),IF(ROUND((1+INDEX(Beginne,MATCH(D10,Codes,0))-INDEX(EndeRel,MATCH(C10,Codes,0)))*1440,0)&lt;660,1,0),0),0))</f>
      </c>
      <c r="E59" s="1">
        <f>IF(OR(E$52=0,D10="",E10=""),0,IFERROR(IF(AND(INDEX(Arten,MATCH(D10,Codes,0))="Arbeit",INDEX(Arten,MATCH(E10,Codes,0))="Arbeit"),IF(ROUND((1+INDEX(Beginne,MATCH(E10,Codes,0))-INDEX(EndeRel,MATCH(D10,Codes,0)))*1440,0)&lt;660,1,0),0),0))</f>
      </c>
      <c r="F59" s="1">
        <f>IF(OR(F$52=0,E10="",F10=""),0,IFERROR(IF(AND(INDEX(Arten,MATCH(E10,Codes,0))="Arbeit",INDEX(Arten,MATCH(F10,Codes,0))="Arbeit"),IF(ROUND((1+INDEX(Beginne,MATCH(F10,Codes,0))-INDEX(EndeRel,MATCH(E10,Codes,0)))*1440,0)&lt;660,1,0),0),0))</f>
      </c>
      <c r="G59" s="1">
        <f>IF(OR(G$52=0,F10="",G10=""),0,IFERROR(IF(AND(INDEX(Arten,MATCH(F10,Codes,0))="Arbeit",INDEX(Arten,MATCH(G10,Codes,0))="Arbeit"),IF(ROUND((1+INDEX(Beginne,MATCH(G10,Codes,0))-INDEX(EndeRel,MATCH(F10,Codes,0)))*1440,0)&lt;660,1,0),0),0))</f>
      </c>
      <c r="H59" s="1">
        <f>IF(OR(H$52=0,G10="",H10=""),0,IFERROR(IF(AND(INDEX(Arten,MATCH(G10,Codes,0))="Arbeit",INDEX(Arten,MATCH(H10,Codes,0))="Arbeit"),IF(ROUND((1+INDEX(Beginne,MATCH(H10,Codes,0))-INDEX(EndeRel,MATCH(G10,Codes,0)))*1440,0)&lt;660,1,0),0),0))</f>
      </c>
      <c r="I59" s="1">
        <f>IF(OR(I$52=0,H10="",I10=""),0,IFERROR(IF(AND(INDEX(Arten,MATCH(H10,Codes,0))="Arbeit",INDEX(Arten,MATCH(I10,Codes,0))="Arbeit"),IF(ROUND((1+INDEX(Beginne,MATCH(I10,Codes,0))-INDEX(EndeRel,MATCH(H10,Codes,0)))*1440,0)&lt;660,1,0),0),0))</f>
      </c>
      <c r="J59" s="1">
        <f>IF(OR(J$52=0,I10="",J10=""),0,IFERROR(IF(AND(INDEX(Arten,MATCH(I10,Codes,0))="Arbeit",INDEX(Arten,MATCH(J10,Codes,0))="Arbeit"),IF(ROUND((1+INDEX(Beginne,MATCH(J10,Codes,0))-INDEX(EndeRel,MATCH(I10,Codes,0)))*1440,0)&lt;660,1,0),0),0))</f>
      </c>
      <c r="K59" s="1">
        <f>IF(OR(K$52=0,J10="",K10=""),0,IFERROR(IF(AND(INDEX(Arten,MATCH(J10,Codes,0))="Arbeit",INDEX(Arten,MATCH(K10,Codes,0))="Arbeit"),IF(ROUND((1+INDEX(Beginne,MATCH(K10,Codes,0))-INDEX(EndeRel,MATCH(J10,Codes,0)))*1440,0)&lt;660,1,0),0),0))</f>
      </c>
      <c r="L59" s="1">
        <f>IF(OR(L$52=0,K10="",L10=""),0,IFERROR(IF(AND(INDEX(Arten,MATCH(K10,Codes,0))="Arbeit",INDEX(Arten,MATCH(L10,Codes,0))="Arbeit"),IF(ROUND((1+INDEX(Beginne,MATCH(L10,Codes,0))-INDEX(EndeRel,MATCH(K10,Codes,0)))*1440,0)&lt;660,1,0),0),0))</f>
      </c>
      <c r="M59" s="1">
        <f>IF(OR(M$52=0,L10="",M10=""),0,IFERROR(IF(AND(INDEX(Arten,MATCH(L10,Codes,0))="Arbeit",INDEX(Arten,MATCH(M10,Codes,0))="Arbeit"),IF(ROUND((1+INDEX(Beginne,MATCH(M10,Codes,0))-INDEX(EndeRel,MATCH(L10,Codes,0)))*1440,0)&lt;660,1,0),0),0))</f>
      </c>
      <c r="N59" s="1">
        <f>IF(OR(N$52=0,M10="",N10=""),0,IFERROR(IF(AND(INDEX(Arten,MATCH(M10,Codes,0))="Arbeit",INDEX(Arten,MATCH(N10,Codes,0))="Arbeit"),IF(ROUND((1+INDEX(Beginne,MATCH(N10,Codes,0))-INDEX(EndeRel,MATCH(M10,Codes,0)))*1440,0)&lt;660,1,0),0),0))</f>
      </c>
      <c r="O59" s="1">
        <f>IF(OR(O$52=0,N10="",O10=""),0,IFERROR(IF(AND(INDEX(Arten,MATCH(N10,Codes,0))="Arbeit",INDEX(Arten,MATCH(O10,Codes,0))="Arbeit"),IF(ROUND((1+INDEX(Beginne,MATCH(O10,Codes,0))-INDEX(EndeRel,MATCH(N10,Codes,0)))*1440,0)&lt;660,1,0),0),0))</f>
      </c>
      <c r="P59" s="1">
        <f>IF(OR(P$52=0,O10="",P10=""),0,IFERROR(IF(AND(INDEX(Arten,MATCH(O10,Codes,0))="Arbeit",INDEX(Arten,MATCH(P10,Codes,0))="Arbeit"),IF(ROUND((1+INDEX(Beginne,MATCH(P10,Codes,0))-INDEX(EndeRel,MATCH(O10,Codes,0)))*1440,0)&lt;660,1,0),0),0))</f>
      </c>
      <c r="Q59" s="1">
        <f>IF(OR(Q$52=0,P10="",Q10=""),0,IFERROR(IF(AND(INDEX(Arten,MATCH(P10,Codes,0))="Arbeit",INDEX(Arten,MATCH(Q10,Codes,0))="Arbeit"),IF(ROUND((1+INDEX(Beginne,MATCH(Q10,Codes,0))-INDEX(EndeRel,MATCH(P10,Codes,0)))*1440,0)&lt;660,1,0),0),0))</f>
      </c>
      <c r="R59" s="1">
        <f>IF(OR(R$52=0,Q10="",R10=""),0,IFERROR(IF(AND(INDEX(Arten,MATCH(Q10,Codes,0))="Arbeit",INDEX(Arten,MATCH(R10,Codes,0))="Arbeit"),IF(ROUND((1+INDEX(Beginne,MATCH(R10,Codes,0))-INDEX(EndeRel,MATCH(Q10,Codes,0)))*1440,0)&lt;660,1,0),0),0))</f>
      </c>
      <c r="S59" s="1">
        <f>IF(OR(S$52=0,R10="",S10=""),0,IFERROR(IF(AND(INDEX(Arten,MATCH(R10,Codes,0))="Arbeit",INDEX(Arten,MATCH(S10,Codes,0))="Arbeit"),IF(ROUND((1+INDEX(Beginne,MATCH(S10,Codes,0))-INDEX(EndeRel,MATCH(R10,Codes,0)))*1440,0)&lt;660,1,0),0),0))</f>
      </c>
      <c r="T59" s="1">
        <f>IF(OR(T$52=0,S10="",T10=""),0,IFERROR(IF(AND(INDEX(Arten,MATCH(S10,Codes,0))="Arbeit",INDEX(Arten,MATCH(T10,Codes,0))="Arbeit"),IF(ROUND((1+INDEX(Beginne,MATCH(T10,Codes,0))-INDEX(EndeRel,MATCH(S10,Codes,0)))*1440,0)&lt;660,1,0),0),0))</f>
      </c>
      <c r="U59" s="1">
        <f>IF(OR(U$52=0,T10="",U10=""),0,IFERROR(IF(AND(INDEX(Arten,MATCH(T10,Codes,0))="Arbeit",INDEX(Arten,MATCH(U10,Codes,0))="Arbeit"),IF(ROUND((1+INDEX(Beginne,MATCH(U10,Codes,0))-INDEX(EndeRel,MATCH(T10,Codes,0)))*1440,0)&lt;660,1,0),0),0))</f>
      </c>
      <c r="V59" s="1">
        <f>IF(OR(V$52=0,U10="",V10=""),0,IFERROR(IF(AND(INDEX(Arten,MATCH(U10,Codes,0))="Arbeit",INDEX(Arten,MATCH(V10,Codes,0))="Arbeit"),IF(ROUND((1+INDEX(Beginne,MATCH(V10,Codes,0))-INDEX(EndeRel,MATCH(U10,Codes,0)))*1440,0)&lt;660,1,0),0),0))</f>
      </c>
      <c r="W59" s="1">
        <f>IF(OR(W$52=0,V10="",W10=""),0,IFERROR(IF(AND(INDEX(Arten,MATCH(V10,Codes,0))="Arbeit",INDEX(Arten,MATCH(W10,Codes,0))="Arbeit"),IF(ROUND((1+INDEX(Beginne,MATCH(W10,Codes,0))-INDEX(EndeRel,MATCH(V10,Codes,0)))*1440,0)&lt;660,1,0),0),0))</f>
      </c>
      <c r="X59" s="1">
        <f>IF(OR(X$52=0,W10="",X10=""),0,IFERROR(IF(AND(INDEX(Arten,MATCH(W10,Codes,0))="Arbeit",INDEX(Arten,MATCH(X10,Codes,0))="Arbeit"),IF(ROUND((1+INDEX(Beginne,MATCH(X10,Codes,0))-INDEX(EndeRel,MATCH(W10,Codes,0)))*1440,0)&lt;660,1,0),0),0))</f>
      </c>
      <c r="Y59" s="1">
        <f>IF(OR(Y$52=0,X10="",Y10=""),0,IFERROR(IF(AND(INDEX(Arten,MATCH(X10,Codes,0))="Arbeit",INDEX(Arten,MATCH(Y10,Codes,0))="Arbeit"),IF(ROUND((1+INDEX(Beginne,MATCH(Y10,Codes,0))-INDEX(EndeRel,MATCH(X10,Codes,0)))*1440,0)&lt;660,1,0),0),0))</f>
      </c>
      <c r="Z59" s="1">
        <f>IF(OR(Z$52=0,Y10="",Z10=""),0,IFERROR(IF(AND(INDEX(Arten,MATCH(Y10,Codes,0))="Arbeit",INDEX(Arten,MATCH(Z10,Codes,0))="Arbeit"),IF(ROUND((1+INDEX(Beginne,MATCH(Z10,Codes,0))-INDEX(EndeRel,MATCH(Y10,Codes,0)))*1440,0)&lt;660,1,0),0),0))</f>
      </c>
      <c r="AA59" s="1">
        <f>IF(OR(AA$52=0,Z10="",AA10=""),0,IFERROR(IF(AND(INDEX(Arten,MATCH(Z10,Codes,0))="Arbeit",INDEX(Arten,MATCH(AA10,Codes,0))="Arbeit"),IF(ROUND((1+INDEX(Beginne,MATCH(AA10,Codes,0))-INDEX(EndeRel,MATCH(Z10,Codes,0)))*1440,0)&lt;660,1,0),0),0))</f>
      </c>
      <c r="AB59" s="1">
        <f>IF(OR(AB$52=0,AA10="",AB10=""),0,IFERROR(IF(AND(INDEX(Arten,MATCH(AA10,Codes,0))="Arbeit",INDEX(Arten,MATCH(AB10,Codes,0))="Arbeit"),IF(ROUND((1+INDEX(Beginne,MATCH(AB10,Codes,0))-INDEX(EndeRel,MATCH(AA10,Codes,0)))*1440,0)&lt;660,1,0),0),0))</f>
      </c>
      <c r="AC59" s="1">
        <f>IF(OR(AC$52=0,AB10="",AC10=""),0,IFERROR(IF(AND(INDEX(Arten,MATCH(AB10,Codes,0))="Arbeit",INDEX(Arten,MATCH(AC10,Codes,0))="Arbeit"),IF(ROUND((1+INDEX(Beginne,MATCH(AC10,Codes,0))-INDEX(EndeRel,MATCH(AB10,Codes,0)))*1440,0)&lt;660,1,0),0),0))</f>
      </c>
      <c r="AD59" s="1">
        <f>IF(OR(AD$52=0,AC10="",AD10=""),0,IFERROR(IF(AND(INDEX(Arten,MATCH(AC10,Codes,0))="Arbeit",INDEX(Arten,MATCH(AD10,Codes,0))="Arbeit"),IF(ROUND((1+INDEX(Beginne,MATCH(AD10,Codes,0))-INDEX(EndeRel,MATCH(AC10,Codes,0)))*1440,0)&lt;660,1,0),0),0))</f>
      </c>
      <c r="AE59" s="1">
        <f>IF(OR(AE$52=0,AD10="",AE10=""),0,IFERROR(IF(AND(INDEX(Arten,MATCH(AD10,Codes,0))="Arbeit",INDEX(Arten,MATCH(AE10,Codes,0))="Arbeit"),IF(ROUND((1+INDEX(Beginne,MATCH(AE10,Codes,0))-INDEX(EndeRel,MATCH(AD10,Codes,0)))*1440,0)&lt;660,1,0),0),0))</f>
      </c>
      <c r="AF59" s="1">
        <f>IF(OR(AF$52=0,AE10="",AF10=""),0,IFERROR(IF(AND(INDEX(Arten,MATCH(AE10,Codes,0))="Arbeit",INDEX(Arten,MATCH(AF10,Codes,0))="Arbeit"),IF(ROUND((1+INDEX(Beginne,MATCH(AF10,Codes,0))-INDEX(EndeRel,MATCH(AE10,Codes,0)))*1440,0)&lt;660,1,0),0),0))</f>
      </c>
    </row>
    <row r="60" hidden="1" spans="1:32" x14ac:dyDescent="0.25">
      <c r="A60" s="1"/>
      <c r="B60" s="1">
        <f>IF(OR(B$52=0,INDEX('Juni'!$B$11:$AF$11,DAY(DATE(Jahr,7,0)))="",B11=""),0,IFERROR(IF(AND(INDEX(Arten,MATCH(INDEX('Juni'!$B$11:$AF$11,DAY(DATE(Jahr,7,0))),Codes,0))="Arbeit",INDEX(Arten,MATCH(B11,Codes,0))="Arbeit"),IF(ROUND((1+INDEX(Beginne,MATCH(B11,Codes,0))-INDEX(EndeRel,MATCH(INDEX('Juni'!$B$11:$AF$11,DAY(DATE(Jahr,7,0))),Codes,0)))*1440,0)&lt;660,1,0),0),0))</f>
      </c>
      <c r="C60" s="1">
        <f>IF(OR(C$52=0,B11="",C11=""),0,IFERROR(IF(AND(INDEX(Arten,MATCH(B11,Codes,0))="Arbeit",INDEX(Arten,MATCH(C11,Codes,0))="Arbeit"),IF(ROUND((1+INDEX(Beginne,MATCH(C11,Codes,0))-INDEX(EndeRel,MATCH(B11,Codes,0)))*1440,0)&lt;660,1,0),0),0))</f>
      </c>
      <c r="D60" s="1">
        <f>IF(OR(D$52=0,C11="",D11=""),0,IFERROR(IF(AND(INDEX(Arten,MATCH(C11,Codes,0))="Arbeit",INDEX(Arten,MATCH(D11,Codes,0))="Arbeit"),IF(ROUND((1+INDEX(Beginne,MATCH(D11,Codes,0))-INDEX(EndeRel,MATCH(C11,Codes,0)))*1440,0)&lt;660,1,0),0),0))</f>
      </c>
      <c r="E60" s="1">
        <f>IF(OR(E$52=0,D11="",E11=""),0,IFERROR(IF(AND(INDEX(Arten,MATCH(D11,Codes,0))="Arbeit",INDEX(Arten,MATCH(E11,Codes,0))="Arbeit"),IF(ROUND((1+INDEX(Beginne,MATCH(E11,Codes,0))-INDEX(EndeRel,MATCH(D11,Codes,0)))*1440,0)&lt;660,1,0),0),0))</f>
      </c>
      <c r="F60" s="1">
        <f>IF(OR(F$52=0,E11="",F11=""),0,IFERROR(IF(AND(INDEX(Arten,MATCH(E11,Codes,0))="Arbeit",INDEX(Arten,MATCH(F11,Codes,0))="Arbeit"),IF(ROUND((1+INDEX(Beginne,MATCH(F11,Codes,0))-INDEX(EndeRel,MATCH(E11,Codes,0)))*1440,0)&lt;660,1,0),0),0))</f>
      </c>
      <c r="G60" s="1">
        <f>IF(OR(G$52=0,F11="",G11=""),0,IFERROR(IF(AND(INDEX(Arten,MATCH(F11,Codes,0))="Arbeit",INDEX(Arten,MATCH(G11,Codes,0))="Arbeit"),IF(ROUND((1+INDEX(Beginne,MATCH(G11,Codes,0))-INDEX(EndeRel,MATCH(F11,Codes,0)))*1440,0)&lt;660,1,0),0),0))</f>
      </c>
      <c r="H60" s="1">
        <f>IF(OR(H$52=0,G11="",H11=""),0,IFERROR(IF(AND(INDEX(Arten,MATCH(G11,Codes,0))="Arbeit",INDEX(Arten,MATCH(H11,Codes,0))="Arbeit"),IF(ROUND((1+INDEX(Beginne,MATCH(H11,Codes,0))-INDEX(EndeRel,MATCH(G11,Codes,0)))*1440,0)&lt;660,1,0),0),0))</f>
      </c>
      <c r="I60" s="1">
        <f>IF(OR(I$52=0,H11="",I11=""),0,IFERROR(IF(AND(INDEX(Arten,MATCH(H11,Codes,0))="Arbeit",INDEX(Arten,MATCH(I11,Codes,0))="Arbeit"),IF(ROUND((1+INDEX(Beginne,MATCH(I11,Codes,0))-INDEX(EndeRel,MATCH(H11,Codes,0)))*1440,0)&lt;660,1,0),0),0))</f>
      </c>
      <c r="J60" s="1">
        <f>IF(OR(J$52=0,I11="",J11=""),0,IFERROR(IF(AND(INDEX(Arten,MATCH(I11,Codes,0))="Arbeit",INDEX(Arten,MATCH(J11,Codes,0))="Arbeit"),IF(ROUND((1+INDEX(Beginne,MATCH(J11,Codes,0))-INDEX(EndeRel,MATCH(I11,Codes,0)))*1440,0)&lt;660,1,0),0),0))</f>
      </c>
      <c r="K60" s="1">
        <f>IF(OR(K$52=0,J11="",K11=""),0,IFERROR(IF(AND(INDEX(Arten,MATCH(J11,Codes,0))="Arbeit",INDEX(Arten,MATCH(K11,Codes,0))="Arbeit"),IF(ROUND((1+INDEX(Beginne,MATCH(K11,Codes,0))-INDEX(EndeRel,MATCH(J11,Codes,0)))*1440,0)&lt;660,1,0),0),0))</f>
      </c>
      <c r="L60" s="1">
        <f>IF(OR(L$52=0,K11="",L11=""),0,IFERROR(IF(AND(INDEX(Arten,MATCH(K11,Codes,0))="Arbeit",INDEX(Arten,MATCH(L11,Codes,0))="Arbeit"),IF(ROUND((1+INDEX(Beginne,MATCH(L11,Codes,0))-INDEX(EndeRel,MATCH(K11,Codes,0)))*1440,0)&lt;660,1,0),0),0))</f>
      </c>
      <c r="M60" s="1">
        <f>IF(OR(M$52=0,L11="",M11=""),0,IFERROR(IF(AND(INDEX(Arten,MATCH(L11,Codes,0))="Arbeit",INDEX(Arten,MATCH(M11,Codes,0))="Arbeit"),IF(ROUND((1+INDEX(Beginne,MATCH(M11,Codes,0))-INDEX(EndeRel,MATCH(L11,Codes,0)))*1440,0)&lt;660,1,0),0),0))</f>
      </c>
      <c r="N60" s="1">
        <f>IF(OR(N$52=0,M11="",N11=""),0,IFERROR(IF(AND(INDEX(Arten,MATCH(M11,Codes,0))="Arbeit",INDEX(Arten,MATCH(N11,Codes,0))="Arbeit"),IF(ROUND((1+INDEX(Beginne,MATCH(N11,Codes,0))-INDEX(EndeRel,MATCH(M11,Codes,0)))*1440,0)&lt;660,1,0),0),0))</f>
      </c>
      <c r="O60" s="1">
        <f>IF(OR(O$52=0,N11="",O11=""),0,IFERROR(IF(AND(INDEX(Arten,MATCH(N11,Codes,0))="Arbeit",INDEX(Arten,MATCH(O11,Codes,0))="Arbeit"),IF(ROUND((1+INDEX(Beginne,MATCH(O11,Codes,0))-INDEX(EndeRel,MATCH(N11,Codes,0)))*1440,0)&lt;660,1,0),0),0))</f>
      </c>
      <c r="P60" s="1">
        <f>IF(OR(P$52=0,O11="",P11=""),0,IFERROR(IF(AND(INDEX(Arten,MATCH(O11,Codes,0))="Arbeit",INDEX(Arten,MATCH(P11,Codes,0))="Arbeit"),IF(ROUND((1+INDEX(Beginne,MATCH(P11,Codes,0))-INDEX(EndeRel,MATCH(O11,Codes,0)))*1440,0)&lt;660,1,0),0),0))</f>
      </c>
      <c r="Q60" s="1">
        <f>IF(OR(Q$52=0,P11="",Q11=""),0,IFERROR(IF(AND(INDEX(Arten,MATCH(P11,Codes,0))="Arbeit",INDEX(Arten,MATCH(Q11,Codes,0))="Arbeit"),IF(ROUND((1+INDEX(Beginne,MATCH(Q11,Codes,0))-INDEX(EndeRel,MATCH(P11,Codes,0)))*1440,0)&lt;660,1,0),0),0))</f>
      </c>
      <c r="R60" s="1">
        <f>IF(OR(R$52=0,Q11="",R11=""),0,IFERROR(IF(AND(INDEX(Arten,MATCH(Q11,Codes,0))="Arbeit",INDEX(Arten,MATCH(R11,Codes,0))="Arbeit"),IF(ROUND((1+INDEX(Beginne,MATCH(R11,Codes,0))-INDEX(EndeRel,MATCH(Q11,Codes,0)))*1440,0)&lt;660,1,0),0),0))</f>
      </c>
      <c r="S60" s="1">
        <f>IF(OR(S$52=0,R11="",S11=""),0,IFERROR(IF(AND(INDEX(Arten,MATCH(R11,Codes,0))="Arbeit",INDEX(Arten,MATCH(S11,Codes,0))="Arbeit"),IF(ROUND((1+INDEX(Beginne,MATCH(S11,Codes,0))-INDEX(EndeRel,MATCH(R11,Codes,0)))*1440,0)&lt;660,1,0),0),0))</f>
      </c>
      <c r="T60" s="1">
        <f>IF(OR(T$52=0,S11="",T11=""),0,IFERROR(IF(AND(INDEX(Arten,MATCH(S11,Codes,0))="Arbeit",INDEX(Arten,MATCH(T11,Codes,0))="Arbeit"),IF(ROUND((1+INDEX(Beginne,MATCH(T11,Codes,0))-INDEX(EndeRel,MATCH(S11,Codes,0)))*1440,0)&lt;660,1,0),0),0))</f>
      </c>
      <c r="U60" s="1">
        <f>IF(OR(U$52=0,T11="",U11=""),0,IFERROR(IF(AND(INDEX(Arten,MATCH(T11,Codes,0))="Arbeit",INDEX(Arten,MATCH(U11,Codes,0))="Arbeit"),IF(ROUND((1+INDEX(Beginne,MATCH(U11,Codes,0))-INDEX(EndeRel,MATCH(T11,Codes,0)))*1440,0)&lt;660,1,0),0),0))</f>
      </c>
      <c r="V60" s="1">
        <f>IF(OR(V$52=0,U11="",V11=""),0,IFERROR(IF(AND(INDEX(Arten,MATCH(U11,Codes,0))="Arbeit",INDEX(Arten,MATCH(V11,Codes,0))="Arbeit"),IF(ROUND((1+INDEX(Beginne,MATCH(V11,Codes,0))-INDEX(EndeRel,MATCH(U11,Codes,0)))*1440,0)&lt;660,1,0),0),0))</f>
      </c>
      <c r="W60" s="1">
        <f>IF(OR(W$52=0,V11="",W11=""),0,IFERROR(IF(AND(INDEX(Arten,MATCH(V11,Codes,0))="Arbeit",INDEX(Arten,MATCH(W11,Codes,0))="Arbeit"),IF(ROUND((1+INDEX(Beginne,MATCH(W11,Codes,0))-INDEX(EndeRel,MATCH(V11,Codes,0)))*1440,0)&lt;660,1,0),0),0))</f>
      </c>
      <c r="X60" s="1">
        <f>IF(OR(X$52=0,W11="",X11=""),0,IFERROR(IF(AND(INDEX(Arten,MATCH(W11,Codes,0))="Arbeit",INDEX(Arten,MATCH(X11,Codes,0))="Arbeit"),IF(ROUND((1+INDEX(Beginne,MATCH(X11,Codes,0))-INDEX(EndeRel,MATCH(W11,Codes,0)))*1440,0)&lt;660,1,0),0),0))</f>
      </c>
      <c r="Y60" s="1">
        <f>IF(OR(Y$52=0,X11="",Y11=""),0,IFERROR(IF(AND(INDEX(Arten,MATCH(X11,Codes,0))="Arbeit",INDEX(Arten,MATCH(Y11,Codes,0))="Arbeit"),IF(ROUND((1+INDEX(Beginne,MATCH(Y11,Codes,0))-INDEX(EndeRel,MATCH(X11,Codes,0)))*1440,0)&lt;660,1,0),0),0))</f>
      </c>
      <c r="Z60" s="1">
        <f>IF(OR(Z$52=0,Y11="",Z11=""),0,IFERROR(IF(AND(INDEX(Arten,MATCH(Y11,Codes,0))="Arbeit",INDEX(Arten,MATCH(Z11,Codes,0))="Arbeit"),IF(ROUND((1+INDEX(Beginne,MATCH(Z11,Codes,0))-INDEX(EndeRel,MATCH(Y11,Codes,0)))*1440,0)&lt;660,1,0),0),0))</f>
      </c>
      <c r="AA60" s="1">
        <f>IF(OR(AA$52=0,Z11="",AA11=""),0,IFERROR(IF(AND(INDEX(Arten,MATCH(Z11,Codes,0))="Arbeit",INDEX(Arten,MATCH(AA11,Codes,0))="Arbeit"),IF(ROUND((1+INDEX(Beginne,MATCH(AA11,Codes,0))-INDEX(EndeRel,MATCH(Z11,Codes,0)))*1440,0)&lt;660,1,0),0),0))</f>
      </c>
      <c r="AB60" s="1">
        <f>IF(OR(AB$52=0,AA11="",AB11=""),0,IFERROR(IF(AND(INDEX(Arten,MATCH(AA11,Codes,0))="Arbeit",INDEX(Arten,MATCH(AB11,Codes,0))="Arbeit"),IF(ROUND((1+INDEX(Beginne,MATCH(AB11,Codes,0))-INDEX(EndeRel,MATCH(AA11,Codes,0)))*1440,0)&lt;660,1,0),0),0))</f>
      </c>
      <c r="AC60" s="1">
        <f>IF(OR(AC$52=0,AB11="",AC11=""),0,IFERROR(IF(AND(INDEX(Arten,MATCH(AB11,Codes,0))="Arbeit",INDEX(Arten,MATCH(AC11,Codes,0))="Arbeit"),IF(ROUND((1+INDEX(Beginne,MATCH(AC11,Codes,0))-INDEX(EndeRel,MATCH(AB11,Codes,0)))*1440,0)&lt;660,1,0),0),0))</f>
      </c>
      <c r="AD60" s="1">
        <f>IF(OR(AD$52=0,AC11="",AD11=""),0,IFERROR(IF(AND(INDEX(Arten,MATCH(AC11,Codes,0))="Arbeit",INDEX(Arten,MATCH(AD11,Codes,0))="Arbeit"),IF(ROUND((1+INDEX(Beginne,MATCH(AD11,Codes,0))-INDEX(EndeRel,MATCH(AC11,Codes,0)))*1440,0)&lt;660,1,0),0),0))</f>
      </c>
      <c r="AE60" s="1">
        <f>IF(OR(AE$52=0,AD11="",AE11=""),0,IFERROR(IF(AND(INDEX(Arten,MATCH(AD11,Codes,0))="Arbeit",INDEX(Arten,MATCH(AE11,Codes,0))="Arbeit"),IF(ROUND((1+INDEX(Beginne,MATCH(AE11,Codes,0))-INDEX(EndeRel,MATCH(AD11,Codes,0)))*1440,0)&lt;660,1,0),0),0))</f>
      </c>
      <c r="AF60" s="1">
        <f>IF(OR(AF$52=0,AE11="",AF11=""),0,IFERROR(IF(AND(INDEX(Arten,MATCH(AE11,Codes,0))="Arbeit",INDEX(Arten,MATCH(AF11,Codes,0))="Arbeit"),IF(ROUND((1+INDEX(Beginne,MATCH(AF11,Codes,0))-INDEX(EndeRel,MATCH(AE11,Codes,0)))*1440,0)&lt;660,1,0),0),0))</f>
      </c>
    </row>
    <row r="61" hidden="1" spans="1:32" x14ac:dyDescent="0.25">
      <c r="A61" s="1"/>
      <c r="B61" s="1">
        <f>IF(OR(B$52=0,INDEX('Juni'!$B$12:$AF$12,DAY(DATE(Jahr,7,0)))="",B12=""),0,IFERROR(IF(AND(INDEX(Arten,MATCH(INDEX('Juni'!$B$12:$AF$12,DAY(DATE(Jahr,7,0))),Codes,0))="Arbeit",INDEX(Arten,MATCH(B12,Codes,0))="Arbeit"),IF(ROUND((1+INDEX(Beginne,MATCH(B12,Codes,0))-INDEX(EndeRel,MATCH(INDEX('Juni'!$B$12:$AF$12,DAY(DATE(Jahr,7,0))),Codes,0)))*1440,0)&lt;660,1,0),0),0))</f>
      </c>
      <c r="C61" s="1">
        <f>IF(OR(C$52=0,B12="",C12=""),0,IFERROR(IF(AND(INDEX(Arten,MATCH(B12,Codes,0))="Arbeit",INDEX(Arten,MATCH(C12,Codes,0))="Arbeit"),IF(ROUND((1+INDEX(Beginne,MATCH(C12,Codes,0))-INDEX(EndeRel,MATCH(B12,Codes,0)))*1440,0)&lt;660,1,0),0),0))</f>
      </c>
      <c r="D61" s="1">
        <f>IF(OR(D$52=0,C12="",D12=""),0,IFERROR(IF(AND(INDEX(Arten,MATCH(C12,Codes,0))="Arbeit",INDEX(Arten,MATCH(D12,Codes,0))="Arbeit"),IF(ROUND((1+INDEX(Beginne,MATCH(D12,Codes,0))-INDEX(EndeRel,MATCH(C12,Codes,0)))*1440,0)&lt;660,1,0),0),0))</f>
      </c>
      <c r="E61" s="1">
        <f>IF(OR(E$52=0,D12="",E12=""),0,IFERROR(IF(AND(INDEX(Arten,MATCH(D12,Codes,0))="Arbeit",INDEX(Arten,MATCH(E12,Codes,0))="Arbeit"),IF(ROUND((1+INDEX(Beginne,MATCH(E12,Codes,0))-INDEX(EndeRel,MATCH(D12,Codes,0)))*1440,0)&lt;660,1,0),0),0))</f>
      </c>
      <c r="F61" s="1">
        <f>IF(OR(F$52=0,E12="",F12=""),0,IFERROR(IF(AND(INDEX(Arten,MATCH(E12,Codes,0))="Arbeit",INDEX(Arten,MATCH(F12,Codes,0))="Arbeit"),IF(ROUND((1+INDEX(Beginne,MATCH(F12,Codes,0))-INDEX(EndeRel,MATCH(E12,Codes,0)))*1440,0)&lt;660,1,0),0),0))</f>
      </c>
      <c r="G61" s="1">
        <f>IF(OR(G$52=0,F12="",G12=""),0,IFERROR(IF(AND(INDEX(Arten,MATCH(F12,Codes,0))="Arbeit",INDEX(Arten,MATCH(G12,Codes,0))="Arbeit"),IF(ROUND((1+INDEX(Beginne,MATCH(G12,Codes,0))-INDEX(EndeRel,MATCH(F12,Codes,0)))*1440,0)&lt;660,1,0),0),0))</f>
      </c>
      <c r="H61" s="1">
        <f>IF(OR(H$52=0,G12="",H12=""),0,IFERROR(IF(AND(INDEX(Arten,MATCH(G12,Codes,0))="Arbeit",INDEX(Arten,MATCH(H12,Codes,0))="Arbeit"),IF(ROUND((1+INDEX(Beginne,MATCH(H12,Codes,0))-INDEX(EndeRel,MATCH(G12,Codes,0)))*1440,0)&lt;660,1,0),0),0))</f>
      </c>
      <c r="I61" s="1">
        <f>IF(OR(I$52=0,H12="",I12=""),0,IFERROR(IF(AND(INDEX(Arten,MATCH(H12,Codes,0))="Arbeit",INDEX(Arten,MATCH(I12,Codes,0))="Arbeit"),IF(ROUND((1+INDEX(Beginne,MATCH(I12,Codes,0))-INDEX(EndeRel,MATCH(H12,Codes,0)))*1440,0)&lt;660,1,0),0),0))</f>
      </c>
      <c r="J61" s="1">
        <f>IF(OR(J$52=0,I12="",J12=""),0,IFERROR(IF(AND(INDEX(Arten,MATCH(I12,Codes,0))="Arbeit",INDEX(Arten,MATCH(J12,Codes,0))="Arbeit"),IF(ROUND((1+INDEX(Beginne,MATCH(J12,Codes,0))-INDEX(EndeRel,MATCH(I12,Codes,0)))*1440,0)&lt;660,1,0),0),0))</f>
      </c>
      <c r="K61" s="1">
        <f>IF(OR(K$52=0,J12="",K12=""),0,IFERROR(IF(AND(INDEX(Arten,MATCH(J12,Codes,0))="Arbeit",INDEX(Arten,MATCH(K12,Codes,0))="Arbeit"),IF(ROUND((1+INDEX(Beginne,MATCH(K12,Codes,0))-INDEX(EndeRel,MATCH(J12,Codes,0)))*1440,0)&lt;660,1,0),0),0))</f>
      </c>
      <c r="L61" s="1">
        <f>IF(OR(L$52=0,K12="",L12=""),0,IFERROR(IF(AND(INDEX(Arten,MATCH(K12,Codes,0))="Arbeit",INDEX(Arten,MATCH(L12,Codes,0))="Arbeit"),IF(ROUND((1+INDEX(Beginne,MATCH(L12,Codes,0))-INDEX(EndeRel,MATCH(K12,Codes,0)))*1440,0)&lt;660,1,0),0),0))</f>
      </c>
      <c r="M61" s="1">
        <f>IF(OR(M$52=0,L12="",M12=""),0,IFERROR(IF(AND(INDEX(Arten,MATCH(L12,Codes,0))="Arbeit",INDEX(Arten,MATCH(M12,Codes,0))="Arbeit"),IF(ROUND((1+INDEX(Beginne,MATCH(M12,Codes,0))-INDEX(EndeRel,MATCH(L12,Codes,0)))*1440,0)&lt;660,1,0),0),0))</f>
      </c>
      <c r="N61" s="1">
        <f>IF(OR(N$52=0,M12="",N12=""),0,IFERROR(IF(AND(INDEX(Arten,MATCH(M12,Codes,0))="Arbeit",INDEX(Arten,MATCH(N12,Codes,0))="Arbeit"),IF(ROUND((1+INDEX(Beginne,MATCH(N12,Codes,0))-INDEX(EndeRel,MATCH(M12,Codes,0)))*1440,0)&lt;660,1,0),0),0))</f>
      </c>
      <c r="O61" s="1">
        <f>IF(OR(O$52=0,N12="",O12=""),0,IFERROR(IF(AND(INDEX(Arten,MATCH(N12,Codes,0))="Arbeit",INDEX(Arten,MATCH(O12,Codes,0))="Arbeit"),IF(ROUND((1+INDEX(Beginne,MATCH(O12,Codes,0))-INDEX(EndeRel,MATCH(N12,Codes,0)))*1440,0)&lt;660,1,0),0),0))</f>
      </c>
      <c r="P61" s="1">
        <f>IF(OR(P$52=0,O12="",P12=""),0,IFERROR(IF(AND(INDEX(Arten,MATCH(O12,Codes,0))="Arbeit",INDEX(Arten,MATCH(P12,Codes,0))="Arbeit"),IF(ROUND((1+INDEX(Beginne,MATCH(P12,Codes,0))-INDEX(EndeRel,MATCH(O12,Codes,0)))*1440,0)&lt;660,1,0),0),0))</f>
      </c>
      <c r="Q61" s="1">
        <f>IF(OR(Q$52=0,P12="",Q12=""),0,IFERROR(IF(AND(INDEX(Arten,MATCH(P12,Codes,0))="Arbeit",INDEX(Arten,MATCH(Q12,Codes,0))="Arbeit"),IF(ROUND((1+INDEX(Beginne,MATCH(Q12,Codes,0))-INDEX(EndeRel,MATCH(P12,Codes,0)))*1440,0)&lt;660,1,0),0),0))</f>
      </c>
      <c r="R61" s="1">
        <f>IF(OR(R$52=0,Q12="",R12=""),0,IFERROR(IF(AND(INDEX(Arten,MATCH(Q12,Codes,0))="Arbeit",INDEX(Arten,MATCH(R12,Codes,0))="Arbeit"),IF(ROUND((1+INDEX(Beginne,MATCH(R12,Codes,0))-INDEX(EndeRel,MATCH(Q12,Codes,0)))*1440,0)&lt;660,1,0),0),0))</f>
      </c>
      <c r="S61" s="1">
        <f>IF(OR(S$52=0,R12="",S12=""),0,IFERROR(IF(AND(INDEX(Arten,MATCH(R12,Codes,0))="Arbeit",INDEX(Arten,MATCH(S12,Codes,0))="Arbeit"),IF(ROUND((1+INDEX(Beginne,MATCH(S12,Codes,0))-INDEX(EndeRel,MATCH(R12,Codes,0)))*1440,0)&lt;660,1,0),0),0))</f>
      </c>
      <c r="T61" s="1">
        <f>IF(OR(T$52=0,S12="",T12=""),0,IFERROR(IF(AND(INDEX(Arten,MATCH(S12,Codes,0))="Arbeit",INDEX(Arten,MATCH(T12,Codes,0))="Arbeit"),IF(ROUND((1+INDEX(Beginne,MATCH(T12,Codes,0))-INDEX(EndeRel,MATCH(S12,Codes,0)))*1440,0)&lt;660,1,0),0),0))</f>
      </c>
      <c r="U61" s="1">
        <f>IF(OR(U$52=0,T12="",U12=""),0,IFERROR(IF(AND(INDEX(Arten,MATCH(T12,Codes,0))="Arbeit",INDEX(Arten,MATCH(U12,Codes,0))="Arbeit"),IF(ROUND((1+INDEX(Beginne,MATCH(U12,Codes,0))-INDEX(EndeRel,MATCH(T12,Codes,0)))*1440,0)&lt;660,1,0),0),0))</f>
      </c>
      <c r="V61" s="1">
        <f>IF(OR(V$52=0,U12="",V12=""),0,IFERROR(IF(AND(INDEX(Arten,MATCH(U12,Codes,0))="Arbeit",INDEX(Arten,MATCH(V12,Codes,0))="Arbeit"),IF(ROUND((1+INDEX(Beginne,MATCH(V12,Codes,0))-INDEX(EndeRel,MATCH(U12,Codes,0)))*1440,0)&lt;660,1,0),0),0))</f>
      </c>
      <c r="W61" s="1">
        <f>IF(OR(W$52=0,V12="",W12=""),0,IFERROR(IF(AND(INDEX(Arten,MATCH(V12,Codes,0))="Arbeit",INDEX(Arten,MATCH(W12,Codes,0))="Arbeit"),IF(ROUND((1+INDEX(Beginne,MATCH(W12,Codes,0))-INDEX(EndeRel,MATCH(V12,Codes,0)))*1440,0)&lt;660,1,0),0),0))</f>
      </c>
      <c r="X61" s="1">
        <f>IF(OR(X$52=0,W12="",X12=""),0,IFERROR(IF(AND(INDEX(Arten,MATCH(W12,Codes,0))="Arbeit",INDEX(Arten,MATCH(X12,Codes,0))="Arbeit"),IF(ROUND((1+INDEX(Beginne,MATCH(X12,Codes,0))-INDEX(EndeRel,MATCH(W12,Codes,0)))*1440,0)&lt;660,1,0),0),0))</f>
      </c>
      <c r="Y61" s="1">
        <f>IF(OR(Y$52=0,X12="",Y12=""),0,IFERROR(IF(AND(INDEX(Arten,MATCH(X12,Codes,0))="Arbeit",INDEX(Arten,MATCH(Y12,Codes,0))="Arbeit"),IF(ROUND((1+INDEX(Beginne,MATCH(Y12,Codes,0))-INDEX(EndeRel,MATCH(X12,Codes,0)))*1440,0)&lt;660,1,0),0),0))</f>
      </c>
      <c r="Z61" s="1">
        <f>IF(OR(Z$52=0,Y12="",Z12=""),0,IFERROR(IF(AND(INDEX(Arten,MATCH(Y12,Codes,0))="Arbeit",INDEX(Arten,MATCH(Z12,Codes,0))="Arbeit"),IF(ROUND((1+INDEX(Beginne,MATCH(Z12,Codes,0))-INDEX(EndeRel,MATCH(Y12,Codes,0)))*1440,0)&lt;660,1,0),0),0))</f>
      </c>
      <c r="AA61" s="1">
        <f>IF(OR(AA$52=0,Z12="",AA12=""),0,IFERROR(IF(AND(INDEX(Arten,MATCH(Z12,Codes,0))="Arbeit",INDEX(Arten,MATCH(AA12,Codes,0))="Arbeit"),IF(ROUND((1+INDEX(Beginne,MATCH(AA12,Codes,0))-INDEX(EndeRel,MATCH(Z12,Codes,0)))*1440,0)&lt;660,1,0),0),0))</f>
      </c>
      <c r="AB61" s="1">
        <f>IF(OR(AB$52=0,AA12="",AB12=""),0,IFERROR(IF(AND(INDEX(Arten,MATCH(AA12,Codes,0))="Arbeit",INDEX(Arten,MATCH(AB12,Codes,0))="Arbeit"),IF(ROUND((1+INDEX(Beginne,MATCH(AB12,Codes,0))-INDEX(EndeRel,MATCH(AA12,Codes,0)))*1440,0)&lt;660,1,0),0),0))</f>
      </c>
      <c r="AC61" s="1">
        <f>IF(OR(AC$52=0,AB12="",AC12=""),0,IFERROR(IF(AND(INDEX(Arten,MATCH(AB12,Codes,0))="Arbeit",INDEX(Arten,MATCH(AC12,Codes,0))="Arbeit"),IF(ROUND((1+INDEX(Beginne,MATCH(AC12,Codes,0))-INDEX(EndeRel,MATCH(AB12,Codes,0)))*1440,0)&lt;660,1,0),0),0))</f>
      </c>
      <c r="AD61" s="1">
        <f>IF(OR(AD$52=0,AC12="",AD12=""),0,IFERROR(IF(AND(INDEX(Arten,MATCH(AC12,Codes,0))="Arbeit",INDEX(Arten,MATCH(AD12,Codes,0))="Arbeit"),IF(ROUND((1+INDEX(Beginne,MATCH(AD12,Codes,0))-INDEX(EndeRel,MATCH(AC12,Codes,0)))*1440,0)&lt;660,1,0),0),0))</f>
      </c>
      <c r="AE61" s="1">
        <f>IF(OR(AE$52=0,AD12="",AE12=""),0,IFERROR(IF(AND(INDEX(Arten,MATCH(AD12,Codes,0))="Arbeit",INDEX(Arten,MATCH(AE12,Codes,0))="Arbeit"),IF(ROUND((1+INDEX(Beginne,MATCH(AE12,Codes,0))-INDEX(EndeRel,MATCH(AD12,Codes,0)))*1440,0)&lt;660,1,0),0),0))</f>
      </c>
      <c r="AF61" s="1">
        <f>IF(OR(AF$52=0,AE12="",AF12=""),0,IFERROR(IF(AND(INDEX(Arten,MATCH(AE12,Codes,0))="Arbeit",INDEX(Arten,MATCH(AF12,Codes,0))="Arbeit"),IF(ROUND((1+INDEX(Beginne,MATCH(AF12,Codes,0))-INDEX(EndeRel,MATCH(AE12,Codes,0)))*1440,0)&lt;660,1,0),0),0))</f>
      </c>
    </row>
    <row r="62" hidden="1" spans="1:32" x14ac:dyDescent="0.25">
      <c r="A62" s="1"/>
      <c r="B62" s="1">
        <f>IF(OR(B$52=0,INDEX('Juni'!$B$13:$AF$13,DAY(DATE(Jahr,7,0)))="",B13=""),0,IFERROR(IF(AND(INDEX(Arten,MATCH(INDEX('Juni'!$B$13:$AF$13,DAY(DATE(Jahr,7,0))),Codes,0))="Arbeit",INDEX(Arten,MATCH(B13,Codes,0))="Arbeit"),IF(ROUND((1+INDEX(Beginne,MATCH(B13,Codes,0))-INDEX(EndeRel,MATCH(INDEX('Juni'!$B$13:$AF$13,DAY(DATE(Jahr,7,0))),Codes,0)))*1440,0)&lt;660,1,0),0),0))</f>
      </c>
      <c r="C62" s="1">
        <f>IF(OR(C$52=0,B13="",C13=""),0,IFERROR(IF(AND(INDEX(Arten,MATCH(B13,Codes,0))="Arbeit",INDEX(Arten,MATCH(C13,Codes,0))="Arbeit"),IF(ROUND((1+INDEX(Beginne,MATCH(C13,Codes,0))-INDEX(EndeRel,MATCH(B13,Codes,0)))*1440,0)&lt;660,1,0),0),0))</f>
      </c>
      <c r="D62" s="1">
        <f>IF(OR(D$52=0,C13="",D13=""),0,IFERROR(IF(AND(INDEX(Arten,MATCH(C13,Codes,0))="Arbeit",INDEX(Arten,MATCH(D13,Codes,0))="Arbeit"),IF(ROUND((1+INDEX(Beginne,MATCH(D13,Codes,0))-INDEX(EndeRel,MATCH(C13,Codes,0)))*1440,0)&lt;660,1,0),0),0))</f>
      </c>
      <c r="E62" s="1">
        <f>IF(OR(E$52=0,D13="",E13=""),0,IFERROR(IF(AND(INDEX(Arten,MATCH(D13,Codes,0))="Arbeit",INDEX(Arten,MATCH(E13,Codes,0))="Arbeit"),IF(ROUND((1+INDEX(Beginne,MATCH(E13,Codes,0))-INDEX(EndeRel,MATCH(D13,Codes,0)))*1440,0)&lt;660,1,0),0),0))</f>
      </c>
      <c r="F62" s="1">
        <f>IF(OR(F$52=0,E13="",F13=""),0,IFERROR(IF(AND(INDEX(Arten,MATCH(E13,Codes,0))="Arbeit",INDEX(Arten,MATCH(F13,Codes,0))="Arbeit"),IF(ROUND((1+INDEX(Beginne,MATCH(F13,Codes,0))-INDEX(EndeRel,MATCH(E13,Codes,0)))*1440,0)&lt;660,1,0),0),0))</f>
      </c>
      <c r="G62" s="1">
        <f>IF(OR(G$52=0,F13="",G13=""),0,IFERROR(IF(AND(INDEX(Arten,MATCH(F13,Codes,0))="Arbeit",INDEX(Arten,MATCH(G13,Codes,0))="Arbeit"),IF(ROUND((1+INDEX(Beginne,MATCH(G13,Codes,0))-INDEX(EndeRel,MATCH(F13,Codes,0)))*1440,0)&lt;660,1,0),0),0))</f>
      </c>
      <c r="H62" s="1">
        <f>IF(OR(H$52=0,G13="",H13=""),0,IFERROR(IF(AND(INDEX(Arten,MATCH(G13,Codes,0))="Arbeit",INDEX(Arten,MATCH(H13,Codes,0))="Arbeit"),IF(ROUND((1+INDEX(Beginne,MATCH(H13,Codes,0))-INDEX(EndeRel,MATCH(G13,Codes,0)))*1440,0)&lt;660,1,0),0),0))</f>
      </c>
      <c r="I62" s="1">
        <f>IF(OR(I$52=0,H13="",I13=""),0,IFERROR(IF(AND(INDEX(Arten,MATCH(H13,Codes,0))="Arbeit",INDEX(Arten,MATCH(I13,Codes,0))="Arbeit"),IF(ROUND((1+INDEX(Beginne,MATCH(I13,Codes,0))-INDEX(EndeRel,MATCH(H13,Codes,0)))*1440,0)&lt;660,1,0),0),0))</f>
      </c>
      <c r="J62" s="1">
        <f>IF(OR(J$52=0,I13="",J13=""),0,IFERROR(IF(AND(INDEX(Arten,MATCH(I13,Codes,0))="Arbeit",INDEX(Arten,MATCH(J13,Codes,0))="Arbeit"),IF(ROUND((1+INDEX(Beginne,MATCH(J13,Codes,0))-INDEX(EndeRel,MATCH(I13,Codes,0)))*1440,0)&lt;660,1,0),0),0))</f>
      </c>
      <c r="K62" s="1">
        <f>IF(OR(K$52=0,J13="",K13=""),0,IFERROR(IF(AND(INDEX(Arten,MATCH(J13,Codes,0))="Arbeit",INDEX(Arten,MATCH(K13,Codes,0))="Arbeit"),IF(ROUND((1+INDEX(Beginne,MATCH(K13,Codes,0))-INDEX(EndeRel,MATCH(J13,Codes,0)))*1440,0)&lt;660,1,0),0),0))</f>
      </c>
      <c r="L62" s="1">
        <f>IF(OR(L$52=0,K13="",L13=""),0,IFERROR(IF(AND(INDEX(Arten,MATCH(K13,Codes,0))="Arbeit",INDEX(Arten,MATCH(L13,Codes,0))="Arbeit"),IF(ROUND((1+INDEX(Beginne,MATCH(L13,Codes,0))-INDEX(EndeRel,MATCH(K13,Codes,0)))*1440,0)&lt;660,1,0),0),0))</f>
      </c>
      <c r="M62" s="1">
        <f>IF(OR(M$52=0,L13="",M13=""),0,IFERROR(IF(AND(INDEX(Arten,MATCH(L13,Codes,0))="Arbeit",INDEX(Arten,MATCH(M13,Codes,0))="Arbeit"),IF(ROUND((1+INDEX(Beginne,MATCH(M13,Codes,0))-INDEX(EndeRel,MATCH(L13,Codes,0)))*1440,0)&lt;660,1,0),0),0))</f>
      </c>
      <c r="N62" s="1">
        <f>IF(OR(N$52=0,M13="",N13=""),0,IFERROR(IF(AND(INDEX(Arten,MATCH(M13,Codes,0))="Arbeit",INDEX(Arten,MATCH(N13,Codes,0))="Arbeit"),IF(ROUND((1+INDEX(Beginne,MATCH(N13,Codes,0))-INDEX(EndeRel,MATCH(M13,Codes,0)))*1440,0)&lt;660,1,0),0),0))</f>
      </c>
      <c r="O62" s="1">
        <f>IF(OR(O$52=0,N13="",O13=""),0,IFERROR(IF(AND(INDEX(Arten,MATCH(N13,Codes,0))="Arbeit",INDEX(Arten,MATCH(O13,Codes,0))="Arbeit"),IF(ROUND((1+INDEX(Beginne,MATCH(O13,Codes,0))-INDEX(EndeRel,MATCH(N13,Codes,0)))*1440,0)&lt;660,1,0),0),0))</f>
      </c>
      <c r="P62" s="1">
        <f>IF(OR(P$52=0,O13="",P13=""),0,IFERROR(IF(AND(INDEX(Arten,MATCH(O13,Codes,0))="Arbeit",INDEX(Arten,MATCH(P13,Codes,0))="Arbeit"),IF(ROUND((1+INDEX(Beginne,MATCH(P13,Codes,0))-INDEX(EndeRel,MATCH(O13,Codes,0)))*1440,0)&lt;660,1,0),0),0))</f>
      </c>
      <c r="Q62" s="1">
        <f>IF(OR(Q$52=0,P13="",Q13=""),0,IFERROR(IF(AND(INDEX(Arten,MATCH(P13,Codes,0))="Arbeit",INDEX(Arten,MATCH(Q13,Codes,0))="Arbeit"),IF(ROUND((1+INDEX(Beginne,MATCH(Q13,Codes,0))-INDEX(EndeRel,MATCH(P13,Codes,0)))*1440,0)&lt;660,1,0),0),0))</f>
      </c>
      <c r="R62" s="1">
        <f>IF(OR(R$52=0,Q13="",R13=""),0,IFERROR(IF(AND(INDEX(Arten,MATCH(Q13,Codes,0))="Arbeit",INDEX(Arten,MATCH(R13,Codes,0))="Arbeit"),IF(ROUND((1+INDEX(Beginne,MATCH(R13,Codes,0))-INDEX(EndeRel,MATCH(Q13,Codes,0)))*1440,0)&lt;660,1,0),0),0))</f>
      </c>
      <c r="S62" s="1">
        <f>IF(OR(S$52=0,R13="",S13=""),0,IFERROR(IF(AND(INDEX(Arten,MATCH(R13,Codes,0))="Arbeit",INDEX(Arten,MATCH(S13,Codes,0))="Arbeit"),IF(ROUND((1+INDEX(Beginne,MATCH(S13,Codes,0))-INDEX(EndeRel,MATCH(R13,Codes,0)))*1440,0)&lt;660,1,0),0),0))</f>
      </c>
      <c r="T62" s="1">
        <f>IF(OR(T$52=0,S13="",T13=""),0,IFERROR(IF(AND(INDEX(Arten,MATCH(S13,Codes,0))="Arbeit",INDEX(Arten,MATCH(T13,Codes,0))="Arbeit"),IF(ROUND((1+INDEX(Beginne,MATCH(T13,Codes,0))-INDEX(EndeRel,MATCH(S13,Codes,0)))*1440,0)&lt;660,1,0),0),0))</f>
      </c>
      <c r="U62" s="1">
        <f>IF(OR(U$52=0,T13="",U13=""),0,IFERROR(IF(AND(INDEX(Arten,MATCH(T13,Codes,0))="Arbeit",INDEX(Arten,MATCH(U13,Codes,0))="Arbeit"),IF(ROUND((1+INDEX(Beginne,MATCH(U13,Codes,0))-INDEX(EndeRel,MATCH(T13,Codes,0)))*1440,0)&lt;660,1,0),0),0))</f>
      </c>
      <c r="V62" s="1">
        <f>IF(OR(V$52=0,U13="",V13=""),0,IFERROR(IF(AND(INDEX(Arten,MATCH(U13,Codes,0))="Arbeit",INDEX(Arten,MATCH(V13,Codes,0))="Arbeit"),IF(ROUND((1+INDEX(Beginne,MATCH(V13,Codes,0))-INDEX(EndeRel,MATCH(U13,Codes,0)))*1440,0)&lt;660,1,0),0),0))</f>
      </c>
      <c r="W62" s="1">
        <f>IF(OR(W$52=0,V13="",W13=""),0,IFERROR(IF(AND(INDEX(Arten,MATCH(V13,Codes,0))="Arbeit",INDEX(Arten,MATCH(W13,Codes,0))="Arbeit"),IF(ROUND((1+INDEX(Beginne,MATCH(W13,Codes,0))-INDEX(EndeRel,MATCH(V13,Codes,0)))*1440,0)&lt;660,1,0),0),0))</f>
      </c>
      <c r="X62" s="1">
        <f>IF(OR(X$52=0,W13="",X13=""),0,IFERROR(IF(AND(INDEX(Arten,MATCH(W13,Codes,0))="Arbeit",INDEX(Arten,MATCH(X13,Codes,0))="Arbeit"),IF(ROUND((1+INDEX(Beginne,MATCH(X13,Codes,0))-INDEX(EndeRel,MATCH(W13,Codes,0)))*1440,0)&lt;660,1,0),0),0))</f>
      </c>
      <c r="Y62" s="1">
        <f>IF(OR(Y$52=0,X13="",Y13=""),0,IFERROR(IF(AND(INDEX(Arten,MATCH(X13,Codes,0))="Arbeit",INDEX(Arten,MATCH(Y13,Codes,0))="Arbeit"),IF(ROUND((1+INDEX(Beginne,MATCH(Y13,Codes,0))-INDEX(EndeRel,MATCH(X13,Codes,0)))*1440,0)&lt;660,1,0),0),0))</f>
      </c>
      <c r="Z62" s="1">
        <f>IF(OR(Z$52=0,Y13="",Z13=""),0,IFERROR(IF(AND(INDEX(Arten,MATCH(Y13,Codes,0))="Arbeit",INDEX(Arten,MATCH(Z13,Codes,0))="Arbeit"),IF(ROUND((1+INDEX(Beginne,MATCH(Z13,Codes,0))-INDEX(EndeRel,MATCH(Y13,Codes,0)))*1440,0)&lt;660,1,0),0),0))</f>
      </c>
      <c r="AA62" s="1">
        <f>IF(OR(AA$52=0,Z13="",AA13=""),0,IFERROR(IF(AND(INDEX(Arten,MATCH(Z13,Codes,0))="Arbeit",INDEX(Arten,MATCH(AA13,Codes,0))="Arbeit"),IF(ROUND((1+INDEX(Beginne,MATCH(AA13,Codes,0))-INDEX(EndeRel,MATCH(Z13,Codes,0)))*1440,0)&lt;660,1,0),0),0))</f>
      </c>
      <c r="AB62" s="1">
        <f>IF(OR(AB$52=0,AA13="",AB13=""),0,IFERROR(IF(AND(INDEX(Arten,MATCH(AA13,Codes,0))="Arbeit",INDEX(Arten,MATCH(AB13,Codes,0))="Arbeit"),IF(ROUND((1+INDEX(Beginne,MATCH(AB13,Codes,0))-INDEX(EndeRel,MATCH(AA13,Codes,0)))*1440,0)&lt;660,1,0),0),0))</f>
      </c>
      <c r="AC62" s="1">
        <f>IF(OR(AC$52=0,AB13="",AC13=""),0,IFERROR(IF(AND(INDEX(Arten,MATCH(AB13,Codes,0))="Arbeit",INDEX(Arten,MATCH(AC13,Codes,0))="Arbeit"),IF(ROUND((1+INDEX(Beginne,MATCH(AC13,Codes,0))-INDEX(EndeRel,MATCH(AB13,Codes,0)))*1440,0)&lt;660,1,0),0),0))</f>
      </c>
      <c r="AD62" s="1">
        <f>IF(OR(AD$52=0,AC13="",AD13=""),0,IFERROR(IF(AND(INDEX(Arten,MATCH(AC13,Codes,0))="Arbeit",INDEX(Arten,MATCH(AD13,Codes,0))="Arbeit"),IF(ROUND((1+INDEX(Beginne,MATCH(AD13,Codes,0))-INDEX(EndeRel,MATCH(AC13,Codes,0)))*1440,0)&lt;660,1,0),0),0))</f>
      </c>
      <c r="AE62" s="1">
        <f>IF(OR(AE$52=0,AD13="",AE13=""),0,IFERROR(IF(AND(INDEX(Arten,MATCH(AD13,Codes,0))="Arbeit",INDEX(Arten,MATCH(AE13,Codes,0))="Arbeit"),IF(ROUND((1+INDEX(Beginne,MATCH(AE13,Codes,0))-INDEX(EndeRel,MATCH(AD13,Codes,0)))*1440,0)&lt;660,1,0),0),0))</f>
      </c>
      <c r="AF62" s="1">
        <f>IF(OR(AF$52=0,AE13="",AF13=""),0,IFERROR(IF(AND(INDEX(Arten,MATCH(AE13,Codes,0))="Arbeit",INDEX(Arten,MATCH(AF13,Codes,0))="Arbeit"),IF(ROUND((1+INDEX(Beginne,MATCH(AF13,Codes,0))-INDEX(EndeRel,MATCH(AE13,Codes,0)))*1440,0)&lt;660,1,0),0),0))</f>
      </c>
    </row>
    <row r="63" hidden="1" spans="1:32" x14ac:dyDescent="0.25">
      <c r="A63" s="1"/>
      <c r="B63" s="1">
        <f>IF(OR(B$52=0,INDEX('Juni'!$B$14:$AF$14,DAY(DATE(Jahr,7,0)))="",B14=""),0,IFERROR(IF(AND(INDEX(Arten,MATCH(INDEX('Juni'!$B$14:$AF$14,DAY(DATE(Jahr,7,0))),Codes,0))="Arbeit",INDEX(Arten,MATCH(B14,Codes,0))="Arbeit"),IF(ROUND((1+INDEX(Beginne,MATCH(B14,Codes,0))-INDEX(EndeRel,MATCH(INDEX('Juni'!$B$14:$AF$14,DAY(DATE(Jahr,7,0))),Codes,0)))*1440,0)&lt;660,1,0),0),0))</f>
      </c>
      <c r="C63" s="1">
        <f>IF(OR(C$52=0,B14="",C14=""),0,IFERROR(IF(AND(INDEX(Arten,MATCH(B14,Codes,0))="Arbeit",INDEX(Arten,MATCH(C14,Codes,0))="Arbeit"),IF(ROUND((1+INDEX(Beginne,MATCH(C14,Codes,0))-INDEX(EndeRel,MATCH(B14,Codes,0)))*1440,0)&lt;660,1,0),0),0))</f>
      </c>
      <c r="D63" s="1">
        <f>IF(OR(D$52=0,C14="",D14=""),0,IFERROR(IF(AND(INDEX(Arten,MATCH(C14,Codes,0))="Arbeit",INDEX(Arten,MATCH(D14,Codes,0))="Arbeit"),IF(ROUND((1+INDEX(Beginne,MATCH(D14,Codes,0))-INDEX(EndeRel,MATCH(C14,Codes,0)))*1440,0)&lt;660,1,0),0),0))</f>
      </c>
      <c r="E63" s="1">
        <f>IF(OR(E$52=0,D14="",E14=""),0,IFERROR(IF(AND(INDEX(Arten,MATCH(D14,Codes,0))="Arbeit",INDEX(Arten,MATCH(E14,Codes,0))="Arbeit"),IF(ROUND((1+INDEX(Beginne,MATCH(E14,Codes,0))-INDEX(EndeRel,MATCH(D14,Codes,0)))*1440,0)&lt;660,1,0),0),0))</f>
      </c>
      <c r="F63" s="1">
        <f>IF(OR(F$52=0,E14="",F14=""),0,IFERROR(IF(AND(INDEX(Arten,MATCH(E14,Codes,0))="Arbeit",INDEX(Arten,MATCH(F14,Codes,0))="Arbeit"),IF(ROUND((1+INDEX(Beginne,MATCH(F14,Codes,0))-INDEX(EndeRel,MATCH(E14,Codes,0)))*1440,0)&lt;660,1,0),0),0))</f>
      </c>
      <c r="G63" s="1">
        <f>IF(OR(G$52=0,F14="",G14=""),0,IFERROR(IF(AND(INDEX(Arten,MATCH(F14,Codes,0))="Arbeit",INDEX(Arten,MATCH(G14,Codes,0))="Arbeit"),IF(ROUND((1+INDEX(Beginne,MATCH(G14,Codes,0))-INDEX(EndeRel,MATCH(F14,Codes,0)))*1440,0)&lt;660,1,0),0),0))</f>
      </c>
      <c r="H63" s="1">
        <f>IF(OR(H$52=0,G14="",H14=""),0,IFERROR(IF(AND(INDEX(Arten,MATCH(G14,Codes,0))="Arbeit",INDEX(Arten,MATCH(H14,Codes,0))="Arbeit"),IF(ROUND((1+INDEX(Beginne,MATCH(H14,Codes,0))-INDEX(EndeRel,MATCH(G14,Codes,0)))*1440,0)&lt;660,1,0),0),0))</f>
      </c>
      <c r="I63" s="1">
        <f>IF(OR(I$52=0,H14="",I14=""),0,IFERROR(IF(AND(INDEX(Arten,MATCH(H14,Codes,0))="Arbeit",INDEX(Arten,MATCH(I14,Codes,0))="Arbeit"),IF(ROUND((1+INDEX(Beginne,MATCH(I14,Codes,0))-INDEX(EndeRel,MATCH(H14,Codes,0)))*1440,0)&lt;660,1,0),0),0))</f>
      </c>
      <c r="J63" s="1">
        <f>IF(OR(J$52=0,I14="",J14=""),0,IFERROR(IF(AND(INDEX(Arten,MATCH(I14,Codes,0))="Arbeit",INDEX(Arten,MATCH(J14,Codes,0))="Arbeit"),IF(ROUND((1+INDEX(Beginne,MATCH(J14,Codes,0))-INDEX(EndeRel,MATCH(I14,Codes,0)))*1440,0)&lt;660,1,0),0),0))</f>
      </c>
      <c r="K63" s="1">
        <f>IF(OR(K$52=0,J14="",K14=""),0,IFERROR(IF(AND(INDEX(Arten,MATCH(J14,Codes,0))="Arbeit",INDEX(Arten,MATCH(K14,Codes,0))="Arbeit"),IF(ROUND((1+INDEX(Beginne,MATCH(K14,Codes,0))-INDEX(EndeRel,MATCH(J14,Codes,0)))*1440,0)&lt;660,1,0),0),0))</f>
      </c>
      <c r="L63" s="1">
        <f>IF(OR(L$52=0,K14="",L14=""),0,IFERROR(IF(AND(INDEX(Arten,MATCH(K14,Codes,0))="Arbeit",INDEX(Arten,MATCH(L14,Codes,0))="Arbeit"),IF(ROUND((1+INDEX(Beginne,MATCH(L14,Codes,0))-INDEX(EndeRel,MATCH(K14,Codes,0)))*1440,0)&lt;660,1,0),0),0))</f>
      </c>
      <c r="M63" s="1">
        <f>IF(OR(M$52=0,L14="",M14=""),0,IFERROR(IF(AND(INDEX(Arten,MATCH(L14,Codes,0))="Arbeit",INDEX(Arten,MATCH(M14,Codes,0))="Arbeit"),IF(ROUND((1+INDEX(Beginne,MATCH(M14,Codes,0))-INDEX(EndeRel,MATCH(L14,Codes,0)))*1440,0)&lt;660,1,0),0),0))</f>
      </c>
      <c r="N63" s="1">
        <f>IF(OR(N$52=0,M14="",N14=""),0,IFERROR(IF(AND(INDEX(Arten,MATCH(M14,Codes,0))="Arbeit",INDEX(Arten,MATCH(N14,Codes,0))="Arbeit"),IF(ROUND((1+INDEX(Beginne,MATCH(N14,Codes,0))-INDEX(EndeRel,MATCH(M14,Codes,0)))*1440,0)&lt;660,1,0),0),0))</f>
      </c>
      <c r="O63" s="1">
        <f>IF(OR(O$52=0,N14="",O14=""),0,IFERROR(IF(AND(INDEX(Arten,MATCH(N14,Codes,0))="Arbeit",INDEX(Arten,MATCH(O14,Codes,0))="Arbeit"),IF(ROUND((1+INDEX(Beginne,MATCH(O14,Codes,0))-INDEX(EndeRel,MATCH(N14,Codes,0)))*1440,0)&lt;660,1,0),0),0))</f>
      </c>
      <c r="P63" s="1">
        <f>IF(OR(P$52=0,O14="",P14=""),0,IFERROR(IF(AND(INDEX(Arten,MATCH(O14,Codes,0))="Arbeit",INDEX(Arten,MATCH(P14,Codes,0))="Arbeit"),IF(ROUND((1+INDEX(Beginne,MATCH(P14,Codes,0))-INDEX(EndeRel,MATCH(O14,Codes,0)))*1440,0)&lt;660,1,0),0),0))</f>
      </c>
      <c r="Q63" s="1">
        <f>IF(OR(Q$52=0,P14="",Q14=""),0,IFERROR(IF(AND(INDEX(Arten,MATCH(P14,Codes,0))="Arbeit",INDEX(Arten,MATCH(Q14,Codes,0))="Arbeit"),IF(ROUND((1+INDEX(Beginne,MATCH(Q14,Codes,0))-INDEX(EndeRel,MATCH(P14,Codes,0)))*1440,0)&lt;660,1,0),0),0))</f>
      </c>
      <c r="R63" s="1">
        <f>IF(OR(R$52=0,Q14="",R14=""),0,IFERROR(IF(AND(INDEX(Arten,MATCH(Q14,Codes,0))="Arbeit",INDEX(Arten,MATCH(R14,Codes,0))="Arbeit"),IF(ROUND((1+INDEX(Beginne,MATCH(R14,Codes,0))-INDEX(EndeRel,MATCH(Q14,Codes,0)))*1440,0)&lt;660,1,0),0),0))</f>
      </c>
      <c r="S63" s="1">
        <f>IF(OR(S$52=0,R14="",S14=""),0,IFERROR(IF(AND(INDEX(Arten,MATCH(R14,Codes,0))="Arbeit",INDEX(Arten,MATCH(S14,Codes,0))="Arbeit"),IF(ROUND((1+INDEX(Beginne,MATCH(S14,Codes,0))-INDEX(EndeRel,MATCH(R14,Codes,0)))*1440,0)&lt;660,1,0),0),0))</f>
      </c>
      <c r="T63" s="1">
        <f>IF(OR(T$52=0,S14="",T14=""),0,IFERROR(IF(AND(INDEX(Arten,MATCH(S14,Codes,0))="Arbeit",INDEX(Arten,MATCH(T14,Codes,0))="Arbeit"),IF(ROUND((1+INDEX(Beginne,MATCH(T14,Codes,0))-INDEX(EndeRel,MATCH(S14,Codes,0)))*1440,0)&lt;660,1,0),0),0))</f>
      </c>
      <c r="U63" s="1">
        <f>IF(OR(U$52=0,T14="",U14=""),0,IFERROR(IF(AND(INDEX(Arten,MATCH(T14,Codes,0))="Arbeit",INDEX(Arten,MATCH(U14,Codes,0))="Arbeit"),IF(ROUND((1+INDEX(Beginne,MATCH(U14,Codes,0))-INDEX(EndeRel,MATCH(T14,Codes,0)))*1440,0)&lt;660,1,0),0),0))</f>
      </c>
      <c r="V63" s="1">
        <f>IF(OR(V$52=0,U14="",V14=""),0,IFERROR(IF(AND(INDEX(Arten,MATCH(U14,Codes,0))="Arbeit",INDEX(Arten,MATCH(V14,Codes,0))="Arbeit"),IF(ROUND((1+INDEX(Beginne,MATCH(V14,Codes,0))-INDEX(EndeRel,MATCH(U14,Codes,0)))*1440,0)&lt;660,1,0),0),0))</f>
      </c>
      <c r="W63" s="1">
        <f>IF(OR(W$52=0,V14="",W14=""),0,IFERROR(IF(AND(INDEX(Arten,MATCH(V14,Codes,0))="Arbeit",INDEX(Arten,MATCH(W14,Codes,0))="Arbeit"),IF(ROUND((1+INDEX(Beginne,MATCH(W14,Codes,0))-INDEX(EndeRel,MATCH(V14,Codes,0)))*1440,0)&lt;660,1,0),0),0))</f>
      </c>
      <c r="X63" s="1">
        <f>IF(OR(X$52=0,W14="",X14=""),0,IFERROR(IF(AND(INDEX(Arten,MATCH(W14,Codes,0))="Arbeit",INDEX(Arten,MATCH(X14,Codes,0))="Arbeit"),IF(ROUND((1+INDEX(Beginne,MATCH(X14,Codes,0))-INDEX(EndeRel,MATCH(W14,Codes,0)))*1440,0)&lt;660,1,0),0),0))</f>
      </c>
      <c r="Y63" s="1">
        <f>IF(OR(Y$52=0,X14="",Y14=""),0,IFERROR(IF(AND(INDEX(Arten,MATCH(X14,Codes,0))="Arbeit",INDEX(Arten,MATCH(Y14,Codes,0))="Arbeit"),IF(ROUND((1+INDEX(Beginne,MATCH(Y14,Codes,0))-INDEX(EndeRel,MATCH(X14,Codes,0)))*1440,0)&lt;660,1,0),0),0))</f>
      </c>
      <c r="Z63" s="1">
        <f>IF(OR(Z$52=0,Y14="",Z14=""),0,IFERROR(IF(AND(INDEX(Arten,MATCH(Y14,Codes,0))="Arbeit",INDEX(Arten,MATCH(Z14,Codes,0))="Arbeit"),IF(ROUND((1+INDEX(Beginne,MATCH(Z14,Codes,0))-INDEX(EndeRel,MATCH(Y14,Codes,0)))*1440,0)&lt;660,1,0),0),0))</f>
      </c>
      <c r="AA63" s="1">
        <f>IF(OR(AA$52=0,Z14="",AA14=""),0,IFERROR(IF(AND(INDEX(Arten,MATCH(Z14,Codes,0))="Arbeit",INDEX(Arten,MATCH(AA14,Codes,0))="Arbeit"),IF(ROUND((1+INDEX(Beginne,MATCH(AA14,Codes,0))-INDEX(EndeRel,MATCH(Z14,Codes,0)))*1440,0)&lt;660,1,0),0),0))</f>
      </c>
      <c r="AB63" s="1">
        <f>IF(OR(AB$52=0,AA14="",AB14=""),0,IFERROR(IF(AND(INDEX(Arten,MATCH(AA14,Codes,0))="Arbeit",INDEX(Arten,MATCH(AB14,Codes,0))="Arbeit"),IF(ROUND((1+INDEX(Beginne,MATCH(AB14,Codes,0))-INDEX(EndeRel,MATCH(AA14,Codes,0)))*1440,0)&lt;660,1,0),0),0))</f>
      </c>
      <c r="AC63" s="1">
        <f>IF(OR(AC$52=0,AB14="",AC14=""),0,IFERROR(IF(AND(INDEX(Arten,MATCH(AB14,Codes,0))="Arbeit",INDEX(Arten,MATCH(AC14,Codes,0))="Arbeit"),IF(ROUND((1+INDEX(Beginne,MATCH(AC14,Codes,0))-INDEX(EndeRel,MATCH(AB14,Codes,0)))*1440,0)&lt;660,1,0),0),0))</f>
      </c>
      <c r="AD63" s="1">
        <f>IF(OR(AD$52=0,AC14="",AD14=""),0,IFERROR(IF(AND(INDEX(Arten,MATCH(AC14,Codes,0))="Arbeit",INDEX(Arten,MATCH(AD14,Codes,0))="Arbeit"),IF(ROUND((1+INDEX(Beginne,MATCH(AD14,Codes,0))-INDEX(EndeRel,MATCH(AC14,Codes,0)))*1440,0)&lt;660,1,0),0),0))</f>
      </c>
      <c r="AE63" s="1">
        <f>IF(OR(AE$52=0,AD14="",AE14=""),0,IFERROR(IF(AND(INDEX(Arten,MATCH(AD14,Codes,0))="Arbeit",INDEX(Arten,MATCH(AE14,Codes,0))="Arbeit"),IF(ROUND((1+INDEX(Beginne,MATCH(AE14,Codes,0))-INDEX(EndeRel,MATCH(AD14,Codes,0)))*1440,0)&lt;660,1,0),0),0))</f>
      </c>
      <c r="AF63" s="1">
        <f>IF(OR(AF$52=0,AE14="",AF14=""),0,IFERROR(IF(AND(INDEX(Arten,MATCH(AE14,Codes,0))="Arbeit",INDEX(Arten,MATCH(AF14,Codes,0))="Arbeit"),IF(ROUND((1+INDEX(Beginne,MATCH(AF14,Codes,0))-INDEX(EndeRel,MATCH(AE14,Codes,0)))*1440,0)&lt;660,1,0),0),0))</f>
      </c>
    </row>
    <row r="64" hidden="1" spans="1:32" x14ac:dyDescent="0.25">
      <c r="A64" s="1"/>
      <c r="B64" s="1">
        <f>IF(OR(B$52=0,INDEX('Juni'!$B$15:$AF$15,DAY(DATE(Jahr,7,0)))="",B15=""),0,IFERROR(IF(AND(INDEX(Arten,MATCH(INDEX('Juni'!$B$15:$AF$15,DAY(DATE(Jahr,7,0))),Codes,0))="Arbeit",INDEX(Arten,MATCH(B15,Codes,0))="Arbeit"),IF(ROUND((1+INDEX(Beginne,MATCH(B15,Codes,0))-INDEX(EndeRel,MATCH(INDEX('Juni'!$B$15:$AF$15,DAY(DATE(Jahr,7,0))),Codes,0)))*1440,0)&lt;660,1,0),0),0))</f>
      </c>
      <c r="C64" s="1">
        <f>IF(OR(C$52=0,B15="",C15=""),0,IFERROR(IF(AND(INDEX(Arten,MATCH(B15,Codes,0))="Arbeit",INDEX(Arten,MATCH(C15,Codes,0))="Arbeit"),IF(ROUND((1+INDEX(Beginne,MATCH(C15,Codes,0))-INDEX(EndeRel,MATCH(B15,Codes,0)))*1440,0)&lt;660,1,0),0),0))</f>
      </c>
      <c r="D64" s="1">
        <f>IF(OR(D$52=0,C15="",D15=""),0,IFERROR(IF(AND(INDEX(Arten,MATCH(C15,Codes,0))="Arbeit",INDEX(Arten,MATCH(D15,Codes,0))="Arbeit"),IF(ROUND((1+INDEX(Beginne,MATCH(D15,Codes,0))-INDEX(EndeRel,MATCH(C15,Codes,0)))*1440,0)&lt;660,1,0),0),0))</f>
      </c>
      <c r="E64" s="1">
        <f>IF(OR(E$52=0,D15="",E15=""),0,IFERROR(IF(AND(INDEX(Arten,MATCH(D15,Codes,0))="Arbeit",INDEX(Arten,MATCH(E15,Codes,0))="Arbeit"),IF(ROUND((1+INDEX(Beginne,MATCH(E15,Codes,0))-INDEX(EndeRel,MATCH(D15,Codes,0)))*1440,0)&lt;660,1,0),0),0))</f>
      </c>
      <c r="F64" s="1">
        <f>IF(OR(F$52=0,E15="",F15=""),0,IFERROR(IF(AND(INDEX(Arten,MATCH(E15,Codes,0))="Arbeit",INDEX(Arten,MATCH(F15,Codes,0))="Arbeit"),IF(ROUND((1+INDEX(Beginne,MATCH(F15,Codes,0))-INDEX(EndeRel,MATCH(E15,Codes,0)))*1440,0)&lt;660,1,0),0),0))</f>
      </c>
      <c r="G64" s="1">
        <f>IF(OR(G$52=0,F15="",G15=""),0,IFERROR(IF(AND(INDEX(Arten,MATCH(F15,Codes,0))="Arbeit",INDEX(Arten,MATCH(G15,Codes,0))="Arbeit"),IF(ROUND((1+INDEX(Beginne,MATCH(G15,Codes,0))-INDEX(EndeRel,MATCH(F15,Codes,0)))*1440,0)&lt;660,1,0),0),0))</f>
      </c>
      <c r="H64" s="1">
        <f>IF(OR(H$52=0,G15="",H15=""),0,IFERROR(IF(AND(INDEX(Arten,MATCH(G15,Codes,0))="Arbeit",INDEX(Arten,MATCH(H15,Codes,0))="Arbeit"),IF(ROUND((1+INDEX(Beginne,MATCH(H15,Codes,0))-INDEX(EndeRel,MATCH(G15,Codes,0)))*1440,0)&lt;660,1,0),0),0))</f>
      </c>
      <c r="I64" s="1">
        <f>IF(OR(I$52=0,H15="",I15=""),0,IFERROR(IF(AND(INDEX(Arten,MATCH(H15,Codes,0))="Arbeit",INDEX(Arten,MATCH(I15,Codes,0))="Arbeit"),IF(ROUND((1+INDEX(Beginne,MATCH(I15,Codes,0))-INDEX(EndeRel,MATCH(H15,Codes,0)))*1440,0)&lt;660,1,0),0),0))</f>
      </c>
      <c r="J64" s="1">
        <f>IF(OR(J$52=0,I15="",J15=""),0,IFERROR(IF(AND(INDEX(Arten,MATCH(I15,Codes,0))="Arbeit",INDEX(Arten,MATCH(J15,Codes,0))="Arbeit"),IF(ROUND((1+INDEX(Beginne,MATCH(J15,Codes,0))-INDEX(EndeRel,MATCH(I15,Codes,0)))*1440,0)&lt;660,1,0),0),0))</f>
      </c>
      <c r="K64" s="1">
        <f>IF(OR(K$52=0,J15="",K15=""),0,IFERROR(IF(AND(INDEX(Arten,MATCH(J15,Codes,0))="Arbeit",INDEX(Arten,MATCH(K15,Codes,0))="Arbeit"),IF(ROUND((1+INDEX(Beginne,MATCH(K15,Codes,0))-INDEX(EndeRel,MATCH(J15,Codes,0)))*1440,0)&lt;660,1,0),0),0))</f>
      </c>
      <c r="L64" s="1">
        <f>IF(OR(L$52=0,K15="",L15=""),0,IFERROR(IF(AND(INDEX(Arten,MATCH(K15,Codes,0))="Arbeit",INDEX(Arten,MATCH(L15,Codes,0))="Arbeit"),IF(ROUND((1+INDEX(Beginne,MATCH(L15,Codes,0))-INDEX(EndeRel,MATCH(K15,Codes,0)))*1440,0)&lt;660,1,0),0),0))</f>
      </c>
      <c r="M64" s="1">
        <f>IF(OR(M$52=0,L15="",M15=""),0,IFERROR(IF(AND(INDEX(Arten,MATCH(L15,Codes,0))="Arbeit",INDEX(Arten,MATCH(M15,Codes,0))="Arbeit"),IF(ROUND((1+INDEX(Beginne,MATCH(M15,Codes,0))-INDEX(EndeRel,MATCH(L15,Codes,0)))*1440,0)&lt;660,1,0),0),0))</f>
      </c>
      <c r="N64" s="1">
        <f>IF(OR(N$52=0,M15="",N15=""),0,IFERROR(IF(AND(INDEX(Arten,MATCH(M15,Codes,0))="Arbeit",INDEX(Arten,MATCH(N15,Codes,0))="Arbeit"),IF(ROUND((1+INDEX(Beginne,MATCH(N15,Codes,0))-INDEX(EndeRel,MATCH(M15,Codes,0)))*1440,0)&lt;660,1,0),0),0))</f>
      </c>
      <c r="O64" s="1">
        <f>IF(OR(O$52=0,N15="",O15=""),0,IFERROR(IF(AND(INDEX(Arten,MATCH(N15,Codes,0))="Arbeit",INDEX(Arten,MATCH(O15,Codes,0))="Arbeit"),IF(ROUND((1+INDEX(Beginne,MATCH(O15,Codes,0))-INDEX(EndeRel,MATCH(N15,Codes,0)))*1440,0)&lt;660,1,0),0),0))</f>
      </c>
      <c r="P64" s="1">
        <f>IF(OR(P$52=0,O15="",P15=""),0,IFERROR(IF(AND(INDEX(Arten,MATCH(O15,Codes,0))="Arbeit",INDEX(Arten,MATCH(P15,Codes,0))="Arbeit"),IF(ROUND((1+INDEX(Beginne,MATCH(P15,Codes,0))-INDEX(EndeRel,MATCH(O15,Codes,0)))*1440,0)&lt;660,1,0),0),0))</f>
      </c>
      <c r="Q64" s="1">
        <f>IF(OR(Q$52=0,P15="",Q15=""),0,IFERROR(IF(AND(INDEX(Arten,MATCH(P15,Codes,0))="Arbeit",INDEX(Arten,MATCH(Q15,Codes,0))="Arbeit"),IF(ROUND((1+INDEX(Beginne,MATCH(Q15,Codes,0))-INDEX(EndeRel,MATCH(P15,Codes,0)))*1440,0)&lt;660,1,0),0),0))</f>
      </c>
      <c r="R64" s="1">
        <f>IF(OR(R$52=0,Q15="",R15=""),0,IFERROR(IF(AND(INDEX(Arten,MATCH(Q15,Codes,0))="Arbeit",INDEX(Arten,MATCH(R15,Codes,0))="Arbeit"),IF(ROUND((1+INDEX(Beginne,MATCH(R15,Codes,0))-INDEX(EndeRel,MATCH(Q15,Codes,0)))*1440,0)&lt;660,1,0),0),0))</f>
      </c>
      <c r="S64" s="1">
        <f>IF(OR(S$52=0,R15="",S15=""),0,IFERROR(IF(AND(INDEX(Arten,MATCH(R15,Codes,0))="Arbeit",INDEX(Arten,MATCH(S15,Codes,0))="Arbeit"),IF(ROUND((1+INDEX(Beginne,MATCH(S15,Codes,0))-INDEX(EndeRel,MATCH(R15,Codes,0)))*1440,0)&lt;660,1,0),0),0))</f>
      </c>
      <c r="T64" s="1">
        <f>IF(OR(T$52=0,S15="",T15=""),0,IFERROR(IF(AND(INDEX(Arten,MATCH(S15,Codes,0))="Arbeit",INDEX(Arten,MATCH(T15,Codes,0))="Arbeit"),IF(ROUND((1+INDEX(Beginne,MATCH(T15,Codes,0))-INDEX(EndeRel,MATCH(S15,Codes,0)))*1440,0)&lt;660,1,0),0),0))</f>
      </c>
      <c r="U64" s="1">
        <f>IF(OR(U$52=0,T15="",U15=""),0,IFERROR(IF(AND(INDEX(Arten,MATCH(T15,Codes,0))="Arbeit",INDEX(Arten,MATCH(U15,Codes,0))="Arbeit"),IF(ROUND((1+INDEX(Beginne,MATCH(U15,Codes,0))-INDEX(EndeRel,MATCH(T15,Codes,0)))*1440,0)&lt;660,1,0),0),0))</f>
      </c>
      <c r="V64" s="1">
        <f>IF(OR(V$52=0,U15="",V15=""),0,IFERROR(IF(AND(INDEX(Arten,MATCH(U15,Codes,0))="Arbeit",INDEX(Arten,MATCH(V15,Codes,0))="Arbeit"),IF(ROUND((1+INDEX(Beginne,MATCH(V15,Codes,0))-INDEX(EndeRel,MATCH(U15,Codes,0)))*1440,0)&lt;660,1,0),0),0))</f>
      </c>
      <c r="W64" s="1">
        <f>IF(OR(W$52=0,V15="",W15=""),0,IFERROR(IF(AND(INDEX(Arten,MATCH(V15,Codes,0))="Arbeit",INDEX(Arten,MATCH(W15,Codes,0))="Arbeit"),IF(ROUND((1+INDEX(Beginne,MATCH(W15,Codes,0))-INDEX(EndeRel,MATCH(V15,Codes,0)))*1440,0)&lt;660,1,0),0),0))</f>
      </c>
      <c r="X64" s="1">
        <f>IF(OR(X$52=0,W15="",X15=""),0,IFERROR(IF(AND(INDEX(Arten,MATCH(W15,Codes,0))="Arbeit",INDEX(Arten,MATCH(X15,Codes,0))="Arbeit"),IF(ROUND((1+INDEX(Beginne,MATCH(X15,Codes,0))-INDEX(EndeRel,MATCH(W15,Codes,0)))*1440,0)&lt;660,1,0),0),0))</f>
      </c>
      <c r="Y64" s="1">
        <f>IF(OR(Y$52=0,X15="",Y15=""),0,IFERROR(IF(AND(INDEX(Arten,MATCH(X15,Codes,0))="Arbeit",INDEX(Arten,MATCH(Y15,Codes,0))="Arbeit"),IF(ROUND((1+INDEX(Beginne,MATCH(Y15,Codes,0))-INDEX(EndeRel,MATCH(X15,Codes,0)))*1440,0)&lt;660,1,0),0),0))</f>
      </c>
      <c r="Z64" s="1">
        <f>IF(OR(Z$52=0,Y15="",Z15=""),0,IFERROR(IF(AND(INDEX(Arten,MATCH(Y15,Codes,0))="Arbeit",INDEX(Arten,MATCH(Z15,Codes,0))="Arbeit"),IF(ROUND((1+INDEX(Beginne,MATCH(Z15,Codes,0))-INDEX(EndeRel,MATCH(Y15,Codes,0)))*1440,0)&lt;660,1,0),0),0))</f>
      </c>
      <c r="AA64" s="1">
        <f>IF(OR(AA$52=0,Z15="",AA15=""),0,IFERROR(IF(AND(INDEX(Arten,MATCH(Z15,Codes,0))="Arbeit",INDEX(Arten,MATCH(AA15,Codes,0))="Arbeit"),IF(ROUND((1+INDEX(Beginne,MATCH(AA15,Codes,0))-INDEX(EndeRel,MATCH(Z15,Codes,0)))*1440,0)&lt;660,1,0),0),0))</f>
      </c>
      <c r="AB64" s="1">
        <f>IF(OR(AB$52=0,AA15="",AB15=""),0,IFERROR(IF(AND(INDEX(Arten,MATCH(AA15,Codes,0))="Arbeit",INDEX(Arten,MATCH(AB15,Codes,0))="Arbeit"),IF(ROUND((1+INDEX(Beginne,MATCH(AB15,Codes,0))-INDEX(EndeRel,MATCH(AA15,Codes,0)))*1440,0)&lt;660,1,0),0),0))</f>
      </c>
      <c r="AC64" s="1">
        <f>IF(OR(AC$52=0,AB15="",AC15=""),0,IFERROR(IF(AND(INDEX(Arten,MATCH(AB15,Codes,0))="Arbeit",INDEX(Arten,MATCH(AC15,Codes,0))="Arbeit"),IF(ROUND((1+INDEX(Beginne,MATCH(AC15,Codes,0))-INDEX(EndeRel,MATCH(AB15,Codes,0)))*1440,0)&lt;660,1,0),0),0))</f>
      </c>
      <c r="AD64" s="1">
        <f>IF(OR(AD$52=0,AC15="",AD15=""),0,IFERROR(IF(AND(INDEX(Arten,MATCH(AC15,Codes,0))="Arbeit",INDEX(Arten,MATCH(AD15,Codes,0))="Arbeit"),IF(ROUND((1+INDEX(Beginne,MATCH(AD15,Codes,0))-INDEX(EndeRel,MATCH(AC15,Codes,0)))*1440,0)&lt;660,1,0),0),0))</f>
      </c>
      <c r="AE64" s="1">
        <f>IF(OR(AE$52=0,AD15="",AE15=""),0,IFERROR(IF(AND(INDEX(Arten,MATCH(AD15,Codes,0))="Arbeit",INDEX(Arten,MATCH(AE15,Codes,0))="Arbeit"),IF(ROUND((1+INDEX(Beginne,MATCH(AE15,Codes,0))-INDEX(EndeRel,MATCH(AD15,Codes,0)))*1440,0)&lt;660,1,0),0),0))</f>
      </c>
      <c r="AF64" s="1">
        <f>IF(OR(AF$52=0,AE15="",AF15=""),0,IFERROR(IF(AND(INDEX(Arten,MATCH(AE15,Codes,0))="Arbeit",INDEX(Arten,MATCH(AF15,Codes,0))="Arbeit"),IF(ROUND((1+INDEX(Beginne,MATCH(AF15,Codes,0))-INDEX(EndeRel,MATCH(AE15,Codes,0)))*1440,0)&lt;660,1,0),0),0))</f>
      </c>
    </row>
    <row r="65" hidden="1" spans="1:32" x14ac:dyDescent="0.25">
      <c r="A65" s="1"/>
      <c r="B65" s="1">
        <f>IF(OR(B$52=0,INDEX('Juni'!$B$16:$AF$16,DAY(DATE(Jahr,7,0)))="",B16=""),0,IFERROR(IF(AND(INDEX(Arten,MATCH(INDEX('Juni'!$B$16:$AF$16,DAY(DATE(Jahr,7,0))),Codes,0))="Arbeit",INDEX(Arten,MATCH(B16,Codes,0))="Arbeit"),IF(ROUND((1+INDEX(Beginne,MATCH(B16,Codes,0))-INDEX(EndeRel,MATCH(INDEX('Juni'!$B$16:$AF$16,DAY(DATE(Jahr,7,0))),Codes,0)))*1440,0)&lt;660,1,0),0),0))</f>
      </c>
      <c r="C65" s="1">
        <f>IF(OR(C$52=0,B16="",C16=""),0,IFERROR(IF(AND(INDEX(Arten,MATCH(B16,Codes,0))="Arbeit",INDEX(Arten,MATCH(C16,Codes,0))="Arbeit"),IF(ROUND((1+INDEX(Beginne,MATCH(C16,Codes,0))-INDEX(EndeRel,MATCH(B16,Codes,0)))*1440,0)&lt;660,1,0),0),0))</f>
      </c>
      <c r="D65" s="1">
        <f>IF(OR(D$52=0,C16="",D16=""),0,IFERROR(IF(AND(INDEX(Arten,MATCH(C16,Codes,0))="Arbeit",INDEX(Arten,MATCH(D16,Codes,0))="Arbeit"),IF(ROUND((1+INDEX(Beginne,MATCH(D16,Codes,0))-INDEX(EndeRel,MATCH(C16,Codes,0)))*1440,0)&lt;660,1,0),0),0))</f>
      </c>
      <c r="E65" s="1">
        <f>IF(OR(E$52=0,D16="",E16=""),0,IFERROR(IF(AND(INDEX(Arten,MATCH(D16,Codes,0))="Arbeit",INDEX(Arten,MATCH(E16,Codes,0))="Arbeit"),IF(ROUND((1+INDEX(Beginne,MATCH(E16,Codes,0))-INDEX(EndeRel,MATCH(D16,Codes,0)))*1440,0)&lt;660,1,0),0),0))</f>
      </c>
      <c r="F65" s="1">
        <f>IF(OR(F$52=0,E16="",F16=""),0,IFERROR(IF(AND(INDEX(Arten,MATCH(E16,Codes,0))="Arbeit",INDEX(Arten,MATCH(F16,Codes,0))="Arbeit"),IF(ROUND((1+INDEX(Beginne,MATCH(F16,Codes,0))-INDEX(EndeRel,MATCH(E16,Codes,0)))*1440,0)&lt;660,1,0),0),0))</f>
      </c>
      <c r="G65" s="1">
        <f>IF(OR(G$52=0,F16="",G16=""),0,IFERROR(IF(AND(INDEX(Arten,MATCH(F16,Codes,0))="Arbeit",INDEX(Arten,MATCH(G16,Codes,0))="Arbeit"),IF(ROUND((1+INDEX(Beginne,MATCH(G16,Codes,0))-INDEX(EndeRel,MATCH(F16,Codes,0)))*1440,0)&lt;660,1,0),0),0))</f>
      </c>
      <c r="H65" s="1">
        <f>IF(OR(H$52=0,G16="",H16=""),0,IFERROR(IF(AND(INDEX(Arten,MATCH(G16,Codes,0))="Arbeit",INDEX(Arten,MATCH(H16,Codes,0))="Arbeit"),IF(ROUND((1+INDEX(Beginne,MATCH(H16,Codes,0))-INDEX(EndeRel,MATCH(G16,Codes,0)))*1440,0)&lt;660,1,0),0),0))</f>
      </c>
      <c r="I65" s="1">
        <f>IF(OR(I$52=0,H16="",I16=""),0,IFERROR(IF(AND(INDEX(Arten,MATCH(H16,Codes,0))="Arbeit",INDEX(Arten,MATCH(I16,Codes,0))="Arbeit"),IF(ROUND((1+INDEX(Beginne,MATCH(I16,Codes,0))-INDEX(EndeRel,MATCH(H16,Codes,0)))*1440,0)&lt;660,1,0),0),0))</f>
      </c>
      <c r="J65" s="1">
        <f>IF(OR(J$52=0,I16="",J16=""),0,IFERROR(IF(AND(INDEX(Arten,MATCH(I16,Codes,0))="Arbeit",INDEX(Arten,MATCH(J16,Codes,0))="Arbeit"),IF(ROUND((1+INDEX(Beginne,MATCH(J16,Codes,0))-INDEX(EndeRel,MATCH(I16,Codes,0)))*1440,0)&lt;660,1,0),0),0))</f>
      </c>
      <c r="K65" s="1">
        <f>IF(OR(K$52=0,J16="",K16=""),0,IFERROR(IF(AND(INDEX(Arten,MATCH(J16,Codes,0))="Arbeit",INDEX(Arten,MATCH(K16,Codes,0))="Arbeit"),IF(ROUND((1+INDEX(Beginne,MATCH(K16,Codes,0))-INDEX(EndeRel,MATCH(J16,Codes,0)))*1440,0)&lt;660,1,0),0),0))</f>
      </c>
      <c r="L65" s="1">
        <f>IF(OR(L$52=0,K16="",L16=""),0,IFERROR(IF(AND(INDEX(Arten,MATCH(K16,Codes,0))="Arbeit",INDEX(Arten,MATCH(L16,Codes,0))="Arbeit"),IF(ROUND((1+INDEX(Beginne,MATCH(L16,Codes,0))-INDEX(EndeRel,MATCH(K16,Codes,0)))*1440,0)&lt;660,1,0),0),0))</f>
      </c>
      <c r="M65" s="1">
        <f>IF(OR(M$52=0,L16="",M16=""),0,IFERROR(IF(AND(INDEX(Arten,MATCH(L16,Codes,0))="Arbeit",INDEX(Arten,MATCH(M16,Codes,0))="Arbeit"),IF(ROUND((1+INDEX(Beginne,MATCH(M16,Codes,0))-INDEX(EndeRel,MATCH(L16,Codes,0)))*1440,0)&lt;660,1,0),0),0))</f>
      </c>
      <c r="N65" s="1">
        <f>IF(OR(N$52=0,M16="",N16=""),0,IFERROR(IF(AND(INDEX(Arten,MATCH(M16,Codes,0))="Arbeit",INDEX(Arten,MATCH(N16,Codes,0))="Arbeit"),IF(ROUND((1+INDEX(Beginne,MATCH(N16,Codes,0))-INDEX(EndeRel,MATCH(M16,Codes,0)))*1440,0)&lt;660,1,0),0),0))</f>
      </c>
      <c r="O65" s="1">
        <f>IF(OR(O$52=0,N16="",O16=""),0,IFERROR(IF(AND(INDEX(Arten,MATCH(N16,Codes,0))="Arbeit",INDEX(Arten,MATCH(O16,Codes,0))="Arbeit"),IF(ROUND((1+INDEX(Beginne,MATCH(O16,Codes,0))-INDEX(EndeRel,MATCH(N16,Codes,0)))*1440,0)&lt;660,1,0),0),0))</f>
      </c>
      <c r="P65" s="1">
        <f>IF(OR(P$52=0,O16="",P16=""),0,IFERROR(IF(AND(INDEX(Arten,MATCH(O16,Codes,0))="Arbeit",INDEX(Arten,MATCH(P16,Codes,0))="Arbeit"),IF(ROUND((1+INDEX(Beginne,MATCH(P16,Codes,0))-INDEX(EndeRel,MATCH(O16,Codes,0)))*1440,0)&lt;660,1,0),0),0))</f>
      </c>
      <c r="Q65" s="1">
        <f>IF(OR(Q$52=0,P16="",Q16=""),0,IFERROR(IF(AND(INDEX(Arten,MATCH(P16,Codes,0))="Arbeit",INDEX(Arten,MATCH(Q16,Codes,0))="Arbeit"),IF(ROUND((1+INDEX(Beginne,MATCH(Q16,Codes,0))-INDEX(EndeRel,MATCH(P16,Codes,0)))*1440,0)&lt;660,1,0),0),0))</f>
      </c>
      <c r="R65" s="1">
        <f>IF(OR(R$52=0,Q16="",R16=""),0,IFERROR(IF(AND(INDEX(Arten,MATCH(Q16,Codes,0))="Arbeit",INDEX(Arten,MATCH(R16,Codes,0))="Arbeit"),IF(ROUND((1+INDEX(Beginne,MATCH(R16,Codes,0))-INDEX(EndeRel,MATCH(Q16,Codes,0)))*1440,0)&lt;660,1,0),0),0))</f>
      </c>
      <c r="S65" s="1">
        <f>IF(OR(S$52=0,R16="",S16=""),0,IFERROR(IF(AND(INDEX(Arten,MATCH(R16,Codes,0))="Arbeit",INDEX(Arten,MATCH(S16,Codes,0))="Arbeit"),IF(ROUND((1+INDEX(Beginne,MATCH(S16,Codes,0))-INDEX(EndeRel,MATCH(R16,Codes,0)))*1440,0)&lt;660,1,0),0),0))</f>
      </c>
      <c r="T65" s="1">
        <f>IF(OR(T$52=0,S16="",T16=""),0,IFERROR(IF(AND(INDEX(Arten,MATCH(S16,Codes,0))="Arbeit",INDEX(Arten,MATCH(T16,Codes,0))="Arbeit"),IF(ROUND((1+INDEX(Beginne,MATCH(T16,Codes,0))-INDEX(EndeRel,MATCH(S16,Codes,0)))*1440,0)&lt;660,1,0),0),0))</f>
      </c>
      <c r="U65" s="1">
        <f>IF(OR(U$52=0,T16="",U16=""),0,IFERROR(IF(AND(INDEX(Arten,MATCH(T16,Codes,0))="Arbeit",INDEX(Arten,MATCH(U16,Codes,0))="Arbeit"),IF(ROUND((1+INDEX(Beginne,MATCH(U16,Codes,0))-INDEX(EndeRel,MATCH(T16,Codes,0)))*1440,0)&lt;660,1,0),0),0))</f>
      </c>
      <c r="V65" s="1">
        <f>IF(OR(V$52=0,U16="",V16=""),0,IFERROR(IF(AND(INDEX(Arten,MATCH(U16,Codes,0))="Arbeit",INDEX(Arten,MATCH(V16,Codes,0))="Arbeit"),IF(ROUND((1+INDEX(Beginne,MATCH(V16,Codes,0))-INDEX(EndeRel,MATCH(U16,Codes,0)))*1440,0)&lt;660,1,0),0),0))</f>
      </c>
      <c r="W65" s="1">
        <f>IF(OR(W$52=0,V16="",W16=""),0,IFERROR(IF(AND(INDEX(Arten,MATCH(V16,Codes,0))="Arbeit",INDEX(Arten,MATCH(W16,Codes,0))="Arbeit"),IF(ROUND((1+INDEX(Beginne,MATCH(W16,Codes,0))-INDEX(EndeRel,MATCH(V16,Codes,0)))*1440,0)&lt;660,1,0),0),0))</f>
      </c>
      <c r="X65" s="1">
        <f>IF(OR(X$52=0,W16="",X16=""),0,IFERROR(IF(AND(INDEX(Arten,MATCH(W16,Codes,0))="Arbeit",INDEX(Arten,MATCH(X16,Codes,0))="Arbeit"),IF(ROUND((1+INDEX(Beginne,MATCH(X16,Codes,0))-INDEX(EndeRel,MATCH(W16,Codes,0)))*1440,0)&lt;660,1,0),0),0))</f>
      </c>
      <c r="Y65" s="1">
        <f>IF(OR(Y$52=0,X16="",Y16=""),0,IFERROR(IF(AND(INDEX(Arten,MATCH(X16,Codes,0))="Arbeit",INDEX(Arten,MATCH(Y16,Codes,0))="Arbeit"),IF(ROUND((1+INDEX(Beginne,MATCH(Y16,Codes,0))-INDEX(EndeRel,MATCH(X16,Codes,0)))*1440,0)&lt;660,1,0),0),0))</f>
      </c>
      <c r="Z65" s="1">
        <f>IF(OR(Z$52=0,Y16="",Z16=""),0,IFERROR(IF(AND(INDEX(Arten,MATCH(Y16,Codes,0))="Arbeit",INDEX(Arten,MATCH(Z16,Codes,0))="Arbeit"),IF(ROUND((1+INDEX(Beginne,MATCH(Z16,Codes,0))-INDEX(EndeRel,MATCH(Y16,Codes,0)))*1440,0)&lt;660,1,0),0),0))</f>
      </c>
      <c r="AA65" s="1">
        <f>IF(OR(AA$52=0,Z16="",AA16=""),0,IFERROR(IF(AND(INDEX(Arten,MATCH(Z16,Codes,0))="Arbeit",INDEX(Arten,MATCH(AA16,Codes,0))="Arbeit"),IF(ROUND((1+INDEX(Beginne,MATCH(AA16,Codes,0))-INDEX(EndeRel,MATCH(Z16,Codes,0)))*1440,0)&lt;660,1,0),0),0))</f>
      </c>
      <c r="AB65" s="1">
        <f>IF(OR(AB$52=0,AA16="",AB16=""),0,IFERROR(IF(AND(INDEX(Arten,MATCH(AA16,Codes,0))="Arbeit",INDEX(Arten,MATCH(AB16,Codes,0))="Arbeit"),IF(ROUND((1+INDEX(Beginne,MATCH(AB16,Codes,0))-INDEX(EndeRel,MATCH(AA16,Codes,0)))*1440,0)&lt;660,1,0),0),0))</f>
      </c>
      <c r="AC65" s="1">
        <f>IF(OR(AC$52=0,AB16="",AC16=""),0,IFERROR(IF(AND(INDEX(Arten,MATCH(AB16,Codes,0))="Arbeit",INDEX(Arten,MATCH(AC16,Codes,0))="Arbeit"),IF(ROUND((1+INDEX(Beginne,MATCH(AC16,Codes,0))-INDEX(EndeRel,MATCH(AB16,Codes,0)))*1440,0)&lt;660,1,0),0),0))</f>
      </c>
      <c r="AD65" s="1">
        <f>IF(OR(AD$52=0,AC16="",AD16=""),0,IFERROR(IF(AND(INDEX(Arten,MATCH(AC16,Codes,0))="Arbeit",INDEX(Arten,MATCH(AD16,Codes,0))="Arbeit"),IF(ROUND((1+INDEX(Beginne,MATCH(AD16,Codes,0))-INDEX(EndeRel,MATCH(AC16,Codes,0)))*1440,0)&lt;660,1,0),0),0))</f>
      </c>
      <c r="AE65" s="1">
        <f>IF(OR(AE$52=0,AD16="",AE16=""),0,IFERROR(IF(AND(INDEX(Arten,MATCH(AD16,Codes,0))="Arbeit",INDEX(Arten,MATCH(AE16,Codes,0))="Arbeit"),IF(ROUND((1+INDEX(Beginne,MATCH(AE16,Codes,0))-INDEX(EndeRel,MATCH(AD16,Codes,0)))*1440,0)&lt;660,1,0),0),0))</f>
      </c>
      <c r="AF65" s="1">
        <f>IF(OR(AF$52=0,AE16="",AF16=""),0,IFERROR(IF(AND(INDEX(Arten,MATCH(AE16,Codes,0))="Arbeit",INDEX(Arten,MATCH(AF16,Codes,0))="Arbeit"),IF(ROUND((1+INDEX(Beginne,MATCH(AF16,Codes,0))-INDEX(EndeRel,MATCH(AE16,Codes,0)))*1440,0)&lt;660,1,0),0),0))</f>
      </c>
    </row>
    <row r="66" hidden="1" spans="1:32" x14ac:dyDescent="0.25">
      <c r="A66" s="1"/>
      <c r="B66" s="1">
        <f>IF(OR(B$52=0,INDEX('Juni'!$B$17:$AF$17,DAY(DATE(Jahr,7,0)))="",B17=""),0,IFERROR(IF(AND(INDEX(Arten,MATCH(INDEX('Juni'!$B$17:$AF$17,DAY(DATE(Jahr,7,0))),Codes,0))="Arbeit",INDEX(Arten,MATCH(B17,Codes,0))="Arbeit"),IF(ROUND((1+INDEX(Beginne,MATCH(B17,Codes,0))-INDEX(EndeRel,MATCH(INDEX('Juni'!$B$17:$AF$17,DAY(DATE(Jahr,7,0))),Codes,0)))*1440,0)&lt;660,1,0),0),0))</f>
      </c>
      <c r="C66" s="1">
        <f>IF(OR(C$52=0,B17="",C17=""),0,IFERROR(IF(AND(INDEX(Arten,MATCH(B17,Codes,0))="Arbeit",INDEX(Arten,MATCH(C17,Codes,0))="Arbeit"),IF(ROUND((1+INDEX(Beginne,MATCH(C17,Codes,0))-INDEX(EndeRel,MATCH(B17,Codes,0)))*1440,0)&lt;660,1,0),0),0))</f>
      </c>
      <c r="D66" s="1">
        <f>IF(OR(D$52=0,C17="",D17=""),0,IFERROR(IF(AND(INDEX(Arten,MATCH(C17,Codes,0))="Arbeit",INDEX(Arten,MATCH(D17,Codes,0))="Arbeit"),IF(ROUND((1+INDEX(Beginne,MATCH(D17,Codes,0))-INDEX(EndeRel,MATCH(C17,Codes,0)))*1440,0)&lt;660,1,0),0),0))</f>
      </c>
      <c r="E66" s="1">
        <f>IF(OR(E$52=0,D17="",E17=""),0,IFERROR(IF(AND(INDEX(Arten,MATCH(D17,Codes,0))="Arbeit",INDEX(Arten,MATCH(E17,Codes,0))="Arbeit"),IF(ROUND((1+INDEX(Beginne,MATCH(E17,Codes,0))-INDEX(EndeRel,MATCH(D17,Codes,0)))*1440,0)&lt;660,1,0),0),0))</f>
      </c>
      <c r="F66" s="1">
        <f>IF(OR(F$52=0,E17="",F17=""),0,IFERROR(IF(AND(INDEX(Arten,MATCH(E17,Codes,0))="Arbeit",INDEX(Arten,MATCH(F17,Codes,0))="Arbeit"),IF(ROUND((1+INDEX(Beginne,MATCH(F17,Codes,0))-INDEX(EndeRel,MATCH(E17,Codes,0)))*1440,0)&lt;660,1,0),0),0))</f>
      </c>
      <c r="G66" s="1">
        <f>IF(OR(G$52=0,F17="",G17=""),0,IFERROR(IF(AND(INDEX(Arten,MATCH(F17,Codes,0))="Arbeit",INDEX(Arten,MATCH(G17,Codes,0))="Arbeit"),IF(ROUND((1+INDEX(Beginne,MATCH(G17,Codes,0))-INDEX(EndeRel,MATCH(F17,Codes,0)))*1440,0)&lt;660,1,0),0),0))</f>
      </c>
      <c r="H66" s="1">
        <f>IF(OR(H$52=0,G17="",H17=""),0,IFERROR(IF(AND(INDEX(Arten,MATCH(G17,Codes,0))="Arbeit",INDEX(Arten,MATCH(H17,Codes,0))="Arbeit"),IF(ROUND((1+INDEX(Beginne,MATCH(H17,Codes,0))-INDEX(EndeRel,MATCH(G17,Codes,0)))*1440,0)&lt;660,1,0),0),0))</f>
      </c>
      <c r="I66" s="1">
        <f>IF(OR(I$52=0,H17="",I17=""),0,IFERROR(IF(AND(INDEX(Arten,MATCH(H17,Codes,0))="Arbeit",INDEX(Arten,MATCH(I17,Codes,0))="Arbeit"),IF(ROUND((1+INDEX(Beginne,MATCH(I17,Codes,0))-INDEX(EndeRel,MATCH(H17,Codes,0)))*1440,0)&lt;660,1,0),0),0))</f>
      </c>
      <c r="J66" s="1">
        <f>IF(OR(J$52=0,I17="",J17=""),0,IFERROR(IF(AND(INDEX(Arten,MATCH(I17,Codes,0))="Arbeit",INDEX(Arten,MATCH(J17,Codes,0))="Arbeit"),IF(ROUND((1+INDEX(Beginne,MATCH(J17,Codes,0))-INDEX(EndeRel,MATCH(I17,Codes,0)))*1440,0)&lt;660,1,0),0),0))</f>
      </c>
      <c r="K66" s="1">
        <f>IF(OR(K$52=0,J17="",K17=""),0,IFERROR(IF(AND(INDEX(Arten,MATCH(J17,Codes,0))="Arbeit",INDEX(Arten,MATCH(K17,Codes,0))="Arbeit"),IF(ROUND((1+INDEX(Beginne,MATCH(K17,Codes,0))-INDEX(EndeRel,MATCH(J17,Codes,0)))*1440,0)&lt;660,1,0),0),0))</f>
      </c>
      <c r="L66" s="1">
        <f>IF(OR(L$52=0,K17="",L17=""),0,IFERROR(IF(AND(INDEX(Arten,MATCH(K17,Codes,0))="Arbeit",INDEX(Arten,MATCH(L17,Codes,0))="Arbeit"),IF(ROUND((1+INDEX(Beginne,MATCH(L17,Codes,0))-INDEX(EndeRel,MATCH(K17,Codes,0)))*1440,0)&lt;660,1,0),0),0))</f>
      </c>
      <c r="M66" s="1">
        <f>IF(OR(M$52=0,L17="",M17=""),0,IFERROR(IF(AND(INDEX(Arten,MATCH(L17,Codes,0))="Arbeit",INDEX(Arten,MATCH(M17,Codes,0))="Arbeit"),IF(ROUND((1+INDEX(Beginne,MATCH(M17,Codes,0))-INDEX(EndeRel,MATCH(L17,Codes,0)))*1440,0)&lt;660,1,0),0),0))</f>
      </c>
      <c r="N66" s="1">
        <f>IF(OR(N$52=0,M17="",N17=""),0,IFERROR(IF(AND(INDEX(Arten,MATCH(M17,Codes,0))="Arbeit",INDEX(Arten,MATCH(N17,Codes,0))="Arbeit"),IF(ROUND((1+INDEX(Beginne,MATCH(N17,Codes,0))-INDEX(EndeRel,MATCH(M17,Codes,0)))*1440,0)&lt;660,1,0),0),0))</f>
      </c>
      <c r="O66" s="1">
        <f>IF(OR(O$52=0,N17="",O17=""),0,IFERROR(IF(AND(INDEX(Arten,MATCH(N17,Codes,0))="Arbeit",INDEX(Arten,MATCH(O17,Codes,0))="Arbeit"),IF(ROUND((1+INDEX(Beginne,MATCH(O17,Codes,0))-INDEX(EndeRel,MATCH(N17,Codes,0)))*1440,0)&lt;660,1,0),0),0))</f>
      </c>
      <c r="P66" s="1">
        <f>IF(OR(P$52=0,O17="",P17=""),0,IFERROR(IF(AND(INDEX(Arten,MATCH(O17,Codes,0))="Arbeit",INDEX(Arten,MATCH(P17,Codes,0))="Arbeit"),IF(ROUND((1+INDEX(Beginne,MATCH(P17,Codes,0))-INDEX(EndeRel,MATCH(O17,Codes,0)))*1440,0)&lt;660,1,0),0),0))</f>
      </c>
      <c r="Q66" s="1">
        <f>IF(OR(Q$52=0,P17="",Q17=""),0,IFERROR(IF(AND(INDEX(Arten,MATCH(P17,Codes,0))="Arbeit",INDEX(Arten,MATCH(Q17,Codes,0))="Arbeit"),IF(ROUND((1+INDEX(Beginne,MATCH(Q17,Codes,0))-INDEX(EndeRel,MATCH(P17,Codes,0)))*1440,0)&lt;660,1,0),0),0))</f>
      </c>
      <c r="R66" s="1">
        <f>IF(OR(R$52=0,Q17="",R17=""),0,IFERROR(IF(AND(INDEX(Arten,MATCH(Q17,Codes,0))="Arbeit",INDEX(Arten,MATCH(R17,Codes,0))="Arbeit"),IF(ROUND((1+INDEX(Beginne,MATCH(R17,Codes,0))-INDEX(EndeRel,MATCH(Q17,Codes,0)))*1440,0)&lt;660,1,0),0),0))</f>
      </c>
      <c r="S66" s="1">
        <f>IF(OR(S$52=0,R17="",S17=""),0,IFERROR(IF(AND(INDEX(Arten,MATCH(R17,Codes,0))="Arbeit",INDEX(Arten,MATCH(S17,Codes,0))="Arbeit"),IF(ROUND((1+INDEX(Beginne,MATCH(S17,Codes,0))-INDEX(EndeRel,MATCH(R17,Codes,0)))*1440,0)&lt;660,1,0),0),0))</f>
      </c>
      <c r="T66" s="1">
        <f>IF(OR(T$52=0,S17="",T17=""),0,IFERROR(IF(AND(INDEX(Arten,MATCH(S17,Codes,0))="Arbeit",INDEX(Arten,MATCH(T17,Codes,0))="Arbeit"),IF(ROUND((1+INDEX(Beginne,MATCH(T17,Codes,0))-INDEX(EndeRel,MATCH(S17,Codes,0)))*1440,0)&lt;660,1,0),0),0))</f>
      </c>
      <c r="U66" s="1">
        <f>IF(OR(U$52=0,T17="",U17=""),0,IFERROR(IF(AND(INDEX(Arten,MATCH(T17,Codes,0))="Arbeit",INDEX(Arten,MATCH(U17,Codes,0))="Arbeit"),IF(ROUND((1+INDEX(Beginne,MATCH(U17,Codes,0))-INDEX(EndeRel,MATCH(T17,Codes,0)))*1440,0)&lt;660,1,0),0),0))</f>
      </c>
      <c r="V66" s="1">
        <f>IF(OR(V$52=0,U17="",V17=""),0,IFERROR(IF(AND(INDEX(Arten,MATCH(U17,Codes,0))="Arbeit",INDEX(Arten,MATCH(V17,Codes,0))="Arbeit"),IF(ROUND((1+INDEX(Beginne,MATCH(V17,Codes,0))-INDEX(EndeRel,MATCH(U17,Codes,0)))*1440,0)&lt;660,1,0),0),0))</f>
      </c>
      <c r="W66" s="1">
        <f>IF(OR(W$52=0,V17="",W17=""),0,IFERROR(IF(AND(INDEX(Arten,MATCH(V17,Codes,0))="Arbeit",INDEX(Arten,MATCH(W17,Codes,0))="Arbeit"),IF(ROUND((1+INDEX(Beginne,MATCH(W17,Codes,0))-INDEX(EndeRel,MATCH(V17,Codes,0)))*1440,0)&lt;660,1,0),0),0))</f>
      </c>
      <c r="X66" s="1">
        <f>IF(OR(X$52=0,W17="",X17=""),0,IFERROR(IF(AND(INDEX(Arten,MATCH(W17,Codes,0))="Arbeit",INDEX(Arten,MATCH(X17,Codes,0))="Arbeit"),IF(ROUND((1+INDEX(Beginne,MATCH(X17,Codes,0))-INDEX(EndeRel,MATCH(W17,Codes,0)))*1440,0)&lt;660,1,0),0),0))</f>
      </c>
      <c r="Y66" s="1">
        <f>IF(OR(Y$52=0,X17="",Y17=""),0,IFERROR(IF(AND(INDEX(Arten,MATCH(X17,Codes,0))="Arbeit",INDEX(Arten,MATCH(Y17,Codes,0))="Arbeit"),IF(ROUND((1+INDEX(Beginne,MATCH(Y17,Codes,0))-INDEX(EndeRel,MATCH(X17,Codes,0)))*1440,0)&lt;660,1,0),0),0))</f>
      </c>
      <c r="Z66" s="1">
        <f>IF(OR(Z$52=0,Y17="",Z17=""),0,IFERROR(IF(AND(INDEX(Arten,MATCH(Y17,Codes,0))="Arbeit",INDEX(Arten,MATCH(Z17,Codes,0))="Arbeit"),IF(ROUND((1+INDEX(Beginne,MATCH(Z17,Codes,0))-INDEX(EndeRel,MATCH(Y17,Codes,0)))*1440,0)&lt;660,1,0),0),0))</f>
      </c>
      <c r="AA66" s="1">
        <f>IF(OR(AA$52=0,Z17="",AA17=""),0,IFERROR(IF(AND(INDEX(Arten,MATCH(Z17,Codes,0))="Arbeit",INDEX(Arten,MATCH(AA17,Codes,0))="Arbeit"),IF(ROUND((1+INDEX(Beginne,MATCH(AA17,Codes,0))-INDEX(EndeRel,MATCH(Z17,Codes,0)))*1440,0)&lt;660,1,0),0),0))</f>
      </c>
      <c r="AB66" s="1">
        <f>IF(OR(AB$52=0,AA17="",AB17=""),0,IFERROR(IF(AND(INDEX(Arten,MATCH(AA17,Codes,0))="Arbeit",INDEX(Arten,MATCH(AB17,Codes,0))="Arbeit"),IF(ROUND((1+INDEX(Beginne,MATCH(AB17,Codes,0))-INDEX(EndeRel,MATCH(AA17,Codes,0)))*1440,0)&lt;660,1,0),0),0))</f>
      </c>
      <c r="AC66" s="1">
        <f>IF(OR(AC$52=0,AB17="",AC17=""),0,IFERROR(IF(AND(INDEX(Arten,MATCH(AB17,Codes,0))="Arbeit",INDEX(Arten,MATCH(AC17,Codes,0))="Arbeit"),IF(ROUND((1+INDEX(Beginne,MATCH(AC17,Codes,0))-INDEX(EndeRel,MATCH(AB17,Codes,0)))*1440,0)&lt;660,1,0),0),0))</f>
      </c>
      <c r="AD66" s="1">
        <f>IF(OR(AD$52=0,AC17="",AD17=""),0,IFERROR(IF(AND(INDEX(Arten,MATCH(AC17,Codes,0))="Arbeit",INDEX(Arten,MATCH(AD17,Codes,0))="Arbeit"),IF(ROUND((1+INDEX(Beginne,MATCH(AD17,Codes,0))-INDEX(EndeRel,MATCH(AC17,Codes,0)))*1440,0)&lt;660,1,0),0),0))</f>
      </c>
      <c r="AE66" s="1">
        <f>IF(OR(AE$52=0,AD17="",AE17=""),0,IFERROR(IF(AND(INDEX(Arten,MATCH(AD17,Codes,0))="Arbeit",INDEX(Arten,MATCH(AE17,Codes,0))="Arbeit"),IF(ROUND((1+INDEX(Beginne,MATCH(AE17,Codes,0))-INDEX(EndeRel,MATCH(AD17,Codes,0)))*1440,0)&lt;660,1,0),0),0))</f>
      </c>
      <c r="AF66" s="1">
        <f>IF(OR(AF$52=0,AE17="",AF17=""),0,IFERROR(IF(AND(INDEX(Arten,MATCH(AE17,Codes,0))="Arbeit",INDEX(Arten,MATCH(AF17,Codes,0))="Arbeit"),IF(ROUND((1+INDEX(Beginne,MATCH(AF17,Codes,0))-INDEX(EndeRel,MATCH(AE17,Codes,0)))*1440,0)&lt;660,1,0),0),0))</f>
      </c>
    </row>
    <row r="67" hidden="1" spans="1:32" x14ac:dyDescent="0.25">
      <c r="A67" s="1"/>
      <c r="B67" s="1">
        <f>IF(OR(B$52=0,INDEX('Juni'!$B$18:$AF$18,DAY(DATE(Jahr,7,0)))="",B18=""),0,IFERROR(IF(AND(INDEX(Arten,MATCH(INDEX('Juni'!$B$18:$AF$18,DAY(DATE(Jahr,7,0))),Codes,0))="Arbeit",INDEX(Arten,MATCH(B18,Codes,0))="Arbeit"),IF(ROUND((1+INDEX(Beginne,MATCH(B18,Codes,0))-INDEX(EndeRel,MATCH(INDEX('Juni'!$B$18:$AF$18,DAY(DATE(Jahr,7,0))),Codes,0)))*1440,0)&lt;660,1,0),0),0))</f>
      </c>
      <c r="C67" s="1">
        <f>IF(OR(C$52=0,B18="",C18=""),0,IFERROR(IF(AND(INDEX(Arten,MATCH(B18,Codes,0))="Arbeit",INDEX(Arten,MATCH(C18,Codes,0))="Arbeit"),IF(ROUND((1+INDEX(Beginne,MATCH(C18,Codes,0))-INDEX(EndeRel,MATCH(B18,Codes,0)))*1440,0)&lt;660,1,0),0),0))</f>
      </c>
      <c r="D67" s="1">
        <f>IF(OR(D$52=0,C18="",D18=""),0,IFERROR(IF(AND(INDEX(Arten,MATCH(C18,Codes,0))="Arbeit",INDEX(Arten,MATCH(D18,Codes,0))="Arbeit"),IF(ROUND((1+INDEX(Beginne,MATCH(D18,Codes,0))-INDEX(EndeRel,MATCH(C18,Codes,0)))*1440,0)&lt;660,1,0),0),0))</f>
      </c>
      <c r="E67" s="1">
        <f>IF(OR(E$52=0,D18="",E18=""),0,IFERROR(IF(AND(INDEX(Arten,MATCH(D18,Codes,0))="Arbeit",INDEX(Arten,MATCH(E18,Codes,0))="Arbeit"),IF(ROUND((1+INDEX(Beginne,MATCH(E18,Codes,0))-INDEX(EndeRel,MATCH(D18,Codes,0)))*1440,0)&lt;660,1,0),0),0))</f>
      </c>
      <c r="F67" s="1">
        <f>IF(OR(F$52=0,E18="",F18=""),0,IFERROR(IF(AND(INDEX(Arten,MATCH(E18,Codes,0))="Arbeit",INDEX(Arten,MATCH(F18,Codes,0))="Arbeit"),IF(ROUND((1+INDEX(Beginne,MATCH(F18,Codes,0))-INDEX(EndeRel,MATCH(E18,Codes,0)))*1440,0)&lt;660,1,0),0),0))</f>
      </c>
      <c r="G67" s="1">
        <f>IF(OR(G$52=0,F18="",G18=""),0,IFERROR(IF(AND(INDEX(Arten,MATCH(F18,Codes,0))="Arbeit",INDEX(Arten,MATCH(G18,Codes,0))="Arbeit"),IF(ROUND((1+INDEX(Beginne,MATCH(G18,Codes,0))-INDEX(EndeRel,MATCH(F18,Codes,0)))*1440,0)&lt;660,1,0),0),0))</f>
      </c>
      <c r="H67" s="1">
        <f>IF(OR(H$52=0,G18="",H18=""),0,IFERROR(IF(AND(INDEX(Arten,MATCH(G18,Codes,0))="Arbeit",INDEX(Arten,MATCH(H18,Codes,0))="Arbeit"),IF(ROUND((1+INDEX(Beginne,MATCH(H18,Codes,0))-INDEX(EndeRel,MATCH(G18,Codes,0)))*1440,0)&lt;660,1,0),0),0))</f>
      </c>
      <c r="I67" s="1">
        <f>IF(OR(I$52=0,H18="",I18=""),0,IFERROR(IF(AND(INDEX(Arten,MATCH(H18,Codes,0))="Arbeit",INDEX(Arten,MATCH(I18,Codes,0))="Arbeit"),IF(ROUND((1+INDEX(Beginne,MATCH(I18,Codes,0))-INDEX(EndeRel,MATCH(H18,Codes,0)))*1440,0)&lt;660,1,0),0),0))</f>
      </c>
      <c r="J67" s="1">
        <f>IF(OR(J$52=0,I18="",J18=""),0,IFERROR(IF(AND(INDEX(Arten,MATCH(I18,Codes,0))="Arbeit",INDEX(Arten,MATCH(J18,Codes,0))="Arbeit"),IF(ROUND((1+INDEX(Beginne,MATCH(J18,Codes,0))-INDEX(EndeRel,MATCH(I18,Codes,0)))*1440,0)&lt;660,1,0),0),0))</f>
      </c>
      <c r="K67" s="1">
        <f>IF(OR(K$52=0,J18="",K18=""),0,IFERROR(IF(AND(INDEX(Arten,MATCH(J18,Codes,0))="Arbeit",INDEX(Arten,MATCH(K18,Codes,0))="Arbeit"),IF(ROUND((1+INDEX(Beginne,MATCH(K18,Codes,0))-INDEX(EndeRel,MATCH(J18,Codes,0)))*1440,0)&lt;660,1,0),0),0))</f>
      </c>
      <c r="L67" s="1">
        <f>IF(OR(L$52=0,K18="",L18=""),0,IFERROR(IF(AND(INDEX(Arten,MATCH(K18,Codes,0))="Arbeit",INDEX(Arten,MATCH(L18,Codes,0))="Arbeit"),IF(ROUND((1+INDEX(Beginne,MATCH(L18,Codes,0))-INDEX(EndeRel,MATCH(K18,Codes,0)))*1440,0)&lt;660,1,0),0),0))</f>
      </c>
      <c r="M67" s="1">
        <f>IF(OR(M$52=0,L18="",M18=""),0,IFERROR(IF(AND(INDEX(Arten,MATCH(L18,Codes,0))="Arbeit",INDEX(Arten,MATCH(M18,Codes,0))="Arbeit"),IF(ROUND((1+INDEX(Beginne,MATCH(M18,Codes,0))-INDEX(EndeRel,MATCH(L18,Codes,0)))*1440,0)&lt;660,1,0),0),0))</f>
      </c>
      <c r="N67" s="1">
        <f>IF(OR(N$52=0,M18="",N18=""),0,IFERROR(IF(AND(INDEX(Arten,MATCH(M18,Codes,0))="Arbeit",INDEX(Arten,MATCH(N18,Codes,0))="Arbeit"),IF(ROUND((1+INDEX(Beginne,MATCH(N18,Codes,0))-INDEX(EndeRel,MATCH(M18,Codes,0)))*1440,0)&lt;660,1,0),0),0))</f>
      </c>
      <c r="O67" s="1">
        <f>IF(OR(O$52=0,N18="",O18=""),0,IFERROR(IF(AND(INDEX(Arten,MATCH(N18,Codes,0))="Arbeit",INDEX(Arten,MATCH(O18,Codes,0))="Arbeit"),IF(ROUND((1+INDEX(Beginne,MATCH(O18,Codes,0))-INDEX(EndeRel,MATCH(N18,Codes,0)))*1440,0)&lt;660,1,0),0),0))</f>
      </c>
      <c r="P67" s="1">
        <f>IF(OR(P$52=0,O18="",P18=""),0,IFERROR(IF(AND(INDEX(Arten,MATCH(O18,Codes,0))="Arbeit",INDEX(Arten,MATCH(P18,Codes,0))="Arbeit"),IF(ROUND((1+INDEX(Beginne,MATCH(P18,Codes,0))-INDEX(EndeRel,MATCH(O18,Codes,0)))*1440,0)&lt;660,1,0),0),0))</f>
      </c>
      <c r="Q67" s="1">
        <f>IF(OR(Q$52=0,P18="",Q18=""),0,IFERROR(IF(AND(INDEX(Arten,MATCH(P18,Codes,0))="Arbeit",INDEX(Arten,MATCH(Q18,Codes,0))="Arbeit"),IF(ROUND((1+INDEX(Beginne,MATCH(Q18,Codes,0))-INDEX(EndeRel,MATCH(P18,Codes,0)))*1440,0)&lt;660,1,0),0),0))</f>
      </c>
      <c r="R67" s="1">
        <f>IF(OR(R$52=0,Q18="",R18=""),0,IFERROR(IF(AND(INDEX(Arten,MATCH(Q18,Codes,0))="Arbeit",INDEX(Arten,MATCH(R18,Codes,0))="Arbeit"),IF(ROUND((1+INDEX(Beginne,MATCH(R18,Codes,0))-INDEX(EndeRel,MATCH(Q18,Codes,0)))*1440,0)&lt;660,1,0),0),0))</f>
      </c>
      <c r="S67" s="1">
        <f>IF(OR(S$52=0,R18="",S18=""),0,IFERROR(IF(AND(INDEX(Arten,MATCH(R18,Codes,0))="Arbeit",INDEX(Arten,MATCH(S18,Codes,0))="Arbeit"),IF(ROUND((1+INDEX(Beginne,MATCH(S18,Codes,0))-INDEX(EndeRel,MATCH(R18,Codes,0)))*1440,0)&lt;660,1,0),0),0))</f>
      </c>
      <c r="T67" s="1">
        <f>IF(OR(T$52=0,S18="",T18=""),0,IFERROR(IF(AND(INDEX(Arten,MATCH(S18,Codes,0))="Arbeit",INDEX(Arten,MATCH(T18,Codes,0))="Arbeit"),IF(ROUND((1+INDEX(Beginne,MATCH(T18,Codes,0))-INDEX(EndeRel,MATCH(S18,Codes,0)))*1440,0)&lt;660,1,0),0),0))</f>
      </c>
      <c r="U67" s="1">
        <f>IF(OR(U$52=0,T18="",U18=""),0,IFERROR(IF(AND(INDEX(Arten,MATCH(T18,Codes,0))="Arbeit",INDEX(Arten,MATCH(U18,Codes,0))="Arbeit"),IF(ROUND((1+INDEX(Beginne,MATCH(U18,Codes,0))-INDEX(EndeRel,MATCH(T18,Codes,0)))*1440,0)&lt;660,1,0),0),0))</f>
      </c>
      <c r="V67" s="1">
        <f>IF(OR(V$52=0,U18="",V18=""),0,IFERROR(IF(AND(INDEX(Arten,MATCH(U18,Codes,0))="Arbeit",INDEX(Arten,MATCH(V18,Codes,0))="Arbeit"),IF(ROUND((1+INDEX(Beginne,MATCH(V18,Codes,0))-INDEX(EndeRel,MATCH(U18,Codes,0)))*1440,0)&lt;660,1,0),0),0))</f>
      </c>
      <c r="W67" s="1">
        <f>IF(OR(W$52=0,V18="",W18=""),0,IFERROR(IF(AND(INDEX(Arten,MATCH(V18,Codes,0))="Arbeit",INDEX(Arten,MATCH(W18,Codes,0))="Arbeit"),IF(ROUND((1+INDEX(Beginne,MATCH(W18,Codes,0))-INDEX(EndeRel,MATCH(V18,Codes,0)))*1440,0)&lt;660,1,0),0),0))</f>
      </c>
      <c r="X67" s="1">
        <f>IF(OR(X$52=0,W18="",X18=""),0,IFERROR(IF(AND(INDEX(Arten,MATCH(W18,Codes,0))="Arbeit",INDEX(Arten,MATCH(X18,Codes,0))="Arbeit"),IF(ROUND((1+INDEX(Beginne,MATCH(X18,Codes,0))-INDEX(EndeRel,MATCH(W18,Codes,0)))*1440,0)&lt;660,1,0),0),0))</f>
      </c>
      <c r="Y67" s="1">
        <f>IF(OR(Y$52=0,X18="",Y18=""),0,IFERROR(IF(AND(INDEX(Arten,MATCH(X18,Codes,0))="Arbeit",INDEX(Arten,MATCH(Y18,Codes,0))="Arbeit"),IF(ROUND((1+INDEX(Beginne,MATCH(Y18,Codes,0))-INDEX(EndeRel,MATCH(X18,Codes,0)))*1440,0)&lt;660,1,0),0),0))</f>
      </c>
      <c r="Z67" s="1">
        <f>IF(OR(Z$52=0,Y18="",Z18=""),0,IFERROR(IF(AND(INDEX(Arten,MATCH(Y18,Codes,0))="Arbeit",INDEX(Arten,MATCH(Z18,Codes,0))="Arbeit"),IF(ROUND((1+INDEX(Beginne,MATCH(Z18,Codes,0))-INDEX(EndeRel,MATCH(Y18,Codes,0)))*1440,0)&lt;660,1,0),0),0))</f>
      </c>
      <c r="AA67" s="1">
        <f>IF(OR(AA$52=0,Z18="",AA18=""),0,IFERROR(IF(AND(INDEX(Arten,MATCH(Z18,Codes,0))="Arbeit",INDEX(Arten,MATCH(AA18,Codes,0))="Arbeit"),IF(ROUND((1+INDEX(Beginne,MATCH(AA18,Codes,0))-INDEX(EndeRel,MATCH(Z18,Codes,0)))*1440,0)&lt;660,1,0),0),0))</f>
      </c>
      <c r="AB67" s="1">
        <f>IF(OR(AB$52=0,AA18="",AB18=""),0,IFERROR(IF(AND(INDEX(Arten,MATCH(AA18,Codes,0))="Arbeit",INDEX(Arten,MATCH(AB18,Codes,0))="Arbeit"),IF(ROUND((1+INDEX(Beginne,MATCH(AB18,Codes,0))-INDEX(EndeRel,MATCH(AA18,Codes,0)))*1440,0)&lt;660,1,0),0),0))</f>
      </c>
      <c r="AC67" s="1">
        <f>IF(OR(AC$52=0,AB18="",AC18=""),0,IFERROR(IF(AND(INDEX(Arten,MATCH(AB18,Codes,0))="Arbeit",INDEX(Arten,MATCH(AC18,Codes,0))="Arbeit"),IF(ROUND((1+INDEX(Beginne,MATCH(AC18,Codes,0))-INDEX(EndeRel,MATCH(AB18,Codes,0)))*1440,0)&lt;660,1,0),0),0))</f>
      </c>
      <c r="AD67" s="1">
        <f>IF(OR(AD$52=0,AC18="",AD18=""),0,IFERROR(IF(AND(INDEX(Arten,MATCH(AC18,Codes,0))="Arbeit",INDEX(Arten,MATCH(AD18,Codes,0))="Arbeit"),IF(ROUND((1+INDEX(Beginne,MATCH(AD18,Codes,0))-INDEX(EndeRel,MATCH(AC18,Codes,0)))*1440,0)&lt;660,1,0),0),0))</f>
      </c>
      <c r="AE67" s="1">
        <f>IF(OR(AE$52=0,AD18="",AE18=""),0,IFERROR(IF(AND(INDEX(Arten,MATCH(AD18,Codes,0))="Arbeit",INDEX(Arten,MATCH(AE18,Codes,0))="Arbeit"),IF(ROUND((1+INDEX(Beginne,MATCH(AE18,Codes,0))-INDEX(EndeRel,MATCH(AD18,Codes,0)))*1440,0)&lt;660,1,0),0),0))</f>
      </c>
      <c r="AF67" s="1">
        <f>IF(OR(AF$52=0,AE18="",AF18=""),0,IFERROR(IF(AND(INDEX(Arten,MATCH(AE18,Codes,0))="Arbeit",INDEX(Arten,MATCH(AF18,Codes,0))="Arbeit"),IF(ROUND((1+INDEX(Beginne,MATCH(AF18,Codes,0))-INDEX(EndeRel,MATCH(AE18,Codes,0)))*1440,0)&lt;660,1,0),0),0))</f>
      </c>
    </row>
    <row r="68" hidden="1" spans="1:32" x14ac:dyDescent="0.25">
      <c r="A68" s="1"/>
      <c r="B68" s="1">
        <f>IF(OR(B$52=0,INDEX('Juni'!$B$19:$AF$19,DAY(DATE(Jahr,7,0)))="",B19=""),0,IFERROR(IF(AND(INDEX(Arten,MATCH(INDEX('Juni'!$B$19:$AF$19,DAY(DATE(Jahr,7,0))),Codes,0))="Arbeit",INDEX(Arten,MATCH(B19,Codes,0))="Arbeit"),IF(ROUND((1+INDEX(Beginne,MATCH(B19,Codes,0))-INDEX(EndeRel,MATCH(INDEX('Juni'!$B$19:$AF$19,DAY(DATE(Jahr,7,0))),Codes,0)))*1440,0)&lt;660,1,0),0),0))</f>
      </c>
      <c r="C68" s="1">
        <f>IF(OR(C$52=0,B19="",C19=""),0,IFERROR(IF(AND(INDEX(Arten,MATCH(B19,Codes,0))="Arbeit",INDEX(Arten,MATCH(C19,Codes,0))="Arbeit"),IF(ROUND((1+INDEX(Beginne,MATCH(C19,Codes,0))-INDEX(EndeRel,MATCH(B19,Codes,0)))*1440,0)&lt;660,1,0),0),0))</f>
      </c>
      <c r="D68" s="1">
        <f>IF(OR(D$52=0,C19="",D19=""),0,IFERROR(IF(AND(INDEX(Arten,MATCH(C19,Codes,0))="Arbeit",INDEX(Arten,MATCH(D19,Codes,0))="Arbeit"),IF(ROUND((1+INDEX(Beginne,MATCH(D19,Codes,0))-INDEX(EndeRel,MATCH(C19,Codes,0)))*1440,0)&lt;660,1,0),0),0))</f>
      </c>
      <c r="E68" s="1">
        <f>IF(OR(E$52=0,D19="",E19=""),0,IFERROR(IF(AND(INDEX(Arten,MATCH(D19,Codes,0))="Arbeit",INDEX(Arten,MATCH(E19,Codes,0))="Arbeit"),IF(ROUND((1+INDEX(Beginne,MATCH(E19,Codes,0))-INDEX(EndeRel,MATCH(D19,Codes,0)))*1440,0)&lt;660,1,0),0),0))</f>
      </c>
      <c r="F68" s="1">
        <f>IF(OR(F$52=0,E19="",F19=""),0,IFERROR(IF(AND(INDEX(Arten,MATCH(E19,Codes,0))="Arbeit",INDEX(Arten,MATCH(F19,Codes,0))="Arbeit"),IF(ROUND((1+INDEX(Beginne,MATCH(F19,Codes,0))-INDEX(EndeRel,MATCH(E19,Codes,0)))*1440,0)&lt;660,1,0),0),0))</f>
      </c>
      <c r="G68" s="1">
        <f>IF(OR(G$52=0,F19="",G19=""),0,IFERROR(IF(AND(INDEX(Arten,MATCH(F19,Codes,0))="Arbeit",INDEX(Arten,MATCH(G19,Codes,0))="Arbeit"),IF(ROUND((1+INDEX(Beginne,MATCH(G19,Codes,0))-INDEX(EndeRel,MATCH(F19,Codes,0)))*1440,0)&lt;660,1,0),0),0))</f>
      </c>
      <c r="H68" s="1">
        <f>IF(OR(H$52=0,G19="",H19=""),0,IFERROR(IF(AND(INDEX(Arten,MATCH(G19,Codes,0))="Arbeit",INDEX(Arten,MATCH(H19,Codes,0))="Arbeit"),IF(ROUND((1+INDEX(Beginne,MATCH(H19,Codes,0))-INDEX(EndeRel,MATCH(G19,Codes,0)))*1440,0)&lt;660,1,0),0),0))</f>
      </c>
      <c r="I68" s="1">
        <f>IF(OR(I$52=0,H19="",I19=""),0,IFERROR(IF(AND(INDEX(Arten,MATCH(H19,Codes,0))="Arbeit",INDEX(Arten,MATCH(I19,Codes,0))="Arbeit"),IF(ROUND((1+INDEX(Beginne,MATCH(I19,Codes,0))-INDEX(EndeRel,MATCH(H19,Codes,0)))*1440,0)&lt;660,1,0),0),0))</f>
      </c>
      <c r="J68" s="1">
        <f>IF(OR(J$52=0,I19="",J19=""),0,IFERROR(IF(AND(INDEX(Arten,MATCH(I19,Codes,0))="Arbeit",INDEX(Arten,MATCH(J19,Codes,0))="Arbeit"),IF(ROUND((1+INDEX(Beginne,MATCH(J19,Codes,0))-INDEX(EndeRel,MATCH(I19,Codes,0)))*1440,0)&lt;660,1,0),0),0))</f>
      </c>
      <c r="K68" s="1">
        <f>IF(OR(K$52=0,J19="",K19=""),0,IFERROR(IF(AND(INDEX(Arten,MATCH(J19,Codes,0))="Arbeit",INDEX(Arten,MATCH(K19,Codes,0))="Arbeit"),IF(ROUND((1+INDEX(Beginne,MATCH(K19,Codes,0))-INDEX(EndeRel,MATCH(J19,Codes,0)))*1440,0)&lt;660,1,0),0),0))</f>
      </c>
      <c r="L68" s="1">
        <f>IF(OR(L$52=0,K19="",L19=""),0,IFERROR(IF(AND(INDEX(Arten,MATCH(K19,Codes,0))="Arbeit",INDEX(Arten,MATCH(L19,Codes,0))="Arbeit"),IF(ROUND((1+INDEX(Beginne,MATCH(L19,Codes,0))-INDEX(EndeRel,MATCH(K19,Codes,0)))*1440,0)&lt;660,1,0),0),0))</f>
      </c>
      <c r="M68" s="1">
        <f>IF(OR(M$52=0,L19="",M19=""),0,IFERROR(IF(AND(INDEX(Arten,MATCH(L19,Codes,0))="Arbeit",INDEX(Arten,MATCH(M19,Codes,0))="Arbeit"),IF(ROUND((1+INDEX(Beginne,MATCH(M19,Codes,0))-INDEX(EndeRel,MATCH(L19,Codes,0)))*1440,0)&lt;660,1,0),0),0))</f>
      </c>
      <c r="N68" s="1">
        <f>IF(OR(N$52=0,M19="",N19=""),0,IFERROR(IF(AND(INDEX(Arten,MATCH(M19,Codes,0))="Arbeit",INDEX(Arten,MATCH(N19,Codes,0))="Arbeit"),IF(ROUND((1+INDEX(Beginne,MATCH(N19,Codes,0))-INDEX(EndeRel,MATCH(M19,Codes,0)))*1440,0)&lt;660,1,0),0),0))</f>
      </c>
      <c r="O68" s="1">
        <f>IF(OR(O$52=0,N19="",O19=""),0,IFERROR(IF(AND(INDEX(Arten,MATCH(N19,Codes,0))="Arbeit",INDEX(Arten,MATCH(O19,Codes,0))="Arbeit"),IF(ROUND((1+INDEX(Beginne,MATCH(O19,Codes,0))-INDEX(EndeRel,MATCH(N19,Codes,0)))*1440,0)&lt;660,1,0),0),0))</f>
      </c>
      <c r="P68" s="1">
        <f>IF(OR(P$52=0,O19="",P19=""),0,IFERROR(IF(AND(INDEX(Arten,MATCH(O19,Codes,0))="Arbeit",INDEX(Arten,MATCH(P19,Codes,0))="Arbeit"),IF(ROUND((1+INDEX(Beginne,MATCH(P19,Codes,0))-INDEX(EndeRel,MATCH(O19,Codes,0)))*1440,0)&lt;660,1,0),0),0))</f>
      </c>
      <c r="Q68" s="1">
        <f>IF(OR(Q$52=0,P19="",Q19=""),0,IFERROR(IF(AND(INDEX(Arten,MATCH(P19,Codes,0))="Arbeit",INDEX(Arten,MATCH(Q19,Codes,0))="Arbeit"),IF(ROUND((1+INDEX(Beginne,MATCH(Q19,Codes,0))-INDEX(EndeRel,MATCH(P19,Codes,0)))*1440,0)&lt;660,1,0),0),0))</f>
      </c>
      <c r="R68" s="1">
        <f>IF(OR(R$52=0,Q19="",R19=""),0,IFERROR(IF(AND(INDEX(Arten,MATCH(Q19,Codes,0))="Arbeit",INDEX(Arten,MATCH(R19,Codes,0))="Arbeit"),IF(ROUND((1+INDEX(Beginne,MATCH(R19,Codes,0))-INDEX(EndeRel,MATCH(Q19,Codes,0)))*1440,0)&lt;660,1,0),0),0))</f>
      </c>
      <c r="S68" s="1">
        <f>IF(OR(S$52=0,R19="",S19=""),0,IFERROR(IF(AND(INDEX(Arten,MATCH(R19,Codes,0))="Arbeit",INDEX(Arten,MATCH(S19,Codes,0))="Arbeit"),IF(ROUND((1+INDEX(Beginne,MATCH(S19,Codes,0))-INDEX(EndeRel,MATCH(R19,Codes,0)))*1440,0)&lt;660,1,0),0),0))</f>
      </c>
      <c r="T68" s="1">
        <f>IF(OR(T$52=0,S19="",T19=""),0,IFERROR(IF(AND(INDEX(Arten,MATCH(S19,Codes,0))="Arbeit",INDEX(Arten,MATCH(T19,Codes,0))="Arbeit"),IF(ROUND((1+INDEX(Beginne,MATCH(T19,Codes,0))-INDEX(EndeRel,MATCH(S19,Codes,0)))*1440,0)&lt;660,1,0),0),0))</f>
      </c>
      <c r="U68" s="1">
        <f>IF(OR(U$52=0,T19="",U19=""),0,IFERROR(IF(AND(INDEX(Arten,MATCH(T19,Codes,0))="Arbeit",INDEX(Arten,MATCH(U19,Codes,0))="Arbeit"),IF(ROUND((1+INDEX(Beginne,MATCH(U19,Codes,0))-INDEX(EndeRel,MATCH(T19,Codes,0)))*1440,0)&lt;660,1,0),0),0))</f>
      </c>
      <c r="V68" s="1">
        <f>IF(OR(V$52=0,U19="",V19=""),0,IFERROR(IF(AND(INDEX(Arten,MATCH(U19,Codes,0))="Arbeit",INDEX(Arten,MATCH(V19,Codes,0))="Arbeit"),IF(ROUND((1+INDEX(Beginne,MATCH(V19,Codes,0))-INDEX(EndeRel,MATCH(U19,Codes,0)))*1440,0)&lt;660,1,0),0),0))</f>
      </c>
      <c r="W68" s="1">
        <f>IF(OR(W$52=0,V19="",W19=""),0,IFERROR(IF(AND(INDEX(Arten,MATCH(V19,Codes,0))="Arbeit",INDEX(Arten,MATCH(W19,Codes,0))="Arbeit"),IF(ROUND((1+INDEX(Beginne,MATCH(W19,Codes,0))-INDEX(EndeRel,MATCH(V19,Codes,0)))*1440,0)&lt;660,1,0),0),0))</f>
      </c>
      <c r="X68" s="1">
        <f>IF(OR(X$52=0,W19="",X19=""),0,IFERROR(IF(AND(INDEX(Arten,MATCH(W19,Codes,0))="Arbeit",INDEX(Arten,MATCH(X19,Codes,0))="Arbeit"),IF(ROUND((1+INDEX(Beginne,MATCH(X19,Codes,0))-INDEX(EndeRel,MATCH(W19,Codes,0)))*1440,0)&lt;660,1,0),0),0))</f>
      </c>
      <c r="Y68" s="1">
        <f>IF(OR(Y$52=0,X19="",Y19=""),0,IFERROR(IF(AND(INDEX(Arten,MATCH(X19,Codes,0))="Arbeit",INDEX(Arten,MATCH(Y19,Codes,0))="Arbeit"),IF(ROUND((1+INDEX(Beginne,MATCH(Y19,Codes,0))-INDEX(EndeRel,MATCH(X19,Codes,0)))*1440,0)&lt;660,1,0),0),0))</f>
      </c>
      <c r="Z68" s="1">
        <f>IF(OR(Z$52=0,Y19="",Z19=""),0,IFERROR(IF(AND(INDEX(Arten,MATCH(Y19,Codes,0))="Arbeit",INDEX(Arten,MATCH(Z19,Codes,0))="Arbeit"),IF(ROUND((1+INDEX(Beginne,MATCH(Z19,Codes,0))-INDEX(EndeRel,MATCH(Y19,Codes,0)))*1440,0)&lt;660,1,0),0),0))</f>
      </c>
      <c r="AA68" s="1">
        <f>IF(OR(AA$52=0,Z19="",AA19=""),0,IFERROR(IF(AND(INDEX(Arten,MATCH(Z19,Codes,0))="Arbeit",INDEX(Arten,MATCH(AA19,Codes,0))="Arbeit"),IF(ROUND((1+INDEX(Beginne,MATCH(AA19,Codes,0))-INDEX(EndeRel,MATCH(Z19,Codes,0)))*1440,0)&lt;660,1,0),0),0))</f>
      </c>
      <c r="AB68" s="1">
        <f>IF(OR(AB$52=0,AA19="",AB19=""),0,IFERROR(IF(AND(INDEX(Arten,MATCH(AA19,Codes,0))="Arbeit",INDEX(Arten,MATCH(AB19,Codes,0))="Arbeit"),IF(ROUND((1+INDEX(Beginne,MATCH(AB19,Codes,0))-INDEX(EndeRel,MATCH(AA19,Codes,0)))*1440,0)&lt;660,1,0),0),0))</f>
      </c>
      <c r="AC68" s="1">
        <f>IF(OR(AC$52=0,AB19="",AC19=""),0,IFERROR(IF(AND(INDEX(Arten,MATCH(AB19,Codes,0))="Arbeit",INDEX(Arten,MATCH(AC19,Codes,0))="Arbeit"),IF(ROUND((1+INDEX(Beginne,MATCH(AC19,Codes,0))-INDEX(EndeRel,MATCH(AB19,Codes,0)))*1440,0)&lt;660,1,0),0),0))</f>
      </c>
      <c r="AD68" s="1">
        <f>IF(OR(AD$52=0,AC19="",AD19=""),0,IFERROR(IF(AND(INDEX(Arten,MATCH(AC19,Codes,0))="Arbeit",INDEX(Arten,MATCH(AD19,Codes,0))="Arbeit"),IF(ROUND((1+INDEX(Beginne,MATCH(AD19,Codes,0))-INDEX(EndeRel,MATCH(AC19,Codes,0)))*1440,0)&lt;660,1,0),0),0))</f>
      </c>
      <c r="AE68" s="1">
        <f>IF(OR(AE$52=0,AD19="",AE19=""),0,IFERROR(IF(AND(INDEX(Arten,MATCH(AD19,Codes,0))="Arbeit",INDEX(Arten,MATCH(AE19,Codes,0))="Arbeit"),IF(ROUND((1+INDEX(Beginne,MATCH(AE19,Codes,0))-INDEX(EndeRel,MATCH(AD19,Codes,0)))*1440,0)&lt;660,1,0),0),0))</f>
      </c>
      <c r="AF68" s="1">
        <f>IF(OR(AF$52=0,AE19="",AF19=""),0,IFERROR(IF(AND(INDEX(Arten,MATCH(AE19,Codes,0))="Arbeit",INDEX(Arten,MATCH(AF19,Codes,0))="Arbeit"),IF(ROUND((1+INDEX(Beginne,MATCH(AF19,Codes,0))-INDEX(EndeRel,MATCH(AE19,Codes,0)))*1440,0)&lt;660,1,0),0),0))</f>
      </c>
    </row>
    <row r="69" hidden="1" spans="1:32" x14ac:dyDescent="0.25">
      <c r="A69" s="1"/>
      <c r="B69" s="1">
        <f>IF(OR(B$52=0,INDEX('Juni'!$B$20:$AF$20,DAY(DATE(Jahr,7,0)))="",B20=""),0,IFERROR(IF(AND(INDEX(Arten,MATCH(INDEX('Juni'!$B$20:$AF$20,DAY(DATE(Jahr,7,0))),Codes,0))="Arbeit",INDEX(Arten,MATCH(B20,Codes,0))="Arbeit"),IF(ROUND((1+INDEX(Beginne,MATCH(B20,Codes,0))-INDEX(EndeRel,MATCH(INDEX('Juni'!$B$20:$AF$20,DAY(DATE(Jahr,7,0))),Codes,0)))*1440,0)&lt;660,1,0),0),0))</f>
      </c>
      <c r="C69" s="1">
        <f>IF(OR(C$52=0,B20="",C20=""),0,IFERROR(IF(AND(INDEX(Arten,MATCH(B20,Codes,0))="Arbeit",INDEX(Arten,MATCH(C20,Codes,0))="Arbeit"),IF(ROUND((1+INDEX(Beginne,MATCH(C20,Codes,0))-INDEX(EndeRel,MATCH(B20,Codes,0)))*1440,0)&lt;660,1,0),0),0))</f>
      </c>
      <c r="D69" s="1">
        <f>IF(OR(D$52=0,C20="",D20=""),0,IFERROR(IF(AND(INDEX(Arten,MATCH(C20,Codes,0))="Arbeit",INDEX(Arten,MATCH(D20,Codes,0))="Arbeit"),IF(ROUND((1+INDEX(Beginne,MATCH(D20,Codes,0))-INDEX(EndeRel,MATCH(C20,Codes,0)))*1440,0)&lt;660,1,0),0),0))</f>
      </c>
      <c r="E69" s="1">
        <f>IF(OR(E$52=0,D20="",E20=""),0,IFERROR(IF(AND(INDEX(Arten,MATCH(D20,Codes,0))="Arbeit",INDEX(Arten,MATCH(E20,Codes,0))="Arbeit"),IF(ROUND((1+INDEX(Beginne,MATCH(E20,Codes,0))-INDEX(EndeRel,MATCH(D20,Codes,0)))*1440,0)&lt;660,1,0),0),0))</f>
      </c>
      <c r="F69" s="1">
        <f>IF(OR(F$52=0,E20="",F20=""),0,IFERROR(IF(AND(INDEX(Arten,MATCH(E20,Codes,0))="Arbeit",INDEX(Arten,MATCH(F20,Codes,0))="Arbeit"),IF(ROUND((1+INDEX(Beginne,MATCH(F20,Codes,0))-INDEX(EndeRel,MATCH(E20,Codes,0)))*1440,0)&lt;660,1,0),0),0))</f>
      </c>
      <c r="G69" s="1">
        <f>IF(OR(G$52=0,F20="",G20=""),0,IFERROR(IF(AND(INDEX(Arten,MATCH(F20,Codes,0))="Arbeit",INDEX(Arten,MATCH(G20,Codes,0))="Arbeit"),IF(ROUND((1+INDEX(Beginne,MATCH(G20,Codes,0))-INDEX(EndeRel,MATCH(F20,Codes,0)))*1440,0)&lt;660,1,0),0),0))</f>
      </c>
      <c r="H69" s="1">
        <f>IF(OR(H$52=0,G20="",H20=""),0,IFERROR(IF(AND(INDEX(Arten,MATCH(G20,Codes,0))="Arbeit",INDEX(Arten,MATCH(H20,Codes,0))="Arbeit"),IF(ROUND((1+INDEX(Beginne,MATCH(H20,Codes,0))-INDEX(EndeRel,MATCH(G20,Codes,0)))*1440,0)&lt;660,1,0),0),0))</f>
      </c>
      <c r="I69" s="1">
        <f>IF(OR(I$52=0,H20="",I20=""),0,IFERROR(IF(AND(INDEX(Arten,MATCH(H20,Codes,0))="Arbeit",INDEX(Arten,MATCH(I20,Codes,0))="Arbeit"),IF(ROUND((1+INDEX(Beginne,MATCH(I20,Codes,0))-INDEX(EndeRel,MATCH(H20,Codes,0)))*1440,0)&lt;660,1,0),0),0))</f>
      </c>
      <c r="J69" s="1">
        <f>IF(OR(J$52=0,I20="",J20=""),0,IFERROR(IF(AND(INDEX(Arten,MATCH(I20,Codes,0))="Arbeit",INDEX(Arten,MATCH(J20,Codes,0))="Arbeit"),IF(ROUND((1+INDEX(Beginne,MATCH(J20,Codes,0))-INDEX(EndeRel,MATCH(I20,Codes,0)))*1440,0)&lt;660,1,0),0),0))</f>
      </c>
      <c r="K69" s="1">
        <f>IF(OR(K$52=0,J20="",K20=""),0,IFERROR(IF(AND(INDEX(Arten,MATCH(J20,Codes,0))="Arbeit",INDEX(Arten,MATCH(K20,Codes,0))="Arbeit"),IF(ROUND((1+INDEX(Beginne,MATCH(K20,Codes,0))-INDEX(EndeRel,MATCH(J20,Codes,0)))*1440,0)&lt;660,1,0),0),0))</f>
      </c>
      <c r="L69" s="1">
        <f>IF(OR(L$52=0,K20="",L20=""),0,IFERROR(IF(AND(INDEX(Arten,MATCH(K20,Codes,0))="Arbeit",INDEX(Arten,MATCH(L20,Codes,0))="Arbeit"),IF(ROUND((1+INDEX(Beginne,MATCH(L20,Codes,0))-INDEX(EndeRel,MATCH(K20,Codes,0)))*1440,0)&lt;660,1,0),0),0))</f>
      </c>
      <c r="M69" s="1">
        <f>IF(OR(M$52=0,L20="",M20=""),0,IFERROR(IF(AND(INDEX(Arten,MATCH(L20,Codes,0))="Arbeit",INDEX(Arten,MATCH(M20,Codes,0))="Arbeit"),IF(ROUND((1+INDEX(Beginne,MATCH(M20,Codes,0))-INDEX(EndeRel,MATCH(L20,Codes,0)))*1440,0)&lt;660,1,0),0),0))</f>
      </c>
      <c r="N69" s="1">
        <f>IF(OR(N$52=0,M20="",N20=""),0,IFERROR(IF(AND(INDEX(Arten,MATCH(M20,Codes,0))="Arbeit",INDEX(Arten,MATCH(N20,Codes,0))="Arbeit"),IF(ROUND((1+INDEX(Beginne,MATCH(N20,Codes,0))-INDEX(EndeRel,MATCH(M20,Codes,0)))*1440,0)&lt;660,1,0),0),0))</f>
      </c>
      <c r="O69" s="1">
        <f>IF(OR(O$52=0,N20="",O20=""),0,IFERROR(IF(AND(INDEX(Arten,MATCH(N20,Codes,0))="Arbeit",INDEX(Arten,MATCH(O20,Codes,0))="Arbeit"),IF(ROUND((1+INDEX(Beginne,MATCH(O20,Codes,0))-INDEX(EndeRel,MATCH(N20,Codes,0)))*1440,0)&lt;660,1,0),0),0))</f>
      </c>
      <c r="P69" s="1">
        <f>IF(OR(P$52=0,O20="",P20=""),0,IFERROR(IF(AND(INDEX(Arten,MATCH(O20,Codes,0))="Arbeit",INDEX(Arten,MATCH(P20,Codes,0))="Arbeit"),IF(ROUND((1+INDEX(Beginne,MATCH(P20,Codes,0))-INDEX(EndeRel,MATCH(O20,Codes,0)))*1440,0)&lt;660,1,0),0),0))</f>
      </c>
      <c r="Q69" s="1">
        <f>IF(OR(Q$52=0,P20="",Q20=""),0,IFERROR(IF(AND(INDEX(Arten,MATCH(P20,Codes,0))="Arbeit",INDEX(Arten,MATCH(Q20,Codes,0))="Arbeit"),IF(ROUND((1+INDEX(Beginne,MATCH(Q20,Codes,0))-INDEX(EndeRel,MATCH(P20,Codes,0)))*1440,0)&lt;660,1,0),0),0))</f>
      </c>
      <c r="R69" s="1">
        <f>IF(OR(R$52=0,Q20="",R20=""),0,IFERROR(IF(AND(INDEX(Arten,MATCH(Q20,Codes,0))="Arbeit",INDEX(Arten,MATCH(R20,Codes,0))="Arbeit"),IF(ROUND((1+INDEX(Beginne,MATCH(R20,Codes,0))-INDEX(EndeRel,MATCH(Q20,Codes,0)))*1440,0)&lt;660,1,0),0),0))</f>
      </c>
      <c r="S69" s="1">
        <f>IF(OR(S$52=0,R20="",S20=""),0,IFERROR(IF(AND(INDEX(Arten,MATCH(R20,Codes,0))="Arbeit",INDEX(Arten,MATCH(S20,Codes,0))="Arbeit"),IF(ROUND((1+INDEX(Beginne,MATCH(S20,Codes,0))-INDEX(EndeRel,MATCH(R20,Codes,0)))*1440,0)&lt;660,1,0),0),0))</f>
      </c>
      <c r="T69" s="1">
        <f>IF(OR(T$52=0,S20="",T20=""),0,IFERROR(IF(AND(INDEX(Arten,MATCH(S20,Codes,0))="Arbeit",INDEX(Arten,MATCH(T20,Codes,0))="Arbeit"),IF(ROUND((1+INDEX(Beginne,MATCH(T20,Codes,0))-INDEX(EndeRel,MATCH(S20,Codes,0)))*1440,0)&lt;660,1,0),0),0))</f>
      </c>
      <c r="U69" s="1">
        <f>IF(OR(U$52=0,T20="",U20=""),0,IFERROR(IF(AND(INDEX(Arten,MATCH(T20,Codes,0))="Arbeit",INDEX(Arten,MATCH(U20,Codes,0))="Arbeit"),IF(ROUND((1+INDEX(Beginne,MATCH(U20,Codes,0))-INDEX(EndeRel,MATCH(T20,Codes,0)))*1440,0)&lt;660,1,0),0),0))</f>
      </c>
      <c r="V69" s="1">
        <f>IF(OR(V$52=0,U20="",V20=""),0,IFERROR(IF(AND(INDEX(Arten,MATCH(U20,Codes,0))="Arbeit",INDEX(Arten,MATCH(V20,Codes,0))="Arbeit"),IF(ROUND((1+INDEX(Beginne,MATCH(V20,Codes,0))-INDEX(EndeRel,MATCH(U20,Codes,0)))*1440,0)&lt;660,1,0),0),0))</f>
      </c>
      <c r="W69" s="1">
        <f>IF(OR(W$52=0,V20="",W20=""),0,IFERROR(IF(AND(INDEX(Arten,MATCH(V20,Codes,0))="Arbeit",INDEX(Arten,MATCH(W20,Codes,0))="Arbeit"),IF(ROUND((1+INDEX(Beginne,MATCH(W20,Codes,0))-INDEX(EndeRel,MATCH(V20,Codes,0)))*1440,0)&lt;660,1,0),0),0))</f>
      </c>
      <c r="X69" s="1">
        <f>IF(OR(X$52=0,W20="",X20=""),0,IFERROR(IF(AND(INDEX(Arten,MATCH(W20,Codes,0))="Arbeit",INDEX(Arten,MATCH(X20,Codes,0))="Arbeit"),IF(ROUND((1+INDEX(Beginne,MATCH(X20,Codes,0))-INDEX(EndeRel,MATCH(W20,Codes,0)))*1440,0)&lt;660,1,0),0),0))</f>
      </c>
      <c r="Y69" s="1">
        <f>IF(OR(Y$52=0,X20="",Y20=""),0,IFERROR(IF(AND(INDEX(Arten,MATCH(X20,Codes,0))="Arbeit",INDEX(Arten,MATCH(Y20,Codes,0))="Arbeit"),IF(ROUND((1+INDEX(Beginne,MATCH(Y20,Codes,0))-INDEX(EndeRel,MATCH(X20,Codes,0)))*1440,0)&lt;660,1,0),0),0))</f>
      </c>
      <c r="Z69" s="1">
        <f>IF(OR(Z$52=0,Y20="",Z20=""),0,IFERROR(IF(AND(INDEX(Arten,MATCH(Y20,Codes,0))="Arbeit",INDEX(Arten,MATCH(Z20,Codes,0))="Arbeit"),IF(ROUND((1+INDEX(Beginne,MATCH(Z20,Codes,0))-INDEX(EndeRel,MATCH(Y20,Codes,0)))*1440,0)&lt;660,1,0),0),0))</f>
      </c>
      <c r="AA69" s="1">
        <f>IF(OR(AA$52=0,Z20="",AA20=""),0,IFERROR(IF(AND(INDEX(Arten,MATCH(Z20,Codes,0))="Arbeit",INDEX(Arten,MATCH(AA20,Codes,0))="Arbeit"),IF(ROUND((1+INDEX(Beginne,MATCH(AA20,Codes,0))-INDEX(EndeRel,MATCH(Z20,Codes,0)))*1440,0)&lt;660,1,0),0),0))</f>
      </c>
      <c r="AB69" s="1">
        <f>IF(OR(AB$52=0,AA20="",AB20=""),0,IFERROR(IF(AND(INDEX(Arten,MATCH(AA20,Codes,0))="Arbeit",INDEX(Arten,MATCH(AB20,Codes,0))="Arbeit"),IF(ROUND((1+INDEX(Beginne,MATCH(AB20,Codes,0))-INDEX(EndeRel,MATCH(AA20,Codes,0)))*1440,0)&lt;660,1,0),0),0))</f>
      </c>
      <c r="AC69" s="1">
        <f>IF(OR(AC$52=0,AB20="",AC20=""),0,IFERROR(IF(AND(INDEX(Arten,MATCH(AB20,Codes,0))="Arbeit",INDEX(Arten,MATCH(AC20,Codes,0))="Arbeit"),IF(ROUND((1+INDEX(Beginne,MATCH(AC20,Codes,0))-INDEX(EndeRel,MATCH(AB20,Codes,0)))*1440,0)&lt;660,1,0),0),0))</f>
      </c>
      <c r="AD69" s="1">
        <f>IF(OR(AD$52=0,AC20="",AD20=""),0,IFERROR(IF(AND(INDEX(Arten,MATCH(AC20,Codes,0))="Arbeit",INDEX(Arten,MATCH(AD20,Codes,0))="Arbeit"),IF(ROUND((1+INDEX(Beginne,MATCH(AD20,Codes,0))-INDEX(EndeRel,MATCH(AC20,Codes,0)))*1440,0)&lt;660,1,0),0),0))</f>
      </c>
      <c r="AE69" s="1">
        <f>IF(OR(AE$52=0,AD20="",AE20=""),0,IFERROR(IF(AND(INDEX(Arten,MATCH(AD20,Codes,0))="Arbeit",INDEX(Arten,MATCH(AE20,Codes,0))="Arbeit"),IF(ROUND((1+INDEX(Beginne,MATCH(AE20,Codes,0))-INDEX(EndeRel,MATCH(AD20,Codes,0)))*1440,0)&lt;660,1,0),0),0))</f>
      </c>
      <c r="AF69" s="1">
        <f>IF(OR(AF$52=0,AE20="",AF20=""),0,IFERROR(IF(AND(INDEX(Arten,MATCH(AE20,Codes,0))="Arbeit",INDEX(Arten,MATCH(AF20,Codes,0))="Arbeit"),IF(ROUND((1+INDEX(Beginne,MATCH(AF20,Codes,0))-INDEX(EndeRel,MATCH(AE20,Codes,0)))*1440,0)&lt;660,1,0),0),0))</f>
      </c>
    </row>
    <row r="70" hidden="1" spans="1:32" x14ac:dyDescent="0.25">
      <c r="A70" s="1"/>
      <c r="B70" s="1">
        <f>IF(OR(B$52=0,INDEX('Juni'!$B$21:$AF$21,DAY(DATE(Jahr,7,0)))="",B21=""),0,IFERROR(IF(AND(INDEX(Arten,MATCH(INDEX('Juni'!$B$21:$AF$21,DAY(DATE(Jahr,7,0))),Codes,0))="Arbeit",INDEX(Arten,MATCH(B21,Codes,0))="Arbeit"),IF(ROUND((1+INDEX(Beginne,MATCH(B21,Codes,0))-INDEX(EndeRel,MATCH(INDEX('Juni'!$B$21:$AF$21,DAY(DATE(Jahr,7,0))),Codes,0)))*1440,0)&lt;660,1,0),0),0))</f>
      </c>
      <c r="C70" s="1">
        <f>IF(OR(C$52=0,B21="",C21=""),0,IFERROR(IF(AND(INDEX(Arten,MATCH(B21,Codes,0))="Arbeit",INDEX(Arten,MATCH(C21,Codes,0))="Arbeit"),IF(ROUND((1+INDEX(Beginne,MATCH(C21,Codes,0))-INDEX(EndeRel,MATCH(B21,Codes,0)))*1440,0)&lt;660,1,0),0),0))</f>
      </c>
      <c r="D70" s="1">
        <f>IF(OR(D$52=0,C21="",D21=""),0,IFERROR(IF(AND(INDEX(Arten,MATCH(C21,Codes,0))="Arbeit",INDEX(Arten,MATCH(D21,Codes,0))="Arbeit"),IF(ROUND((1+INDEX(Beginne,MATCH(D21,Codes,0))-INDEX(EndeRel,MATCH(C21,Codes,0)))*1440,0)&lt;660,1,0),0),0))</f>
      </c>
      <c r="E70" s="1">
        <f>IF(OR(E$52=0,D21="",E21=""),0,IFERROR(IF(AND(INDEX(Arten,MATCH(D21,Codes,0))="Arbeit",INDEX(Arten,MATCH(E21,Codes,0))="Arbeit"),IF(ROUND((1+INDEX(Beginne,MATCH(E21,Codes,0))-INDEX(EndeRel,MATCH(D21,Codes,0)))*1440,0)&lt;660,1,0),0),0))</f>
      </c>
      <c r="F70" s="1">
        <f>IF(OR(F$52=0,E21="",F21=""),0,IFERROR(IF(AND(INDEX(Arten,MATCH(E21,Codes,0))="Arbeit",INDEX(Arten,MATCH(F21,Codes,0))="Arbeit"),IF(ROUND((1+INDEX(Beginne,MATCH(F21,Codes,0))-INDEX(EndeRel,MATCH(E21,Codes,0)))*1440,0)&lt;660,1,0),0),0))</f>
      </c>
      <c r="G70" s="1">
        <f>IF(OR(G$52=0,F21="",G21=""),0,IFERROR(IF(AND(INDEX(Arten,MATCH(F21,Codes,0))="Arbeit",INDEX(Arten,MATCH(G21,Codes,0))="Arbeit"),IF(ROUND((1+INDEX(Beginne,MATCH(G21,Codes,0))-INDEX(EndeRel,MATCH(F21,Codes,0)))*1440,0)&lt;660,1,0),0),0))</f>
      </c>
      <c r="H70" s="1">
        <f>IF(OR(H$52=0,G21="",H21=""),0,IFERROR(IF(AND(INDEX(Arten,MATCH(G21,Codes,0))="Arbeit",INDEX(Arten,MATCH(H21,Codes,0))="Arbeit"),IF(ROUND((1+INDEX(Beginne,MATCH(H21,Codes,0))-INDEX(EndeRel,MATCH(G21,Codes,0)))*1440,0)&lt;660,1,0),0),0))</f>
      </c>
      <c r="I70" s="1">
        <f>IF(OR(I$52=0,H21="",I21=""),0,IFERROR(IF(AND(INDEX(Arten,MATCH(H21,Codes,0))="Arbeit",INDEX(Arten,MATCH(I21,Codes,0))="Arbeit"),IF(ROUND((1+INDEX(Beginne,MATCH(I21,Codes,0))-INDEX(EndeRel,MATCH(H21,Codes,0)))*1440,0)&lt;660,1,0),0),0))</f>
      </c>
      <c r="J70" s="1">
        <f>IF(OR(J$52=0,I21="",J21=""),0,IFERROR(IF(AND(INDEX(Arten,MATCH(I21,Codes,0))="Arbeit",INDEX(Arten,MATCH(J21,Codes,0))="Arbeit"),IF(ROUND((1+INDEX(Beginne,MATCH(J21,Codes,0))-INDEX(EndeRel,MATCH(I21,Codes,0)))*1440,0)&lt;660,1,0),0),0))</f>
      </c>
      <c r="K70" s="1">
        <f>IF(OR(K$52=0,J21="",K21=""),0,IFERROR(IF(AND(INDEX(Arten,MATCH(J21,Codes,0))="Arbeit",INDEX(Arten,MATCH(K21,Codes,0))="Arbeit"),IF(ROUND((1+INDEX(Beginne,MATCH(K21,Codes,0))-INDEX(EndeRel,MATCH(J21,Codes,0)))*1440,0)&lt;660,1,0),0),0))</f>
      </c>
      <c r="L70" s="1">
        <f>IF(OR(L$52=0,K21="",L21=""),0,IFERROR(IF(AND(INDEX(Arten,MATCH(K21,Codes,0))="Arbeit",INDEX(Arten,MATCH(L21,Codes,0))="Arbeit"),IF(ROUND((1+INDEX(Beginne,MATCH(L21,Codes,0))-INDEX(EndeRel,MATCH(K21,Codes,0)))*1440,0)&lt;660,1,0),0),0))</f>
      </c>
      <c r="M70" s="1">
        <f>IF(OR(M$52=0,L21="",M21=""),0,IFERROR(IF(AND(INDEX(Arten,MATCH(L21,Codes,0))="Arbeit",INDEX(Arten,MATCH(M21,Codes,0))="Arbeit"),IF(ROUND((1+INDEX(Beginne,MATCH(M21,Codes,0))-INDEX(EndeRel,MATCH(L21,Codes,0)))*1440,0)&lt;660,1,0),0),0))</f>
      </c>
      <c r="N70" s="1">
        <f>IF(OR(N$52=0,M21="",N21=""),0,IFERROR(IF(AND(INDEX(Arten,MATCH(M21,Codes,0))="Arbeit",INDEX(Arten,MATCH(N21,Codes,0))="Arbeit"),IF(ROUND((1+INDEX(Beginne,MATCH(N21,Codes,0))-INDEX(EndeRel,MATCH(M21,Codes,0)))*1440,0)&lt;660,1,0),0),0))</f>
      </c>
      <c r="O70" s="1">
        <f>IF(OR(O$52=0,N21="",O21=""),0,IFERROR(IF(AND(INDEX(Arten,MATCH(N21,Codes,0))="Arbeit",INDEX(Arten,MATCH(O21,Codes,0))="Arbeit"),IF(ROUND((1+INDEX(Beginne,MATCH(O21,Codes,0))-INDEX(EndeRel,MATCH(N21,Codes,0)))*1440,0)&lt;660,1,0),0),0))</f>
      </c>
      <c r="P70" s="1">
        <f>IF(OR(P$52=0,O21="",P21=""),0,IFERROR(IF(AND(INDEX(Arten,MATCH(O21,Codes,0))="Arbeit",INDEX(Arten,MATCH(P21,Codes,0))="Arbeit"),IF(ROUND((1+INDEX(Beginne,MATCH(P21,Codes,0))-INDEX(EndeRel,MATCH(O21,Codes,0)))*1440,0)&lt;660,1,0),0),0))</f>
      </c>
      <c r="Q70" s="1">
        <f>IF(OR(Q$52=0,P21="",Q21=""),0,IFERROR(IF(AND(INDEX(Arten,MATCH(P21,Codes,0))="Arbeit",INDEX(Arten,MATCH(Q21,Codes,0))="Arbeit"),IF(ROUND((1+INDEX(Beginne,MATCH(Q21,Codes,0))-INDEX(EndeRel,MATCH(P21,Codes,0)))*1440,0)&lt;660,1,0),0),0))</f>
      </c>
      <c r="R70" s="1">
        <f>IF(OR(R$52=0,Q21="",R21=""),0,IFERROR(IF(AND(INDEX(Arten,MATCH(Q21,Codes,0))="Arbeit",INDEX(Arten,MATCH(R21,Codes,0))="Arbeit"),IF(ROUND((1+INDEX(Beginne,MATCH(R21,Codes,0))-INDEX(EndeRel,MATCH(Q21,Codes,0)))*1440,0)&lt;660,1,0),0),0))</f>
      </c>
      <c r="S70" s="1">
        <f>IF(OR(S$52=0,R21="",S21=""),0,IFERROR(IF(AND(INDEX(Arten,MATCH(R21,Codes,0))="Arbeit",INDEX(Arten,MATCH(S21,Codes,0))="Arbeit"),IF(ROUND((1+INDEX(Beginne,MATCH(S21,Codes,0))-INDEX(EndeRel,MATCH(R21,Codes,0)))*1440,0)&lt;660,1,0),0),0))</f>
      </c>
      <c r="T70" s="1">
        <f>IF(OR(T$52=0,S21="",T21=""),0,IFERROR(IF(AND(INDEX(Arten,MATCH(S21,Codes,0))="Arbeit",INDEX(Arten,MATCH(T21,Codes,0))="Arbeit"),IF(ROUND((1+INDEX(Beginne,MATCH(T21,Codes,0))-INDEX(EndeRel,MATCH(S21,Codes,0)))*1440,0)&lt;660,1,0),0),0))</f>
      </c>
      <c r="U70" s="1">
        <f>IF(OR(U$52=0,T21="",U21=""),0,IFERROR(IF(AND(INDEX(Arten,MATCH(T21,Codes,0))="Arbeit",INDEX(Arten,MATCH(U21,Codes,0))="Arbeit"),IF(ROUND((1+INDEX(Beginne,MATCH(U21,Codes,0))-INDEX(EndeRel,MATCH(T21,Codes,0)))*1440,0)&lt;660,1,0),0),0))</f>
      </c>
      <c r="V70" s="1">
        <f>IF(OR(V$52=0,U21="",V21=""),0,IFERROR(IF(AND(INDEX(Arten,MATCH(U21,Codes,0))="Arbeit",INDEX(Arten,MATCH(V21,Codes,0))="Arbeit"),IF(ROUND((1+INDEX(Beginne,MATCH(V21,Codes,0))-INDEX(EndeRel,MATCH(U21,Codes,0)))*1440,0)&lt;660,1,0),0),0))</f>
      </c>
      <c r="W70" s="1">
        <f>IF(OR(W$52=0,V21="",W21=""),0,IFERROR(IF(AND(INDEX(Arten,MATCH(V21,Codes,0))="Arbeit",INDEX(Arten,MATCH(W21,Codes,0))="Arbeit"),IF(ROUND((1+INDEX(Beginne,MATCH(W21,Codes,0))-INDEX(EndeRel,MATCH(V21,Codes,0)))*1440,0)&lt;660,1,0),0),0))</f>
      </c>
      <c r="X70" s="1">
        <f>IF(OR(X$52=0,W21="",X21=""),0,IFERROR(IF(AND(INDEX(Arten,MATCH(W21,Codes,0))="Arbeit",INDEX(Arten,MATCH(X21,Codes,0))="Arbeit"),IF(ROUND((1+INDEX(Beginne,MATCH(X21,Codes,0))-INDEX(EndeRel,MATCH(W21,Codes,0)))*1440,0)&lt;660,1,0),0),0))</f>
      </c>
      <c r="Y70" s="1">
        <f>IF(OR(Y$52=0,X21="",Y21=""),0,IFERROR(IF(AND(INDEX(Arten,MATCH(X21,Codes,0))="Arbeit",INDEX(Arten,MATCH(Y21,Codes,0))="Arbeit"),IF(ROUND((1+INDEX(Beginne,MATCH(Y21,Codes,0))-INDEX(EndeRel,MATCH(X21,Codes,0)))*1440,0)&lt;660,1,0),0),0))</f>
      </c>
      <c r="Z70" s="1">
        <f>IF(OR(Z$52=0,Y21="",Z21=""),0,IFERROR(IF(AND(INDEX(Arten,MATCH(Y21,Codes,0))="Arbeit",INDEX(Arten,MATCH(Z21,Codes,0))="Arbeit"),IF(ROUND((1+INDEX(Beginne,MATCH(Z21,Codes,0))-INDEX(EndeRel,MATCH(Y21,Codes,0)))*1440,0)&lt;660,1,0),0),0))</f>
      </c>
      <c r="AA70" s="1">
        <f>IF(OR(AA$52=0,Z21="",AA21=""),0,IFERROR(IF(AND(INDEX(Arten,MATCH(Z21,Codes,0))="Arbeit",INDEX(Arten,MATCH(AA21,Codes,0))="Arbeit"),IF(ROUND((1+INDEX(Beginne,MATCH(AA21,Codes,0))-INDEX(EndeRel,MATCH(Z21,Codes,0)))*1440,0)&lt;660,1,0),0),0))</f>
      </c>
      <c r="AB70" s="1">
        <f>IF(OR(AB$52=0,AA21="",AB21=""),0,IFERROR(IF(AND(INDEX(Arten,MATCH(AA21,Codes,0))="Arbeit",INDEX(Arten,MATCH(AB21,Codes,0))="Arbeit"),IF(ROUND((1+INDEX(Beginne,MATCH(AB21,Codes,0))-INDEX(EndeRel,MATCH(AA21,Codes,0)))*1440,0)&lt;660,1,0),0),0))</f>
      </c>
      <c r="AC70" s="1">
        <f>IF(OR(AC$52=0,AB21="",AC21=""),0,IFERROR(IF(AND(INDEX(Arten,MATCH(AB21,Codes,0))="Arbeit",INDEX(Arten,MATCH(AC21,Codes,0))="Arbeit"),IF(ROUND((1+INDEX(Beginne,MATCH(AC21,Codes,0))-INDEX(EndeRel,MATCH(AB21,Codes,0)))*1440,0)&lt;660,1,0),0),0))</f>
      </c>
      <c r="AD70" s="1">
        <f>IF(OR(AD$52=0,AC21="",AD21=""),0,IFERROR(IF(AND(INDEX(Arten,MATCH(AC21,Codes,0))="Arbeit",INDEX(Arten,MATCH(AD21,Codes,0))="Arbeit"),IF(ROUND((1+INDEX(Beginne,MATCH(AD21,Codes,0))-INDEX(EndeRel,MATCH(AC21,Codes,0)))*1440,0)&lt;660,1,0),0),0))</f>
      </c>
      <c r="AE70" s="1">
        <f>IF(OR(AE$52=0,AD21="",AE21=""),0,IFERROR(IF(AND(INDEX(Arten,MATCH(AD21,Codes,0))="Arbeit",INDEX(Arten,MATCH(AE21,Codes,0))="Arbeit"),IF(ROUND((1+INDEX(Beginne,MATCH(AE21,Codes,0))-INDEX(EndeRel,MATCH(AD21,Codes,0)))*1440,0)&lt;660,1,0),0),0))</f>
      </c>
      <c r="AF70" s="1">
        <f>IF(OR(AF$52=0,AE21="",AF21=""),0,IFERROR(IF(AND(INDEX(Arten,MATCH(AE21,Codes,0))="Arbeit",INDEX(Arten,MATCH(AF21,Codes,0))="Arbeit"),IF(ROUND((1+INDEX(Beginne,MATCH(AF21,Codes,0))-INDEX(EndeRel,MATCH(AE21,Codes,0)))*1440,0)&lt;660,1,0),0),0))</f>
      </c>
    </row>
    <row r="71" hidden="1" spans="1:32" x14ac:dyDescent="0.25">
      <c r="A71" s="1"/>
      <c r="B71" s="1">
        <f>IF(OR(B$52=0,INDEX('Juni'!$B$22:$AF$22,DAY(DATE(Jahr,7,0)))="",B22=""),0,IFERROR(IF(AND(INDEX(Arten,MATCH(INDEX('Juni'!$B$22:$AF$22,DAY(DATE(Jahr,7,0))),Codes,0))="Arbeit",INDEX(Arten,MATCH(B22,Codes,0))="Arbeit"),IF(ROUND((1+INDEX(Beginne,MATCH(B22,Codes,0))-INDEX(EndeRel,MATCH(INDEX('Juni'!$B$22:$AF$22,DAY(DATE(Jahr,7,0))),Codes,0)))*1440,0)&lt;660,1,0),0),0))</f>
      </c>
      <c r="C71" s="1">
        <f>IF(OR(C$52=0,B22="",C22=""),0,IFERROR(IF(AND(INDEX(Arten,MATCH(B22,Codes,0))="Arbeit",INDEX(Arten,MATCH(C22,Codes,0))="Arbeit"),IF(ROUND((1+INDEX(Beginne,MATCH(C22,Codes,0))-INDEX(EndeRel,MATCH(B22,Codes,0)))*1440,0)&lt;660,1,0),0),0))</f>
      </c>
      <c r="D71" s="1">
        <f>IF(OR(D$52=0,C22="",D22=""),0,IFERROR(IF(AND(INDEX(Arten,MATCH(C22,Codes,0))="Arbeit",INDEX(Arten,MATCH(D22,Codes,0))="Arbeit"),IF(ROUND((1+INDEX(Beginne,MATCH(D22,Codes,0))-INDEX(EndeRel,MATCH(C22,Codes,0)))*1440,0)&lt;660,1,0),0),0))</f>
      </c>
      <c r="E71" s="1">
        <f>IF(OR(E$52=0,D22="",E22=""),0,IFERROR(IF(AND(INDEX(Arten,MATCH(D22,Codes,0))="Arbeit",INDEX(Arten,MATCH(E22,Codes,0))="Arbeit"),IF(ROUND((1+INDEX(Beginne,MATCH(E22,Codes,0))-INDEX(EndeRel,MATCH(D22,Codes,0)))*1440,0)&lt;660,1,0),0),0))</f>
      </c>
      <c r="F71" s="1">
        <f>IF(OR(F$52=0,E22="",F22=""),0,IFERROR(IF(AND(INDEX(Arten,MATCH(E22,Codes,0))="Arbeit",INDEX(Arten,MATCH(F22,Codes,0))="Arbeit"),IF(ROUND((1+INDEX(Beginne,MATCH(F22,Codes,0))-INDEX(EndeRel,MATCH(E22,Codes,0)))*1440,0)&lt;660,1,0),0),0))</f>
      </c>
      <c r="G71" s="1">
        <f>IF(OR(G$52=0,F22="",G22=""),0,IFERROR(IF(AND(INDEX(Arten,MATCH(F22,Codes,0))="Arbeit",INDEX(Arten,MATCH(G22,Codes,0))="Arbeit"),IF(ROUND((1+INDEX(Beginne,MATCH(G22,Codes,0))-INDEX(EndeRel,MATCH(F22,Codes,0)))*1440,0)&lt;660,1,0),0),0))</f>
      </c>
      <c r="H71" s="1">
        <f>IF(OR(H$52=0,G22="",H22=""),0,IFERROR(IF(AND(INDEX(Arten,MATCH(G22,Codes,0))="Arbeit",INDEX(Arten,MATCH(H22,Codes,0))="Arbeit"),IF(ROUND((1+INDEX(Beginne,MATCH(H22,Codes,0))-INDEX(EndeRel,MATCH(G22,Codes,0)))*1440,0)&lt;660,1,0),0),0))</f>
      </c>
      <c r="I71" s="1">
        <f>IF(OR(I$52=0,H22="",I22=""),0,IFERROR(IF(AND(INDEX(Arten,MATCH(H22,Codes,0))="Arbeit",INDEX(Arten,MATCH(I22,Codes,0))="Arbeit"),IF(ROUND((1+INDEX(Beginne,MATCH(I22,Codes,0))-INDEX(EndeRel,MATCH(H22,Codes,0)))*1440,0)&lt;660,1,0),0),0))</f>
      </c>
      <c r="J71" s="1">
        <f>IF(OR(J$52=0,I22="",J22=""),0,IFERROR(IF(AND(INDEX(Arten,MATCH(I22,Codes,0))="Arbeit",INDEX(Arten,MATCH(J22,Codes,0))="Arbeit"),IF(ROUND((1+INDEX(Beginne,MATCH(J22,Codes,0))-INDEX(EndeRel,MATCH(I22,Codes,0)))*1440,0)&lt;660,1,0),0),0))</f>
      </c>
      <c r="K71" s="1">
        <f>IF(OR(K$52=0,J22="",K22=""),0,IFERROR(IF(AND(INDEX(Arten,MATCH(J22,Codes,0))="Arbeit",INDEX(Arten,MATCH(K22,Codes,0))="Arbeit"),IF(ROUND((1+INDEX(Beginne,MATCH(K22,Codes,0))-INDEX(EndeRel,MATCH(J22,Codes,0)))*1440,0)&lt;660,1,0),0),0))</f>
      </c>
      <c r="L71" s="1">
        <f>IF(OR(L$52=0,K22="",L22=""),0,IFERROR(IF(AND(INDEX(Arten,MATCH(K22,Codes,0))="Arbeit",INDEX(Arten,MATCH(L22,Codes,0))="Arbeit"),IF(ROUND((1+INDEX(Beginne,MATCH(L22,Codes,0))-INDEX(EndeRel,MATCH(K22,Codes,0)))*1440,0)&lt;660,1,0),0),0))</f>
      </c>
      <c r="M71" s="1">
        <f>IF(OR(M$52=0,L22="",M22=""),0,IFERROR(IF(AND(INDEX(Arten,MATCH(L22,Codes,0))="Arbeit",INDEX(Arten,MATCH(M22,Codes,0))="Arbeit"),IF(ROUND((1+INDEX(Beginne,MATCH(M22,Codes,0))-INDEX(EndeRel,MATCH(L22,Codes,0)))*1440,0)&lt;660,1,0),0),0))</f>
      </c>
      <c r="N71" s="1">
        <f>IF(OR(N$52=0,M22="",N22=""),0,IFERROR(IF(AND(INDEX(Arten,MATCH(M22,Codes,0))="Arbeit",INDEX(Arten,MATCH(N22,Codes,0))="Arbeit"),IF(ROUND((1+INDEX(Beginne,MATCH(N22,Codes,0))-INDEX(EndeRel,MATCH(M22,Codes,0)))*1440,0)&lt;660,1,0),0),0))</f>
      </c>
      <c r="O71" s="1">
        <f>IF(OR(O$52=0,N22="",O22=""),0,IFERROR(IF(AND(INDEX(Arten,MATCH(N22,Codes,0))="Arbeit",INDEX(Arten,MATCH(O22,Codes,0))="Arbeit"),IF(ROUND((1+INDEX(Beginne,MATCH(O22,Codes,0))-INDEX(EndeRel,MATCH(N22,Codes,0)))*1440,0)&lt;660,1,0),0),0))</f>
      </c>
      <c r="P71" s="1">
        <f>IF(OR(P$52=0,O22="",P22=""),0,IFERROR(IF(AND(INDEX(Arten,MATCH(O22,Codes,0))="Arbeit",INDEX(Arten,MATCH(P22,Codes,0))="Arbeit"),IF(ROUND((1+INDEX(Beginne,MATCH(P22,Codes,0))-INDEX(EndeRel,MATCH(O22,Codes,0)))*1440,0)&lt;660,1,0),0),0))</f>
      </c>
      <c r="Q71" s="1">
        <f>IF(OR(Q$52=0,P22="",Q22=""),0,IFERROR(IF(AND(INDEX(Arten,MATCH(P22,Codes,0))="Arbeit",INDEX(Arten,MATCH(Q22,Codes,0))="Arbeit"),IF(ROUND((1+INDEX(Beginne,MATCH(Q22,Codes,0))-INDEX(EndeRel,MATCH(P22,Codes,0)))*1440,0)&lt;660,1,0),0),0))</f>
      </c>
      <c r="R71" s="1">
        <f>IF(OR(R$52=0,Q22="",R22=""),0,IFERROR(IF(AND(INDEX(Arten,MATCH(Q22,Codes,0))="Arbeit",INDEX(Arten,MATCH(R22,Codes,0))="Arbeit"),IF(ROUND((1+INDEX(Beginne,MATCH(R22,Codes,0))-INDEX(EndeRel,MATCH(Q22,Codes,0)))*1440,0)&lt;660,1,0),0),0))</f>
      </c>
      <c r="S71" s="1">
        <f>IF(OR(S$52=0,R22="",S22=""),0,IFERROR(IF(AND(INDEX(Arten,MATCH(R22,Codes,0))="Arbeit",INDEX(Arten,MATCH(S22,Codes,0))="Arbeit"),IF(ROUND((1+INDEX(Beginne,MATCH(S22,Codes,0))-INDEX(EndeRel,MATCH(R22,Codes,0)))*1440,0)&lt;660,1,0),0),0))</f>
      </c>
      <c r="T71" s="1">
        <f>IF(OR(T$52=0,S22="",T22=""),0,IFERROR(IF(AND(INDEX(Arten,MATCH(S22,Codes,0))="Arbeit",INDEX(Arten,MATCH(T22,Codes,0))="Arbeit"),IF(ROUND((1+INDEX(Beginne,MATCH(T22,Codes,0))-INDEX(EndeRel,MATCH(S22,Codes,0)))*1440,0)&lt;660,1,0),0),0))</f>
      </c>
      <c r="U71" s="1">
        <f>IF(OR(U$52=0,T22="",U22=""),0,IFERROR(IF(AND(INDEX(Arten,MATCH(T22,Codes,0))="Arbeit",INDEX(Arten,MATCH(U22,Codes,0))="Arbeit"),IF(ROUND((1+INDEX(Beginne,MATCH(U22,Codes,0))-INDEX(EndeRel,MATCH(T22,Codes,0)))*1440,0)&lt;660,1,0),0),0))</f>
      </c>
      <c r="V71" s="1">
        <f>IF(OR(V$52=0,U22="",V22=""),0,IFERROR(IF(AND(INDEX(Arten,MATCH(U22,Codes,0))="Arbeit",INDEX(Arten,MATCH(V22,Codes,0))="Arbeit"),IF(ROUND((1+INDEX(Beginne,MATCH(V22,Codes,0))-INDEX(EndeRel,MATCH(U22,Codes,0)))*1440,0)&lt;660,1,0),0),0))</f>
      </c>
      <c r="W71" s="1">
        <f>IF(OR(W$52=0,V22="",W22=""),0,IFERROR(IF(AND(INDEX(Arten,MATCH(V22,Codes,0))="Arbeit",INDEX(Arten,MATCH(W22,Codes,0))="Arbeit"),IF(ROUND((1+INDEX(Beginne,MATCH(W22,Codes,0))-INDEX(EndeRel,MATCH(V22,Codes,0)))*1440,0)&lt;660,1,0),0),0))</f>
      </c>
      <c r="X71" s="1">
        <f>IF(OR(X$52=0,W22="",X22=""),0,IFERROR(IF(AND(INDEX(Arten,MATCH(W22,Codes,0))="Arbeit",INDEX(Arten,MATCH(X22,Codes,0))="Arbeit"),IF(ROUND((1+INDEX(Beginne,MATCH(X22,Codes,0))-INDEX(EndeRel,MATCH(W22,Codes,0)))*1440,0)&lt;660,1,0),0),0))</f>
      </c>
      <c r="Y71" s="1">
        <f>IF(OR(Y$52=0,X22="",Y22=""),0,IFERROR(IF(AND(INDEX(Arten,MATCH(X22,Codes,0))="Arbeit",INDEX(Arten,MATCH(Y22,Codes,0))="Arbeit"),IF(ROUND((1+INDEX(Beginne,MATCH(Y22,Codes,0))-INDEX(EndeRel,MATCH(X22,Codes,0)))*1440,0)&lt;660,1,0),0),0))</f>
      </c>
      <c r="Z71" s="1">
        <f>IF(OR(Z$52=0,Y22="",Z22=""),0,IFERROR(IF(AND(INDEX(Arten,MATCH(Y22,Codes,0))="Arbeit",INDEX(Arten,MATCH(Z22,Codes,0))="Arbeit"),IF(ROUND((1+INDEX(Beginne,MATCH(Z22,Codes,0))-INDEX(EndeRel,MATCH(Y22,Codes,0)))*1440,0)&lt;660,1,0),0),0))</f>
      </c>
      <c r="AA71" s="1">
        <f>IF(OR(AA$52=0,Z22="",AA22=""),0,IFERROR(IF(AND(INDEX(Arten,MATCH(Z22,Codes,0))="Arbeit",INDEX(Arten,MATCH(AA22,Codes,0))="Arbeit"),IF(ROUND((1+INDEX(Beginne,MATCH(AA22,Codes,0))-INDEX(EndeRel,MATCH(Z22,Codes,0)))*1440,0)&lt;660,1,0),0),0))</f>
      </c>
      <c r="AB71" s="1">
        <f>IF(OR(AB$52=0,AA22="",AB22=""),0,IFERROR(IF(AND(INDEX(Arten,MATCH(AA22,Codes,0))="Arbeit",INDEX(Arten,MATCH(AB22,Codes,0))="Arbeit"),IF(ROUND((1+INDEX(Beginne,MATCH(AB22,Codes,0))-INDEX(EndeRel,MATCH(AA22,Codes,0)))*1440,0)&lt;660,1,0),0),0))</f>
      </c>
      <c r="AC71" s="1">
        <f>IF(OR(AC$52=0,AB22="",AC22=""),0,IFERROR(IF(AND(INDEX(Arten,MATCH(AB22,Codes,0))="Arbeit",INDEX(Arten,MATCH(AC22,Codes,0))="Arbeit"),IF(ROUND((1+INDEX(Beginne,MATCH(AC22,Codes,0))-INDEX(EndeRel,MATCH(AB22,Codes,0)))*1440,0)&lt;660,1,0),0),0))</f>
      </c>
      <c r="AD71" s="1">
        <f>IF(OR(AD$52=0,AC22="",AD22=""),0,IFERROR(IF(AND(INDEX(Arten,MATCH(AC22,Codes,0))="Arbeit",INDEX(Arten,MATCH(AD22,Codes,0))="Arbeit"),IF(ROUND((1+INDEX(Beginne,MATCH(AD22,Codes,0))-INDEX(EndeRel,MATCH(AC22,Codes,0)))*1440,0)&lt;660,1,0),0),0))</f>
      </c>
      <c r="AE71" s="1">
        <f>IF(OR(AE$52=0,AD22="",AE22=""),0,IFERROR(IF(AND(INDEX(Arten,MATCH(AD22,Codes,0))="Arbeit",INDEX(Arten,MATCH(AE22,Codes,0))="Arbeit"),IF(ROUND((1+INDEX(Beginne,MATCH(AE22,Codes,0))-INDEX(EndeRel,MATCH(AD22,Codes,0)))*1440,0)&lt;660,1,0),0),0))</f>
      </c>
      <c r="AF71" s="1">
        <f>IF(OR(AF$52=0,AE22="",AF22=""),0,IFERROR(IF(AND(INDEX(Arten,MATCH(AE22,Codes,0))="Arbeit",INDEX(Arten,MATCH(AF22,Codes,0))="Arbeit"),IF(ROUND((1+INDEX(Beginne,MATCH(AF22,Codes,0))-INDEX(EndeRel,MATCH(AE22,Codes,0)))*1440,0)&lt;660,1,0),0),0))</f>
      </c>
    </row>
    <row r="72" hidden="1" spans="1:32" x14ac:dyDescent="0.25">
      <c r="A72" s="1"/>
      <c r="B72" s="1">
        <f>IF(OR(B$52=0,INDEX('Juni'!$B$23:$AF$23,DAY(DATE(Jahr,7,0)))="",B23=""),0,IFERROR(IF(AND(INDEX(Arten,MATCH(INDEX('Juni'!$B$23:$AF$23,DAY(DATE(Jahr,7,0))),Codes,0))="Arbeit",INDEX(Arten,MATCH(B23,Codes,0))="Arbeit"),IF(ROUND((1+INDEX(Beginne,MATCH(B23,Codes,0))-INDEX(EndeRel,MATCH(INDEX('Juni'!$B$23:$AF$23,DAY(DATE(Jahr,7,0))),Codes,0)))*1440,0)&lt;660,1,0),0),0))</f>
      </c>
      <c r="C72" s="1">
        <f>IF(OR(C$52=0,B23="",C23=""),0,IFERROR(IF(AND(INDEX(Arten,MATCH(B23,Codes,0))="Arbeit",INDEX(Arten,MATCH(C23,Codes,0))="Arbeit"),IF(ROUND((1+INDEX(Beginne,MATCH(C23,Codes,0))-INDEX(EndeRel,MATCH(B23,Codes,0)))*1440,0)&lt;660,1,0),0),0))</f>
      </c>
      <c r="D72" s="1">
        <f>IF(OR(D$52=0,C23="",D23=""),0,IFERROR(IF(AND(INDEX(Arten,MATCH(C23,Codes,0))="Arbeit",INDEX(Arten,MATCH(D23,Codes,0))="Arbeit"),IF(ROUND((1+INDEX(Beginne,MATCH(D23,Codes,0))-INDEX(EndeRel,MATCH(C23,Codes,0)))*1440,0)&lt;660,1,0),0),0))</f>
      </c>
      <c r="E72" s="1">
        <f>IF(OR(E$52=0,D23="",E23=""),0,IFERROR(IF(AND(INDEX(Arten,MATCH(D23,Codes,0))="Arbeit",INDEX(Arten,MATCH(E23,Codes,0))="Arbeit"),IF(ROUND((1+INDEX(Beginne,MATCH(E23,Codes,0))-INDEX(EndeRel,MATCH(D23,Codes,0)))*1440,0)&lt;660,1,0),0),0))</f>
      </c>
      <c r="F72" s="1">
        <f>IF(OR(F$52=0,E23="",F23=""),0,IFERROR(IF(AND(INDEX(Arten,MATCH(E23,Codes,0))="Arbeit",INDEX(Arten,MATCH(F23,Codes,0))="Arbeit"),IF(ROUND((1+INDEX(Beginne,MATCH(F23,Codes,0))-INDEX(EndeRel,MATCH(E23,Codes,0)))*1440,0)&lt;660,1,0),0),0))</f>
      </c>
      <c r="G72" s="1">
        <f>IF(OR(G$52=0,F23="",G23=""),0,IFERROR(IF(AND(INDEX(Arten,MATCH(F23,Codes,0))="Arbeit",INDEX(Arten,MATCH(G23,Codes,0))="Arbeit"),IF(ROUND((1+INDEX(Beginne,MATCH(G23,Codes,0))-INDEX(EndeRel,MATCH(F23,Codes,0)))*1440,0)&lt;660,1,0),0),0))</f>
      </c>
      <c r="H72" s="1">
        <f>IF(OR(H$52=0,G23="",H23=""),0,IFERROR(IF(AND(INDEX(Arten,MATCH(G23,Codes,0))="Arbeit",INDEX(Arten,MATCH(H23,Codes,0))="Arbeit"),IF(ROUND((1+INDEX(Beginne,MATCH(H23,Codes,0))-INDEX(EndeRel,MATCH(G23,Codes,0)))*1440,0)&lt;660,1,0),0),0))</f>
      </c>
      <c r="I72" s="1">
        <f>IF(OR(I$52=0,H23="",I23=""),0,IFERROR(IF(AND(INDEX(Arten,MATCH(H23,Codes,0))="Arbeit",INDEX(Arten,MATCH(I23,Codes,0))="Arbeit"),IF(ROUND((1+INDEX(Beginne,MATCH(I23,Codes,0))-INDEX(EndeRel,MATCH(H23,Codes,0)))*1440,0)&lt;660,1,0),0),0))</f>
      </c>
      <c r="J72" s="1">
        <f>IF(OR(J$52=0,I23="",J23=""),0,IFERROR(IF(AND(INDEX(Arten,MATCH(I23,Codes,0))="Arbeit",INDEX(Arten,MATCH(J23,Codes,0))="Arbeit"),IF(ROUND((1+INDEX(Beginne,MATCH(J23,Codes,0))-INDEX(EndeRel,MATCH(I23,Codes,0)))*1440,0)&lt;660,1,0),0),0))</f>
      </c>
      <c r="K72" s="1">
        <f>IF(OR(K$52=0,J23="",K23=""),0,IFERROR(IF(AND(INDEX(Arten,MATCH(J23,Codes,0))="Arbeit",INDEX(Arten,MATCH(K23,Codes,0))="Arbeit"),IF(ROUND((1+INDEX(Beginne,MATCH(K23,Codes,0))-INDEX(EndeRel,MATCH(J23,Codes,0)))*1440,0)&lt;660,1,0),0),0))</f>
      </c>
      <c r="L72" s="1">
        <f>IF(OR(L$52=0,K23="",L23=""),0,IFERROR(IF(AND(INDEX(Arten,MATCH(K23,Codes,0))="Arbeit",INDEX(Arten,MATCH(L23,Codes,0))="Arbeit"),IF(ROUND((1+INDEX(Beginne,MATCH(L23,Codes,0))-INDEX(EndeRel,MATCH(K23,Codes,0)))*1440,0)&lt;660,1,0),0),0))</f>
      </c>
      <c r="M72" s="1">
        <f>IF(OR(M$52=0,L23="",M23=""),0,IFERROR(IF(AND(INDEX(Arten,MATCH(L23,Codes,0))="Arbeit",INDEX(Arten,MATCH(M23,Codes,0))="Arbeit"),IF(ROUND((1+INDEX(Beginne,MATCH(M23,Codes,0))-INDEX(EndeRel,MATCH(L23,Codes,0)))*1440,0)&lt;660,1,0),0),0))</f>
      </c>
      <c r="N72" s="1">
        <f>IF(OR(N$52=0,M23="",N23=""),0,IFERROR(IF(AND(INDEX(Arten,MATCH(M23,Codes,0))="Arbeit",INDEX(Arten,MATCH(N23,Codes,0))="Arbeit"),IF(ROUND((1+INDEX(Beginne,MATCH(N23,Codes,0))-INDEX(EndeRel,MATCH(M23,Codes,0)))*1440,0)&lt;660,1,0),0),0))</f>
      </c>
      <c r="O72" s="1">
        <f>IF(OR(O$52=0,N23="",O23=""),0,IFERROR(IF(AND(INDEX(Arten,MATCH(N23,Codes,0))="Arbeit",INDEX(Arten,MATCH(O23,Codes,0))="Arbeit"),IF(ROUND((1+INDEX(Beginne,MATCH(O23,Codes,0))-INDEX(EndeRel,MATCH(N23,Codes,0)))*1440,0)&lt;660,1,0),0),0))</f>
      </c>
      <c r="P72" s="1">
        <f>IF(OR(P$52=0,O23="",P23=""),0,IFERROR(IF(AND(INDEX(Arten,MATCH(O23,Codes,0))="Arbeit",INDEX(Arten,MATCH(P23,Codes,0))="Arbeit"),IF(ROUND((1+INDEX(Beginne,MATCH(P23,Codes,0))-INDEX(EndeRel,MATCH(O23,Codes,0)))*1440,0)&lt;660,1,0),0),0))</f>
      </c>
      <c r="Q72" s="1">
        <f>IF(OR(Q$52=0,P23="",Q23=""),0,IFERROR(IF(AND(INDEX(Arten,MATCH(P23,Codes,0))="Arbeit",INDEX(Arten,MATCH(Q23,Codes,0))="Arbeit"),IF(ROUND((1+INDEX(Beginne,MATCH(Q23,Codes,0))-INDEX(EndeRel,MATCH(P23,Codes,0)))*1440,0)&lt;660,1,0),0),0))</f>
      </c>
      <c r="R72" s="1">
        <f>IF(OR(R$52=0,Q23="",R23=""),0,IFERROR(IF(AND(INDEX(Arten,MATCH(Q23,Codes,0))="Arbeit",INDEX(Arten,MATCH(R23,Codes,0))="Arbeit"),IF(ROUND((1+INDEX(Beginne,MATCH(R23,Codes,0))-INDEX(EndeRel,MATCH(Q23,Codes,0)))*1440,0)&lt;660,1,0),0),0))</f>
      </c>
      <c r="S72" s="1">
        <f>IF(OR(S$52=0,R23="",S23=""),0,IFERROR(IF(AND(INDEX(Arten,MATCH(R23,Codes,0))="Arbeit",INDEX(Arten,MATCH(S23,Codes,0))="Arbeit"),IF(ROUND((1+INDEX(Beginne,MATCH(S23,Codes,0))-INDEX(EndeRel,MATCH(R23,Codes,0)))*1440,0)&lt;660,1,0),0),0))</f>
      </c>
      <c r="T72" s="1">
        <f>IF(OR(T$52=0,S23="",T23=""),0,IFERROR(IF(AND(INDEX(Arten,MATCH(S23,Codes,0))="Arbeit",INDEX(Arten,MATCH(T23,Codes,0))="Arbeit"),IF(ROUND((1+INDEX(Beginne,MATCH(T23,Codes,0))-INDEX(EndeRel,MATCH(S23,Codes,0)))*1440,0)&lt;660,1,0),0),0))</f>
      </c>
      <c r="U72" s="1">
        <f>IF(OR(U$52=0,T23="",U23=""),0,IFERROR(IF(AND(INDEX(Arten,MATCH(T23,Codes,0))="Arbeit",INDEX(Arten,MATCH(U23,Codes,0))="Arbeit"),IF(ROUND((1+INDEX(Beginne,MATCH(U23,Codes,0))-INDEX(EndeRel,MATCH(T23,Codes,0)))*1440,0)&lt;660,1,0),0),0))</f>
      </c>
      <c r="V72" s="1">
        <f>IF(OR(V$52=0,U23="",V23=""),0,IFERROR(IF(AND(INDEX(Arten,MATCH(U23,Codes,0))="Arbeit",INDEX(Arten,MATCH(V23,Codes,0))="Arbeit"),IF(ROUND((1+INDEX(Beginne,MATCH(V23,Codes,0))-INDEX(EndeRel,MATCH(U23,Codes,0)))*1440,0)&lt;660,1,0),0),0))</f>
      </c>
      <c r="W72" s="1">
        <f>IF(OR(W$52=0,V23="",W23=""),0,IFERROR(IF(AND(INDEX(Arten,MATCH(V23,Codes,0))="Arbeit",INDEX(Arten,MATCH(W23,Codes,0))="Arbeit"),IF(ROUND((1+INDEX(Beginne,MATCH(W23,Codes,0))-INDEX(EndeRel,MATCH(V23,Codes,0)))*1440,0)&lt;660,1,0),0),0))</f>
      </c>
      <c r="X72" s="1">
        <f>IF(OR(X$52=0,W23="",X23=""),0,IFERROR(IF(AND(INDEX(Arten,MATCH(W23,Codes,0))="Arbeit",INDEX(Arten,MATCH(X23,Codes,0))="Arbeit"),IF(ROUND((1+INDEX(Beginne,MATCH(X23,Codes,0))-INDEX(EndeRel,MATCH(W23,Codes,0)))*1440,0)&lt;660,1,0),0),0))</f>
      </c>
      <c r="Y72" s="1">
        <f>IF(OR(Y$52=0,X23="",Y23=""),0,IFERROR(IF(AND(INDEX(Arten,MATCH(X23,Codes,0))="Arbeit",INDEX(Arten,MATCH(Y23,Codes,0))="Arbeit"),IF(ROUND((1+INDEX(Beginne,MATCH(Y23,Codes,0))-INDEX(EndeRel,MATCH(X23,Codes,0)))*1440,0)&lt;660,1,0),0),0))</f>
      </c>
      <c r="Z72" s="1">
        <f>IF(OR(Z$52=0,Y23="",Z23=""),0,IFERROR(IF(AND(INDEX(Arten,MATCH(Y23,Codes,0))="Arbeit",INDEX(Arten,MATCH(Z23,Codes,0))="Arbeit"),IF(ROUND((1+INDEX(Beginne,MATCH(Z23,Codes,0))-INDEX(EndeRel,MATCH(Y23,Codes,0)))*1440,0)&lt;660,1,0),0),0))</f>
      </c>
      <c r="AA72" s="1">
        <f>IF(OR(AA$52=0,Z23="",AA23=""),0,IFERROR(IF(AND(INDEX(Arten,MATCH(Z23,Codes,0))="Arbeit",INDEX(Arten,MATCH(AA23,Codes,0))="Arbeit"),IF(ROUND((1+INDEX(Beginne,MATCH(AA23,Codes,0))-INDEX(EndeRel,MATCH(Z23,Codes,0)))*1440,0)&lt;660,1,0),0),0))</f>
      </c>
      <c r="AB72" s="1">
        <f>IF(OR(AB$52=0,AA23="",AB23=""),0,IFERROR(IF(AND(INDEX(Arten,MATCH(AA23,Codes,0))="Arbeit",INDEX(Arten,MATCH(AB23,Codes,0))="Arbeit"),IF(ROUND((1+INDEX(Beginne,MATCH(AB23,Codes,0))-INDEX(EndeRel,MATCH(AA23,Codes,0)))*1440,0)&lt;660,1,0),0),0))</f>
      </c>
      <c r="AC72" s="1">
        <f>IF(OR(AC$52=0,AB23="",AC23=""),0,IFERROR(IF(AND(INDEX(Arten,MATCH(AB23,Codes,0))="Arbeit",INDEX(Arten,MATCH(AC23,Codes,0))="Arbeit"),IF(ROUND((1+INDEX(Beginne,MATCH(AC23,Codes,0))-INDEX(EndeRel,MATCH(AB23,Codes,0)))*1440,0)&lt;660,1,0),0),0))</f>
      </c>
      <c r="AD72" s="1">
        <f>IF(OR(AD$52=0,AC23="",AD23=""),0,IFERROR(IF(AND(INDEX(Arten,MATCH(AC23,Codes,0))="Arbeit",INDEX(Arten,MATCH(AD23,Codes,0))="Arbeit"),IF(ROUND((1+INDEX(Beginne,MATCH(AD23,Codes,0))-INDEX(EndeRel,MATCH(AC23,Codes,0)))*1440,0)&lt;660,1,0),0),0))</f>
      </c>
      <c r="AE72" s="1">
        <f>IF(OR(AE$52=0,AD23="",AE23=""),0,IFERROR(IF(AND(INDEX(Arten,MATCH(AD23,Codes,0))="Arbeit",INDEX(Arten,MATCH(AE23,Codes,0))="Arbeit"),IF(ROUND((1+INDEX(Beginne,MATCH(AE23,Codes,0))-INDEX(EndeRel,MATCH(AD23,Codes,0)))*1440,0)&lt;660,1,0),0),0))</f>
      </c>
      <c r="AF72" s="1">
        <f>IF(OR(AF$52=0,AE23="",AF23=""),0,IFERROR(IF(AND(INDEX(Arten,MATCH(AE23,Codes,0))="Arbeit",INDEX(Arten,MATCH(AF23,Codes,0))="Arbeit"),IF(ROUND((1+INDEX(Beginne,MATCH(AF23,Codes,0))-INDEX(EndeRel,MATCH(AE23,Codes,0)))*1440,0)&lt;660,1,0),0),0))</f>
      </c>
    </row>
    <row r="73" hidden="1" spans="1:32" x14ac:dyDescent="0.25">
      <c r="A73" s="1"/>
      <c r="B73" s="1">
        <f>IF(OR(B$52=0,INDEX('Juni'!$B$24:$AF$24,DAY(DATE(Jahr,7,0)))="",B24=""),0,IFERROR(IF(AND(INDEX(Arten,MATCH(INDEX('Juni'!$B$24:$AF$24,DAY(DATE(Jahr,7,0))),Codes,0))="Arbeit",INDEX(Arten,MATCH(B24,Codes,0))="Arbeit"),IF(ROUND((1+INDEX(Beginne,MATCH(B24,Codes,0))-INDEX(EndeRel,MATCH(INDEX('Juni'!$B$24:$AF$24,DAY(DATE(Jahr,7,0))),Codes,0)))*1440,0)&lt;660,1,0),0),0))</f>
      </c>
      <c r="C73" s="1">
        <f>IF(OR(C$52=0,B24="",C24=""),0,IFERROR(IF(AND(INDEX(Arten,MATCH(B24,Codes,0))="Arbeit",INDEX(Arten,MATCH(C24,Codes,0))="Arbeit"),IF(ROUND((1+INDEX(Beginne,MATCH(C24,Codes,0))-INDEX(EndeRel,MATCH(B24,Codes,0)))*1440,0)&lt;660,1,0),0),0))</f>
      </c>
      <c r="D73" s="1">
        <f>IF(OR(D$52=0,C24="",D24=""),0,IFERROR(IF(AND(INDEX(Arten,MATCH(C24,Codes,0))="Arbeit",INDEX(Arten,MATCH(D24,Codes,0))="Arbeit"),IF(ROUND((1+INDEX(Beginne,MATCH(D24,Codes,0))-INDEX(EndeRel,MATCH(C24,Codes,0)))*1440,0)&lt;660,1,0),0),0))</f>
      </c>
      <c r="E73" s="1">
        <f>IF(OR(E$52=0,D24="",E24=""),0,IFERROR(IF(AND(INDEX(Arten,MATCH(D24,Codes,0))="Arbeit",INDEX(Arten,MATCH(E24,Codes,0))="Arbeit"),IF(ROUND((1+INDEX(Beginne,MATCH(E24,Codes,0))-INDEX(EndeRel,MATCH(D24,Codes,0)))*1440,0)&lt;660,1,0),0),0))</f>
      </c>
      <c r="F73" s="1">
        <f>IF(OR(F$52=0,E24="",F24=""),0,IFERROR(IF(AND(INDEX(Arten,MATCH(E24,Codes,0))="Arbeit",INDEX(Arten,MATCH(F24,Codes,0))="Arbeit"),IF(ROUND((1+INDEX(Beginne,MATCH(F24,Codes,0))-INDEX(EndeRel,MATCH(E24,Codes,0)))*1440,0)&lt;660,1,0),0),0))</f>
      </c>
      <c r="G73" s="1">
        <f>IF(OR(G$52=0,F24="",G24=""),0,IFERROR(IF(AND(INDEX(Arten,MATCH(F24,Codes,0))="Arbeit",INDEX(Arten,MATCH(G24,Codes,0))="Arbeit"),IF(ROUND((1+INDEX(Beginne,MATCH(G24,Codes,0))-INDEX(EndeRel,MATCH(F24,Codes,0)))*1440,0)&lt;660,1,0),0),0))</f>
      </c>
      <c r="H73" s="1">
        <f>IF(OR(H$52=0,G24="",H24=""),0,IFERROR(IF(AND(INDEX(Arten,MATCH(G24,Codes,0))="Arbeit",INDEX(Arten,MATCH(H24,Codes,0))="Arbeit"),IF(ROUND((1+INDEX(Beginne,MATCH(H24,Codes,0))-INDEX(EndeRel,MATCH(G24,Codes,0)))*1440,0)&lt;660,1,0),0),0))</f>
      </c>
      <c r="I73" s="1">
        <f>IF(OR(I$52=0,H24="",I24=""),0,IFERROR(IF(AND(INDEX(Arten,MATCH(H24,Codes,0))="Arbeit",INDEX(Arten,MATCH(I24,Codes,0))="Arbeit"),IF(ROUND((1+INDEX(Beginne,MATCH(I24,Codes,0))-INDEX(EndeRel,MATCH(H24,Codes,0)))*1440,0)&lt;660,1,0),0),0))</f>
      </c>
      <c r="J73" s="1">
        <f>IF(OR(J$52=0,I24="",J24=""),0,IFERROR(IF(AND(INDEX(Arten,MATCH(I24,Codes,0))="Arbeit",INDEX(Arten,MATCH(J24,Codes,0))="Arbeit"),IF(ROUND((1+INDEX(Beginne,MATCH(J24,Codes,0))-INDEX(EndeRel,MATCH(I24,Codes,0)))*1440,0)&lt;660,1,0),0),0))</f>
      </c>
      <c r="K73" s="1">
        <f>IF(OR(K$52=0,J24="",K24=""),0,IFERROR(IF(AND(INDEX(Arten,MATCH(J24,Codes,0))="Arbeit",INDEX(Arten,MATCH(K24,Codes,0))="Arbeit"),IF(ROUND((1+INDEX(Beginne,MATCH(K24,Codes,0))-INDEX(EndeRel,MATCH(J24,Codes,0)))*1440,0)&lt;660,1,0),0),0))</f>
      </c>
      <c r="L73" s="1">
        <f>IF(OR(L$52=0,K24="",L24=""),0,IFERROR(IF(AND(INDEX(Arten,MATCH(K24,Codes,0))="Arbeit",INDEX(Arten,MATCH(L24,Codes,0))="Arbeit"),IF(ROUND((1+INDEX(Beginne,MATCH(L24,Codes,0))-INDEX(EndeRel,MATCH(K24,Codes,0)))*1440,0)&lt;660,1,0),0),0))</f>
      </c>
      <c r="M73" s="1">
        <f>IF(OR(M$52=0,L24="",M24=""),0,IFERROR(IF(AND(INDEX(Arten,MATCH(L24,Codes,0))="Arbeit",INDEX(Arten,MATCH(M24,Codes,0))="Arbeit"),IF(ROUND((1+INDEX(Beginne,MATCH(M24,Codes,0))-INDEX(EndeRel,MATCH(L24,Codes,0)))*1440,0)&lt;660,1,0),0),0))</f>
      </c>
      <c r="N73" s="1">
        <f>IF(OR(N$52=0,M24="",N24=""),0,IFERROR(IF(AND(INDEX(Arten,MATCH(M24,Codes,0))="Arbeit",INDEX(Arten,MATCH(N24,Codes,0))="Arbeit"),IF(ROUND((1+INDEX(Beginne,MATCH(N24,Codes,0))-INDEX(EndeRel,MATCH(M24,Codes,0)))*1440,0)&lt;660,1,0),0),0))</f>
      </c>
      <c r="O73" s="1">
        <f>IF(OR(O$52=0,N24="",O24=""),0,IFERROR(IF(AND(INDEX(Arten,MATCH(N24,Codes,0))="Arbeit",INDEX(Arten,MATCH(O24,Codes,0))="Arbeit"),IF(ROUND((1+INDEX(Beginne,MATCH(O24,Codes,0))-INDEX(EndeRel,MATCH(N24,Codes,0)))*1440,0)&lt;660,1,0),0),0))</f>
      </c>
      <c r="P73" s="1">
        <f>IF(OR(P$52=0,O24="",P24=""),0,IFERROR(IF(AND(INDEX(Arten,MATCH(O24,Codes,0))="Arbeit",INDEX(Arten,MATCH(P24,Codes,0))="Arbeit"),IF(ROUND((1+INDEX(Beginne,MATCH(P24,Codes,0))-INDEX(EndeRel,MATCH(O24,Codes,0)))*1440,0)&lt;660,1,0),0),0))</f>
      </c>
      <c r="Q73" s="1">
        <f>IF(OR(Q$52=0,P24="",Q24=""),0,IFERROR(IF(AND(INDEX(Arten,MATCH(P24,Codes,0))="Arbeit",INDEX(Arten,MATCH(Q24,Codes,0))="Arbeit"),IF(ROUND((1+INDEX(Beginne,MATCH(Q24,Codes,0))-INDEX(EndeRel,MATCH(P24,Codes,0)))*1440,0)&lt;660,1,0),0),0))</f>
      </c>
      <c r="R73" s="1">
        <f>IF(OR(R$52=0,Q24="",R24=""),0,IFERROR(IF(AND(INDEX(Arten,MATCH(Q24,Codes,0))="Arbeit",INDEX(Arten,MATCH(R24,Codes,0))="Arbeit"),IF(ROUND((1+INDEX(Beginne,MATCH(R24,Codes,0))-INDEX(EndeRel,MATCH(Q24,Codes,0)))*1440,0)&lt;660,1,0),0),0))</f>
      </c>
      <c r="S73" s="1">
        <f>IF(OR(S$52=0,R24="",S24=""),0,IFERROR(IF(AND(INDEX(Arten,MATCH(R24,Codes,0))="Arbeit",INDEX(Arten,MATCH(S24,Codes,0))="Arbeit"),IF(ROUND((1+INDEX(Beginne,MATCH(S24,Codes,0))-INDEX(EndeRel,MATCH(R24,Codes,0)))*1440,0)&lt;660,1,0),0),0))</f>
      </c>
      <c r="T73" s="1">
        <f>IF(OR(T$52=0,S24="",T24=""),0,IFERROR(IF(AND(INDEX(Arten,MATCH(S24,Codes,0))="Arbeit",INDEX(Arten,MATCH(T24,Codes,0))="Arbeit"),IF(ROUND((1+INDEX(Beginne,MATCH(T24,Codes,0))-INDEX(EndeRel,MATCH(S24,Codes,0)))*1440,0)&lt;660,1,0),0),0))</f>
      </c>
      <c r="U73" s="1">
        <f>IF(OR(U$52=0,T24="",U24=""),0,IFERROR(IF(AND(INDEX(Arten,MATCH(T24,Codes,0))="Arbeit",INDEX(Arten,MATCH(U24,Codes,0))="Arbeit"),IF(ROUND((1+INDEX(Beginne,MATCH(U24,Codes,0))-INDEX(EndeRel,MATCH(T24,Codes,0)))*1440,0)&lt;660,1,0),0),0))</f>
      </c>
      <c r="V73" s="1">
        <f>IF(OR(V$52=0,U24="",V24=""),0,IFERROR(IF(AND(INDEX(Arten,MATCH(U24,Codes,0))="Arbeit",INDEX(Arten,MATCH(V24,Codes,0))="Arbeit"),IF(ROUND((1+INDEX(Beginne,MATCH(V24,Codes,0))-INDEX(EndeRel,MATCH(U24,Codes,0)))*1440,0)&lt;660,1,0),0),0))</f>
      </c>
      <c r="W73" s="1">
        <f>IF(OR(W$52=0,V24="",W24=""),0,IFERROR(IF(AND(INDEX(Arten,MATCH(V24,Codes,0))="Arbeit",INDEX(Arten,MATCH(W24,Codes,0))="Arbeit"),IF(ROUND((1+INDEX(Beginne,MATCH(W24,Codes,0))-INDEX(EndeRel,MATCH(V24,Codes,0)))*1440,0)&lt;660,1,0),0),0))</f>
      </c>
      <c r="X73" s="1">
        <f>IF(OR(X$52=0,W24="",X24=""),0,IFERROR(IF(AND(INDEX(Arten,MATCH(W24,Codes,0))="Arbeit",INDEX(Arten,MATCH(X24,Codes,0))="Arbeit"),IF(ROUND((1+INDEX(Beginne,MATCH(X24,Codes,0))-INDEX(EndeRel,MATCH(W24,Codes,0)))*1440,0)&lt;660,1,0),0),0))</f>
      </c>
      <c r="Y73" s="1">
        <f>IF(OR(Y$52=0,X24="",Y24=""),0,IFERROR(IF(AND(INDEX(Arten,MATCH(X24,Codes,0))="Arbeit",INDEX(Arten,MATCH(Y24,Codes,0))="Arbeit"),IF(ROUND((1+INDEX(Beginne,MATCH(Y24,Codes,0))-INDEX(EndeRel,MATCH(X24,Codes,0)))*1440,0)&lt;660,1,0),0),0))</f>
      </c>
      <c r="Z73" s="1">
        <f>IF(OR(Z$52=0,Y24="",Z24=""),0,IFERROR(IF(AND(INDEX(Arten,MATCH(Y24,Codes,0))="Arbeit",INDEX(Arten,MATCH(Z24,Codes,0))="Arbeit"),IF(ROUND((1+INDEX(Beginne,MATCH(Z24,Codes,0))-INDEX(EndeRel,MATCH(Y24,Codes,0)))*1440,0)&lt;660,1,0),0),0))</f>
      </c>
      <c r="AA73" s="1">
        <f>IF(OR(AA$52=0,Z24="",AA24=""),0,IFERROR(IF(AND(INDEX(Arten,MATCH(Z24,Codes,0))="Arbeit",INDEX(Arten,MATCH(AA24,Codes,0))="Arbeit"),IF(ROUND((1+INDEX(Beginne,MATCH(AA24,Codes,0))-INDEX(EndeRel,MATCH(Z24,Codes,0)))*1440,0)&lt;660,1,0),0),0))</f>
      </c>
      <c r="AB73" s="1">
        <f>IF(OR(AB$52=0,AA24="",AB24=""),0,IFERROR(IF(AND(INDEX(Arten,MATCH(AA24,Codes,0))="Arbeit",INDEX(Arten,MATCH(AB24,Codes,0))="Arbeit"),IF(ROUND((1+INDEX(Beginne,MATCH(AB24,Codes,0))-INDEX(EndeRel,MATCH(AA24,Codes,0)))*1440,0)&lt;660,1,0),0),0))</f>
      </c>
      <c r="AC73" s="1">
        <f>IF(OR(AC$52=0,AB24="",AC24=""),0,IFERROR(IF(AND(INDEX(Arten,MATCH(AB24,Codes,0))="Arbeit",INDEX(Arten,MATCH(AC24,Codes,0))="Arbeit"),IF(ROUND((1+INDEX(Beginne,MATCH(AC24,Codes,0))-INDEX(EndeRel,MATCH(AB24,Codes,0)))*1440,0)&lt;660,1,0),0),0))</f>
      </c>
      <c r="AD73" s="1">
        <f>IF(OR(AD$52=0,AC24="",AD24=""),0,IFERROR(IF(AND(INDEX(Arten,MATCH(AC24,Codes,0))="Arbeit",INDEX(Arten,MATCH(AD24,Codes,0))="Arbeit"),IF(ROUND((1+INDEX(Beginne,MATCH(AD24,Codes,0))-INDEX(EndeRel,MATCH(AC24,Codes,0)))*1440,0)&lt;660,1,0),0),0))</f>
      </c>
      <c r="AE73" s="1">
        <f>IF(OR(AE$52=0,AD24="",AE24=""),0,IFERROR(IF(AND(INDEX(Arten,MATCH(AD24,Codes,0))="Arbeit",INDEX(Arten,MATCH(AE24,Codes,0))="Arbeit"),IF(ROUND((1+INDEX(Beginne,MATCH(AE24,Codes,0))-INDEX(EndeRel,MATCH(AD24,Codes,0)))*1440,0)&lt;660,1,0),0),0))</f>
      </c>
      <c r="AF73" s="1">
        <f>IF(OR(AF$52=0,AE24="",AF24=""),0,IFERROR(IF(AND(INDEX(Arten,MATCH(AE24,Codes,0))="Arbeit",INDEX(Arten,MATCH(AF24,Codes,0))="Arbeit"),IF(ROUND((1+INDEX(Beginne,MATCH(AF24,Codes,0))-INDEX(EndeRel,MATCH(AE24,Codes,0)))*1440,0)&lt;660,1,0),0),0))</f>
      </c>
    </row>
    <row r="74" hidden="1" spans="1:32" x14ac:dyDescent="0.25">
      <c r="A74" s="1"/>
      <c r="B74" s="1">
        <f>IF(OR(B$52=0,INDEX('Juni'!$B$25:$AF$25,DAY(DATE(Jahr,7,0)))="",B25=""),0,IFERROR(IF(AND(INDEX(Arten,MATCH(INDEX('Juni'!$B$25:$AF$25,DAY(DATE(Jahr,7,0))),Codes,0))="Arbeit",INDEX(Arten,MATCH(B25,Codes,0))="Arbeit"),IF(ROUND((1+INDEX(Beginne,MATCH(B25,Codes,0))-INDEX(EndeRel,MATCH(INDEX('Juni'!$B$25:$AF$25,DAY(DATE(Jahr,7,0))),Codes,0)))*1440,0)&lt;660,1,0),0),0))</f>
      </c>
      <c r="C74" s="1">
        <f>IF(OR(C$52=0,B25="",C25=""),0,IFERROR(IF(AND(INDEX(Arten,MATCH(B25,Codes,0))="Arbeit",INDEX(Arten,MATCH(C25,Codes,0))="Arbeit"),IF(ROUND((1+INDEX(Beginne,MATCH(C25,Codes,0))-INDEX(EndeRel,MATCH(B25,Codes,0)))*1440,0)&lt;660,1,0),0),0))</f>
      </c>
      <c r="D74" s="1">
        <f>IF(OR(D$52=0,C25="",D25=""),0,IFERROR(IF(AND(INDEX(Arten,MATCH(C25,Codes,0))="Arbeit",INDEX(Arten,MATCH(D25,Codes,0))="Arbeit"),IF(ROUND((1+INDEX(Beginne,MATCH(D25,Codes,0))-INDEX(EndeRel,MATCH(C25,Codes,0)))*1440,0)&lt;660,1,0),0),0))</f>
      </c>
      <c r="E74" s="1">
        <f>IF(OR(E$52=0,D25="",E25=""),0,IFERROR(IF(AND(INDEX(Arten,MATCH(D25,Codes,0))="Arbeit",INDEX(Arten,MATCH(E25,Codes,0))="Arbeit"),IF(ROUND((1+INDEX(Beginne,MATCH(E25,Codes,0))-INDEX(EndeRel,MATCH(D25,Codes,0)))*1440,0)&lt;660,1,0),0),0))</f>
      </c>
      <c r="F74" s="1">
        <f>IF(OR(F$52=0,E25="",F25=""),0,IFERROR(IF(AND(INDEX(Arten,MATCH(E25,Codes,0))="Arbeit",INDEX(Arten,MATCH(F25,Codes,0))="Arbeit"),IF(ROUND((1+INDEX(Beginne,MATCH(F25,Codes,0))-INDEX(EndeRel,MATCH(E25,Codes,0)))*1440,0)&lt;660,1,0),0),0))</f>
      </c>
      <c r="G74" s="1">
        <f>IF(OR(G$52=0,F25="",G25=""),0,IFERROR(IF(AND(INDEX(Arten,MATCH(F25,Codes,0))="Arbeit",INDEX(Arten,MATCH(G25,Codes,0))="Arbeit"),IF(ROUND((1+INDEX(Beginne,MATCH(G25,Codes,0))-INDEX(EndeRel,MATCH(F25,Codes,0)))*1440,0)&lt;660,1,0),0),0))</f>
      </c>
      <c r="H74" s="1">
        <f>IF(OR(H$52=0,G25="",H25=""),0,IFERROR(IF(AND(INDEX(Arten,MATCH(G25,Codes,0))="Arbeit",INDEX(Arten,MATCH(H25,Codes,0))="Arbeit"),IF(ROUND((1+INDEX(Beginne,MATCH(H25,Codes,0))-INDEX(EndeRel,MATCH(G25,Codes,0)))*1440,0)&lt;660,1,0),0),0))</f>
      </c>
      <c r="I74" s="1">
        <f>IF(OR(I$52=0,H25="",I25=""),0,IFERROR(IF(AND(INDEX(Arten,MATCH(H25,Codes,0))="Arbeit",INDEX(Arten,MATCH(I25,Codes,0))="Arbeit"),IF(ROUND((1+INDEX(Beginne,MATCH(I25,Codes,0))-INDEX(EndeRel,MATCH(H25,Codes,0)))*1440,0)&lt;660,1,0),0),0))</f>
      </c>
      <c r="J74" s="1">
        <f>IF(OR(J$52=0,I25="",J25=""),0,IFERROR(IF(AND(INDEX(Arten,MATCH(I25,Codes,0))="Arbeit",INDEX(Arten,MATCH(J25,Codes,0))="Arbeit"),IF(ROUND((1+INDEX(Beginne,MATCH(J25,Codes,0))-INDEX(EndeRel,MATCH(I25,Codes,0)))*1440,0)&lt;660,1,0),0),0))</f>
      </c>
      <c r="K74" s="1">
        <f>IF(OR(K$52=0,J25="",K25=""),0,IFERROR(IF(AND(INDEX(Arten,MATCH(J25,Codes,0))="Arbeit",INDEX(Arten,MATCH(K25,Codes,0))="Arbeit"),IF(ROUND((1+INDEX(Beginne,MATCH(K25,Codes,0))-INDEX(EndeRel,MATCH(J25,Codes,0)))*1440,0)&lt;660,1,0),0),0))</f>
      </c>
      <c r="L74" s="1">
        <f>IF(OR(L$52=0,K25="",L25=""),0,IFERROR(IF(AND(INDEX(Arten,MATCH(K25,Codes,0))="Arbeit",INDEX(Arten,MATCH(L25,Codes,0))="Arbeit"),IF(ROUND((1+INDEX(Beginne,MATCH(L25,Codes,0))-INDEX(EndeRel,MATCH(K25,Codes,0)))*1440,0)&lt;660,1,0),0),0))</f>
      </c>
      <c r="M74" s="1">
        <f>IF(OR(M$52=0,L25="",M25=""),0,IFERROR(IF(AND(INDEX(Arten,MATCH(L25,Codes,0))="Arbeit",INDEX(Arten,MATCH(M25,Codes,0))="Arbeit"),IF(ROUND((1+INDEX(Beginne,MATCH(M25,Codes,0))-INDEX(EndeRel,MATCH(L25,Codes,0)))*1440,0)&lt;660,1,0),0),0))</f>
      </c>
      <c r="N74" s="1">
        <f>IF(OR(N$52=0,M25="",N25=""),0,IFERROR(IF(AND(INDEX(Arten,MATCH(M25,Codes,0))="Arbeit",INDEX(Arten,MATCH(N25,Codes,0))="Arbeit"),IF(ROUND((1+INDEX(Beginne,MATCH(N25,Codes,0))-INDEX(EndeRel,MATCH(M25,Codes,0)))*1440,0)&lt;660,1,0),0),0))</f>
      </c>
      <c r="O74" s="1">
        <f>IF(OR(O$52=0,N25="",O25=""),0,IFERROR(IF(AND(INDEX(Arten,MATCH(N25,Codes,0))="Arbeit",INDEX(Arten,MATCH(O25,Codes,0))="Arbeit"),IF(ROUND((1+INDEX(Beginne,MATCH(O25,Codes,0))-INDEX(EndeRel,MATCH(N25,Codes,0)))*1440,0)&lt;660,1,0),0),0))</f>
      </c>
      <c r="P74" s="1">
        <f>IF(OR(P$52=0,O25="",P25=""),0,IFERROR(IF(AND(INDEX(Arten,MATCH(O25,Codes,0))="Arbeit",INDEX(Arten,MATCH(P25,Codes,0))="Arbeit"),IF(ROUND((1+INDEX(Beginne,MATCH(P25,Codes,0))-INDEX(EndeRel,MATCH(O25,Codes,0)))*1440,0)&lt;660,1,0),0),0))</f>
      </c>
      <c r="Q74" s="1">
        <f>IF(OR(Q$52=0,P25="",Q25=""),0,IFERROR(IF(AND(INDEX(Arten,MATCH(P25,Codes,0))="Arbeit",INDEX(Arten,MATCH(Q25,Codes,0))="Arbeit"),IF(ROUND((1+INDEX(Beginne,MATCH(Q25,Codes,0))-INDEX(EndeRel,MATCH(P25,Codes,0)))*1440,0)&lt;660,1,0),0),0))</f>
      </c>
      <c r="R74" s="1">
        <f>IF(OR(R$52=0,Q25="",R25=""),0,IFERROR(IF(AND(INDEX(Arten,MATCH(Q25,Codes,0))="Arbeit",INDEX(Arten,MATCH(R25,Codes,0))="Arbeit"),IF(ROUND((1+INDEX(Beginne,MATCH(R25,Codes,0))-INDEX(EndeRel,MATCH(Q25,Codes,0)))*1440,0)&lt;660,1,0),0),0))</f>
      </c>
      <c r="S74" s="1">
        <f>IF(OR(S$52=0,R25="",S25=""),0,IFERROR(IF(AND(INDEX(Arten,MATCH(R25,Codes,0))="Arbeit",INDEX(Arten,MATCH(S25,Codes,0))="Arbeit"),IF(ROUND((1+INDEX(Beginne,MATCH(S25,Codes,0))-INDEX(EndeRel,MATCH(R25,Codes,0)))*1440,0)&lt;660,1,0),0),0))</f>
      </c>
      <c r="T74" s="1">
        <f>IF(OR(T$52=0,S25="",T25=""),0,IFERROR(IF(AND(INDEX(Arten,MATCH(S25,Codes,0))="Arbeit",INDEX(Arten,MATCH(T25,Codes,0))="Arbeit"),IF(ROUND((1+INDEX(Beginne,MATCH(T25,Codes,0))-INDEX(EndeRel,MATCH(S25,Codes,0)))*1440,0)&lt;660,1,0),0),0))</f>
      </c>
      <c r="U74" s="1">
        <f>IF(OR(U$52=0,T25="",U25=""),0,IFERROR(IF(AND(INDEX(Arten,MATCH(T25,Codes,0))="Arbeit",INDEX(Arten,MATCH(U25,Codes,0))="Arbeit"),IF(ROUND((1+INDEX(Beginne,MATCH(U25,Codes,0))-INDEX(EndeRel,MATCH(T25,Codes,0)))*1440,0)&lt;660,1,0),0),0))</f>
      </c>
      <c r="V74" s="1">
        <f>IF(OR(V$52=0,U25="",V25=""),0,IFERROR(IF(AND(INDEX(Arten,MATCH(U25,Codes,0))="Arbeit",INDEX(Arten,MATCH(V25,Codes,0))="Arbeit"),IF(ROUND((1+INDEX(Beginne,MATCH(V25,Codes,0))-INDEX(EndeRel,MATCH(U25,Codes,0)))*1440,0)&lt;660,1,0),0),0))</f>
      </c>
      <c r="W74" s="1">
        <f>IF(OR(W$52=0,V25="",W25=""),0,IFERROR(IF(AND(INDEX(Arten,MATCH(V25,Codes,0))="Arbeit",INDEX(Arten,MATCH(W25,Codes,0))="Arbeit"),IF(ROUND((1+INDEX(Beginne,MATCH(W25,Codes,0))-INDEX(EndeRel,MATCH(V25,Codes,0)))*1440,0)&lt;660,1,0),0),0))</f>
      </c>
      <c r="X74" s="1">
        <f>IF(OR(X$52=0,W25="",X25=""),0,IFERROR(IF(AND(INDEX(Arten,MATCH(W25,Codes,0))="Arbeit",INDEX(Arten,MATCH(X25,Codes,0))="Arbeit"),IF(ROUND((1+INDEX(Beginne,MATCH(X25,Codes,0))-INDEX(EndeRel,MATCH(W25,Codes,0)))*1440,0)&lt;660,1,0),0),0))</f>
      </c>
      <c r="Y74" s="1">
        <f>IF(OR(Y$52=0,X25="",Y25=""),0,IFERROR(IF(AND(INDEX(Arten,MATCH(X25,Codes,0))="Arbeit",INDEX(Arten,MATCH(Y25,Codes,0))="Arbeit"),IF(ROUND((1+INDEX(Beginne,MATCH(Y25,Codes,0))-INDEX(EndeRel,MATCH(X25,Codes,0)))*1440,0)&lt;660,1,0),0),0))</f>
      </c>
      <c r="Z74" s="1">
        <f>IF(OR(Z$52=0,Y25="",Z25=""),0,IFERROR(IF(AND(INDEX(Arten,MATCH(Y25,Codes,0))="Arbeit",INDEX(Arten,MATCH(Z25,Codes,0))="Arbeit"),IF(ROUND((1+INDEX(Beginne,MATCH(Z25,Codes,0))-INDEX(EndeRel,MATCH(Y25,Codes,0)))*1440,0)&lt;660,1,0),0),0))</f>
      </c>
      <c r="AA74" s="1">
        <f>IF(OR(AA$52=0,Z25="",AA25=""),0,IFERROR(IF(AND(INDEX(Arten,MATCH(Z25,Codes,0))="Arbeit",INDEX(Arten,MATCH(AA25,Codes,0))="Arbeit"),IF(ROUND((1+INDEX(Beginne,MATCH(AA25,Codes,0))-INDEX(EndeRel,MATCH(Z25,Codes,0)))*1440,0)&lt;660,1,0),0),0))</f>
      </c>
      <c r="AB74" s="1">
        <f>IF(OR(AB$52=0,AA25="",AB25=""),0,IFERROR(IF(AND(INDEX(Arten,MATCH(AA25,Codes,0))="Arbeit",INDEX(Arten,MATCH(AB25,Codes,0))="Arbeit"),IF(ROUND((1+INDEX(Beginne,MATCH(AB25,Codes,0))-INDEX(EndeRel,MATCH(AA25,Codes,0)))*1440,0)&lt;660,1,0),0),0))</f>
      </c>
      <c r="AC74" s="1">
        <f>IF(OR(AC$52=0,AB25="",AC25=""),0,IFERROR(IF(AND(INDEX(Arten,MATCH(AB25,Codes,0))="Arbeit",INDEX(Arten,MATCH(AC25,Codes,0))="Arbeit"),IF(ROUND((1+INDEX(Beginne,MATCH(AC25,Codes,0))-INDEX(EndeRel,MATCH(AB25,Codes,0)))*1440,0)&lt;660,1,0),0),0))</f>
      </c>
      <c r="AD74" s="1">
        <f>IF(OR(AD$52=0,AC25="",AD25=""),0,IFERROR(IF(AND(INDEX(Arten,MATCH(AC25,Codes,0))="Arbeit",INDEX(Arten,MATCH(AD25,Codes,0))="Arbeit"),IF(ROUND((1+INDEX(Beginne,MATCH(AD25,Codes,0))-INDEX(EndeRel,MATCH(AC25,Codes,0)))*1440,0)&lt;660,1,0),0),0))</f>
      </c>
      <c r="AE74" s="1">
        <f>IF(OR(AE$52=0,AD25="",AE25=""),0,IFERROR(IF(AND(INDEX(Arten,MATCH(AD25,Codes,0))="Arbeit",INDEX(Arten,MATCH(AE25,Codes,0))="Arbeit"),IF(ROUND((1+INDEX(Beginne,MATCH(AE25,Codes,0))-INDEX(EndeRel,MATCH(AD25,Codes,0)))*1440,0)&lt;660,1,0),0),0))</f>
      </c>
      <c r="AF74" s="1">
        <f>IF(OR(AF$52=0,AE25="",AF25=""),0,IFERROR(IF(AND(INDEX(Arten,MATCH(AE25,Codes,0))="Arbeit",INDEX(Arten,MATCH(AF25,Codes,0))="Arbeit"),IF(ROUND((1+INDEX(Beginne,MATCH(AF25,Codes,0))-INDEX(EndeRel,MATCH(AE25,Codes,0)))*1440,0)&lt;660,1,0),0),0))</f>
      </c>
    </row>
    <row r="75" hidden="1" spans="1:32" x14ac:dyDescent="0.25">
      <c r="A75" s="1"/>
      <c r="B75" s="1">
        <f>IF(OR(B$52=0,INDEX('Juni'!$B$26:$AF$26,DAY(DATE(Jahr,7,0)))="",B26=""),0,IFERROR(IF(AND(INDEX(Arten,MATCH(INDEX('Juni'!$B$26:$AF$26,DAY(DATE(Jahr,7,0))),Codes,0))="Arbeit",INDEX(Arten,MATCH(B26,Codes,0))="Arbeit"),IF(ROUND((1+INDEX(Beginne,MATCH(B26,Codes,0))-INDEX(EndeRel,MATCH(INDEX('Juni'!$B$26:$AF$26,DAY(DATE(Jahr,7,0))),Codes,0)))*1440,0)&lt;660,1,0),0),0))</f>
      </c>
      <c r="C75" s="1">
        <f>IF(OR(C$52=0,B26="",C26=""),0,IFERROR(IF(AND(INDEX(Arten,MATCH(B26,Codes,0))="Arbeit",INDEX(Arten,MATCH(C26,Codes,0))="Arbeit"),IF(ROUND((1+INDEX(Beginne,MATCH(C26,Codes,0))-INDEX(EndeRel,MATCH(B26,Codes,0)))*1440,0)&lt;660,1,0),0),0))</f>
      </c>
      <c r="D75" s="1">
        <f>IF(OR(D$52=0,C26="",D26=""),0,IFERROR(IF(AND(INDEX(Arten,MATCH(C26,Codes,0))="Arbeit",INDEX(Arten,MATCH(D26,Codes,0))="Arbeit"),IF(ROUND((1+INDEX(Beginne,MATCH(D26,Codes,0))-INDEX(EndeRel,MATCH(C26,Codes,0)))*1440,0)&lt;660,1,0),0),0))</f>
      </c>
      <c r="E75" s="1">
        <f>IF(OR(E$52=0,D26="",E26=""),0,IFERROR(IF(AND(INDEX(Arten,MATCH(D26,Codes,0))="Arbeit",INDEX(Arten,MATCH(E26,Codes,0))="Arbeit"),IF(ROUND((1+INDEX(Beginne,MATCH(E26,Codes,0))-INDEX(EndeRel,MATCH(D26,Codes,0)))*1440,0)&lt;660,1,0),0),0))</f>
      </c>
      <c r="F75" s="1">
        <f>IF(OR(F$52=0,E26="",F26=""),0,IFERROR(IF(AND(INDEX(Arten,MATCH(E26,Codes,0))="Arbeit",INDEX(Arten,MATCH(F26,Codes,0))="Arbeit"),IF(ROUND((1+INDEX(Beginne,MATCH(F26,Codes,0))-INDEX(EndeRel,MATCH(E26,Codes,0)))*1440,0)&lt;660,1,0),0),0))</f>
      </c>
      <c r="G75" s="1">
        <f>IF(OR(G$52=0,F26="",G26=""),0,IFERROR(IF(AND(INDEX(Arten,MATCH(F26,Codes,0))="Arbeit",INDEX(Arten,MATCH(G26,Codes,0))="Arbeit"),IF(ROUND((1+INDEX(Beginne,MATCH(G26,Codes,0))-INDEX(EndeRel,MATCH(F26,Codes,0)))*1440,0)&lt;660,1,0),0),0))</f>
      </c>
      <c r="H75" s="1">
        <f>IF(OR(H$52=0,G26="",H26=""),0,IFERROR(IF(AND(INDEX(Arten,MATCH(G26,Codes,0))="Arbeit",INDEX(Arten,MATCH(H26,Codes,0))="Arbeit"),IF(ROUND((1+INDEX(Beginne,MATCH(H26,Codes,0))-INDEX(EndeRel,MATCH(G26,Codes,0)))*1440,0)&lt;660,1,0),0),0))</f>
      </c>
      <c r="I75" s="1">
        <f>IF(OR(I$52=0,H26="",I26=""),0,IFERROR(IF(AND(INDEX(Arten,MATCH(H26,Codes,0))="Arbeit",INDEX(Arten,MATCH(I26,Codes,0))="Arbeit"),IF(ROUND((1+INDEX(Beginne,MATCH(I26,Codes,0))-INDEX(EndeRel,MATCH(H26,Codes,0)))*1440,0)&lt;660,1,0),0),0))</f>
      </c>
      <c r="J75" s="1">
        <f>IF(OR(J$52=0,I26="",J26=""),0,IFERROR(IF(AND(INDEX(Arten,MATCH(I26,Codes,0))="Arbeit",INDEX(Arten,MATCH(J26,Codes,0))="Arbeit"),IF(ROUND((1+INDEX(Beginne,MATCH(J26,Codes,0))-INDEX(EndeRel,MATCH(I26,Codes,0)))*1440,0)&lt;660,1,0),0),0))</f>
      </c>
      <c r="K75" s="1">
        <f>IF(OR(K$52=0,J26="",K26=""),0,IFERROR(IF(AND(INDEX(Arten,MATCH(J26,Codes,0))="Arbeit",INDEX(Arten,MATCH(K26,Codes,0))="Arbeit"),IF(ROUND((1+INDEX(Beginne,MATCH(K26,Codes,0))-INDEX(EndeRel,MATCH(J26,Codes,0)))*1440,0)&lt;660,1,0),0),0))</f>
      </c>
      <c r="L75" s="1">
        <f>IF(OR(L$52=0,K26="",L26=""),0,IFERROR(IF(AND(INDEX(Arten,MATCH(K26,Codes,0))="Arbeit",INDEX(Arten,MATCH(L26,Codes,0))="Arbeit"),IF(ROUND((1+INDEX(Beginne,MATCH(L26,Codes,0))-INDEX(EndeRel,MATCH(K26,Codes,0)))*1440,0)&lt;660,1,0),0),0))</f>
      </c>
      <c r="M75" s="1">
        <f>IF(OR(M$52=0,L26="",M26=""),0,IFERROR(IF(AND(INDEX(Arten,MATCH(L26,Codes,0))="Arbeit",INDEX(Arten,MATCH(M26,Codes,0))="Arbeit"),IF(ROUND((1+INDEX(Beginne,MATCH(M26,Codes,0))-INDEX(EndeRel,MATCH(L26,Codes,0)))*1440,0)&lt;660,1,0),0),0))</f>
      </c>
      <c r="N75" s="1">
        <f>IF(OR(N$52=0,M26="",N26=""),0,IFERROR(IF(AND(INDEX(Arten,MATCH(M26,Codes,0))="Arbeit",INDEX(Arten,MATCH(N26,Codes,0))="Arbeit"),IF(ROUND((1+INDEX(Beginne,MATCH(N26,Codes,0))-INDEX(EndeRel,MATCH(M26,Codes,0)))*1440,0)&lt;660,1,0),0),0))</f>
      </c>
      <c r="O75" s="1">
        <f>IF(OR(O$52=0,N26="",O26=""),0,IFERROR(IF(AND(INDEX(Arten,MATCH(N26,Codes,0))="Arbeit",INDEX(Arten,MATCH(O26,Codes,0))="Arbeit"),IF(ROUND((1+INDEX(Beginne,MATCH(O26,Codes,0))-INDEX(EndeRel,MATCH(N26,Codes,0)))*1440,0)&lt;660,1,0),0),0))</f>
      </c>
      <c r="P75" s="1">
        <f>IF(OR(P$52=0,O26="",P26=""),0,IFERROR(IF(AND(INDEX(Arten,MATCH(O26,Codes,0))="Arbeit",INDEX(Arten,MATCH(P26,Codes,0))="Arbeit"),IF(ROUND((1+INDEX(Beginne,MATCH(P26,Codes,0))-INDEX(EndeRel,MATCH(O26,Codes,0)))*1440,0)&lt;660,1,0),0),0))</f>
      </c>
      <c r="Q75" s="1">
        <f>IF(OR(Q$52=0,P26="",Q26=""),0,IFERROR(IF(AND(INDEX(Arten,MATCH(P26,Codes,0))="Arbeit",INDEX(Arten,MATCH(Q26,Codes,0))="Arbeit"),IF(ROUND((1+INDEX(Beginne,MATCH(Q26,Codes,0))-INDEX(EndeRel,MATCH(P26,Codes,0)))*1440,0)&lt;660,1,0),0),0))</f>
      </c>
      <c r="R75" s="1">
        <f>IF(OR(R$52=0,Q26="",R26=""),0,IFERROR(IF(AND(INDEX(Arten,MATCH(Q26,Codes,0))="Arbeit",INDEX(Arten,MATCH(R26,Codes,0))="Arbeit"),IF(ROUND((1+INDEX(Beginne,MATCH(R26,Codes,0))-INDEX(EndeRel,MATCH(Q26,Codes,0)))*1440,0)&lt;660,1,0),0),0))</f>
      </c>
      <c r="S75" s="1">
        <f>IF(OR(S$52=0,R26="",S26=""),0,IFERROR(IF(AND(INDEX(Arten,MATCH(R26,Codes,0))="Arbeit",INDEX(Arten,MATCH(S26,Codes,0))="Arbeit"),IF(ROUND((1+INDEX(Beginne,MATCH(S26,Codes,0))-INDEX(EndeRel,MATCH(R26,Codes,0)))*1440,0)&lt;660,1,0),0),0))</f>
      </c>
      <c r="T75" s="1">
        <f>IF(OR(T$52=0,S26="",T26=""),0,IFERROR(IF(AND(INDEX(Arten,MATCH(S26,Codes,0))="Arbeit",INDEX(Arten,MATCH(T26,Codes,0))="Arbeit"),IF(ROUND((1+INDEX(Beginne,MATCH(T26,Codes,0))-INDEX(EndeRel,MATCH(S26,Codes,0)))*1440,0)&lt;660,1,0),0),0))</f>
      </c>
      <c r="U75" s="1">
        <f>IF(OR(U$52=0,T26="",U26=""),0,IFERROR(IF(AND(INDEX(Arten,MATCH(T26,Codes,0))="Arbeit",INDEX(Arten,MATCH(U26,Codes,0))="Arbeit"),IF(ROUND((1+INDEX(Beginne,MATCH(U26,Codes,0))-INDEX(EndeRel,MATCH(T26,Codes,0)))*1440,0)&lt;660,1,0),0),0))</f>
      </c>
      <c r="V75" s="1">
        <f>IF(OR(V$52=0,U26="",V26=""),0,IFERROR(IF(AND(INDEX(Arten,MATCH(U26,Codes,0))="Arbeit",INDEX(Arten,MATCH(V26,Codes,0))="Arbeit"),IF(ROUND((1+INDEX(Beginne,MATCH(V26,Codes,0))-INDEX(EndeRel,MATCH(U26,Codes,0)))*1440,0)&lt;660,1,0),0),0))</f>
      </c>
      <c r="W75" s="1">
        <f>IF(OR(W$52=0,V26="",W26=""),0,IFERROR(IF(AND(INDEX(Arten,MATCH(V26,Codes,0))="Arbeit",INDEX(Arten,MATCH(W26,Codes,0))="Arbeit"),IF(ROUND((1+INDEX(Beginne,MATCH(W26,Codes,0))-INDEX(EndeRel,MATCH(V26,Codes,0)))*1440,0)&lt;660,1,0),0),0))</f>
      </c>
      <c r="X75" s="1">
        <f>IF(OR(X$52=0,W26="",X26=""),0,IFERROR(IF(AND(INDEX(Arten,MATCH(W26,Codes,0))="Arbeit",INDEX(Arten,MATCH(X26,Codes,0))="Arbeit"),IF(ROUND((1+INDEX(Beginne,MATCH(X26,Codes,0))-INDEX(EndeRel,MATCH(W26,Codes,0)))*1440,0)&lt;660,1,0),0),0))</f>
      </c>
      <c r="Y75" s="1">
        <f>IF(OR(Y$52=0,X26="",Y26=""),0,IFERROR(IF(AND(INDEX(Arten,MATCH(X26,Codes,0))="Arbeit",INDEX(Arten,MATCH(Y26,Codes,0))="Arbeit"),IF(ROUND((1+INDEX(Beginne,MATCH(Y26,Codes,0))-INDEX(EndeRel,MATCH(X26,Codes,0)))*1440,0)&lt;660,1,0),0),0))</f>
      </c>
      <c r="Z75" s="1">
        <f>IF(OR(Z$52=0,Y26="",Z26=""),0,IFERROR(IF(AND(INDEX(Arten,MATCH(Y26,Codes,0))="Arbeit",INDEX(Arten,MATCH(Z26,Codes,0))="Arbeit"),IF(ROUND((1+INDEX(Beginne,MATCH(Z26,Codes,0))-INDEX(EndeRel,MATCH(Y26,Codes,0)))*1440,0)&lt;660,1,0),0),0))</f>
      </c>
      <c r="AA75" s="1">
        <f>IF(OR(AA$52=0,Z26="",AA26=""),0,IFERROR(IF(AND(INDEX(Arten,MATCH(Z26,Codes,0))="Arbeit",INDEX(Arten,MATCH(AA26,Codes,0))="Arbeit"),IF(ROUND((1+INDEX(Beginne,MATCH(AA26,Codes,0))-INDEX(EndeRel,MATCH(Z26,Codes,0)))*1440,0)&lt;660,1,0),0),0))</f>
      </c>
      <c r="AB75" s="1">
        <f>IF(OR(AB$52=0,AA26="",AB26=""),0,IFERROR(IF(AND(INDEX(Arten,MATCH(AA26,Codes,0))="Arbeit",INDEX(Arten,MATCH(AB26,Codes,0))="Arbeit"),IF(ROUND((1+INDEX(Beginne,MATCH(AB26,Codes,0))-INDEX(EndeRel,MATCH(AA26,Codes,0)))*1440,0)&lt;660,1,0),0),0))</f>
      </c>
      <c r="AC75" s="1">
        <f>IF(OR(AC$52=0,AB26="",AC26=""),0,IFERROR(IF(AND(INDEX(Arten,MATCH(AB26,Codes,0))="Arbeit",INDEX(Arten,MATCH(AC26,Codes,0))="Arbeit"),IF(ROUND((1+INDEX(Beginne,MATCH(AC26,Codes,0))-INDEX(EndeRel,MATCH(AB26,Codes,0)))*1440,0)&lt;660,1,0),0),0))</f>
      </c>
      <c r="AD75" s="1">
        <f>IF(OR(AD$52=0,AC26="",AD26=""),0,IFERROR(IF(AND(INDEX(Arten,MATCH(AC26,Codes,0))="Arbeit",INDEX(Arten,MATCH(AD26,Codes,0))="Arbeit"),IF(ROUND((1+INDEX(Beginne,MATCH(AD26,Codes,0))-INDEX(EndeRel,MATCH(AC26,Codes,0)))*1440,0)&lt;660,1,0),0),0))</f>
      </c>
      <c r="AE75" s="1">
        <f>IF(OR(AE$52=0,AD26="",AE26=""),0,IFERROR(IF(AND(INDEX(Arten,MATCH(AD26,Codes,0))="Arbeit",INDEX(Arten,MATCH(AE26,Codes,0))="Arbeit"),IF(ROUND((1+INDEX(Beginne,MATCH(AE26,Codes,0))-INDEX(EndeRel,MATCH(AD26,Codes,0)))*1440,0)&lt;660,1,0),0),0))</f>
      </c>
      <c r="AF75" s="1">
        <f>IF(OR(AF$52=0,AE26="",AF26=""),0,IFERROR(IF(AND(INDEX(Arten,MATCH(AE26,Codes,0))="Arbeit",INDEX(Arten,MATCH(AF26,Codes,0))="Arbeit"),IF(ROUND((1+INDEX(Beginne,MATCH(AF26,Codes,0))-INDEX(EndeRel,MATCH(AE26,Codes,0)))*1440,0)&lt;660,1,0),0),0))</f>
      </c>
    </row>
    <row r="76" hidden="1" spans="1:32" x14ac:dyDescent="0.25">
      <c r="A76" s="1"/>
      <c r="B76" s="1">
        <f>IF(OR(B$52=0,INDEX('Juni'!$B$27:$AF$27,DAY(DATE(Jahr,7,0)))="",B27=""),0,IFERROR(IF(AND(INDEX(Arten,MATCH(INDEX('Juni'!$B$27:$AF$27,DAY(DATE(Jahr,7,0))),Codes,0))="Arbeit",INDEX(Arten,MATCH(B27,Codes,0))="Arbeit"),IF(ROUND((1+INDEX(Beginne,MATCH(B27,Codes,0))-INDEX(EndeRel,MATCH(INDEX('Juni'!$B$27:$AF$27,DAY(DATE(Jahr,7,0))),Codes,0)))*1440,0)&lt;660,1,0),0),0))</f>
      </c>
      <c r="C76" s="1">
        <f>IF(OR(C$52=0,B27="",C27=""),0,IFERROR(IF(AND(INDEX(Arten,MATCH(B27,Codes,0))="Arbeit",INDEX(Arten,MATCH(C27,Codes,0))="Arbeit"),IF(ROUND((1+INDEX(Beginne,MATCH(C27,Codes,0))-INDEX(EndeRel,MATCH(B27,Codes,0)))*1440,0)&lt;660,1,0),0),0))</f>
      </c>
      <c r="D76" s="1">
        <f>IF(OR(D$52=0,C27="",D27=""),0,IFERROR(IF(AND(INDEX(Arten,MATCH(C27,Codes,0))="Arbeit",INDEX(Arten,MATCH(D27,Codes,0))="Arbeit"),IF(ROUND((1+INDEX(Beginne,MATCH(D27,Codes,0))-INDEX(EndeRel,MATCH(C27,Codes,0)))*1440,0)&lt;660,1,0),0),0))</f>
      </c>
      <c r="E76" s="1">
        <f>IF(OR(E$52=0,D27="",E27=""),0,IFERROR(IF(AND(INDEX(Arten,MATCH(D27,Codes,0))="Arbeit",INDEX(Arten,MATCH(E27,Codes,0))="Arbeit"),IF(ROUND((1+INDEX(Beginne,MATCH(E27,Codes,0))-INDEX(EndeRel,MATCH(D27,Codes,0)))*1440,0)&lt;660,1,0),0),0))</f>
      </c>
      <c r="F76" s="1">
        <f>IF(OR(F$52=0,E27="",F27=""),0,IFERROR(IF(AND(INDEX(Arten,MATCH(E27,Codes,0))="Arbeit",INDEX(Arten,MATCH(F27,Codes,0))="Arbeit"),IF(ROUND((1+INDEX(Beginne,MATCH(F27,Codes,0))-INDEX(EndeRel,MATCH(E27,Codes,0)))*1440,0)&lt;660,1,0),0),0))</f>
      </c>
      <c r="G76" s="1">
        <f>IF(OR(G$52=0,F27="",G27=""),0,IFERROR(IF(AND(INDEX(Arten,MATCH(F27,Codes,0))="Arbeit",INDEX(Arten,MATCH(G27,Codes,0))="Arbeit"),IF(ROUND((1+INDEX(Beginne,MATCH(G27,Codes,0))-INDEX(EndeRel,MATCH(F27,Codes,0)))*1440,0)&lt;660,1,0),0),0))</f>
      </c>
      <c r="H76" s="1">
        <f>IF(OR(H$52=0,G27="",H27=""),0,IFERROR(IF(AND(INDEX(Arten,MATCH(G27,Codes,0))="Arbeit",INDEX(Arten,MATCH(H27,Codes,0))="Arbeit"),IF(ROUND((1+INDEX(Beginne,MATCH(H27,Codes,0))-INDEX(EndeRel,MATCH(G27,Codes,0)))*1440,0)&lt;660,1,0),0),0))</f>
      </c>
      <c r="I76" s="1">
        <f>IF(OR(I$52=0,H27="",I27=""),0,IFERROR(IF(AND(INDEX(Arten,MATCH(H27,Codes,0))="Arbeit",INDEX(Arten,MATCH(I27,Codes,0))="Arbeit"),IF(ROUND((1+INDEX(Beginne,MATCH(I27,Codes,0))-INDEX(EndeRel,MATCH(H27,Codes,0)))*1440,0)&lt;660,1,0),0),0))</f>
      </c>
      <c r="J76" s="1">
        <f>IF(OR(J$52=0,I27="",J27=""),0,IFERROR(IF(AND(INDEX(Arten,MATCH(I27,Codes,0))="Arbeit",INDEX(Arten,MATCH(J27,Codes,0))="Arbeit"),IF(ROUND((1+INDEX(Beginne,MATCH(J27,Codes,0))-INDEX(EndeRel,MATCH(I27,Codes,0)))*1440,0)&lt;660,1,0),0),0))</f>
      </c>
      <c r="K76" s="1">
        <f>IF(OR(K$52=0,J27="",K27=""),0,IFERROR(IF(AND(INDEX(Arten,MATCH(J27,Codes,0))="Arbeit",INDEX(Arten,MATCH(K27,Codes,0))="Arbeit"),IF(ROUND((1+INDEX(Beginne,MATCH(K27,Codes,0))-INDEX(EndeRel,MATCH(J27,Codes,0)))*1440,0)&lt;660,1,0),0),0))</f>
      </c>
      <c r="L76" s="1">
        <f>IF(OR(L$52=0,K27="",L27=""),0,IFERROR(IF(AND(INDEX(Arten,MATCH(K27,Codes,0))="Arbeit",INDEX(Arten,MATCH(L27,Codes,0))="Arbeit"),IF(ROUND((1+INDEX(Beginne,MATCH(L27,Codes,0))-INDEX(EndeRel,MATCH(K27,Codes,0)))*1440,0)&lt;660,1,0),0),0))</f>
      </c>
      <c r="M76" s="1">
        <f>IF(OR(M$52=0,L27="",M27=""),0,IFERROR(IF(AND(INDEX(Arten,MATCH(L27,Codes,0))="Arbeit",INDEX(Arten,MATCH(M27,Codes,0))="Arbeit"),IF(ROUND((1+INDEX(Beginne,MATCH(M27,Codes,0))-INDEX(EndeRel,MATCH(L27,Codes,0)))*1440,0)&lt;660,1,0),0),0))</f>
      </c>
      <c r="N76" s="1">
        <f>IF(OR(N$52=0,M27="",N27=""),0,IFERROR(IF(AND(INDEX(Arten,MATCH(M27,Codes,0))="Arbeit",INDEX(Arten,MATCH(N27,Codes,0))="Arbeit"),IF(ROUND((1+INDEX(Beginne,MATCH(N27,Codes,0))-INDEX(EndeRel,MATCH(M27,Codes,0)))*1440,0)&lt;660,1,0),0),0))</f>
      </c>
      <c r="O76" s="1">
        <f>IF(OR(O$52=0,N27="",O27=""),0,IFERROR(IF(AND(INDEX(Arten,MATCH(N27,Codes,0))="Arbeit",INDEX(Arten,MATCH(O27,Codes,0))="Arbeit"),IF(ROUND((1+INDEX(Beginne,MATCH(O27,Codes,0))-INDEX(EndeRel,MATCH(N27,Codes,0)))*1440,0)&lt;660,1,0),0),0))</f>
      </c>
      <c r="P76" s="1">
        <f>IF(OR(P$52=0,O27="",P27=""),0,IFERROR(IF(AND(INDEX(Arten,MATCH(O27,Codes,0))="Arbeit",INDEX(Arten,MATCH(P27,Codes,0))="Arbeit"),IF(ROUND((1+INDEX(Beginne,MATCH(P27,Codes,0))-INDEX(EndeRel,MATCH(O27,Codes,0)))*1440,0)&lt;660,1,0),0),0))</f>
      </c>
      <c r="Q76" s="1">
        <f>IF(OR(Q$52=0,P27="",Q27=""),0,IFERROR(IF(AND(INDEX(Arten,MATCH(P27,Codes,0))="Arbeit",INDEX(Arten,MATCH(Q27,Codes,0))="Arbeit"),IF(ROUND((1+INDEX(Beginne,MATCH(Q27,Codes,0))-INDEX(EndeRel,MATCH(P27,Codes,0)))*1440,0)&lt;660,1,0),0),0))</f>
      </c>
      <c r="R76" s="1">
        <f>IF(OR(R$52=0,Q27="",R27=""),0,IFERROR(IF(AND(INDEX(Arten,MATCH(Q27,Codes,0))="Arbeit",INDEX(Arten,MATCH(R27,Codes,0))="Arbeit"),IF(ROUND((1+INDEX(Beginne,MATCH(R27,Codes,0))-INDEX(EndeRel,MATCH(Q27,Codes,0)))*1440,0)&lt;660,1,0),0),0))</f>
      </c>
      <c r="S76" s="1">
        <f>IF(OR(S$52=0,R27="",S27=""),0,IFERROR(IF(AND(INDEX(Arten,MATCH(R27,Codes,0))="Arbeit",INDEX(Arten,MATCH(S27,Codes,0))="Arbeit"),IF(ROUND((1+INDEX(Beginne,MATCH(S27,Codes,0))-INDEX(EndeRel,MATCH(R27,Codes,0)))*1440,0)&lt;660,1,0),0),0))</f>
      </c>
      <c r="T76" s="1">
        <f>IF(OR(T$52=0,S27="",T27=""),0,IFERROR(IF(AND(INDEX(Arten,MATCH(S27,Codes,0))="Arbeit",INDEX(Arten,MATCH(T27,Codes,0))="Arbeit"),IF(ROUND((1+INDEX(Beginne,MATCH(T27,Codes,0))-INDEX(EndeRel,MATCH(S27,Codes,0)))*1440,0)&lt;660,1,0),0),0))</f>
      </c>
      <c r="U76" s="1">
        <f>IF(OR(U$52=0,T27="",U27=""),0,IFERROR(IF(AND(INDEX(Arten,MATCH(T27,Codes,0))="Arbeit",INDEX(Arten,MATCH(U27,Codes,0))="Arbeit"),IF(ROUND((1+INDEX(Beginne,MATCH(U27,Codes,0))-INDEX(EndeRel,MATCH(T27,Codes,0)))*1440,0)&lt;660,1,0),0),0))</f>
      </c>
      <c r="V76" s="1">
        <f>IF(OR(V$52=0,U27="",V27=""),0,IFERROR(IF(AND(INDEX(Arten,MATCH(U27,Codes,0))="Arbeit",INDEX(Arten,MATCH(V27,Codes,0))="Arbeit"),IF(ROUND((1+INDEX(Beginne,MATCH(V27,Codes,0))-INDEX(EndeRel,MATCH(U27,Codes,0)))*1440,0)&lt;660,1,0),0),0))</f>
      </c>
      <c r="W76" s="1">
        <f>IF(OR(W$52=0,V27="",W27=""),0,IFERROR(IF(AND(INDEX(Arten,MATCH(V27,Codes,0))="Arbeit",INDEX(Arten,MATCH(W27,Codes,0))="Arbeit"),IF(ROUND((1+INDEX(Beginne,MATCH(W27,Codes,0))-INDEX(EndeRel,MATCH(V27,Codes,0)))*1440,0)&lt;660,1,0),0),0))</f>
      </c>
      <c r="X76" s="1">
        <f>IF(OR(X$52=0,W27="",X27=""),0,IFERROR(IF(AND(INDEX(Arten,MATCH(W27,Codes,0))="Arbeit",INDEX(Arten,MATCH(X27,Codes,0))="Arbeit"),IF(ROUND((1+INDEX(Beginne,MATCH(X27,Codes,0))-INDEX(EndeRel,MATCH(W27,Codes,0)))*1440,0)&lt;660,1,0),0),0))</f>
      </c>
      <c r="Y76" s="1">
        <f>IF(OR(Y$52=0,X27="",Y27=""),0,IFERROR(IF(AND(INDEX(Arten,MATCH(X27,Codes,0))="Arbeit",INDEX(Arten,MATCH(Y27,Codes,0))="Arbeit"),IF(ROUND((1+INDEX(Beginne,MATCH(Y27,Codes,0))-INDEX(EndeRel,MATCH(X27,Codes,0)))*1440,0)&lt;660,1,0),0),0))</f>
      </c>
      <c r="Z76" s="1">
        <f>IF(OR(Z$52=0,Y27="",Z27=""),0,IFERROR(IF(AND(INDEX(Arten,MATCH(Y27,Codes,0))="Arbeit",INDEX(Arten,MATCH(Z27,Codes,0))="Arbeit"),IF(ROUND((1+INDEX(Beginne,MATCH(Z27,Codes,0))-INDEX(EndeRel,MATCH(Y27,Codes,0)))*1440,0)&lt;660,1,0),0),0))</f>
      </c>
      <c r="AA76" s="1">
        <f>IF(OR(AA$52=0,Z27="",AA27=""),0,IFERROR(IF(AND(INDEX(Arten,MATCH(Z27,Codes,0))="Arbeit",INDEX(Arten,MATCH(AA27,Codes,0))="Arbeit"),IF(ROUND((1+INDEX(Beginne,MATCH(AA27,Codes,0))-INDEX(EndeRel,MATCH(Z27,Codes,0)))*1440,0)&lt;660,1,0),0),0))</f>
      </c>
      <c r="AB76" s="1">
        <f>IF(OR(AB$52=0,AA27="",AB27=""),0,IFERROR(IF(AND(INDEX(Arten,MATCH(AA27,Codes,0))="Arbeit",INDEX(Arten,MATCH(AB27,Codes,0))="Arbeit"),IF(ROUND((1+INDEX(Beginne,MATCH(AB27,Codes,0))-INDEX(EndeRel,MATCH(AA27,Codes,0)))*1440,0)&lt;660,1,0),0),0))</f>
      </c>
      <c r="AC76" s="1">
        <f>IF(OR(AC$52=0,AB27="",AC27=""),0,IFERROR(IF(AND(INDEX(Arten,MATCH(AB27,Codes,0))="Arbeit",INDEX(Arten,MATCH(AC27,Codes,0))="Arbeit"),IF(ROUND((1+INDEX(Beginne,MATCH(AC27,Codes,0))-INDEX(EndeRel,MATCH(AB27,Codes,0)))*1440,0)&lt;660,1,0),0),0))</f>
      </c>
      <c r="AD76" s="1">
        <f>IF(OR(AD$52=0,AC27="",AD27=""),0,IFERROR(IF(AND(INDEX(Arten,MATCH(AC27,Codes,0))="Arbeit",INDEX(Arten,MATCH(AD27,Codes,0))="Arbeit"),IF(ROUND((1+INDEX(Beginne,MATCH(AD27,Codes,0))-INDEX(EndeRel,MATCH(AC27,Codes,0)))*1440,0)&lt;660,1,0),0),0))</f>
      </c>
      <c r="AE76" s="1">
        <f>IF(OR(AE$52=0,AD27="",AE27=""),0,IFERROR(IF(AND(INDEX(Arten,MATCH(AD27,Codes,0))="Arbeit",INDEX(Arten,MATCH(AE27,Codes,0))="Arbeit"),IF(ROUND((1+INDEX(Beginne,MATCH(AE27,Codes,0))-INDEX(EndeRel,MATCH(AD27,Codes,0)))*1440,0)&lt;660,1,0),0),0))</f>
      </c>
      <c r="AF76" s="1">
        <f>IF(OR(AF$52=0,AE27="",AF27=""),0,IFERROR(IF(AND(INDEX(Arten,MATCH(AE27,Codes,0))="Arbeit",INDEX(Arten,MATCH(AF27,Codes,0))="Arbeit"),IF(ROUND((1+INDEX(Beginne,MATCH(AF27,Codes,0))-INDEX(EndeRel,MATCH(AE27,Codes,0)))*1440,0)&lt;660,1,0),0),0))</f>
      </c>
    </row>
    <row r="77" hidden="1" spans="1:32" x14ac:dyDescent="0.25">
      <c r="A77" s="1"/>
      <c r="B77" s="1">
        <f>IF(OR(B$52=0,INDEX('Juni'!$B$28:$AF$28,DAY(DATE(Jahr,7,0)))="",B28=""),0,IFERROR(IF(AND(INDEX(Arten,MATCH(INDEX('Juni'!$B$28:$AF$28,DAY(DATE(Jahr,7,0))),Codes,0))="Arbeit",INDEX(Arten,MATCH(B28,Codes,0))="Arbeit"),IF(ROUND((1+INDEX(Beginne,MATCH(B28,Codes,0))-INDEX(EndeRel,MATCH(INDEX('Juni'!$B$28:$AF$28,DAY(DATE(Jahr,7,0))),Codes,0)))*1440,0)&lt;660,1,0),0),0))</f>
      </c>
      <c r="C77" s="1">
        <f>IF(OR(C$52=0,B28="",C28=""),0,IFERROR(IF(AND(INDEX(Arten,MATCH(B28,Codes,0))="Arbeit",INDEX(Arten,MATCH(C28,Codes,0))="Arbeit"),IF(ROUND((1+INDEX(Beginne,MATCH(C28,Codes,0))-INDEX(EndeRel,MATCH(B28,Codes,0)))*1440,0)&lt;660,1,0),0),0))</f>
      </c>
      <c r="D77" s="1">
        <f>IF(OR(D$52=0,C28="",D28=""),0,IFERROR(IF(AND(INDEX(Arten,MATCH(C28,Codes,0))="Arbeit",INDEX(Arten,MATCH(D28,Codes,0))="Arbeit"),IF(ROUND((1+INDEX(Beginne,MATCH(D28,Codes,0))-INDEX(EndeRel,MATCH(C28,Codes,0)))*1440,0)&lt;660,1,0),0),0))</f>
      </c>
      <c r="E77" s="1">
        <f>IF(OR(E$52=0,D28="",E28=""),0,IFERROR(IF(AND(INDEX(Arten,MATCH(D28,Codes,0))="Arbeit",INDEX(Arten,MATCH(E28,Codes,0))="Arbeit"),IF(ROUND((1+INDEX(Beginne,MATCH(E28,Codes,0))-INDEX(EndeRel,MATCH(D28,Codes,0)))*1440,0)&lt;660,1,0),0),0))</f>
      </c>
      <c r="F77" s="1">
        <f>IF(OR(F$52=0,E28="",F28=""),0,IFERROR(IF(AND(INDEX(Arten,MATCH(E28,Codes,0))="Arbeit",INDEX(Arten,MATCH(F28,Codes,0))="Arbeit"),IF(ROUND((1+INDEX(Beginne,MATCH(F28,Codes,0))-INDEX(EndeRel,MATCH(E28,Codes,0)))*1440,0)&lt;660,1,0),0),0))</f>
      </c>
      <c r="G77" s="1">
        <f>IF(OR(G$52=0,F28="",G28=""),0,IFERROR(IF(AND(INDEX(Arten,MATCH(F28,Codes,0))="Arbeit",INDEX(Arten,MATCH(G28,Codes,0))="Arbeit"),IF(ROUND((1+INDEX(Beginne,MATCH(G28,Codes,0))-INDEX(EndeRel,MATCH(F28,Codes,0)))*1440,0)&lt;660,1,0),0),0))</f>
      </c>
      <c r="H77" s="1">
        <f>IF(OR(H$52=0,G28="",H28=""),0,IFERROR(IF(AND(INDEX(Arten,MATCH(G28,Codes,0))="Arbeit",INDEX(Arten,MATCH(H28,Codes,0))="Arbeit"),IF(ROUND((1+INDEX(Beginne,MATCH(H28,Codes,0))-INDEX(EndeRel,MATCH(G28,Codes,0)))*1440,0)&lt;660,1,0),0),0))</f>
      </c>
      <c r="I77" s="1">
        <f>IF(OR(I$52=0,H28="",I28=""),0,IFERROR(IF(AND(INDEX(Arten,MATCH(H28,Codes,0))="Arbeit",INDEX(Arten,MATCH(I28,Codes,0))="Arbeit"),IF(ROUND((1+INDEX(Beginne,MATCH(I28,Codes,0))-INDEX(EndeRel,MATCH(H28,Codes,0)))*1440,0)&lt;660,1,0),0),0))</f>
      </c>
      <c r="J77" s="1">
        <f>IF(OR(J$52=0,I28="",J28=""),0,IFERROR(IF(AND(INDEX(Arten,MATCH(I28,Codes,0))="Arbeit",INDEX(Arten,MATCH(J28,Codes,0))="Arbeit"),IF(ROUND((1+INDEX(Beginne,MATCH(J28,Codes,0))-INDEX(EndeRel,MATCH(I28,Codes,0)))*1440,0)&lt;660,1,0),0),0))</f>
      </c>
      <c r="K77" s="1">
        <f>IF(OR(K$52=0,J28="",K28=""),0,IFERROR(IF(AND(INDEX(Arten,MATCH(J28,Codes,0))="Arbeit",INDEX(Arten,MATCH(K28,Codes,0))="Arbeit"),IF(ROUND((1+INDEX(Beginne,MATCH(K28,Codes,0))-INDEX(EndeRel,MATCH(J28,Codes,0)))*1440,0)&lt;660,1,0),0),0))</f>
      </c>
      <c r="L77" s="1">
        <f>IF(OR(L$52=0,K28="",L28=""),0,IFERROR(IF(AND(INDEX(Arten,MATCH(K28,Codes,0))="Arbeit",INDEX(Arten,MATCH(L28,Codes,0))="Arbeit"),IF(ROUND((1+INDEX(Beginne,MATCH(L28,Codes,0))-INDEX(EndeRel,MATCH(K28,Codes,0)))*1440,0)&lt;660,1,0),0),0))</f>
      </c>
      <c r="M77" s="1">
        <f>IF(OR(M$52=0,L28="",M28=""),0,IFERROR(IF(AND(INDEX(Arten,MATCH(L28,Codes,0))="Arbeit",INDEX(Arten,MATCH(M28,Codes,0))="Arbeit"),IF(ROUND((1+INDEX(Beginne,MATCH(M28,Codes,0))-INDEX(EndeRel,MATCH(L28,Codes,0)))*1440,0)&lt;660,1,0),0),0))</f>
      </c>
      <c r="N77" s="1">
        <f>IF(OR(N$52=0,M28="",N28=""),0,IFERROR(IF(AND(INDEX(Arten,MATCH(M28,Codes,0))="Arbeit",INDEX(Arten,MATCH(N28,Codes,0))="Arbeit"),IF(ROUND((1+INDEX(Beginne,MATCH(N28,Codes,0))-INDEX(EndeRel,MATCH(M28,Codes,0)))*1440,0)&lt;660,1,0),0),0))</f>
      </c>
      <c r="O77" s="1">
        <f>IF(OR(O$52=0,N28="",O28=""),0,IFERROR(IF(AND(INDEX(Arten,MATCH(N28,Codes,0))="Arbeit",INDEX(Arten,MATCH(O28,Codes,0))="Arbeit"),IF(ROUND((1+INDEX(Beginne,MATCH(O28,Codes,0))-INDEX(EndeRel,MATCH(N28,Codes,0)))*1440,0)&lt;660,1,0),0),0))</f>
      </c>
      <c r="P77" s="1">
        <f>IF(OR(P$52=0,O28="",P28=""),0,IFERROR(IF(AND(INDEX(Arten,MATCH(O28,Codes,0))="Arbeit",INDEX(Arten,MATCH(P28,Codes,0))="Arbeit"),IF(ROUND((1+INDEX(Beginne,MATCH(P28,Codes,0))-INDEX(EndeRel,MATCH(O28,Codes,0)))*1440,0)&lt;660,1,0),0),0))</f>
      </c>
      <c r="Q77" s="1">
        <f>IF(OR(Q$52=0,P28="",Q28=""),0,IFERROR(IF(AND(INDEX(Arten,MATCH(P28,Codes,0))="Arbeit",INDEX(Arten,MATCH(Q28,Codes,0))="Arbeit"),IF(ROUND((1+INDEX(Beginne,MATCH(Q28,Codes,0))-INDEX(EndeRel,MATCH(P28,Codes,0)))*1440,0)&lt;660,1,0),0),0))</f>
      </c>
      <c r="R77" s="1">
        <f>IF(OR(R$52=0,Q28="",R28=""),0,IFERROR(IF(AND(INDEX(Arten,MATCH(Q28,Codes,0))="Arbeit",INDEX(Arten,MATCH(R28,Codes,0))="Arbeit"),IF(ROUND((1+INDEX(Beginne,MATCH(R28,Codes,0))-INDEX(EndeRel,MATCH(Q28,Codes,0)))*1440,0)&lt;660,1,0),0),0))</f>
      </c>
      <c r="S77" s="1">
        <f>IF(OR(S$52=0,R28="",S28=""),0,IFERROR(IF(AND(INDEX(Arten,MATCH(R28,Codes,0))="Arbeit",INDEX(Arten,MATCH(S28,Codes,0))="Arbeit"),IF(ROUND((1+INDEX(Beginne,MATCH(S28,Codes,0))-INDEX(EndeRel,MATCH(R28,Codes,0)))*1440,0)&lt;660,1,0),0),0))</f>
      </c>
      <c r="T77" s="1">
        <f>IF(OR(T$52=0,S28="",T28=""),0,IFERROR(IF(AND(INDEX(Arten,MATCH(S28,Codes,0))="Arbeit",INDEX(Arten,MATCH(T28,Codes,0))="Arbeit"),IF(ROUND((1+INDEX(Beginne,MATCH(T28,Codes,0))-INDEX(EndeRel,MATCH(S28,Codes,0)))*1440,0)&lt;660,1,0),0),0))</f>
      </c>
      <c r="U77" s="1">
        <f>IF(OR(U$52=0,T28="",U28=""),0,IFERROR(IF(AND(INDEX(Arten,MATCH(T28,Codes,0))="Arbeit",INDEX(Arten,MATCH(U28,Codes,0))="Arbeit"),IF(ROUND((1+INDEX(Beginne,MATCH(U28,Codes,0))-INDEX(EndeRel,MATCH(T28,Codes,0)))*1440,0)&lt;660,1,0),0),0))</f>
      </c>
      <c r="V77" s="1">
        <f>IF(OR(V$52=0,U28="",V28=""),0,IFERROR(IF(AND(INDEX(Arten,MATCH(U28,Codes,0))="Arbeit",INDEX(Arten,MATCH(V28,Codes,0))="Arbeit"),IF(ROUND((1+INDEX(Beginne,MATCH(V28,Codes,0))-INDEX(EndeRel,MATCH(U28,Codes,0)))*1440,0)&lt;660,1,0),0),0))</f>
      </c>
      <c r="W77" s="1">
        <f>IF(OR(W$52=0,V28="",W28=""),0,IFERROR(IF(AND(INDEX(Arten,MATCH(V28,Codes,0))="Arbeit",INDEX(Arten,MATCH(W28,Codes,0))="Arbeit"),IF(ROUND((1+INDEX(Beginne,MATCH(W28,Codes,0))-INDEX(EndeRel,MATCH(V28,Codes,0)))*1440,0)&lt;660,1,0),0),0))</f>
      </c>
      <c r="X77" s="1">
        <f>IF(OR(X$52=0,W28="",X28=""),0,IFERROR(IF(AND(INDEX(Arten,MATCH(W28,Codes,0))="Arbeit",INDEX(Arten,MATCH(X28,Codes,0))="Arbeit"),IF(ROUND((1+INDEX(Beginne,MATCH(X28,Codes,0))-INDEX(EndeRel,MATCH(W28,Codes,0)))*1440,0)&lt;660,1,0),0),0))</f>
      </c>
      <c r="Y77" s="1">
        <f>IF(OR(Y$52=0,X28="",Y28=""),0,IFERROR(IF(AND(INDEX(Arten,MATCH(X28,Codes,0))="Arbeit",INDEX(Arten,MATCH(Y28,Codes,0))="Arbeit"),IF(ROUND((1+INDEX(Beginne,MATCH(Y28,Codes,0))-INDEX(EndeRel,MATCH(X28,Codes,0)))*1440,0)&lt;660,1,0),0),0))</f>
      </c>
      <c r="Z77" s="1">
        <f>IF(OR(Z$52=0,Y28="",Z28=""),0,IFERROR(IF(AND(INDEX(Arten,MATCH(Y28,Codes,0))="Arbeit",INDEX(Arten,MATCH(Z28,Codes,0))="Arbeit"),IF(ROUND((1+INDEX(Beginne,MATCH(Z28,Codes,0))-INDEX(EndeRel,MATCH(Y28,Codes,0)))*1440,0)&lt;660,1,0),0),0))</f>
      </c>
      <c r="AA77" s="1">
        <f>IF(OR(AA$52=0,Z28="",AA28=""),0,IFERROR(IF(AND(INDEX(Arten,MATCH(Z28,Codes,0))="Arbeit",INDEX(Arten,MATCH(AA28,Codes,0))="Arbeit"),IF(ROUND((1+INDEX(Beginne,MATCH(AA28,Codes,0))-INDEX(EndeRel,MATCH(Z28,Codes,0)))*1440,0)&lt;660,1,0),0),0))</f>
      </c>
      <c r="AB77" s="1">
        <f>IF(OR(AB$52=0,AA28="",AB28=""),0,IFERROR(IF(AND(INDEX(Arten,MATCH(AA28,Codes,0))="Arbeit",INDEX(Arten,MATCH(AB28,Codes,0))="Arbeit"),IF(ROUND((1+INDEX(Beginne,MATCH(AB28,Codes,0))-INDEX(EndeRel,MATCH(AA28,Codes,0)))*1440,0)&lt;660,1,0),0),0))</f>
      </c>
      <c r="AC77" s="1">
        <f>IF(OR(AC$52=0,AB28="",AC28=""),0,IFERROR(IF(AND(INDEX(Arten,MATCH(AB28,Codes,0))="Arbeit",INDEX(Arten,MATCH(AC28,Codes,0))="Arbeit"),IF(ROUND((1+INDEX(Beginne,MATCH(AC28,Codes,0))-INDEX(EndeRel,MATCH(AB28,Codes,0)))*1440,0)&lt;660,1,0),0),0))</f>
      </c>
      <c r="AD77" s="1">
        <f>IF(OR(AD$52=0,AC28="",AD28=""),0,IFERROR(IF(AND(INDEX(Arten,MATCH(AC28,Codes,0))="Arbeit",INDEX(Arten,MATCH(AD28,Codes,0))="Arbeit"),IF(ROUND((1+INDEX(Beginne,MATCH(AD28,Codes,0))-INDEX(EndeRel,MATCH(AC28,Codes,0)))*1440,0)&lt;660,1,0),0),0))</f>
      </c>
      <c r="AE77" s="1">
        <f>IF(OR(AE$52=0,AD28="",AE28=""),0,IFERROR(IF(AND(INDEX(Arten,MATCH(AD28,Codes,0))="Arbeit",INDEX(Arten,MATCH(AE28,Codes,0))="Arbeit"),IF(ROUND((1+INDEX(Beginne,MATCH(AE28,Codes,0))-INDEX(EndeRel,MATCH(AD28,Codes,0)))*1440,0)&lt;660,1,0),0),0))</f>
      </c>
      <c r="AF77" s="1">
        <f>IF(OR(AF$52=0,AE28="",AF28=""),0,IFERROR(IF(AND(INDEX(Arten,MATCH(AE28,Codes,0))="Arbeit",INDEX(Arten,MATCH(AF28,Codes,0))="Arbeit"),IF(ROUND((1+INDEX(Beginne,MATCH(AF28,Codes,0))-INDEX(EndeRel,MATCH(AE28,Codes,0)))*1440,0)&lt;660,1,0),0),0))</f>
      </c>
    </row>
    <row r="78" hidden="1" spans="1:32" x14ac:dyDescent="0.25">
      <c r="A78" s="1"/>
      <c r="B78" s="1">
        <f>IF(OR(B$52=0,INDEX('Juni'!$B$29:$AF$29,DAY(DATE(Jahr,7,0)))="",B29=""),0,IFERROR(IF(AND(INDEX(Arten,MATCH(INDEX('Juni'!$B$29:$AF$29,DAY(DATE(Jahr,7,0))),Codes,0))="Arbeit",INDEX(Arten,MATCH(B29,Codes,0))="Arbeit"),IF(ROUND((1+INDEX(Beginne,MATCH(B29,Codes,0))-INDEX(EndeRel,MATCH(INDEX('Juni'!$B$29:$AF$29,DAY(DATE(Jahr,7,0))),Codes,0)))*1440,0)&lt;660,1,0),0),0))</f>
      </c>
      <c r="C78" s="1">
        <f>IF(OR(C$52=0,B29="",C29=""),0,IFERROR(IF(AND(INDEX(Arten,MATCH(B29,Codes,0))="Arbeit",INDEX(Arten,MATCH(C29,Codes,0))="Arbeit"),IF(ROUND((1+INDEX(Beginne,MATCH(C29,Codes,0))-INDEX(EndeRel,MATCH(B29,Codes,0)))*1440,0)&lt;660,1,0),0),0))</f>
      </c>
      <c r="D78" s="1">
        <f>IF(OR(D$52=0,C29="",D29=""),0,IFERROR(IF(AND(INDEX(Arten,MATCH(C29,Codes,0))="Arbeit",INDEX(Arten,MATCH(D29,Codes,0))="Arbeit"),IF(ROUND((1+INDEX(Beginne,MATCH(D29,Codes,0))-INDEX(EndeRel,MATCH(C29,Codes,0)))*1440,0)&lt;660,1,0),0),0))</f>
      </c>
      <c r="E78" s="1">
        <f>IF(OR(E$52=0,D29="",E29=""),0,IFERROR(IF(AND(INDEX(Arten,MATCH(D29,Codes,0))="Arbeit",INDEX(Arten,MATCH(E29,Codes,0))="Arbeit"),IF(ROUND((1+INDEX(Beginne,MATCH(E29,Codes,0))-INDEX(EndeRel,MATCH(D29,Codes,0)))*1440,0)&lt;660,1,0),0),0))</f>
      </c>
      <c r="F78" s="1">
        <f>IF(OR(F$52=0,E29="",F29=""),0,IFERROR(IF(AND(INDEX(Arten,MATCH(E29,Codes,0))="Arbeit",INDEX(Arten,MATCH(F29,Codes,0))="Arbeit"),IF(ROUND((1+INDEX(Beginne,MATCH(F29,Codes,0))-INDEX(EndeRel,MATCH(E29,Codes,0)))*1440,0)&lt;660,1,0),0),0))</f>
      </c>
      <c r="G78" s="1">
        <f>IF(OR(G$52=0,F29="",G29=""),0,IFERROR(IF(AND(INDEX(Arten,MATCH(F29,Codes,0))="Arbeit",INDEX(Arten,MATCH(G29,Codes,0))="Arbeit"),IF(ROUND((1+INDEX(Beginne,MATCH(G29,Codes,0))-INDEX(EndeRel,MATCH(F29,Codes,0)))*1440,0)&lt;660,1,0),0),0))</f>
      </c>
      <c r="H78" s="1">
        <f>IF(OR(H$52=0,G29="",H29=""),0,IFERROR(IF(AND(INDEX(Arten,MATCH(G29,Codes,0))="Arbeit",INDEX(Arten,MATCH(H29,Codes,0))="Arbeit"),IF(ROUND((1+INDEX(Beginne,MATCH(H29,Codes,0))-INDEX(EndeRel,MATCH(G29,Codes,0)))*1440,0)&lt;660,1,0),0),0))</f>
      </c>
      <c r="I78" s="1">
        <f>IF(OR(I$52=0,H29="",I29=""),0,IFERROR(IF(AND(INDEX(Arten,MATCH(H29,Codes,0))="Arbeit",INDEX(Arten,MATCH(I29,Codes,0))="Arbeit"),IF(ROUND((1+INDEX(Beginne,MATCH(I29,Codes,0))-INDEX(EndeRel,MATCH(H29,Codes,0)))*1440,0)&lt;660,1,0),0),0))</f>
      </c>
      <c r="J78" s="1">
        <f>IF(OR(J$52=0,I29="",J29=""),0,IFERROR(IF(AND(INDEX(Arten,MATCH(I29,Codes,0))="Arbeit",INDEX(Arten,MATCH(J29,Codes,0))="Arbeit"),IF(ROUND((1+INDEX(Beginne,MATCH(J29,Codes,0))-INDEX(EndeRel,MATCH(I29,Codes,0)))*1440,0)&lt;660,1,0),0),0))</f>
      </c>
      <c r="K78" s="1">
        <f>IF(OR(K$52=0,J29="",K29=""),0,IFERROR(IF(AND(INDEX(Arten,MATCH(J29,Codes,0))="Arbeit",INDEX(Arten,MATCH(K29,Codes,0))="Arbeit"),IF(ROUND((1+INDEX(Beginne,MATCH(K29,Codes,0))-INDEX(EndeRel,MATCH(J29,Codes,0)))*1440,0)&lt;660,1,0),0),0))</f>
      </c>
      <c r="L78" s="1">
        <f>IF(OR(L$52=0,K29="",L29=""),0,IFERROR(IF(AND(INDEX(Arten,MATCH(K29,Codes,0))="Arbeit",INDEX(Arten,MATCH(L29,Codes,0))="Arbeit"),IF(ROUND((1+INDEX(Beginne,MATCH(L29,Codes,0))-INDEX(EndeRel,MATCH(K29,Codes,0)))*1440,0)&lt;660,1,0),0),0))</f>
      </c>
      <c r="M78" s="1">
        <f>IF(OR(M$52=0,L29="",M29=""),0,IFERROR(IF(AND(INDEX(Arten,MATCH(L29,Codes,0))="Arbeit",INDEX(Arten,MATCH(M29,Codes,0))="Arbeit"),IF(ROUND((1+INDEX(Beginne,MATCH(M29,Codes,0))-INDEX(EndeRel,MATCH(L29,Codes,0)))*1440,0)&lt;660,1,0),0),0))</f>
      </c>
      <c r="N78" s="1">
        <f>IF(OR(N$52=0,M29="",N29=""),0,IFERROR(IF(AND(INDEX(Arten,MATCH(M29,Codes,0))="Arbeit",INDEX(Arten,MATCH(N29,Codes,0))="Arbeit"),IF(ROUND((1+INDEX(Beginne,MATCH(N29,Codes,0))-INDEX(EndeRel,MATCH(M29,Codes,0)))*1440,0)&lt;660,1,0),0),0))</f>
      </c>
      <c r="O78" s="1">
        <f>IF(OR(O$52=0,N29="",O29=""),0,IFERROR(IF(AND(INDEX(Arten,MATCH(N29,Codes,0))="Arbeit",INDEX(Arten,MATCH(O29,Codes,0))="Arbeit"),IF(ROUND((1+INDEX(Beginne,MATCH(O29,Codes,0))-INDEX(EndeRel,MATCH(N29,Codes,0)))*1440,0)&lt;660,1,0),0),0))</f>
      </c>
      <c r="P78" s="1">
        <f>IF(OR(P$52=0,O29="",P29=""),0,IFERROR(IF(AND(INDEX(Arten,MATCH(O29,Codes,0))="Arbeit",INDEX(Arten,MATCH(P29,Codes,0))="Arbeit"),IF(ROUND((1+INDEX(Beginne,MATCH(P29,Codes,0))-INDEX(EndeRel,MATCH(O29,Codes,0)))*1440,0)&lt;660,1,0),0),0))</f>
      </c>
      <c r="Q78" s="1">
        <f>IF(OR(Q$52=0,P29="",Q29=""),0,IFERROR(IF(AND(INDEX(Arten,MATCH(P29,Codes,0))="Arbeit",INDEX(Arten,MATCH(Q29,Codes,0))="Arbeit"),IF(ROUND((1+INDEX(Beginne,MATCH(Q29,Codes,0))-INDEX(EndeRel,MATCH(P29,Codes,0)))*1440,0)&lt;660,1,0),0),0))</f>
      </c>
      <c r="R78" s="1">
        <f>IF(OR(R$52=0,Q29="",R29=""),0,IFERROR(IF(AND(INDEX(Arten,MATCH(Q29,Codes,0))="Arbeit",INDEX(Arten,MATCH(R29,Codes,0))="Arbeit"),IF(ROUND((1+INDEX(Beginne,MATCH(R29,Codes,0))-INDEX(EndeRel,MATCH(Q29,Codes,0)))*1440,0)&lt;660,1,0),0),0))</f>
      </c>
      <c r="S78" s="1">
        <f>IF(OR(S$52=0,R29="",S29=""),0,IFERROR(IF(AND(INDEX(Arten,MATCH(R29,Codes,0))="Arbeit",INDEX(Arten,MATCH(S29,Codes,0))="Arbeit"),IF(ROUND((1+INDEX(Beginne,MATCH(S29,Codes,0))-INDEX(EndeRel,MATCH(R29,Codes,0)))*1440,0)&lt;660,1,0),0),0))</f>
      </c>
      <c r="T78" s="1">
        <f>IF(OR(T$52=0,S29="",T29=""),0,IFERROR(IF(AND(INDEX(Arten,MATCH(S29,Codes,0))="Arbeit",INDEX(Arten,MATCH(T29,Codes,0))="Arbeit"),IF(ROUND((1+INDEX(Beginne,MATCH(T29,Codes,0))-INDEX(EndeRel,MATCH(S29,Codes,0)))*1440,0)&lt;660,1,0),0),0))</f>
      </c>
      <c r="U78" s="1">
        <f>IF(OR(U$52=0,T29="",U29=""),0,IFERROR(IF(AND(INDEX(Arten,MATCH(T29,Codes,0))="Arbeit",INDEX(Arten,MATCH(U29,Codes,0))="Arbeit"),IF(ROUND((1+INDEX(Beginne,MATCH(U29,Codes,0))-INDEX(EndeRel,MATCH(T29,Codes,0)))*1440,0)&lt;660,1,0),0),0))</f>
      </c>
      <c r="V78" s="1">
        <f>IF(OR(V$52=0,U29="",V29=""),0,IFERROR(IF(AND(INDEX(Arten,MATCH(U29,Codes,0))="Arbeit",INDEX(Arten,MATCH(V29,Codes,0))="Arbeit"),IF(ROUND((1+INDEX(Beginne,MATCH(V29,Codes,0))-INDEX(EndeRel,MATCH(U29,Codes,0)))*1440,0)&lt;660,1,0),0),0))</f>
      </c>
      <c r="W78" s="1">
        <f>IF(OR(W$52=0,V29="",W29=""),0,IFERROR(IF(AND(INDEX(Arten,MATCH(V29,Codes,0))="Arbeit",INDEX(Arten,MATCH(W29,Codes,0))="Arbeit"),IF(ROUND((1+INDEX(Beginne,MATCH(W29,Codes,0))-INDEX(EndeRel,MATCH(V29,Codes,0)))*1440,0)&lt;660,1,0),0),0))</f>
      </c>
      <c r="X78" s="1">
        <f>IF(OR(X$52=0,W29="",X29=""),0,IFERROR(IF(AND(INDEX(Arten,MATCH(W29,Codes,0))="Arbeit",INDEX(Arten,MATCH(X29,Codes,0))="Arbeit"),IF(ROUND((1+INDEX(Beginne,MATCH(X29,Codes,0))-INDEX(EndeRel,MATCH(W29,Codes,0)))*1440,0)&lt;660,1,0),0),0))</f>
      </c>
      <c r="Y78" s="1">
        <f>IF(OR(Y$52=0,X29="",Y29=""),0,IFERROR(IF(AND(INDEX(Arten,MATCH(X29,Codes,0))="Arbeit",INDEX(Arten,MATCH(Y29,Codes,0))="Arbeit"),IF(ROUND((1+INDEX(Beginne,MATCH(Y29,Codes,0))-INDEX(EndeRel,MATCH(X29,Codes,0)))*1440,0)&lt;660,1,0),0),0))</f>
      </c>
      <c r="Z78" s="1">
        <f>IF(OR(Z$52=0,Y29="",Z29=""),0,IFERROR(IF(AND(INDEX(Arten,MATCH(Y29,Codes,0))="Arbeit",INDEX(Arten,MATCH(Z29,Codes,0))="Arbeit"),IF(ROUND((1+INDEX(Beginne,MATCH(Z29,Codes,0))-INDEX(EndeRel,MATCH(Y29,Codes,0)))*1440,0)&lt;660,1,0),0),0))</f>
      </c>
      <c r="AA78" s="1">
        <f>IF(OR(AA$52=0,Z29="",AA29=""),0,IFERROR(IF(AND(INDEX(Arten,MATCH(Z29,Codes,0))="Arbeit",INDEX(Arten,MATCH(AA29,Codes,0))="Arbeit"),IF(ROUND((1+INDEX(Beginne,MATCH(AA29,Codes,0))-INDEX(EndeRel,MATCH(Z29,Codes,0)))*1440,0)&lt;660,1,0),0),0))</f>
      </c>
      <c r="AB78" s="1">
        <f>IF(OR(AB$52=0,AA29="",AB29=""),0,IFERROR(IF(AND(INDEX(Arten,MATCH(AA29,Codes,0))="Arbeit",INDEX(Arten,MATCH(AB29,Codes,0))="Arbeit"),IF(ROUND((1+INDEX(Beginne,MATCH(AB29,Codes,0))-INDEX(EndeRel,MATCH(AA29,Codes,0)))*1440,0)&lt;660,1,0),0),0))</f>
      </c>
      <c r="AC78" s="1">
        <f>IF(OR(AC$52=0,AB29="",AC29=""),0,IFERROR(IF(AND(INDEX(Arten,MATCH(AB29,Codes,0))="Arbeit",INDEX(Arten,MATCH(AC29,Codes,0))="Arbeit"),IF(ROUND((1+INDEX(Beginne,MATCH(AC29,Codes,0))-INDEX(EndeRel,MATCH(AB29,Codes,0)))*1440,0)&lt;660,1,0),0),0))</f>
      </c>
      <c r="AD78" s="1">
        <f>IF(OR(AD$52=0,AC29="",AD29=""),0,IFERROR(IF(AND(INDEX(Arten,MATCH(AC29,Codes,0))="Arbeit",INDEX(Arten,MATCH(AD29,Codes,0))="Arbeit"),IF(ROUND((1+INDEX(Beginne,MATCH(AD29,Codes,0))-INDEX(EndeRel,MATCH(AC29,Codes,0)))*1440,0)&lt;660,1,0),0),0))</f>
      </c>
      <c r="AE78" s="1">
        <f>IF(OR(AE$52=0,AD29="",AE29=""),0,IFERROR(IF(AND(INDEX(Arten,MATCH(AD29,Codes,0))="Arbeit",INDEX(Arten,MATCH(AE29,Codes,0))="Arbeit"),IF(ROUND((1+INDEX(Beginne,MATCH(AE29,Codes,0))-INDEX(EndeRel,MATCH(AD29,Codes,0)))*1440,0)&lt;660,1,0),0),0))</f>
      </c>
      <c r="AF78" s="1">
        <f>IF(OR(AF$52=0,AE29="",AF29=""),0,IFERROR(IF(AND(INDEX(Arten,MATCH(AE29,Codes,0))="Arbeit",INDEX(Arten,MATCH(AF29,Codes,0))="Arbeit"),IF(ROUND((1+INDEX(Beginne,MATCH(AF29,Codes,0))-INDEX(EndeRel,MATCH(AE29,Codes,0)))*1440,0)&lt;660,1,0),0),0))</f>
      </c>
    </row>
    <row r="79" hidden="1" spans="1:32" x14ac:dyDescent="0.25">
      <c r="A79" s="1"/>
      <c r="B79" s="1">
        <f>IF(OR(B$52=0,INDEX('Juni'!$B$30:$AF$30,DAY(DATE(Jahr,7,0)))="",B30=""),0,IFERROR(IF(AND(INDEX(Arten,MATCH(INDEX('Juni'!$B$30:$AF$30,DAY(DATE(Jahr,7,0))),Codes,0))="Arbeit",INDEX(Arten,MATCH(B30,Codes,0))="Arbeit"),IF(ROUND((1+INDEX(Beginne,MATCH(B30,Codes,0))-INDEX(EndeRel,MATCH(INDEX('Juni'!$B$30:$AF$30,DAY(DATE(Jahr,7,0))),Codes,0)))*1440,0)&lt;660,1,0),0),0))</f>
      </c>
      <c r="C79" s="1">
        <f>IF(OR(C$52=0,B30="",C30=""),0,IFERROR(IF(AND(INDEX(Arten,MATCH(B30,Codes,0))="Arbeit",INDEX(Arten,MATCH(C30,Codes,0))="Arbeit"),IF(ROUND((1+INDEX(Beginne,MATCH(C30,Codes,0))-INDEX(EndeRel,MATCH(B30,Codes,0)))*1440,0)&lt;660,1,0),0),0))</f>
      </c>
      <c r="D79" s="1">
        <f>IF(OR(D$52=0,C30="",D30=""),0,IFERROR(IF(AND(INDEX(Arten,MATCH(C30,Codes,0))="Arbeit",INDEX(Arten,MATCH(D30,Codes,0))="Arbeit"),IF(ROUND((1+INDEX(Beginne,MATCH(D30,Codes,0))-INDEX(EndeRel,MATCH(C30,Codes,0)))*1440,0)&lt;660,1,0),0),0))</f>
      </c>
      <c r="E79" s="1">
        <f>IF(OR(E$52=0,D30="",E30=""),0,IFERROR(IF(AND(INDEX(Arten,MATCH(D30,Codes,0))="Arbeit",INDEX(Arten,MATCH(E30,Codes,0))="Arbeit"),IF(ROUND((1+INDEX(Beginne,MATCH(E30,Codes,0))-INDEX(EndeRel,MATCH(D30,Codes,0)))*1440,0)&lt;660,1,0),0),0))</f>
      </c>
      <c r="F79" s="1">
        <f>IF(OR(F$52=0,E30="",F30=""),0,IFERROR(IF(AND(INDEX(Arten,MATCH(E30,Codes,0))="Arbeit",INDEX(Arten,MATCH(F30,Codes,0))="Arbeit"),IF(ROUND((1+INDEX(Beginne,MATCH(F30,Codes,0))-INDEX(EndeRel,MATCH(E30,Codes,0)))*1440,0)&lt;660,1,0),0),0))</f>
      </c>
      <c r="G79" s="1">
        <f>IF(OR(G$52=0,F30="",G30=""),0,IFERROR(IF(AND(INDEX(Arten,MATCH(F30,Codes,0))="Arbeit",INDEX(Arten,MATCH(G30,Codes,0))="Arbeit"),IF(ROUND((1+INDEX(Beginne,MATCH(G30,Codes,0))-INDEX(EndeRel,MATCH(F30,Codes,0)))*1440,0)&lt;660,1,0),0),0))</f>
      </c>
      <c r="H79" s="1">
        <f>IF(OR(H$52=0,G30="",H30=""),0,IFERROR(IF(AND(INDEX(Arten,MATCH(G30,Codes,0))="Arbeit",INDEX(Arten,MATCH(H30,Codes,0))="Arbeit"),IF(ROUND((1+INDEX(Beginne,MATCH(H30,Codes,0))-INDEX(EndeRel,MATCH(G30,Codes,0)))*1440,0)&lt;660,1,0),0),0))</f>
      </c>
      <c r="I79" s="1">
        <f>IF(OR(I$52=0,H30="",I30=""),0,IFERROR(IF(AND(INDEX(Arten,MATCH(H30,Codes,0))="Arbeit",INDEX(Arten,MATCH(I30,Codes,0))="Arbeit"),IF(ROUND((1+INDEX(Beginne,MATCH(I30,Codes,0))-INDEX(EndeRel,MATCH(H30,Codes,0)))*1440,0)&lt;660,1,0),0),0))</f>
      </c>
      <c r="J79" s="1">
        <f>IF(OR(J$52=0,I30="",J30=""),0,IFERROR(IF(AND(INDEX(Arten,MATCH(I30,Codes,0))="Arbeit",INDEX(Arten,MATCH(J30,Codes,0))="Arbeit"),IF(ROUND((1+INDEX(Beginne,MATCH(J30,Codes,0))-INDEX(EndeRel,MATCH(I30,Codes,0)))*1440,0)&lt;660,1,0),0),0))</f>
      </c>
      <c r="K79" s="1">
        <f>IF(OR(K$52=0,J30="",K30=""),0,IFERROR(IF(AND(INDEX(Arten,MATCH(J30,Codes,0))="Arbeit",INDEX(Arten,MATCH(K30,Codes,0))="Arbeit"),IF(ROUND((1+INDEX(Beginne,MATCH(K30,Codes,0))-INDEX(EndeRel,MATCH(J30,Codes,0)))*1440,0)&lt;660,1,0),0),0))</f>
      </c>
      <c r="L79" s="1">
        <f>IF(OR(L$52=0,K30="",L30=""),0,IFERROR(IF(AND(INDEX(Arten,MATCH(K30,Codes,0))="Arbeit",INDEX(Arten,MATCH(L30,Codes,0))="Arbeit"),IF(ROUND((1+INDEX(Beginne,MATCH(L30,Codes,0))-INDEX(EndeRel,MATCH(K30,Codes,0)))*1440,0)&lt;660,1,0),0),0))</f>
      </c>
      <c r="M79" s="1">
        <f>IF(OR(M$52=0,L30="",M30=""),0,IFERROR(IF(AND(INDEX(Arten,MATCH(L30,Codes,0))="Arbeit",INDEX(Arten,MATCH(M30,Codes,0))="Arbeit"),IF(ROUND((1+INDEX(Beginne,MATCH(M30,Codes,0))-INDEX(EndeRel,MATCH(L30,Codes,0)))*1440,0)&lt;660,1,0),0),0))</f>
      </c>
      <c r="N79" s="1">
        <f>IF(OR(N$52=0,M30="",N30=""),0,IFERROR(IF(AND(INDEX(Arten,MATCH(M30,Codes,0))="Arbeit",INDEX(Arten,MATCH(N30,Codes,0))="Arbeit"),IF(ROUND((1+INDEX(Beginne,MATCH(N30,Codes,0))-INDEX(EndeRel,MATCH(M30,Codes,0)))*1440,0)&lt;660,1,0),0),0))</f>
      </c>
      <c r="O79" s="1">
        <f>IF(OR(O$52=0,N30="",O30=""),0,IFERROR(IF(AND(INDEX(Arten,MATCH(N30,Codes,0))="Arbeit",INDEX(Arten,MATCH(O30,Codes,0))="Arbeit"),IF(ROUND((1+INDEX(Beginne,MATCH(O30,Codes,0))-INDEX(EndeRel,MATCH(N30,Codes,0)))*1440,0)&lt;660,1,0),0),0))</f>
      </c>
      <c r="P79" s="1">
        <f>IF(OR(P$52=0,O30="",P30=""),0,IFERROR(IF(AND(INDEX(Arten,MATCH(O30,Codes,0))="Arbeit",INDEX(Arten,MATCH(P30,Codes,0))="Arbeit"),IF(ROUND((1+INDEX(Beginne,MATCH(P30,Codes,0))-INDEX(EndeRel,MATCH(O30,Codes,0)))*1440,0)&lt;660,1,0),0),0))</f>
      </c>
      <c r="Q79" s="1">
        <f>IF(OR(Q$52=0,P30="",Q30=""),0,IFERROR(IF(AND(INDEX(Arten,MATCH(P30,Codes,0))="Arbeit",INDEX(Arten,MATCH(Q30,Codes,0))="Arbeit"),IF(ROUND((1+INDEX(Beginne,MATCH(Q30,Codes,0))-INDEX(EndeRel,MATCH(P30,Codes,0)))*1440,0)&lt;660,1,0),0),0))</f>
      </c>
      <c r="R79" s="1">
        <f>IF(OR(R$52=0,Q30="",R30=""),0,IFERROR(IF(AND(INDEX(Arten,MATCH(Q30,Codes,0))="Arbeit",INDEX(Arten,MATCH(R30,Codes,0))="Arbeit"),IF(ROUND((1+INDEX(Beginne,MATCH(R30,Codes,0))-INDEX(EndeRel,MATCH(Q30,Codes,0)))*1440,0)&lt;660,1,0),0),0))</f>
      </c>
      <c r="S79" s="1">
        <f>IF(OR(S$52=0,R30="",S30=""),0,IFERROR(IF(AND(INDEX(Arten,MATCH(R30,Codes,0))="Arbeit",INDEX(Arten,MATCH(S30,Codes,0))="Arbeit"),IF(ROUND((1+INDEX(Beginne,MATCH(S30,Codes,0))-INDEX(EndeRel,MATCH(R30,Codes,0)))*1440,0)&lt;660,1,0),0),0))</f>
      </c>
      <c r="T79" s="1">
        <f>IF(OR(T$52=0,S30="",T30=""),0,IFERROR(IF(AND(INDEX(Arten,MATCH(S30,Codes,0))="Arbeit",INDEX(Arten,MATCH(T30,Codes,0))="Arbeit"),IF(ROUND((1+INDEX(Beginne,MATCH(T30,Codes,0))-INDEX(EndeRel,MATCH(S30,Codes,0)))*1440,0)&lt;660,1,0),0),0))</f>
      </c>
      <c r="U79" s="1">
        <f>IF(OR(U$52=0,T30="",U30=""),0,IFERROR(IF(AND(INDEX(Arten,MATCH(T30,Codes,0))="Arbeit",INDEX(Arten,MATCH(U30,Codes,0))="Arbeit"),IF(ROUND((1+INDEX(Beginne,MATCH(U30,Codes,0))-INDEX(EndeRel,MATCH(T30,Codes,0)))*1440,0)&lt;660,1,0),0),0))</f>
      </c>
      <c r="V79" s="1">
        <f>IF(OR(V$52=0,U30="",V30=""),0,IFERROR(IF(AND(INDEX(Arten,MATCH(U30,Codes,0))="Arbeit",INDEX(Arten,MATCH(V30,Codes,0))="Arbeit"),IF(ROUND((1+INDEX(Beginne,MATCH(V30,Codes,0))-INDEX(EndeRel,MATCH(U30,Codes,0)))*1440,0)&lt;660,1,0),0),0))</f>
      </c>
      <c r="W79" s="1">
        <f>IF(OR(W$52=0,V30="",W30=""),0,IFERROR(IF(AND(INDEX(Arten,MATCH(V30,Codes,0))="Arbeit",INDEX(Arten,MATCH(W30,Codes,0))="Arbeit"),IF(ROUND((1+INDEX(Beginne,MATCH(W30,Codes,0))-INDEX(EndeRel,MATCH(V30,Codes,0)))*1440,0)&lt;660,1,0),0),0))</f>
      </c>
      <c r="X79" s="1">
        <f>IF(OR(X$52=0,W30="",X30=""),0,IFERROR(IF(AND(INDEX(Arten,MATCH(W30,Codes,0))="Arbeit",INDEX(Arten,MATCH(X30,Codes,0))="Arbeit"),IF(ROUND((1+INDEX(Beginne,MATCH(X30,Codes,0))-INDEX(EndeRel,MATCH(W30,Codes,0)))*1440,0)&lt;660,1,0),0),0))</f>
      </c>
      <c r="Y79" s="1">
        <f>IF(OR(Y$52=0,X30="",Y30=""),0,IFERROR(IF(AND(INDEX(Arten,MATCH(X30,Codes,0))="Arbeit",INDEX(Arten,MATCH(Y30,Codes,0))="Arbeit"),IF(ROUND((1+INDEX(Beginne,MATCH(Y30,Codes,0))-INDEX(EndeRel,MATCH(X30,Codes,0)))*1440,0)&lt;660,1,0),0),0))</f>
      </c>
      <c r="Z79" s="1">
        <f>IF(OR(Z$52=0,Y30="",Z30=""),0,IFERROR(IF(AND(INDEX(Arten,MATCH(Y30,Codes,0))="Arbeit",INDEX(Arten,MATCH(Z30,Codes,0))="Arbeit"),IF(ROUND((1+INDEX(Beginne,MATCH(Z30,Codes,0))-INDEX(EndeRel,MATCH(Y30,Codes,0)))*1440,0)&lt;660,1,0),0),0))</f>
      </c>
      <c r="AA79" s="1">
        <f>IF(OR(AA$52=0,Z30="",AA30=""),0,IFERROR(IF(AND(INDEX(Arten,MATCH(Z30,Codes,0))="Arbeit",INDEX(Arten,MATCH(AA30,Codes,0))="Arbeit"),IF(ROUND((1+INDEX(Beginne,MATCH(AA30,Codes,0))-INDEX(EndeRel,MATCH(Z30,Codes,0)))*1440,0)&lt;660,1,0),0),0))</f>
      </c>
      <c r="AB79" s="1">
        <f>IF(OR(AB$52=0,AA30="",AB30=""),0,IFERROR(IF(AND(INDEX(Arten,MATCH(AA30,Codes,0))="Arbeit",INDEX(Arten,MATCH(AB30,Codes,0))="Arbeit"),IF(ROUND((1+INDEX(Beginne,MATCH(AB30,Codes,0))-INDEX(EndeRel,MATCH(AA30,Codes,0)))*1440,0)&lt;660,1,0),0),0))</f>
      </c>
      <c r="AC79" s="1">
        <f>IF(OR(AC$52=0,AB30="",AC30=""),0,IFERROR(IF(AND(INDEX(Arten,MATCH(AB30,Codes,0))="Arbeit",INDEX(Arten,MATCH(AC30,Codes,0))="Arbeit"),IF(ROUND((1+INDEX(Beginne,MATCH(AC30,Codes,0))-INDEX(EndeRel,MATCH(AB30,Codes,0)))*1440,0)&lt;660,1,0),0),0))</f>
      </c>
      <c r="AD79" s="1">
        <f>IF(OR(AD$52=0,AC30="",AD30=""),0,IFERROR(IF(AND(INDEX(Arten,MATCH(AC30,Codes,0))="Arbeit",INDEX(Arten,MATCH(AD30,Codes,0))="Arbeit"),IF(ROUND((1+INDEX(Beginne,MATCH(AD30,Codes,0))-INDEX(EndeRel,MATCH(AC30,Codes,0)))*1440,0)&lt;660,1,0),0),0))</f>
      </c>
      <c r="AE79" s="1">
        <f>IF(OR(AE$52=0,AD30="",AE30=""),0,IFERROR(IF(AND(INDEX(Arten,MATCH(AD30,Codes,0))="Arbeit",INDEX(Arten,MATCH(AE30,Codes,0))="Arbeit"),IF(ROUND((1+INDEX(Beginne,MATCH(AE30,Codes,0))-INDEX(EndeRel,MATCH(AD30,Codes,0)))*1440,0)&lt;660,1,0),0),0))</f>
      </c>
      <c r="AF79" s="1">
        <f>IF(OR(AF$52=0,AE30="",AF30=""),0,IFERROR(IF(AND(INDEX(Arten,MATCH(AE30,Codes,0))="Arbeit",INDEX(Arten,MATCH(AF30,Codes,0))="Arbeit"),IF(ROUND((1+INDEX(Beginne,MATCH(AF30,Codes,0))-INDEX(EndeRel,MATCH(AE30,Codes,0)))*1440,0)&lt;660,1,0),0),0))</f>
      </c>
    </row>
    <row r="80" hidden="1" spans="1:32" x14ac:dyDescent="0.25">
      <c r="A80" s="1"/>
      <c r="B80" s="1">
        <f>IF(OR(B$52=0,INDEX('Juni'!$B$31:$AF$31,DAY(DATE(Jahr,7,0)))="",B31=""),0,IFERROR(IF(AND(INDEX(Arten,MATCH(INDEX('Juni'!$B$31:$AF$31,DAY(DATE(Jahr,7,0))),Codes,0))="Arbeit",INDEX(Arten,MATCH(B31,Codes,0))="Arbeit"),IF(ROUND((1+INDEX(Beginne,MATCH(B31,Codes,0))-INDEX(EndeRel,MATCH(INDEX('Juni'!$B$31:$AF$31,DAY(DATE(Jahr,7,0))),Codes,0)))*1440,0)&lt;660,1,0),0),0))</f>
      </c>
      <c r="C80" s="1">
        <f>IF(OR(C$52=0,B31="",C31=""),0,IFERROR(IF(AND(INDEX(Arten,MATCH(B31,Codes,0))="Arbeit",INDEX(Arten,MATCH(C31,Codes,0))="Arbeit"),IF(ROUND((1+INDEX(Beginne,MATCH(C31,Codes,0))-INDEX(EndeRel,MATCH(B31,Codes,0)))*1440,0)&lt;660,1,0),0),0))</f>
      </c>
      <c r="D80" s="1">
        <f>IF(OR(D$52=0,C31="",D31=""),0,IFERROR(IF(AND(INDEX(Arten,MATCH(C31,Codes,0))="Arbeit",INDEX(Arten,MATCH(D31,Codes,0))="Arbeit"),IF(ROUND((1+INDEX(Beginne,MATCH(D31,Codes,0))-INDEX(EndeRel,MATCH(C31,Codes,0)))*1440,0)&lt;660,1,0),0),0))</f>
      </c>
      <c r="E80" s="1">
        <f>IF(OR(E$52=0,D31="",E31=""),0,IFERROR(IF(AND(INDEX(Arten,MATCH(D31,Codes,0))="Arbeit",INDEX(Arten,MATCH(E31,Codes,0))="Arbeit"),IF(ROUND((1+INDEX(Beginne,MATCH(E31,Codes,0))-INDEX(EndeRel,MATCH(D31,Codes,0)))*1440,0)&lt;660,1,0),0),0))</f>
      </c>
      <c r="F80" s="1">
        <f>IF(OR(F$52=0,E31="",F31=""),0,IFERROR(IF(AND(INDEX(Arten,MATCH(E31,Codes,0))="Arbeit",INDEX(Arten,MATCH(F31,Codes,0))="Arbeit"),IF(ROUND((1+INDEX(Beginne,MATCH(F31,Codes,0))-INDEX(EndeRel,MATCH(E31,Codes,0)))*1440,0)&lt;660,1,0),0),0))</f>
      </c>
      <c r="G80" s="1">
        <f>IF(OR(G$52=0,F31="",G31=""),0,IFERROR(IF(AND(INDEX(Arten,MATCH(F31,Codes,0))="Arbeit",INDEX(Arten,MATCH(G31,Codes,0))="Arbeit"),IF(ROUND((1+INDEX(Beginne,MATCH(G31,Codes,0))-INDEX(EndeRel,MATCH(F31,Codes,0)))*1440,0)&lt;660,1,0),0),0))</f>
      </c>
      <c r="H80" s="1">
        <f>IF(OR(H$52=0,G31="",H31=""),0,IFERROR(IF(AND(INDEX(Arten,MATCH(G31,Codes,0))="Arbeit",INDEX(Arten,MATCH(H31,Codes,0))="Arbeit"),IF(ROUND((1+INDEX(Beginne,MATCH(H31,Codes,0))-INDEX(EndeRel,MATCH(G31,Codes,0)))*1440,0)&lt;660,1,0),0),0))</f>
      </c>
      <c r="I80" s="1">
        <f>IF(OR(I$52=0,H31="",I31=""),0,IFERROR(IF(AND(INDEX(Arten,MATCH(H31,Codes,0))="Arbeit",INDEX(Arten,MATCH(I31,Codes,0))="Arbeit"),IF(ROUND((1+INDEX(Beginne,MATCH(I31,Codes,0))-INDEX(EndeRel,MATCH(H31,Codes,0)))*1440,0)&lt;660,1,0),0),0))</f>
      </c>
      <c r="J80" s="1">
        <f>IF(OR(J$52=0,I31="",J31=""),0,IFERROR(IF(AND(INDEX(Arten,MATCH(I31,Codes,0))="Arbeit",INDEX(Arten,MATCH(J31,Codes,0))="Arbeit"),IF(ROUND((1+INDEX(Beginne,MATCH(J31,Codes,0))-INDEX(EndeRel,MATCH(I31,Codes,0)))*1440,0)&lt;660,1,0),0),0))</f>
      </c>
      <c r="K80" s="1">
        <f>IF(OR(K$52=0,J31="",K31=""),0,IFERROR(IF(AND(INDEX(Arten,MATCH(J31,Codes,0))="Arbeit",INDEX(Arten,MATCH(K31,Codes,0))="Arbeit"),IF(ROUND((1+INDEX(Beginne,MATCH(K31,Codes,0))-INDEX(EndeRel,MATCH(J31,Codes,0)))*1440,0)&lt;660,1,0),0),0))</f>
      </c>
      <c r="L80" s="1">
        <f>IF(OR(L$52=0,K31="",L31=""),0,IFERROR(IF(AND(INDEX(Arten,MATCH(K31,Codes,0))="Arbeit",INDEX(Arten,MATCH(L31,Codes,0))="Arbeit"),IF(ROUND((1+INDEX(Beginne,MATCH(L31,Codes,0))-INDEX(EndeRel,MATCH(K31,Codes,0)))*1440,0)&lt;660,1,0),0),0))</f>
      </c>
      <c r="M80" s="1">
        <f>IF(OR(M$52=0,L31="",M31=""),0,IFERROR(IF(AND(INDEX(Arten,MATCH(L31,Codes,0))="Arbeit",INDEX(Arten,MATCH(M31,Codes,0))="Arbeit"),IF(ROUND((1+INDEX(Beginne,MATCH(M31,Codes,0))-INDEX(EndeRel,MATCH(L31,Codes,0)))*1440,0)&lt;660,1,0),0),0))</f>
      </c>
      <c r="N80" s="1">
        <f>IF(OR(N$52=0,M31="",N31=""),0,IFERROR(IF(AND(INDEX(Arten,MATCH(M31,Codes,0))="Arbeit",INDEX(Arten,MATCH(N31,Codes,0))="Arbeit"),IF(ROUND((1+INDEX(Beginne,MATCH(N31,Codes,0))-INDEX(EndeRel,MATCH(M31,Codes,0)))*1440,0)&lt;660,1,0),0),0))</f>
      </c>
      <c r="O80" s="1">
        <f>IF(OR(O$52=0,N31="",O31=""),0,IFERROR(IF(AND(INDEX(Arten,MATCH(N31,Codes,0))="Arbeit",INDEX(Arten,MATCH(O31,Codes,0))="Arbeit"),IF(ROUND((1+INDEX(Beginne,MATCH(O31,Codes,0))-INDEX(EndeRel,MATCH(N31,Codes,0)))*1440,0)&lt;660,1,0),0),0))</f>
      </c>
      <c r="P80" s="1">
        <f>IF(OR(P$52=0,O31="",P31=""),0,IFERROR(IF(AND(INDEX(Arten,MATCH(O31,Codes,0))="Arbeit",INDEX(Arten,MATCH(P31,Codes,0))="Arbeit"),IF(ROUND((1+INDEX(Beginne,MATCH(P31,Codes,0))-INDEX(EndeRel,MATCH(O31,Codes,0)))*1440,0)&lt;660,1,0),0),0))</f>
      </c>
      <c r="Q80" s="1">
        <f>IF(OR(Q$52=0,P31="",Q31=""),0,IFERROR(IF(AND(INDEX(Arten,MATCH(P31,Codes,0))="Arbeit",INDEX(Arten,MATCH(Q31,Codes,0))="Arbeit"),IF(ROUND((1+INDEX(Beginne,MATCH(Q31,Codes,0))-INDEX(EndeRel,MATCH(P31,Codes,0)))*1440,0)&lt;660,1,0),0),0))</f>
      </c>
      <c r="R80" s="1">
        <f>IF(OR(R$52=0,Q31="",R31=""),0,IFERROR(IF(AND(INDEX(Arten,MATCH(Q31,Codes,0))="Arbeit",INDEX(Arten,MATCH(R31,Codes,0))="Arbeit"),IF(ROUND((1+INDEX(Beginne,MATCH(R31,Codes,0))-INDEX(EndeRel,MATCH(Q31,Codes,0)))*1440,0)&lt;660,1,0),0),0))</f>
      </c>
      <c r="S80" s="1">
        <f>IF(OR(S$52=0,R31="",S31=""),0,IFERROR(IF(AND(INDEX(Arten,MATCH(R31,Codes,0))="Arbeit",INDEX(Arten,MATCH(S31,Codes,0))="Arbeit"),IF(ROUND((1+INDEX(Beginne,MATCH(S31,Codes,0))-INDEX(EndeRel,MATCH(R31,Codes,0)))*1440,0)&lt;660,1,0),0),0))</f>
      </c>
      <c r="T80" s="1">
        <f>IF(OR(T$52=0,S31="",T31=""),0,IFERROR(IF(AND(INDEX(Arten,MATCH(S31,Codes,0))="Arbeit",INDEX(Arten,MATCH(T31,Codes,0))="Arbeit"),IF(ROUND((1+INDEX(Beginne,MATCH(T31,Codes,0))-INDEX(EndeRel,MATCH(S31,Codes,0)))*1440,0)&lt;660,1,0),0),0))</f>
      </c>
      <c r="U80" s="1">
        <f>IF(OR(U$52=0,T31="",U31=""),0,IFERROR(IF(AND(INDEX(Arten,MATCH(T31,Codes,0))="Arbeit",INDEX(Arten,MATCH(U31,Codes,0))="Arbeit"),IF(ROUND((1+INDEX(Beginne,MATCH(U31,Codes,0))-INDEX(EndeRel,MATCH(T31,Codes,0)))*1440,0)&lt;660,1,0),0),0))</f>
      </c>
      <c r="V80" s="1">
        <f>IF(OR(V$52=0,U31="",V31=""),0,IFERROR(IF(AND(INDEX(Arten,MATCH(U31,Codes,0))="Arbeit",INDEX(Arten,MATCH(V31,Codes,0))="Arbeit"),IF(ROUND((1+INDEX(Beginne,MATCH(V31,Codes,0))-INDEX(EndeRel,MATCH(U31,Codes,0)))*1440,0)&lt;660,1,0),0),0))</f>
      </c>
      <c r="W80" s="1">
        <f>IF(OR(W$52=0,V31="",W31=""),0,IFERROR(IF(AND(INDEX(Arten,MATCH(V31,Codes,0))="Arbeit",INDEX(Arten,MATCH(W31,Codes,0))="Arbeit"),IF(ROUND((1+INDEX(Beginne,MATCH(W31,Codes,0))-INDEX(EndeRel,MATCH(V31,Codes,0)))*1440,0)&lt;660,1,0),0),0))</f>
      </c>
      <c r="X80" s="1">
        <f>IF(OR(X$52=0,W31="",X31=""),0,IFERROR(IF(AND(INDEX(Arten,MATCH(W31,Codes,0))="Arbeit",INDEX(Arten,MATCH(X31,Codes,0))="Arbeit"),IF(ROUND((1+INDEX(Beginne,MATCH(X31,Codes,0))-INDEX(EndeRel,MATCH(W31,Codes,0)))*1440,0)&lt;660,1,0),0),0))</f>
      </c>
      <c r="Y80" s="1">
        <f>IF(OR(Y$52=0,X31="",Y31=""),0,IFERROR(IF(AND(INDEX(Arten,MATCH(X31,Codes,0))="Arbeit",INDEX(Arten,MATCH(Y31,Codes,0))="Arbeit"),IF(ROUND((1+INDEX(Beginne,MATCH(Y31,Codes,0))-INDEX(EndeRel,MATCH(X31,Codes,0)))*1440,0)&lt;660,1,0),0),0))</f>
      </c>
      <c r="Z80" s="1">
        <f>IF(OR(Z$52=0,Y31="",Z31=""),0,IFERROR(IF(AND(INDEX(Arten,MATCH(Y31,Codes,0))="Arbeit",INDEX(Arten,MATCH(Z31,Codes,0))="Arbeit"),IF(ROUND((1+INDEX(Beginne,MATCH(Z31,Codes,0))-INDEX(EndeRel,MATCH(Y31,Codes,0)))*1440,0)&lt;660,1,0),0),0))</f>
      </c>
      <c r="AA80" s="1">
        <f>IF(OR(AA$52=0,Z31="",AA31=""),0,IFERROR(IF(AND(INDEX(Arten,MATCH(Z31,Codes,0))="Arbeit",INDEX(Arten,MATCH(AA31,Codes,0))="Arbeit"),IF(ROUND((1+INDEX(Beginne,MATCH(AA31,Codes,0))-INDEX(EndeRel,MATCH(Z31,Codes,0)))*1440,0)&lt;660,1,0),0),0))</f>
      </c>
      <c r="AB80" s="1">
        <f>IF(OR(AB$52=0,AA31="",AB31=""),0,IFERROR(IF(AND(INDEX(Arten,MATCH(AA31,Codes,0))="Arbeit",INDEX(Arten,MATCH(AB31,Codes,0))="Arbeit"),IF(ROUND((1+INDEX(Beginne,MATCH(AB31,Codes,0))-INDEX(EndeRel,MATCH(AA31,Codes,0)))*1440,0)&lt;660,1,0),0),0))</f>
      </c>
      <c r="AC80" s="1">
        <f>IF(OR(AC$52=0,AB31="",AC31=""),0,IFERROR(IF(AND(INDEX(Arten,MATCH(AB31,Codes,0))="Arbeit",INDEX(Arten,MATCH(AC31,Codes,0))="Arbeit"),IF(ROUND((1+INDEX(Beginne,MATCH(AC31,Codes,0))-INDEX(EndeRel,MATCH(AB31,Codes,0)))*1440,0)&lt;660,1,0),0),0))</f>
      </c>
      <c r="AD80" s="1">
        <f>IF(OR(AD$52=0,AC31="",AD31=""),0,IFERROR(IF(AND(INDEX(Arten,MATCH(AC31,Codes,0))="Arbeit",INDEX(Arten,MATCH(AD31,Codes,0))="Arbeit"),IF(ROUND((1+INDEX(Beginne,MATCH(AD31,Codes,0))-INDEX(EndeRel,MATCH(AC31,Codes,0)))*1440,0)&lt;660,1,0),0),0))</f>
      </c>
      <c r="AE80" s="1">
        <f>IF(OR(AE$52=0,AD31="",AE31=""),0,IFERROR(IF(AND(INDEX(Arten,MATCH(AD31,Codes,0))="Arbeit",INDEX(Arten,MATCH(AE31,Codes,0))="Arbeit"),IF(ROUND((1+INDEX(Beginne,MATCH(AE31,Codes,0))-INDEX(EndeRel,MATCH(AD31,Codes,0)))*1440,0)&lt;660,1,0),0),0))</f>
      </c>
      <c r="AF80" s="1">
        <f>IF(OR(AF$52=0,AE31="",AF31=""),0,IFERROR(IF(AND(INDEX(Arten,MATCH(AE31,Codes,0))="Arbeit",INDEX(Arten,MATCH(AF31,Codes,0))="Arbeit"),IF(ROUND((1+INDEX(Beginne,MATCH(AF31,Codes,0))-INDEX(EndeRel,MATCH(AE31,Codes,0)))*1440,0)&lt;660,1,0),0),0))</f>
      </c>
    </row>
    <row r="81" hidden="1" spans="1:32" x14ac:dyDescent="0.25">
      <c r="A81" s="1"/>
      <c r="B81" s="1">
        <f>IF(OR(B$52=0,INDEX('Juni'!$B$32:$AF$32,DAY(DATE(Jahr,7,0)))="",B32=""),0,IFERROR(IF(AND(INDEX(Arten,MATCH(INDEX('Juni'!$B$32:$AF$32,DAY(DATE(Jahr,7,0))),Codes,0))="Arbeit",INDEX(Arten,MATCH(B32,Codes,0))="Arbeit"),IF(ROUND((1+INDEX(Beginne,MATCH(B32,Codes,0))-INDEX(EndeRel,MATCH(INDEX('Juni'!$B$32:$AF$32,DAY(DATE(Jahr,7,0))),Codes,0)))*1440,0)&lt;660,1,0),0),0))</f>
      </c>
      <c r="C81" s="1">
        <f>IF(OR(C$52=0,B32="",C32=""),0,IFERROR(IF(AND(INDEX(Arten,MATCH(B32,Codes,0))="Arbeit",INDEX(Arten,MATCH(C32,Codes,0))="Arbeit"),IF(ROUND((1+INDEX(Beginne,MATCH(C32,Codes,0))-INDEX(EndeRel,MATCH(B32,Codes,0)))*1440,0)&lt;660,1,0),0),0))</f>
      </c>
      <c r="D81" s="1">
        <f>IF(OR(D$52=0,C32="",D32=""),0,IFERROR(IF(AND(INDEX(Arten,MATCH(C32,Codes,0))="Arbeit",INDEX(Arten,MATCH(D32,Codes,0))="Arbeit"),IF(ROUND((1+INDEX(Beginne,MATCH(D32,Codes,0))-INDEX(EndeRel,MATCH(C32,Codes,0)))*1440,0)&lt;660,1,0),0),0))</f>
      </c>
      <c r="E81" s="1">
        <f>IF(OR(E$52=0,D32="",E32=""),0,IFERROR(IF(AND(INDEX(Arten,MATCH(D32,Codes,0))="Arbeit",INDEX(Arten,MATCH(E32,Codes,0))="Arbeit"),IF(ROUND((1+INDEX(Beginne,MATCH(E32,Codes,0))-INDEX(EndeRel,MATCH(D32,Codes,0)))*1440,0)&lt;660,1,0),0),0))</f>
      </c>
      <c r="F81" s="1">
        <f>IF(OR(F$52=0,E32="",F32=""),0,IFERROR(IF(AND(INDEX(Arten,MATCH(E32,Codes,0))="Arbeit",INDEX(Arten,MATCH(F32,Codes,0))="Arbeit"),IF(ROUND((1+INDEX(Beginne,MATCH(F32,Codes,0))-INDEX(EndeRel,MATCH(E32,Codes,0)))*1440,0)&lt;660,1,0),0),0))</f>
      </c>
      <c r="G81" s="1">
        <f>IF(OR(G$52=0,F32="",G32=""),0,IFERROR(IF(AND(INDEX(Arten,MATCH(F32,Codes,0))="Arbeit",INDEX(Arten,MATCH(G32,Codes,0))="Arbeit"),IF(ROUND((1+INDEX(Beginne,MATCH(G32,Codes,0))-INDEX(EndeRel,MATCH(F32,Codes,0)))*1440,0)&lt;660,1,0),0),0))</f>
      </c>
      <c r="H81" s="1">
        <f>IF(OR(H$52=0,G32="",H32=""),0,IFERROR(IF(AND(INDEX(Arten,MATCH(G32,Codes,0))="Arbeit",INDEX(Arten,MATCH(H32,Codes,0))="Arbeit"),IF(ROUND((1+INDEX(Beginne,MATCH(H32,Codes,0))-INDEX(EndeRel,MATCH(G32,Codes,0)))*1440,0)&lt;660,1,0),0),0))</f>
      </c>
      <c r="I81" s="1">
        <f>IF(OR(I$52=0,H32="",I32=""),0,IFERROR(IF(AND(INDEX(Arten,MATCH(H32,Codes,0))="Arbeit",INDEX(Arten,MATCH(I32,Codes,0))="Arbeit"),IF(ROUND((1+INDEX(Beginne,MATCH(I32,Codes,0))-INDEX(EndeRel,MATCH(H32,Codes,0)))*1440,0)&lt;660,1,0),0),0))</f>
      </c>
      <c r="J81" s="1">
        <f>IF(OR(J$52=0,I32="",J32=""),0,IFERROR(IF(AND(INDEX(Arten,MATCH(I32,Codes,0))="Arbeit",INDEX(Arten,MATCH(J32,Codes,0))="Arbeit"),IF(ROUND((1+INDEX(Beginne,MATCH(J32,Codes,0))-INDEX(EndeRel,MATCH(I32,Codes,0)))*1440,0)&lt;660,1,0),0),0))</f>
      </c>
      <c r="K81" s="1">
        <f>IF(OR(K$52=0,J32="",K32=""),0,IFERROR(IF(AND(INDEX(Arten,MATCH(J32,Codes,0))="Arbeit",INDEX(Arten,MATCH(K32,Codes,0))="Arbeit"),IF(ROUND((1+INDEX(Beginne,MATCH(K32,Codes,0))-INDEX(EndeRel,MATCH(J32,Codes,0)))*1440,0)&lt;660,1,0),0),0))</f>
      </c>
      <c r="L81" s="1">
        <f>IF(OR(L$52=0,K32="",L32=""),0,IFERROR(IF(AND(INDEX(Arten,MATCH(K32,Codes,0))="Arbeit",INDEX(Arten,MATCH(L32,Codes,0))="Arbeit"),IF(ROUND((1+INDEX(Beginne,MATCH(L32,Codes,0))-INDEX(EndeRel,MATCH(K32,Codes,0)))*1440,0)&lt;660,1,0),0),0))</f>
      </c>
      <c r="M81" s="1">
        <f>IF(OR(M$52=0,L32="",M32=""),0,IFERROR(IF(AND(INDEX(Arten,MATCH(L32,Codes,0))="Arbeit",INDEX(Arten,MATCH(M32,Codes,0))="Arbeit"),IF(ROUND((1+INDEX(Beginne,MATCH(M32,Codes,0))-INDEX(EndeRel,MATCH(L32,Codes,0)))*1440,0)&lt;660,1,0),0),0))</f>
      </c>
      <c r="N81" s="1">
        <f>IF(OR(N$52=0,M32="",N32=""),0,IFERROR(IF(AND(INDEX(Arten,MATCH(M32,Codes,0))="Arbeit",INDEX(Arten,MATCH(N32,Codes,0))="Arbeit"),IF(ROUND((1+INDEX(Beginne,MATCH(N32,Codes,0))-INDEX(EndeRel,MATCH(M32,Codes,0)))*1440,0)&lt;660,1,0),0),0))</f>
      </c>
      <c r="O81" s="1">
        <f>IF(OR(O$52=0,N32="",O32=""),0,IFERROR(IF(AND(INDEX(Arten,MATCH(N32,Codes,0))="Arbeit",INDEX(Arten,MATCH(O32,Codes,0))="Arbeit"),IF(ROUND((1+INDEX(Beginne,MATCH(O32,Codes,0))-INDEX(EndeRel,MATCH(N32,Codes,0)))*1440,0)&lt;660,1,0),0),0))</f>
      </c>
      <c r="P81" s="1">
        <f>IF(OR(P$52=0,O32="",P32=""),0,IFERROR(IF(AND(INDEX(Arten,MATCH(O32,Codes,0))="Arbeit",INDEX(Arten,MATCH(P32,Codes,0))="Arbeit"),IF(ROUND((1+INDEX(Beginne,MATCH(P32,Codes,0))-INDEX(EndeRel,MATCH(O32,Codes,0)))*1440,0)&lt;660,1,0),0),0))</f>
      </c>
      <c r="Q81" s="1">
        <f>IF(OR(Q$52=0,P32="",Q32=""),0,IFERROR(IF(AND(INDEX(Arten,MATCH(P32,Codes,0))="Arbeit",INDEX(Arten,MATCH(Q32,Codes,0))="Arbeit"),IF(ROUND((1+INDEX(Beginne,MATCH(Q32,Codes,0))-INDEX(EndeRel,MATCH(P32,Codes,0)))*1440,0)&lt;660,1,0),0),0))</f>
      </c>
      <c r="R81" s="1">
        <f>IF(OR(R$52=0,Q32="",R32=""),0,IFERROR(IF(AND(INDEX(Arten,MATCH(Q32,Codes,0))="Arbeit",INDEX(Arten,MATCH(R32,Codes,0))="Arbeit"),IF(ROUND((1+INDEX(Beginne,MATCH(R32,Codes,0))-INDEX(EndeRel,MATCH(Q32,Codes,0)))*1440,0)&lt;660,1,0),0),0))</f>
      </c>
      <c r="S81" s="1">
        <f>IF(OR(S$52=0,R32="",S32=""),0,IFERROR(IF(AND(INDEX(Arten,MATCH(R32,Codes,0))="Arbeit",INDEX(Arten,MATCH(S32,Codes,0))="Arbeit"),IF(ROUND((1+INDEX(Beginne,MATCH(S32,Codes,0))-INDEX(EndeRel,MATCH(R32,Codes,0)))*1440,0)&lt;660,1,0),0),0))</f>
      </c>
      <c r="T81" s="1">
        <f>IF(OR(T$52=0,S32="",T32=""),0,IFERROR(IF(AND(INDEX(Arten,MATCH(S32,Codes,0))="Arbeit",INDEX(Arten,MATCH(T32,Codes,0))="Arbeit"),IF(ROUND((1+INDEX(Beginne,MATCH(T32,Codes,0))-INDEX(EndeRel,MATCH(S32,Codes,0)))*1440,0)&lt;660,1,0),0),0))</f>
      </c>
      <c r="U81" s="1">
        <f>IF(OR(U$52=0,T32="",U32=""),0,IFERROR(IF(AND(INDEX(Arten,MATCH(T32,Codes,0))="Arbeit",INDEX(Arten,MATCH(U32,Codes,0))="Arbeit"),IF(ROUND((1+INDEX(Beginne,MATCH(U32,Codes,0))-INDEX(EndeRel,MATCH(T32,Codes,0)))*1440,0)&lt;660,1,0),0),0))</f>
      </c>
      <c r="V81" s="1">
        <f>IF(OR(V$52=0,U32="",V32=""),0,IFERROR(IF(AND(INDEX(Arten,MATCH(U32,Codes,0))="Arbeit",INDEX(Arten,MATCH(V32,Codes,0))="Arbeit"),IF(ROUND((1+INDEX(Beginne,MATCH(V32,Codes,0))-INDEX(EndeRel,MATCH(U32,Codes,0)))*1440,0)&lt;660,1,0),0),0))</f>
      </c>
      <c r="W81" s="1">
        <f>IF(OR(W$52=0,V32="",W32=""),0,IFERROR(IF(AND(INDEX(Arten,MATCH(V32,Codes,0))="Arbeit",INDEX(Arten,MATCH(W32,Codes,0))="Arbeit"),IF(ROUND((1+INDEX(Beginne,MATCH(W32,Codes,0))-INDEX(EndeRel,MATCH(V32,Codes,0)))*1440,0)&lt;660,1,0),0),0))</f>
      </c>
      <c r="X81" s="1">
        <f>IF(OR(X$52=0,W32="",X32=""),0,IFERROR(IF(AND(INDEX(Arten,MATCH(W32,Codes,0))="Arbeit",INDEX(Arten,MATCH(X32,Codes,0))="Arbeit"),IF(ROUND((1+INDEX(Beginne,MATCH(X32,Codes,0))-INDEX(EndeRel,MATCH(W32,Codes,0)))*1440,0)&lt;660,1,0),0),0))</f>
      </c>
      <c r="Y81" s="1">
        <f>IF(OR(Y$52=0,X32="",Y32=""),0,IFERROR(IF(AND(INDEX(Arten,MATCH(X32,Codes,0))="Arbeit",INDEX(Arten,MATCH(Y32,Codes,0))="Arbeit"),IF(ROUND((1+INDEX(Beginne,MATCH(Y32,Codes,0))-INDEX(EndeRel,MATCH(X32,Codes,0)))*1440,0)&lt;660,1,0),0),0))</f>
      </c>
      <c r="Z81" s="1">
        <f>IF(OR(Z$52=0,Y32="",Z32=""),0,IFERROR(IF(AND(INDEX(Arten,MATCH(Y32,Codes,0))="Arbeit",INDEX(Arten,MATCH(Z32,Codes,0))="Arbeit"),IF(ROUND((1+INDEX(Beginne,MATCH(Z32,Codes,0))-INDEX(EndeRel,MATCH(Y32,Codes,0)))*1440,0)&lt;660,1,0),0),0))</f>
      </c>
      <c r="AA81" s="1">
        <f>IF(OR(AA$52=0,Z32="",AA32=""),0,IFERROR(IF(AND(INDEX(Arten,MATCH(Z32,Codes,0))="Arbeit",INDEX(Arten,MATCH(AA32,Codes,0))="Arbeit"),IF(ROUND((1+INDEX(Beginne,MATCH(AA32,Codes,0))-INDEX(EndeRel,MATCH(Z32,Codes,0)))*1440,0)&lt;660,1,0),0),0))</f>
      </c>
      <c r="AB81" s="1">
        <f>IF(OR(AB$52=0,AA32="",AB32=""),0,IFERROR(IF(AND(INDEX(Arten,MATCH(AA32,Codes,0))="Arbeit",INDEX(Arten,MATCH(AB32,Codes,0))="Arbeit"),IF(ROUND((1+INDEX(Beginne,MATCH(AB32,Codes,0))-INDEX(EndeRel,MATCH(AA32,Codes,0)))*1440,0)&lt;660,1,0),0),0))</f>
      </c>
      <c r="AC81" s="1">
        <f>IF(OR(AC$52=0,AB32="",AC32=""),0,IFERROR(IF(AND(INDEX(Arten,MATCH(AB32,Codes,0))="Arbeit",INDEX(Arten,MATCH(AC32,Codes,0))="Arbeit"),IF(ROUND((1+INDEX(Beginne,MATCH(AC32,Codes,0))-INDEX(EndeRel,MATCH(AB32,Codes,0)))*1440,0)&lt;660,1,0),0),0))</f>
      </c>
      <c r="AD81" s="1">
        <f>IF(OR(AD$52=0,AC32="",AD32=""),0,IFERROR(IF(AND(INDEX(Arten,MATCH(AC32,Codes,0))="Arbeit",INDEX(Arten,MATCH(AD32,Codes,0))="Arbeit"),IF(ROUND((1+INDEX(Beginne,MATCH(AD32,Codes,0))-INDEX(EndeRel,MATCH(AC32,Codes,0)))*1440,0)&lt;660,1,0),0),0))</f>
      </c>
      <c r="AE81" s="1">
        <f>IF(OR(AE$52=0,AD32="",AE32=""),0,IFERROR(IF(AND(INDEX(Arten,MATCH(AD32,Codes,0))="Arbeit",INDEX(Arten,MATCH(AE32,Codes,0))="Arbeit"),IF(ROUND((1+INDEX(Beginne,MATCH(AE32,Codes,0))-INDEX(EndeRel,MATCH(AD32,Codes,0)))*1440,0)&lt;660,1,0),0),0))</f>
      </c>
      <c r="AF81" s="1">
        <f>IF(OR(AF$52=0,AE32="",AF32=""),0,IFERROR(IF(AND(INDEX(Arten,MATCH(AE32,Codes,0))="Arbeit",INDEX(Arten,MATCH(AF32,Codes,0))="Arbeit"),IF(ROUND((1+INDEX(Beginne,MATCH(AF32,Codes,0))-INDEX(EndeRel,MATCH(AE32,Codes,0)))*1440,0)&lt;660,1,0),0),0))</f>
      </c>
    </row>
    <row r="82" hidden="1" spans="1:32" x14ac:dyDescent="0.25">
      <c r="A82" s="1"/>
      <c r="B82" s="1">
        <f>IF(OR(B$52=0,INDEX('Juni'!$B$33:$AF$33,DAY(DATE(Jahr,7,0)))="",B33=""),0,IFERROR(IF(AND(INDEX(Arten,MATCH(INDEX('Juni'!$B$33:$AF$33,DAY(DATE(Jahr,7,0))),Codes,0))="Arbeit",INDEX(Arten,MATCH(B33,Codes,0))="Arbeit"),IF(ROUND((1+INDEX(Beginne,MATCH(B33,Codes,0))-INDEX(EndeRel,MATCH(INDEX('Juni'!$B$33:$AF$33,DAY(DATE(Jahr,7,0))),Codes,0)))*1440,0)&lt;660,1,0),0),0))</f>
      </c>
      <c r="C82" s="1">
        <f>IF(OR(C$52=0,B33="",C33=""),0,IFERROR(IF(AND(INDEX(Arten,MATCH(B33,Codes,0))="Arbeit",INDEX(Arten,MATCH(C33,Codes,0))="Arbeit"),IF(ROUND((1+INDEX(Beginne,MATCH(C33,Codes,0))-INDEX(EndeRel,MATCH(B33,Codes,0)))*1440,0)&lt;660,1,0),0),0))</f>
      </c>
      <c r="D82" s="1">
        <f>IF(OR(D$52=0,C33="",D33=""),0,IFERROR(IF(AND(INDEX(Arten,MATCH(C33,Codes,0))="Arbeit",INDEX(Arten,MATCH(D33,Codes,0))="Arbeit"),IF(ROUND((1+INDEX(Beginne,MATCH(D33,Codes,0))-INDEX(EndeRel,MATCH(C33,Codes,0)))*1440,0)&lt;660,1,0),0),0))</f>
      </c>
      <c r="E82" s="1">
        <f>IF(OR(E$52=0,D33="",E33=""),0,IFERROR(IF(AND(INDEX(Arten,MATCH(D33,Codes,0))="Arbeit",INDEX(Arten,MATCH(E33,Codes,0))="Arbeit"),IF(ROUND((1+INDEX(Beginne,MATCH(E33,Codes,0))-INDEX(EndeRel,MATCH(D33,Codes,0)))*1440,0)&lt;660,1,0),0),0))</f>
      </c>
      <c r="F82" s="1">
        <f>IF(OR(F$52=0,E33="",F33=""),0,IFERROR(IF(AND(INDEX(Arten,MATCH(E33,Codes,0))="Arbeit",INDEX(Arten,MATCH(F33,Codes,0))="Arbeit"),IF(ROUND((1+INDEX(Beginne,MATCH(F33,Codes,0))-INDEX(EndeRel,MATCH(E33,Codes,0)))*1440,0)&lt;660,1,0),0),0))</f>
      </c>
      <c r="G82" s="1">
        <f>IF(OR(G$52=0,F33="",G33=""),0,IFERROR(IF(AND(INDEX(Arten,MATCH(F33,Codes,0))="Arbeit",INDEX(Arten,MATCH(G33,Codes,0))="Arbeit"),IF(ROUND((1+INDEX(Beginne,MATCH(G33,Codes,0))-INDEX(EndeRel,MATCH(F33,Codes,0)))*1440,0)&lt;660,1,0),0),0))</f>
      </c>
      <c r="H82" s="1">
        <f>IF(OR(H$52=0,G33="",H33=""),0,IFERROR(IF(AND(INDEX(Arten,MATCH(G33,Codes,0))="Arbeit",INDEX(Arten,MATCH(H33,Codes,0))="Arbeit"),IF(ROUND((1+INDEX(Beginne,MATCH(H33,Codes,0))-INDEX(EndeRel,MATCH(G33,Codes,0)))*1440,0)&lt;660,1,0),0),0))</f>
      </c>
      <c r="I82" s="1">
        <f>IF(OR(I$52=0,H33="",I33=""),0,IFERROR(IF(AND(INDEX(Arten,MATCH(H33,Codes,0))="Arbeit",INDEX(Arten,MATCH(I33,Codes,0))="Arbeit"),IF(ROUND((1+INDEX(Beginne,MATCH(I33,Codes,0))-INDEX(EndeRel,MATCH(H33,Codes,0)))*1440,0)&lt;660,1,0),0),0))</f>
      </c>
      <c r="J82" s="1">
        <f>IF(OR(J$52=0,I33="",J33=""),0,IFERROR(IF(AND(INDEX(Arten,MATCH(I33,Codes,0))="Arbeit",INDEX(Arten,MATCH(J33,Codes,0))="Arbeit"),IF(ROUND((1+INDEX(Beginne,MATCH(J33,Codes,0))-INDEX(EndeRel,MATCH(I33,Codes,0)))*1440,0)&lt;660,1,0),0),0))</f>
      </c>
      <c r="K82" s="1">
        <f>IF(OR(K$52=0,J33="",K33=""),0,IFERROR(IF(AND(INDEX(Arten,MATCH(J33,Codes,0))="Arbeit",INDEX(Arten,MATCH(K33,Codes,0))="Arbeit"),IF(ROUND((1+INDEX(Beginne,MATCH(K33,Codes,0))-INDEX(EndeRel,MATCH(J33,Codes,0)))*1440,0)&lt;660,1,0),0),0))</f>
      </c>
      <c r="L82" s="1">
        <f>IF(OR(L$52=0,K33="",L33=""),0,IFERROR(IF(AND(INDEX(Arten,MATCH(K33,Codes,0))="Arbeit",INDEX(Arten,MATCH(L33,Codes,0))="Arbeit"),IF(ROUND((1+INDEX(Beginne,MATCH(L33,Codes,0))-INDEX(EndeRel,MATCH(K33,Codes,0)))*1440,0)&lt;660,1,0),0),0))</f>
      </c>
      <c r="M82" s="1">
        <f>IF(OR(M$52=0,L33="",M33=""),0,IFERROR(IF(AND(INDEX(Arten,MATCH(L33,Codes,0))="Arbeit",INDEX(Arten,MATCH(M33,Codes,0))="Arbeit"),IF(ROUND((1+INDEX(Beginne,MATCH(M33,Codes,0))-INDEX(EndeRel,MATCH(L33,Codes,0)))*1440,0)&lt;660,1,0),0),0))</f>
      </c>
      <c r="N82" s="1">
        <f>IF(OR(N$52=0,M33="",N33=""),0,IFERROR(IF(AND(INDEX(Arten,MATCH(M33,Codes,0))="Arbeit",INDEX(Arten,MATCH(N33,Codes,0))="Arbeit"),IF(ROUND((1+INDEX(Beginne,MATCH(N33,Codes,0))-INDEX(EndeRel,MATCH(M33,Codes,0)))*1440,0)&lt;660,1,0),0),0))</f>
      </c>
      <c r="O82" s="1">
        <f>IF(OR(O$52=0,N33="",O33=""),0,IFERROR(IF(AND(INDEX(Arten,MATCH(N33,Codes,0))="Arbeit",INDEX(Arten,MATCH(O33,Codes,0))="Arbeit"),IF(ROUND((1+INDEX(Beginne,MATCH(O33,Codes,0))-INDEX(EndeRel,MATCH(N33,Codes,0)))*1440,0)&lt;660,1,0),0),0))</f>
      </c>
      <c r="P82" s="1">
        <f>IF(OR(P$52=0,O33="",P33=""),0,IFERROR(IF(AND(INDEX(Arten,MATCH(O33,Codes,0))="Arbeit",INDEX(Arten,MATCH(P33,Codes,0))="Arbeit"),IF(ROUND((1+INDEX(Beginne,MATCH(P33,Codes,0))-INDEX(EndeRel,MATCH(O33,Codes,0)))*1440,0)&lt;660,1,0),0),0))</f>
      </c>
      <c r="Q82" s="1">
        <f>IF(OR(Q$52=0,P33="",Q33=""),0,IFERROR(IF(AND(INDEX(Arten,MATCH(P33,Codes,0))="Arbeit",INDEX(Arten,MATCH(Q33,Codes,0))="Arbeit"),IF(ROUND((1+INDEX(Beginne,MATCH(Q33,Codes,0))-INDEX(EndeRel,MATCH(P33,Codes,0)))*1440,0)&lt;660,1,0),0),0))</f>
      </c>
      <c r="R82" s="1">
        <f>IF(OR(R$52=0,Q33="",R33=""),0,IFERROR(IF(AND(INDEX(Arten,MATCH(Q33,Codes,0))="Arbeit",INDEX(Arten,MATCH(R33,Codes,0))="Arbeit"),IF(ROUND((1+INDEX(Beginne,MATCH(R33,Codes,0))-INDEX(EndeRel,MATCH(Q33,Codes,0)))*1440,0)&lt;660,1,0),0),0))</f>
      </c>
      <c r="S82" s="1">
        <f>IF(OR(S$52=0,R33="",S33=""),0,IFERROR(IF(AND(INDEX(Arten,MATCH(R33,Codes,0))="Arbeit",INDEX(Arten,MATCH(S33,Codes,0))="Arbeit"),IF(ROUND((1+INDEX(Beginne,MATCH(S33,Codes,0))-INDEX(EndeRel,MATCH(R33,Codes,0)))*1440,0)&lt;660,1,0),0),0))</f>
      </c>
      <c r="T82" s="1">
        <f>IF(OR(T$52=0,S33="",T33=""),0,IFERROR(IF(AND(INDEX(Arten,MATCH(S33,Codes,0))="Arbeit",INDEX(Arten,MATCH(T33,Codes,0))="Arbeit"),IF(ROUND((1+INDEX(Beginne,MATCH(T33,Codes,0))-INDEX(EndeRel,MATCH(S33,Codes,0)))*1440,0)&lt;660,1,0),0),0))</f>
      </c>
      <c r="U82" s="1">
        <f>IF(OR(U$52=0,T33="",U33=""),0,IFERROR(IF(AND(INDEX(Arten,MATCH(T33,Codes,0))="Arbeit",INDEX(Arten,MATCH(U33,Codes,0))="Arbeit"),IF(ROUND((1+INDEX(Beginne,MATCH(U33,Codes,0))-INDEX(EndeRel,MATCH(T33,Codes,0)))*1440,0)&lt;660,1,0),0),0))</f>
      </c>
      <c r="V82" s="1">
        <f>IF(OR(V$52=0,U33="",V33=""),0,IFERROR(IF(AND(INDEX(Arten,MATCH(U33,Codes,0))="Arbeit",INDEX(Arten,MATCH(V33,Codes,0))="Arbeit"),IF(ROUND((1+INDEX(Beginne,MATCH(V33,Codes,0))-INDEX(EndeRel,MATCH(U33,Codes,0)))*1440,0)&lt;660,1,0),0),0))</f>
      </c>
      <c r="W82" s="1">
        <f>IF(OR(W$52=0,V33="",W33=""),0,IFERROR(IF(AND(INDEX(Arten,MATCH(V33,Codes,0))="Arbeit",INDEX(Arten,MATCH(W33,Codes,0))="Arbeit"),IF(ROUND((1+INDEX(Beginne,MATCH(W33,Codes,0))-INDEX(EndeRel,MATCH(V33,Codes,0)))*1440,0)&lt;660,1,0),0),0))</f>
      </c>
      <c r="X82" s="1">
        <f>IF(OR(X$52=0,W33="",X33=""),0,IFERROR(IF(AND(INDEX(Arten,MATCH(W33,Codes,0))="Arbeit",INDEX(Arten,MATCH(X33,Codes,0))="Arbeit"),IF(ROUND((1+INDEX(Beginne,MATCH(X33,Codes,0))-INDEX(EndeRel,MATCH(W33,Codes,0)))*1440,0)&lt;660,1,0),0),0))</f>
      </c>
      <c r="Y82" s="1">
        <f>IF(OR(Y$52=0,X33="",Y33=""),0,IFERROR(IF(AND(INDEX(Arten,MATCH(X33,Codes,0))="Arbeit",INDEX(Arten,MATCH(Y33,Codes,0))="Arbeit"),IF(ROUND((1+INDEX(Beginne,MATCH(Y33,Codes,0))-INDEX(EndeRel,MATCH(X33,Codes,0)))*1440,0)&lt;660,1,0),0),0))</f>
      </c>
      <c r="Z82" s="1">
        <f>IF(OR(Z$52=0,Y33="",Z33=""),0,IFERROR(IF(AND(INDEX(Arten,MATCH(Y33,Codes,0))="Arbeit",INDEX(Arten,MATCH(Z33,Codes,0))="Arbeit"),IF(ROUND((1+INDEX(Beginne,MATCH(Z33,Codes,0))-INDEX(EndeRel,MATCH(Y33,Codes,0)))*1440,0)&lt;660,1,0),0),0))</f>
      </c>
      <c r="AA82" s="1">
        <f>IF(OR(AA$52=0,Z33="",AA33=""),0,IFERROR(IF(AND(INDEX(Arten,MATCH(Z33,Codes,0))="Arbeit",INDEX(Arten,MATCH(AA33,Codes,0))="Arbeit"),IF(ROUND((1+INDEX(Beginne,MATCH(AA33,Codes,0))-INDEX(EndeRel,MATCH(Z33,Codes,0)))*1440,0)&lt;660,1,0),0),0))</f>
      </c>
      <c r="AB82" s="1">
        <f>IF(OR(AB$52=0,AA33="",AB33=""),0,IFERROR(IF(AND(INDEX(Arten,MATCH(AA33,Codes,0))="Arbeit",INDEX(Arten,MATCH(AB33,Codes,0))="Arbeit"),IF(ROUND((1+INDEX(Beginne,MATCH(AB33,Codes,0))-INDEX(EndeRel,MATCH(AA33,Codes,0)))*1440,0)&lt;660,1,0),0),0))</f>
      </c>
      <c r="AC82" s="1">
        <f>IF(OR(AC$52=0,AB33="",AC33=""),0,IFERROR(IF(AND(INDEX(Arten,MATCH(AB33,Codes,0))="Arbeit",INDEX(Arten,MATCH(AC33,Codes,0))="Arbeit"),IF(ROUND((1+INDEX(Beginne,MATCH(AC33,Codes,0))-INDEX(EndeRel,MATCH(AB33,Codes,0)))*1440,0)&lt;660,1,0),0),0))</f>
      </c>
      <c r="AD82" s="1">
        <f>IF(OR(AD$52=0,AC33="",AD33=""),0,IFERROR(IF(AND(INDEX(Arten,MATCH(AC33,Codes,0))="Arbeit",INDEX(Arten,MATCH(AD33,Codes,0))="Arbeit"),IF(ROUND((1+INDEX(Beginne,MATCH(AD33,Codes,0))-INDEX(EndeRel,MATCH(AC33,Codes,0)))*1440,0)&lt;660,1,0),0),0))</f>
      </c>
      <c r="AE82" s="1">
        <f>IF(OR(AE$52=0,AD33="",AE33=""),0,IFERROR(IF(AND(INDEX(Arten,MATCH(AD33,Codes,0))="Arbeit",INDEX(Arten,MATCH(AE33,Codes,0))="Arbeit"),IF(ROUND((1+INDEX(Beginne,MATCH(AE33,Codes,0))-INDEX(EndeRel,MATCH(AD33,Codes,0)))*1440,0)&lt;660,1,0),0),0))</f>
      </c>
      <c r="AF82" s="1">
        <f>IF(OR(AF$52=0,AE33="",AF33=""),0,IFERROR(IF(AND(INDEX(Arten,MATCH(AE33,Codes,0))="Arbeit",INDEX(Arten,MATCH(AF33,Codes,0))="Arbeit"),IF(ROUND((1+INDEX(Beginne,MATCH(AF33,Codes,0))-INDEX(EndeRel,MATCH(AE33,Codes,0)))*1440,0)&lt;660,1,0),0),0))</f>
      </c>
    </row>
    <row r="83" hidden="1" spans="1:32" x14ac:dyDescent="0.25">
      <c r="A83" s="1"/>
      <c r="B83" s="1">
        <f>IF(OR(B$52=0,INDEX('Juni'!$B$34:$AF$34,DAY(DATE(Jahr,7,0)))="",B34=""),0,IFERROR(IF(AND(INDEX(Arten,MATCH(INDEX('Juni'!$B$34:$AF$34,DAY(DATE(Jahr,7,0))),Codes,0))="Arbeit",INDEX(Arten,MATCH(B34,Codes,0))="Arbeit"),IF(ROUND((1+INDEX(Beginne,MATCH(B34,Codes,0))-INDEX(EndeRel,MATCH(INDEX('Juni'!$B$34:$AF$34,DAY(DATE(Jahr,7,0))),Codes,0)))*1440,0)&lt;660,1,0),0),0))</f>
      </c>
      <c r="C83" s="1">
        <f>IF(OR(C$52=0,B34="",C34=""),0,IFERROR(IF(AND(INDEX(Arten,MATCH(B34,Codes,0))="Arbeit",INDEX(Arten,MATCH(C34,Codes,0))="Arbeit"),IF(ROUND((1+INDEX(Beginne,MATCH(C34,Codes,0))-INDEX(EndeRel,MATCH(B34,Codes,0)))*1440,0)&lt;660,1,0),0),0))</f>
      </c>
      <c r="D83" s="1">
        <f>IF(OR(D$52=0,C34="",D34=""),0,IFERROR(IF(AND(INDEX(Arten,MATCH(C34,Codes,0))="Arbeit",INDEX(Arten,MATCH(D34,Codes,0))="Arbeit"),IF(ROUND((1+INDEX(Beginne,MATCH(D34,Codes,0))-INDEX(EndeRel,MATCH(C34,Codes,0)))*1440,0)&lt;660,1,0),0),0))</f>
      </c>
      <c r="E83" s="1">
        <f>IF(OR(E$52=0,D34="",E34=""),0,IFERROR(IF(AND(INDEX(Arten,MATCH(D34,Codes,0))="Arbeit",INDEX(Arten,MATCH(E34,Codes,0))="Arbeit"),IF(ROUND((1+INDEX(Beginne,MATCH(E34,Codes,0))-INDEX(EndeRel,MATCH(D34,Codes,0)))*1440,0)&lt;660,1,0),0),0))</f>
      </c>
      <c r="F83" s="1">
        <f>IF(OR(F$52=0,E34="",F34=""),0,IFERROR(IF(AND(INDEX(Arten,MATCH(E34,Codes,0))="Arbeit",INDEX(Arten,MATCH(F34,Codes,0))="Arbeit"),IF(ROUND((1+INDEX(Beginne,MATCH(F34,Codes,0))-INDEX(EndeRel,MATCH(E34,Codes,0)))*1440,0)&lt;660,1,0),0),0))</f>
      </c>
      <c r="G83" s="1">
        <f>IF(OR(G$52=0,F34="",G34=""),0,IFERROR(IF(AND(INDEX(Arten,MATCH(F34,Codes,0))="Arbeit",INDEX(Arten,MATCH(G34,Codes,0))="Arbeit"),IF(ROUND((1+INDEX(Beginne,MATCH(G34,Codes,0))-INDEX(EndeRel,MATCH(F34,Codes,0)))*1440,0)&lt;660,1,0),0),0))</f>
      </c>
      <c r="H83" s="1">
        <f>IF(OR(H$52=0,G34="",H34=""),0,IFERROR(IF(AND(INDEX(Arten,MATCH(G34,Codes,0))="Arbeit",INDEX(Arten,MATCH(H34,Codes,0))="Arbeit"),IF(ROUND((1+INDEX(Beginne,MATCH(H34,Codes,0))-INDEX(EndeRel,MATCH(G34,Codes,0)))*1440,0)&lt;660,1,0),0),0))</f>
      </c>
      <c r="I83" s="1">
        <f>IF(OR(I$52=0,H34="",I34=""),0,IFERROR(IF(AND(INDEX(Arten,MATCH(H34,Codes,0))="Arbeit",INDEX(Arten,MATCH(I34,Codes,0))="Arbeit"),IF(ROUND((1+INDEX(Beginne,MATCH(I34,Codes,0))-INDEX(EndeRel,MATCH(H34,Codes,0)))*1440,0)&lt;660,1,0),0),0))</f>
      </c>
      <c r="J83" s="1">
        <f>IF(OR(J$52=0,I34="",J34=""),0,IFERROR(IF(AND(INDEX(Arten,MATCH(I34,Codes,0))="Arbeit",INDEX(Arten,MATCH(J34,Codes,0))="Arbeit"),IF(ROUND((1+INDEX(Beginne,MATCH(J34,Codes,0))-INDEX(EndeRel,MATCH(I34,Codes,0)))*1440,0)&lt;660,1,0),0),0))</f>
      </c>
      <c r="K83" s="1">
        <f>IF(OR(K$52=0,J34="",K34=""),0,IFERROR(IF(AND(INDEX(Arten,MATCH(J34,Codes,0))="Arbeit",INDEX(Arten,MATCH(K34,Codes,0))="Arbeit"),IF(ROUND((1+INDEX(Beginne,MATCH(K34,Codes,0))-INDEX(EndeRel,MATCH(J34,Codes,0)))*1440,0)&lt;660,1,0),0),0))</f>
      </c>
      <c r="L83" s="1">
        <f>IF(OR(L$52=0,K34="",L34=""),0,IFERROR(IF(AND(INDEX(Arten,MATCH(K34,Codes,0))="Arbeit",INDEX(Arten,MATCH(L34,Codes,0))="Arbeit"),IF(ROUND((1+INDEX(Beginne,MATCH(L34,Codes,0))-INDEX(EndeRel,MATCH(K34,Codes,0)))*1440,0)&lt;660,1,0),0),0))</f>
      </c>
      <c r="M83" s="1">
        <f>IF(OR(M$52=0,L34="",M34=""),0,IFERROR(IF(AND(INDEX(Arten,MATCH(L34,Codes,0))="Arbeit",INDEX(Arten,MATCH(M34,Codes,0))="Arbeit"),IF(ROUND((1+INDEX(Beginne,MATCH(M34,Codes,0))-INDEX(EndeRel,MATCH(L34,Codes,0)))*1440,0)&lt;660,1,0),0),0))</f>
      </c>
      <c r="N83" s="1">
        <f>IF(OR(N$52=0,M34="",N34=""),0,IFERROR(IF(AND(INDEX(Arten,MATCH(M34,Codes,0))="Arbeit",INDEX(Arten,MATCH(N34,Codes,0))="Arbeit"),IF(ROUND((1+INDEX(Beginne,MATCH(N34,Codes,0))-INDEX(EndeRel,MATCH(M34,Codes,0)))*1440,0)&lt;660,1,0),0),0))</f>
      </c>
      <c r="O83" s="1">
        <f>IF(OR(O$52=0,N34="",O34=""),0,IFERROR(IF(AND(INDEX(Arten,MATCH(N34,Codes,0))="Arbeit",INDEX(Arten,MATCH(O34,Codes,0))="Arbeit"),IF(ROUND((1+INDEX(Beginne,MATCH(O34,Codes,0))-INDEX(EndeRel,MATCH(N34,Codes,0)))*1440,0)&lt;660,1,0),0),0))</f>
      </c>
      <c r="P83" s="1">
        <f>IF(OR(P$52=0,O34="",P34=""),0,IFERROR(IF(AND(INDEX(Arten,MATCH(O34,Codes,0))="Arbeit",INDEX(Arten,MATCH(P34,Codes,0))="Arbeit"),IF(ROUND((1+INDEX(Beginne,MATCH(P34,Codes,0))-INDEX(EndeRel,MATCH(O34,Codes,0)))*1440,0)&lt;660,1,0),0),0))</f>
      </c>
      <c r="Q83" s="1">
        <f>IF(OR(Q$52=0,P34="",Q34=""),0,IFERROR(IF(AND(INDEX(Arten,MATCH(P34,Codes,0))="Arbeit",INDEX(Arten,MATCH(Q34,Codes,0))="Arbeit"),IF(ROUND((1+INDEX(Beginne,MATCH(Q34,Codes,0))-INDEX(EndeRel,MATCH(P34,Codes,0)))*1440,0)&lt;660,1,0),0),0))</f>
      </c>
      <c r="R83" s="1">
        <f>IF(OR(R$52=0,Q34="",R34=""),0,IFERROR(IF(AND(INDEX(Arten,MATCH(Q34,Codes,0))="Arbeit",INDEX(Arten,MATCH(R34,Codes,0))="Arbeit"),IF(ROUND((1+INDEX(Beginne,MATCH(R34,Codes,0))-INDEX(EndeRel,MATCH(Q34,Codes,0)))*1440,0)&lt;660,1,0),0),0))</f>
      </c>
      <c r="S83" s="1">
        <f>IF(OR(S$52=0,R34="",S34=""),0,IFERROR(IF(AND(INDEX(Arten,MATCH(R34,Codes,0))="Arbeit",INDEX(Arten,MATCH(S34,Codes,0))="Arbeit"),IF(ROUND((1+INDEX(Beginne,MATCH(S34,Codes,0))-INDEX(EndeRel,MATCH(R34,Codes,0)))*1440,0)&lt;660,1,0),0),0))</f>
      </c>
      <c r="T83" s="1">
        <f>IF(OR(T$52=0,S34="",T34=""),0,IFERROR(IF(AND(INDEX(Arten,MATCH(S34,Codes,0))="Arbeit",INDEX(Arten,MATCH(T34,Codes,0))="Arbeit"),IF(ROUND((1+INDEX(Beginne,MATCH(T34,Codes,0))-INDEX(EndeRel,MATCH(S34,Codes,0)))*1440,0)&lt;660,1,0),0),0))</f>
      </c>
      <c r="U83" s="1">
        <f>IF(OR(U$52=0,T34="",U34=""),0,IFERROR(IF(AND(INDEX(Arten,MATCH(T34,Codes,0))="Arbeit",INDEX(Arten,MATCH(U34,Codes,0))="Arbeit"),IF(ROUND((1+INDEX(Beginne,MATCH(U34,Codes,0))-INDEX(EndeRel,MATCH(T34,Codes,0)))*1440,0)&lt;660,1,0),0),0))</f>
      </c>
      <c r="V83" s="1">
        <f>IF(OR(V$52=0,U34="",V34=""),0,IFERROR(IF(AND(INDEX(Arten,MATCH(U34,Codes,0))="Arbeit",INDEX(Arten,MATCH(V34,Codes,0))="Arbeit"),IF(ROUND((1+INDEX(Beginne,MATCH(V34,Codes,0))-INDEX(EndeRel,MATCH(U34,Codes,0)))*1440,0)&lt;660,1,0),0),0))</f>
      </c>
      <c r="W83" s="1">
        <f>IF(OR(W$52=0,V34="",W34=""),0,IFERROR(IF(AND(INDEX(Arten,MATCH(V34,Codes,0))="Arbeit",INDEX(Arten,MATCH(W34,Codes,0))="Arbeit"),IF(ROUND((1+INDEX(Beginne,MATCH(W34,Codes,0))-INDEX(EndeRel,MATCH(V34,Codes,0)))*1440,0)&lt;660,1,0),0),0))</f>
      </c>
      <c r="X83" s="1">
        <f>IF(OR(X$52=0,W34="",X34=""),0,IFERROR(IF(AND(INDEX(Arten,MATCH(W34,Codes,0))="Arbeit",INDEX(Arten,MATCH(X34,Codes,0))="Arbeit"),IF(ROUND((1+INDEX(Beginne,MATCH(X34,Codes,0))-INDEX(EndeRel,MATCH(W34,Codes,0)))*1440,0)&lt;660,1,0),0),0))</f>
      </c>
      <c r="Y83" s="1">
        <f>IF(OR(Y$52=0,X34="",Y34=""),0,IFERROR(IF(AND(INDEX(Arten,MATCH(X34,Codes,0))="Arbeit",INDEX(Arten,MATCH(Y34,Codes,0))="Arbeit"),IF(ROUND((1+INDEX(Beginne,MATCH(Y34,Codes,0))-INDEX(EndeRel,MATCH(X34,Codes,0)))*1440,0)&lt;660,1,0),0),0))</f>
      </c>
      <c r="Z83" s="1">
        <f>IF(OR(Z$52=0,Y34="",Z34=""),0,IFERROR(IF(AND(INDEX(Arten,MATCH(Y34,Codes,0))="Arbeit",INDEX(Arten,MATCH(Z34,Codes,0))="Arbeit"),IF(ROUND((1+INDEX(Beginne,MATCH(Z34,Codes,0))-INDEX(EndeRel,MATCH(Y34,Codes,0)))*1440,0)&lt;660,1,0),0),0))</f>
      </c>
      <c r="AA83" s="1">
        <f>IF(OR(AA$52=0,Z34="",AA34=""),0,IFERROR(IF(AND(INDEX(Arten,MATCH(Z34,Codes,0))="Arbeit",INDEX(Arten,MATCH(AA34,Codes,0))="Arbeit"),IF(ROUND((1+INDEX(Beginne,MATCH(AA34,Codes,0))-INDEX(EndeRel,MATCH(Z34,Codes,0)))*1440,0)&lt;660,1,0),0),0))</f>
      </c>
      <c r="AB83" s="1">
        <f>IF(OR(AB$52=0,AA34="",AB34=""),0,IFERROR(IF(AND(INDEX(Arten,MATCH(AA34,Codes,0))="Arbeit",INDEX(Arten,MATCH(AB34,Codes,0))="Arbeit"),IF(ROUND((1+INDEX(Beginne,MATCH(AB34,Codes,0))-INDEX(EndeRel,MATCH(AA34,Codes,0)))*1440,0)&lt;660,1,0),0),0))</f>
      </c>
      <c r="AC83" s="1">
        <f>IF(OR(AC$52=0,AB34="",AC34=""),0,IFERROR(IF(AND(INDEX(Arten,MATCH(AB34,Codes,0))="Arbeit",INDEX(Arten,MATCH(AC34,Codes,0))="Arbeit"),IF(ROUND((1+INDEX(Beginne,MATCH(AC34,Codes,0))-INDEX(EndeRel,MATCH(AB34,Codes,0)))*1440,0)&lt;660,1,0),0),0))</f>
      </c>
      <c r="AD83" s="1">
        <f>IF(OR(AD$52=0,AC34="",AD34=""),0,IFERROR(IF(AND(INDEX(Arten,MATCH(AC34,Codes,0))="Arbeit",INDEX(Arten,MATCH(AD34,Codes,0))="Arbeit"),IF(ROUND((1+INDEX(Beginne,MATCH(AD34,Codes,0))-INDEX(EndeRel,MATCH(AC34,Codes,0)))*1440,0)&lt;660,1,0),0),0))</f>
      </c>
      <c r="AE83" s="1">
        <f>IF(OR(AE$52=0,AD34="",AE34=""),0,IFERROR(IF(AND(INDEX(Arten,MATCH(AD34,Codes,0))="Arbeit",INDEX(Arten,MATCH(AE34,Codes,0))="Arbeit"),IF(ROUND((1+INDEX(Beginne,MATCH(AE34,Codes,0))-INDEX(EndeRel,MATCH(AD34,Codes,0)))*1440,0)&lt;660,1,0),0),0))</f>
      </c>
      <c r="AF83" s="1">
        <f>IF(OR(AF$52=0,AE34="",AF34=""),0,IFERROR(IF(AND(INDEX(Arten,MATCH(AE34,Codes,0))="Arbeit",INDEX(Arten,MATCH(AF34,Codes,0))="Arbeit"),IF(ROUND((1+INDEX(Beginne,MATCH(AF34,Codes,0))-INDEX(EndeRel,MATCH(AE34,Codes,0)))*1440,0)&lt;660,1,0),0),0))</f>
      </c>
    </row>
    <row r="84" hidden="1" spans="1:32" x14ac:dyDescent="0.25">
      <c r="A84" s="1"/>
      <c r="B84" s="1">
        <f>IF(OR(B$52=0,INDEX('Juni'!$B$35:$AF$35,DAY(DATE(Jahr,7,0)))="",B35=""),0,IFERROR(IF(AND(INDEX(Arten,MATCH(INDEX('Juni'!$B$35:$AF$35,DAY(DATE(Jahr,7,0))),Codes,0))="Arbeit",INDEX(Arten,MATCH(B35,Codes,0))="Arbeit"),IF(ROUND((1+INDEX(Beginne,MATCH(B35,Codes,0))-INDEX(EndeRel,MATCH(INDEX('Juni'!$B$35:$AF$35,DAY(DATE(Jahr,7,0))),Codes,0)))*1440,0)&lt;660,1,0),0),0))</f>
      </c>
      <c r="C84" s="1">
        <f>IF(OR(C$52=0,B35="",C35=""),0,IFERROR(IF(AND(INDEX(Arten,MATCH(B35,Codes,0))="Arbeit",INDEX(Arten,MATCH(C35,Codes,0))="Arbeit"),IF(ROUND((1+INDEX(Beginne,MATCH(C35,Codes,0))-INDEX(EndeRel,MATCH(B35,Codes,0)))*1440,0)&lt;660,1,0),0),0))</f>
      </c>
      <c r="D84" s="1">
        <f>IF(OR(D$52=0,C35="",D35=""),0,IFERROR(IF(AND(INDEX(Arten,MATCH(C35,Codes,0))="Arbeit",INDEX(Arten,MATCH(D35,Codes,0))="Arbeit"),IF(ROUND((1+INDEX(Beginne,MATCH(D35,Codes,0))-INDEX(EndeRel,MATCH(C35,Codes,0)))*1440,0)&lt;660,1,0),0),0))</f>
      </c>
      <c r="E84" s="1">
        <f>IF(OR(E$52=0,D35="",E35=""),0,IFERROR(IF(AND(INDEX(Arten,MATCH(D35,Codes,0))="Arbeit",INDEX(Arten,MATCH(E35,Codes,0))="Arbeit"),IF(ROUND((1+INDEX(Beginne,MATCH(E35,Codes,0))-INDEX(EndeRel,MATCH(D35,Codes,0)))*1440,0)&lt;660,1,0),0),0))</f>
      </c>
      <c r="F84" s="1">
        <f>IF(OR(F$52=0,E35="",F35=""),0,IFERROR(IF(AND(INDEX(Arten,MATCH(E35,Codes,0))="Arbeit",INDEX(Arten,MATCH(F35,Codes,0))="Arbeit"),IF(ROUND((1+INDEX(Beginne,MATCH(F35,Codes,0))-INDEX(EndeRel,MATCH(E35,Codes,0)))*1440,0)&lt;660,1,0),0),0))</f>
      </c>
      <c r="G84" s="1">
        <f>IF(OR(G$52=0,F35="",G35=""),0,IFERROR(IF(AND(INDEX(Arten,MATCH(F35,Codes,0))="Arbeit",INDEX(Arten,MATCH(G35,Codes,0))="Arbeit"),IF(ROUND((1+INDEX(Beginne,MATCH(G35,Codes,0))-INDEX(EndeRel,MATCH(F35,Codes,0)))*1440,0)&lt;660,1,0),0),0))</f>
      </c>
      <c r="H84" s="1">
        <f>IF(OR(H$52=0,G35="",H35=""),0,IFERROR(IF(AND(INDEX(Arten,MATCH(G35,Codes,0))="Arbeit",INDEX(Arten,MATCH(H35,Codes,0))="Arbeit"),IF(ROUND((1+INDEX(Beginne,MATCH(H35,Codes,0))-INDEX(EndeRel,MATCH(G35,Codes,0)))*1440,0)&lt;660,1,0),0),0))</f>
      </c>
      <c r="I84" s="1">
        <f>IF(OR(I$52=0,H35="",I35=""),0,IFERROR(IF(AND(INDEX(Arten,MATCH(H35,Codes,0))="Arbeit",INDEX(Arten,MATCH(I35,Codes,0))="Arbeit"),IF(ROUND((1+INDEX(Beginne,MATCH(I35,Codes,0))-INDEX(EndeRel,MATCH(H35,Codes,0)))*1440,0)&lt;660,1,0),0),0))</f>
      </c>
      <c r="J84" s="1">
        <f>IF(OR(J$52=0,I35="",J35=""),0,IFERROR(IF(AND(INDEX(Arten,MATCH(I35,Codes,0))="Arbeit",INDEX(Arten,MATCH(J35,Codes,0))="Arbeit"),IF(ROUND((1+INDEX(Beginne,MATCH(J35,Codes,0))-INDEX(EndeRel,MATCH(I35,Codes,0)))*1440,0)&lt;660,1,0),0),0))</f>
      </c>
      <c r="K84" s="1">
        <f>IF(OR(K$52=0,J35="",K35=""),0,IFERROR(IF(AND(INDEX(Arten,MATCH(J35,Codes,0))="Arbeit",INDEX(Arten,MATCH(K35,Codes,0))="Arbeit"),IF(ROUND((1+INDEX(Beginne,MATCH(K35,Codes,0))-INDEX(EndeRel,MATCH(J35,Codes,0)))*1440,0)&lt;660,1,0),0),0))</f>
      </c>
      <c r="L84" s="1">
        <f>IF(OR(L$52=0,K35="",L35=""),0,IFERROR(IF(AND(INDEX(Arten,MATCH(K35,Codes,0))="Arbeit",INDEX(Arten,MATCH(L35,Codes,0))="Arbeit"),IF(ROUND((1+INDEX(Beginne,MATCH(L35,Codes,0))-INDEX(EndeRel,MATCH(K35,Codes,0)))*1440,0)&lt;660,1,0),0),0))</f>
      </c>
      <c r="M84" s="1">
        <f>IF(OR(M$52=0,L35="",M35=""),0,IFERROR(IF(AND(INDEX(Arten,MATCH(L35,Codes,0))="Arbeit",INDEX(Arten,MATCH(M35,Codes,0))="Arbeit"),IF(ROUND((1+INDEX(Beginne,MATCH(M35,Codes,0))-INDEX(EndeRel,MATCH(L35,Codes,0)))*1440,0)&lt;660,1,0),0),0))</f>
      </c>
      <c r="N84" s="1">
        <f>IF(OR(N$52=0,M35="",N35=""),0,IFERROR(IF(AND(INDEX(Arten,MATCH(M35,Codes,0))="Arbeit",INDEX(Arten,MATCH(N35,Codes,0))="Arbeit"),IF(ROUND((1+INDEX(Beginne,MATCH(N35,Codes,0))-INDEX(EndeRel,MATCH(M35,Codes,0)))*1440,0)&lt;660,1,0),0),0))</f>
      </c>
      <c r="O84" s="1">
        <f>IF(OR(O$52=0,N35="",O35=""),0,IFERROR(IF(AND(INDEX(Arten,MATCH(N35,Codes,0))="Arbeit",INDEX(Arten,MATCH(O35,Codes,0))="Arbeit"),IF(ROUND((1+INDEX(Beginne,MATCH(O35,Codes,0))-INDEX(EndeRel,MATCH(N35,Codes,0)))*1440,0)&lt;660,1,0),0),0))</f>
      </c>
      <c r="P84" s="1">
        <f>IF(OR(P$52=0,O35="",P35=""),0,IFERROR(IF(AND(INDEX(Arten,MATCH(O35,Codes,0))="Arbeit",INDEX(Arten,MATCH(P35,Codes,0))="Arbeit"),IF(ROUND((1+INDEX(Beginne,MATCH(P35,Codes,0))-INDEX(EndeRel,MATCH(O35,Codes,0)))*1440,0)&lt;660,1,0),0),0))</f>
      </c>
      <c r="Q84" s="1">
        <f>IF(OR(Q$52=0,P35="",Q35=""),0,IFERROR(IF(AND(INDEX(Arten,MATCH(P35,Codes,0))="Arbeit",INDEX(Arten,MATCH(Q35,Codes,0))="Arbeit"),IF(ROUND((1+INDEX(Beginne,MATCH(Q35,Codes,0))-INDEX(EndeRel,MATCH(P35,Codes,0)))*1440,0)&lt;660,1,0),0),0))</f>
      </c>
      <c r="R84" s="1">
        <f>IF(OR(R$52=0,Q35="",R35=""),0,IFERROR(IF(AND(INDEX(Arten,MATCH(Q35,Codes,0))="Arbeit",INDEX(Arten,MATCH(R35,Codes,0))="Arbeit"),IF(ROUND((1+INDEX(Beginne,MATCH(R35,Codes,0))-INDEX(EndeRel,MATCH(Q35,Codes,0)))*1440,0)&lt;660,1,0),0),0))</f>
      </c>
      <c r="S84" s="1">
        <f>IF(OR(S$52=0,R35="",S35=""),0,IFERROR(IF(AND(INDEX(Arten,MATCH(R35,Codes,0))="Arbeit",INDEX(Arten,MATCH(S35,Codes,0))="Arbeit"),IF(ROUND((1+INDEX(Beginne,MATCH(S35,Codes,0))-INDEX(EndeRel,MATCH(R35,Codes,0)))*1440,0)&lt;660,1,0),0),0))</f>
      </c>
      <c r="T84" s="1">
        <f>IF(OR(T$52=0,S35="",T35=""),0,IFERROR(IF(AND(INDEX(Arten,MATCH(S35,Codes,0))="Arbeit",INDEX(Arten,MATCH(T35,Codes,0))="Arbeit"),IF(ROUND((1+INDEX(Beginne,MATCH(T35,Codes,0))-INDEX(EndeRel,MATCH(S35,Codes,0)))*1440,0)&lt;660,1,0),0),0))</f>
      </c>
      <c r="U84" s="1">
        <f>IF(OR(U$52=0,T35="",U35=""),0,IFERROR(IF(AND(INDEX(Arten,MATCH(T35,Codes,0))="Arbeit",INDEX(Arten,MATCH(U35,Codes,0))="Arbeit"),IF(ROUND((1+INDEX(Beginne,MATCH(U35,Codes,0))-INDEX(EndeRel,MATCH(T35,Codes,0)))*1440,0)&lt;660,1,0),0),0))</f>
      </c>
      <c r="V84" s="1">
        <f>IF(OR(V$52=0,U35="",V35=""),0,IFERROR(IF(AND(INDEX(Arten,MATCH(U35,Codes,0))="Arbeit",INDEX(Arten,MATCH(V35,Codes,0))="Arbeit"),IF(ROUND((1+INDEX(Beginne,MATCH(V35,Codes,0))-INDEX(EndeRel,MATCH(U35,Codes,0)))*1440,0)&lt;660,1,0),0),0))</f>
      </c>
      <c r="W84" s="1">
        <f>IF(OR(W$52=0,V35="",W35=""),0,IFERROR(IF(AND(INDEX(Arten,MATCH(V35,Codes,0))="Arbeit",INDEX(Arten,MATCH(W35,Codes,0))="Arbeit"),IF(ROUND((1+INDEX(Beginne,MATCH(W35,Codes,0))-INDEX(EndeRel,MATCH(V35,Codes,0)))*1440,0)&lt;660,1,0),0),0))</f>
      </c>
      <c r="X84" s="1">
        <f>IF(OR(X$52=0,W35="",X35=""),0,IFERROR(IF(AND(INDEX(Arten,MATCH(W35,Codes,0))="Arbeit",INDEX(Arten,MATCH(X35,Codes,0))="Arbeit"),IF(ROUND((1+INDEX(Beginne,MATCH(X35,Codes,0))-INDEX(EndeRel,MATCH(W35,Codes,0)))*1440,0)&lt;660,1,0),0),0))</f>
      </c>
      <c r="Y84" s="1">
        <f>IF(OR(Y$52=0,X35="",Y35=""),0,IFERROR(IF(AND(INDEX(Arten,MATCH(X35,Codes,0))="Arbeit",INDEX(Arten,MATCH(Y35,Codes,0))="Arbeit"),IF(ROUND((1+INDEX(Beginne,MATCH(Y35,Codes,0))-INDEX(EndeRel,MATCH(X35,Codes,0)))*1440,0)&lt;660,1,0),0),0))</f>
      </c>
      <c r="Z84" s="1">
        <f>IF(OR(Z$52=0,Y35="",Z35=""),0,IFERROR(IF(AND(INDEX(Arten,MATCH(Y35,Codes,0))="Arbeit",INDEX(Arten,MATCH(Z35,Codes,0))="Arbeit"),IF(ROUND((1+INDEX(Beginne,MATCH(Z35,Codes,0))-INDEX(EndeRel,MATCH(Y35,Codes,0)))*1440,0)&lt;660,1,0),0),0))</f>
      </c>
      <c r="AA84" s="1">
        <f>IF(OR(AA$52=0,Z35="",AA35=""),0,IFERROR(IF(AND(INDEX(Arten,MATCH(Z35,Codes,0))="Arbeit",INDEX(Arten,MATCH(AA35,Codes,0))="Arbeit"),IF(ROUND((1+INDEX(Beginne,MATCH(AA35,Codes,0))-INDEX(EndeRel,MATCH(Z35,Codes,0)))*1440,0)&lt;660,1,0),0),0))</f>
      </c>
      <c r="AB84" s="1">
        <f>IF(OR(AB$52=0,AA35="",AB35=""),0,IFERROR(IF(AND(INDEX(Arten,MATCH(AA35,Codes,0))="Arbeit",INDEX(Arten,MATCH(AB35,Codes,0))="Arbeit"),IF(ROUND((1+INDEX(Beginne,MATCH(AB35,Codes,0))-INDEX(EndeRel,MATCH(AA35,Codes,0)))*1440,0)&lt;660,1,0),0),0))</f>
      </c>
      <c r="AC84" s="1">
        <f>IF(OR(AC$52=0,AB35="",AC35=""),0,IFERROR(IF(AND(INDEX(Arten,MATCH(AB35,Codes,0))="Arbeit",INDEX(Arten,MATCH(AC35,Codes,0))="Arbeit"),IF(ROUND((1+INDEX(Beginne,MATCH(AC35,Codes,0))-INDEX(EndeRel,MATCH(AB35,Codes,0)))*1440,0)&lt;660,1,0),0),0))</f>
      </c>
      <c r="AD84" s="1">
        <f>IF(OR(AD$52=0,AC35="",AD35=""),0,IFERROR(IF(AND(INDEX(Arten,MATCH(AC35,Codes,0))="Arbeit",INDEX(Arten,MATCH(AD35,Codes,0))="Arbeit"),IF(ROUND((1+INDEX(Beginne,MATCH(AD35,Codes,0))-INDEX(EndeRel,MATCH(AC35,Codes,0)))*1440,0)&lt;660,1,0),0),0))</f>
      </c>
      <c r="AE84" s="1">
        <f>IF(OR(AE$52=0,AD35="",AE35=""),0,IFERROR(IF(AND(INDEX(Arten,MATCH(AD35,Codes,0))="Arbeit",INDEX(Arten,MATCH(AE35,Codes,0))="Arbeit"),IF(ROUND((1+INDEX(Beginne,MATCH(AE35,Codes,0))-INDEX(EndeRel,MATCH(AD35,Codes,0)))*1440,0)&lt;660,1,0),0),0))</f>
      </c>
      <c r="AF84" s="1">
        <f>IF(OR(AF$52=0,AE35="",AF35=""),0,IFERROR(IF(AND(INDEX(Arten,MATCH(AE35,Codes,0))="Arbeit",INDEX(Arten,MATCH(AF35,Codes,0))="Arbeit"),IF(ROUND((1+INDEX(Beginne,MATCH(AF35,Codes,0))-INDEX(EndeRel,MATCH(AE35,Codes,0)))*1440,0)&lt;660,1,0),0),0))</f>
      </c>
    </row>
    <row r="86" hidden="1" spans="1:32" x14ac:dyDescent="0.25">
      <c r="A86" s="1"/>
      <c r="B86" s="1">
        <f>IF($AM38="","",IF(OR(B$51&gt;=6,B$50=1),N(INDEX(MinFrei,MATCH(1,ArbeitNr,0))),N(INDEX(MinWerktag,MATCH(1,ArbeitNr,0)))))</f>
      </c>
      <c r="C86" s="1">
        <f>IF($AM38="","",IF(OR(C$51&gt;=6,C$50=1),N(INDEX(MinFrei,MATCH(1,ArbeitNr,0))),N(INDEX(MinWerktag,MATCH(1,ArbeitNr,0)))))</f>
      </c>
      <c r="D86" s="1">
        <f>IF($AM38="","",IF(OR(D$51&gt;=6,D$50=1),N(INDEX(MinFrei,MATCH(1,ArbeitNr,0))),N(INDEX(MinWerktag,MATCH(1,ArbeitNr,0)))))</f>
      </c>
      <c r="E86" s="1">
        <f>IF($AM38="","",IF(OR(E$51&gt;=6,E$50=1),N(INDEX(MinFrei,MATCH(1,ArbeitNr,0))),N(INDEX(MinWerktag,MATCH(1,ArbeitNr,0)))))</f>
      </c>
      <c r="F86" s="1">
        <f>IF($AM38="","",IF(OR(F$51&gt;=6,F$50=1),N(INDEX(MinFrei,MATCH(1,ArbeitNr,0))),N(INDEX(MinWerktag,MATCH(1,ArbeitNr,0)))))</f>
      </c>
      <c r="G86" s="1">
        <f>IF($AM38="","",IF(OR(G$51&gt;=6,G$50=1),N(INDEX(MinFrei,MATCH(1,ArbeitNr,0))),N(INDEX(MinWerktag,MATCH(1,ArbeitNr,0)))))</f>
      </c>
      <c r="H86" s="1">
        <f>IF($AM38="","",IF(OR(H$51&gt;=6,H$50=1),N(INDEX(MinFrei,MATCH(1,ArbeitNr,0))),N(INDEX(MinWerktag,MATCH(1,ArbeitNr,0)))))</f>
      </c>
      <c r="I86" s="1">
        <f>IF($AM38="","",IF(OR(I$51&gt;=6,I$50=1),N(INDEX(MinFrei,MATCH(1,ArbeitNr,0))),N(INDEX(MinWerktag,MATCH(1,ArbeitNr,0)))))</f>
      </c>
      <c r="J86" s="1">
        <f>IF($AM38="","",IF(OR(J$51&gt;=6,J$50=1),N(INDEX(MinFrei,MATCH(1,ArbeitNr,0))),N(INDEX(MinWerktag,MATCH(1,ArbeitNr,0)))))</f>
      </c>
      <c r="K86" s="1">
        <f>IF($AM38="","",IF(OR(K$51&gt;=6,K$50=1),N(INDEX(MinFrei,MATCH(1,ArbeitNr,0))),N(INDEX(MinWerktag,MATCH(1,ArbeitNr,0)))))</f>
      </c>
      <c r="L86" s="1">
        <f>IF($AM38="","",IF(OR(L$51&gt;=6,L$50=1),N(INDEX(MinFrei,MATCH(1,ArbeitNr,0))),N(INDEX(MinWerktag,MATCH(1,ArbeitNr,0)))))</f>
      </c>
      <c r="M86" s="1">
        <f>IF($AM38="","",IF(OR(M$51&gt;=6,M$50=1),N(INDEX(MinFrei,MATCH(1,ArbeitNr,0))),N(INDEX(MinWerktag,MATCH(1,ArbeitNr,0)))))</f>
      </c>
      <c r="N86" s="1">
        <f>IF($AM38="","",IF(OR(N$51&gt;=6,N$50=1),N(INDEX(MinFrei,MATCH(1,ArbeitNr,0))),N(INDEX(MinWerktag,MATCH(1,ArbeitNr,0)))))</f>
      </c>
      <c r="O86" s="1">
        <f>IF($AM38="","",IF(OR(O$51&gt;=6,O$50=1),N(INDEX(MinFrei,MATCH(1,ArbeitNr,0))),N(INDEX(MinWerktag,MATCH(1,ArbeitNr,0)))))</f>
      </c>
      <c r="P86" s="1">
        <f>IF($AM38="","",IF(OR(P$51&gt;=6,P$50=1),N(INDEX(MinFrei,MATCH(1,ArbeitNr,0))),N(INDEX(MinWerktag,MATCH(1,ArbeitNr,0)))))</f>
      </c>
      <c r="Q86" s="1">
        <f>IF($AM38="","",IF(OR(Q$51&gt;=6,Q$50=1),N(INDEX(MinFrei,MATCH(1,ArbeitNr,0))),N(INDEX(MinWerktag,MATCH(1,ArbeitNr,0)))))</f>
      </c>
      <c r="R86" s="1">
        <f>IF($AM38="","",IF(OR(R$51&gt;=6,R$50=1),N(INDEX(MinFrei,MATCH(1,ArbeitNr,0))),N(INDEX(MinWerktag,MATCH(1,ArbeitNr,0)))))</f>
      </c>
      <c r="S86" s="1">
        <f>IF($AM38="","",IF(OR(S$51&gt;=6,S$50=1),N(INDEX(MinFrei,MATCH(1,ArbeitNr,0))),N(INDEX(MinWerktag,MATCH(1,ArbeitNr,0)))))</f>
      </c>
      <c r="T86" s="1">
        <f>IF($AM38="","",IF(OR(T$51&gt;=6,T$50=1),N(INDEX(MinFrei,MATCH(1,ArbeitNr,0))),N(INDEX(MinWerktag,MATCH(1,ArbeitNr,0)))))</f>
      </c>
      <c r="U86" s="1">
        <f>IF($AM38="","",IF(OR(U$51&gt;=6,U$50=1),N(INDEX(MinFrei,MATCH(1,ArbeitNr,0))),N(INDEX(MinWerktag,MATCH(1,ArbeitNr,0)))))</f>
      </c>
      <c r="V86" s="1">
        <f>IF($AM38="","",IF(OR(V$51&gt;=6,V$50=1),N(INDEX(MinFrei,MATCH(1,ArbeitNr,0))),N(INDEX(MinWerktag,MATCH(1,ArbeitNr,0)))))</f>
      </c>
      <c r="W86" s="1">
        <f>IF($AM38="","",IF(OR(W$51&gt;=6,W$50=1),N(INDEX(MinFrei,MATCH(1,ArbeitNr,0))),N(INDEX(MinWerktag,MATCH(1,ArbeitNr,0)))))</f>
      </c>
      <c r="X86" s="1">
        <f>IF($AM38="","",IF(OR(X$51&gt;=6,X$50=1),N(INDEX(MinFrei,MATCH(1,ArbeitNr,0))),N(INDEX(MinWerktag,MATCH(1,ArbeitNr,0)))))</f>
      </c>
      <c r="Y86" s="1">
        <f>IF($AM38="","",IF(OR(Y$51&gt;=6,Y$50=1),N(INDEX(MinFrei,MATCH(1,ArbeitNr,0))),N(INDEX(MinWerktag,MATCH(1,ArbeitNr,0)))))</f>
      </c>
      <c r="Z86" s="1">
        <f>IF($AM38="","",IF(OR(Z$51&gt;=6,Z$50=1),N(INDEX(MinFrei,MATCH(1,ArbeitNr,0))),N(INDEX(MinWerktag,MATCH(1,ArbeitNr,0)))))</f>
      </c>
      <c r="AA86" s="1">
        <f>IF($AM38="","",IF(OR(AA$51&gt;=6,AA$50=1),N(INDEX(MinFrei,MATCH(1,ArbeitNr,0))),N(INDEX(MinWerktag,MATCH(1,ArbeitNr,0)))))</f>
      </c>
      <c r="AB86" s="1">
        <f>IF($AM38="","",IF(OR(AB$51&gt;=6,AB$50=1),N(INDEX(MinFrei,MATCH(1,ArbeitNr,0))),N(INDEX(MinWerktag,MATCH(1,ArbeitNr,0)))))</f>
      </c>
      <c r="AC86" s="1">
        <f>IF($AM38="","",IF(OR(AC$51&gt;=6,AC$50=1),N(INDEX(MinFrei,MATCH(1,ArbeitNr,0))),N(INDEX(MinWerktag,MATCH(1,ArbeitNr,0)))))</f>
      </c>
      <c r="AD86" s="1">
        <f>IF($AM38="","",IF(OR(AD$51&gt;=6,AD$50=1),N(INDEX(MinFrei,MATCH(1,ArbeitNr,0))),N(INDEX(MinWerktag,MATCH(1,ArbeitNr,0)))))</f>
      </c>
      <c r="AE86" s="1">
        <f>IF($AM38="","",IF(OR(AE$51&gt;=6,AE$50=1),N(INDEX(MinFrei,MATCH(1,ArbeitNr,0))),N(INDEX(MinWerktag,MATCH(1,ArbeitNr,0)))))</f>
      </c>
      <c r="AF86" s="1">
        <f>IF($AM38="","",IF(OR(AF$51&gt;=6,AF$50=1),N(INDEX(MinFrei,MATCH(1,ArbeitNr,0))),N(INDEX(MinWerktag,MATCH(1,ArbeitNr,0)))))</f>
      </c>
    </row>
    <row r="87" hidden="1" spans="1:32" x14ac:dyDescent="0.25">
      <c r="A87" s="1"/>
      <c r="B87" s="1">
        <f>IF($AM39="","",IF(OR(B$51&gt;=6,B$50=1),N(INDEX(MinFrei,MATCH(2,ArbeitNr,0))),N(INDEX(MinWerktag,MATCH(2,ArbeitNr,0)))))</f>
      </c>
      <c r="C87" s="1">
        <f>IF($AM39="","",IF(OR(C$51&gt;=6,C$50=1),N(INDEX(MinFrei,MATCH(2,ArbeitNr,0))),N(INDEX(MinWerktag,MATCH(2,ArbeitNr,0)))))</f>
      </c>
      <c r="D87" s="1">
        <f>IF($AM39="","",IF(OR(D$51&gt;=6,D$50=1),N(INDEX(MinFrei,MATCH(2,ArbeitNr,0))),N(INDEX(MinWerktag,MATCH(2,ArbeitNr,0)))))</f>
      </c>
      <c r="E87" s="1">
        <f>IF($AM39="","",IF(OR(E$51&gt;=6,E$50=1),N(INDEX(MinFrei,MATCH(2,ArbeitNr,0))),N(INDEX(MinWerktag,MATCH(2,ArbeitNr,0)))))</f>
      </c>
      <c r="F87" s="1">
        <f>IF($AM39="","",IF(OR(F$51&gt;=6,F$50=1),N(INDEX(MinFrei,MATCH(2,ArbeitNr,0))),N(INDEX(MinWerktag,MATCH(2,ArbeitNr,0)))))</f>
      </c>
      <c r="G87" s="1">
        <f>IF($AM39="","",IF(OR(G$51&gt;=6,G$50=1),N(INDEX(MinFrei,MATCH(2,ArbeitNr,0))),N(INDEX(MinWerktag,MATCH(2,ArbeitNr,0)))))</f>
      </c>
      <c r="H87" s="1">
        <f>IF($AM39="","",IF(OR(H$51&gt;=6,H$50=1),N(INDEX(MinFrei,MATCH(2,ArbeitNr,0))),N(INDEX(MinWerktag,MATCH(2,ArbeitNr,0)))))</f>
      </c>
      <c r="I87" s="1">
        <f>IF($AM39="","",IF(OR(I$51&gt;=6,I$50=1),N(INDEX(MinFrei,MATCH(2,ArbeitNr,0))),N(INDEX(MinWerktag,MATCH(2,ArbeitNr,0)))))</f>
      </c>
      <c r="J87" s="1">
        <f>IF($AM39="","",IF(OR(J$51&gt;=6,J$50=1),N(INDEX(MinFrei,MATCH(2,ArbeitNr,0))),N(INDEX(MinWerktag,MATCH(2,ArbeitNr,0)))))</f>
      </c>
      <c r="K87" s="1">
        <f>IF($AM39="","",IF(OR(K$51&gt;=6,K$50=1),N(INDEX(MinFrei,MATCH(2,ArbeitNr,0))),N(INDEX(MinWerktag,MATCH(2,ArbeitNr,0)))))</f>
      </c>
      <c r="L87" s="1">
        <f>IF($AM39="","",IF(OR(L$51&gt;=6,L$50=1),N(INDEX(MinFrei,MATCH(2,ArbeitNr,0))),N(INDEX(MinWerktag,MATCH(2,ArbeitNr,0)))))</f>
      </c>
      <c r="M87" s="1">
        <f>IF($AM39="","",IF(OR(M$51&gt;=6,M$50=1),N(INDEX(MinFrei,MATCH(2,ArbeitNr,0))),N(INDEX(MinWerktag,MATCH(2,ArbeitNr,0)))))</f>
      </c>
      <c r="N87" s="1">
        <f>IF($AM39="","",IF(OR(N$51&gt;=6,N$50=1),N(INDEX(MinFrei,MATCH(2,ArbeitNr,0))),N(INDEX(MinWerktag,MATCH(2,ArbeitNr,0)))))</f>
      </c>
      <c r="O87" s="1">
        <f>IF($AM39="","",IF(OR(O$51&gt;=6,O$50=1),N(INDEX(MinFrei,MATCH(2,ArbeitNr,0))),N(INDEX(MinWerktag,MATCH(2,ArbeitNr,0)))))</f>
      </c>
      <c r="P87" s="1">
        <f>IF($AM39="","",IF(OR(P$51&gt;=6,P$50=1),N(INDEX(MinFrei,MATCH(2,ArbeitNr,0))),N(INDEX(MinWerktag,MATCH(2,ArbeitNr,0)))))</f>
      </c>
      <c r="Q87" s="1">
        <f>IF($AM39="","",IF(OR(Q$51&gt;=6,Q$50=1),N(INDEX(MinFrei,MATCH(2,ArbeitNr,0))),N(INDEX(MinWerktag,MATCH(2,ArbeitNr,0)))))</f>
      </c>
      <c r="R87" s="1">
        <f>IF($AM39="","",IF(OR(R$51&gt;=6,R$50=1),N(INDEX(MinFrei,MATCH(2,ArbeitNr,0))),N(INDEX(MinWerktag,MATCH(2,ArbeitNr,0)))))</f>
      </c>
      <c r="S87" s="1">
        <f>IF($AM39="","",IF(OR(S$51&gt;=6,S$50=1),N(INDEX(MinFrei,MATCH(2,ArbeitNr,0))),N(INDEX(MinWerktag,MATCH(2,ArbeitNr,0)))))</f>
      </c>
      <c r="T87" s="1">
        <f>IF($AM39="","",IF(OR(T$51&gt;=6,T$50=1),N(INDEX(MinFrei,MATCH(2,ArbeitNr,0))),N(INDEX(MinWerktag,MATCH(2,ArbeitNr,0)))))</f>
      </c>
      <c r="U87" s="1">
        <f>IF($AM39="","",IF(OR(U$51&gt;=6,U$50=1),N(INDEX(MinFrei,MATCH(2,ArbeitNr,0))),N(INDEX(MinWerktag,MATCH(2,ArbeitNr,0)))))</f>
      </c>
      <c r="V87" s="1">
        <f>IF($AM39="","",IF(OR(V$51&gt;=6,V$50=1),N(INDEX(MinFrei,MATCH(2,ArbeitNr,0))),N(INDEX(MinWerktag,MATCH(2,ArbeitNr,0)))))</f>
      </c>
      <c r="W87" s="1">
        <f>IF($AM39="","",IF(OR(W$51&gt;=6,W$50=1),N(INDEX(MinFrei,MATCH(2,ArbeitNr,0))),N(INDEX(MinWerktag,MATCH(2,ArbeitNr,0)))))</f>
      </c>
      <c r="X87" s="1">
        <f>IF($AM39="","",IF(OR(X$51&gt;=6,X$50=1),N(INDEX(MinFrei,MATCH(2,ArbeitNr,0))),N(INDEX(MinWerktag,MATCH(2,ArbeitNr,0)))))</f>
      </c>
      <c r="Y87" s="1">
        <f>IF($AM39="","",IF(OR(Y$51&gt;=6,Y$50=1),N(INDEX(MinFrei,MATCH(2,ArbeitNr,0))),N(INDEX(MinWerktag,MATCH(2,ArbeitNr,0)))))</f>
      </c>
      <c r="Z87" s="1">
        <f>IF($AM39="","",IF(OR(Z$51&gt;=6,Z$50=1),N(INDEX(MinFrei,MATCH(2,ArbeitNr,0))),N(INDEX(MinWerktag,MATCH(2,ArbeitNr,0)))))</f>
      </c>
      <c r="AA87" s="1">
        <f>IF($AM39="","",IF(OR(AA$51&gt;=6,AA$50=1),N(INDEX(MinFrei,MATCH(2,ArbeitNr,0))),N(INDEX(MinWerktag,MATCH(2,ArbeitNr,0)))))</f>
      </c>
      <c r="AB87" s="1">
        <f>IF($AM39="","",IF(OR(AB$51&gt;=6,AB$50=1),N(INDEX(MinFrei,MATCH(2,ArbeitNr,0))),N(INDEX(MinWerktag,MATCH(2,ArbeitNr,0)))))</f>
      </c>
      <c r="AC87" s="1">
        <f>IF($AM39="","",IF(OR(AC$51&gt;=6,AC$50=1),N(INDEX(MinFrei,MATCH(2,ArbeitNr,0))),N(INDEX(MinWerktag,MATCH(2,ArbeitNr,0)))))</f>
      </c>
      <c r="AD87" s="1">
        <f>IF($AM39="","",IF(OR(AD$51&gt;=6,AD$50=1),N(INDEX(MinFrei,MATCH(2,ArbeitNr,0))),N(INDEX(MinWerktag,MATCH(2,ArbeitNr,0)))))</f>
      </c>
      <c r="AE87" s="1">
        <f>IF($AM39="","",IF(OR(AE$51&gt;=6,AE$50=1),N(INDEX(MinFrei,MATCH(2,ArbeitNr,0))),N(INDEX(MinWerktag,MATCH(2,ArbeitNr,0)))))</f>
      </c>
      <c r="AF87" s="1">
        <f>IF($AM39="","",IF(OR(AF$51&gt;=6,AF$50=1),N(INDEX(MinFrei,MATCH(2,ArbeitNr,0))),N(INDEX(MinWerktag,MATCH(2,ArbeitNr,0)))))</f>
      </c>
    </row>
    <row r="88" hidden="1" spans="1:32" x14ac:dyDescent="0.25">
      <c r="A88" s="1"/>
      <c r="B88" s="1">
        <f>IF($AM40="","",IF(OR(B$51&gt;=6,B$50=1),N(INDEX(MinFrei,MATCH(3,ArbeitNr,0))),N(INDEX(MinWerktag,MATCH(3,ArbeitNr,0)))))</f>
      </c>
      <c r="C88" s="1">
        <f>IF($AM40="","",IF(OR(C$51&gt;=6,C$50=1),N(INDEX(MinFrei,MATCH(3,ArbeitNr,0))),N(INDEX(MinWerktag,MATCH(3,ArbeitNr,0)))))</f>
      </c>
      <c r="D88" s="1">
        <f>IF($AM40="","",IF(OR(D$51&gt;=6,D$50=1),N(INDEX(MinFrei,MATCH(3,ArbeitNr,0))),N(INDEX(MinWerktag,MATCH(3,ArbeitNr,0)))))</f>
      </c>
      <c r="E88" s="1">
        <f>IF($AM40="","",IF(OR(E$51&gt;=6,E$50=1),N(INDEX(MinFrei,MATCH(3,ArbeitNr,0))),N(INDEX(MinWerktag,MATCH(3,ArbeitNr,0)))))</f>
      </c>
      <c r="F88" s="1">
        <f>IF($AM40="","",IF(OR(F$51&gt;=6,F$50=1),N(INDEX(MinFrei,MATCH(3,ArbeitNr,0))),N(INDEX(MinWerktag,MATCH(3,ArbeitNr,0)))))</f>
      </c>
      <c r="G88" s="1">
        <f>IF($AM40="","",IF(OR(G$51&gt;=6,G$50=1),N(INDEX(MinFrei,MATCH(3,ArbeitNr,0))),N(INDEX(MinWerktag,MATCH(3,ArbeitNr,0)))))</f>
      </c>
      <c r="H88" s="1">
        <f>IF($AM40="","",IF(OR(H$51&gt;=6,H$50=1),N(INDEX(MinFrei,MATCH(3,ArbeitNr,0))),N(INDEX(MinWerktag,MATCH(3,ArbeitNr,0)))))</f>
      </c>
      <c r="I88" s="1">
        <f>IF($AM40="","",IF(OR(I$51&gt;=6,I$50=1),N(INDEX(MinFrei,MATCH(3,ArbeitNr,0))),N(INDEX(MinWerktag,MATCH(3,ArbeitNr,0)))))</f>
      </c>
      <c r="J88" s="1">
        <f>IF($AM40="","",IF(OR(J$51&gt;=6,J$50=1),N(INDEX(MinFrei,MATCH(3,ArbeitNr,0))),N(INDEX(MinWerktag,MATCH(3,ArbeitNr,0)))))</f>
      </c>
      <c r="K88" s="1">
        <f>IF($AM40="","",IF(OR(K$51&gt;=6,K$50=1),N(INDEX(MinFrei,MATCH(3,ArbeitNr,0))),N(INDEX(MinWerktag,MATCH(3,ArbeitNr,0)))))</f>
      </c>
      <c r="L88" s="1">
        <f>IF($AM40="","",IF(OR(L$51&gt;=6,L$50=1),N(INDEX(MinFrei,MATCH(3,ArbeitNr,0))),N(INDEX(MinWerktag,MATCH(3,ArbeitNr,0)))))</f>
      </c>
      <c r="M88" s="1">
        <f>IF($AM40="","",IF(OR(M$51&gt;=6,M$50=1),N(INDEX(MinFrei,MATCH(3,ArbeitNr,0))),N(INDEX(MinWerktag,MATCH(3,ArbeitNr,0)))))</f>
      </c>
      <c r="N88" s="1">
        <f>IF($AM40="","",IF(OR(N$51&gt;=6,N$50=1),N(INDEX(MinFrei,MATCH(3,ArbeitNr,0))),N(INDEX(MinWerktag,MATCH(3,ArbeitNr,0)))))</f>
      </c>
      <c r="O88" s="1">
        <f>IF($AM40="","",IF(OR(O$51&gt;=6,O$50=1),N(INDEX(MinFrei,MATCH(3,ArbeitNr,0))),N(INDEX(MinWerktag,MATCH(3,ArbeitNr,0)))))</f>
      </c>
      <c r="P88" s="1">
        <f>IF($AM40="","",IF(OR(P$51&gt;=6,P$50=1),N(INDEX(MinFrei,MATCH(3,ArbeitNr,0))),N(INDEX(MinWerktag,MATCH(3,ArbeitNr,0)))))</f>
      </c>
      <c r="Q88" s="1">
        <f>IF($AM40="","",IF(OR(Q$51&gt;=6,Q$50=1),N(INDEX(MinFrei,MATCH(3,ArbeitNr,0))),N(INDEX(MinWerktag,MATCH(3,ArbeitNr,0)))))</f>
      </c>
      <c r="R88" s="1">
        <f>IF($AM40="","",IF(OR(R$51&gt;=6,R$50=1),N(INDEX(MinFrei,MATCH(3,ArbeitNr,0))),N(INDEX(MinWerktag,MATCH(3,ArbeitNr,0)))))</f>
      </c>
      <c r="S88" s="1">
        <f>IF($AM40="","",IF(OR(S$51&gt;=6,S$50=1),N(INDEX(MinFrei,MATCH(3,ArbeitNr,0))),N(INDEX(MinWerktag,MATCH(3,ArbeitNr,0)))))</f>
      </c>
      <c r="T88" s="1">
        <f>IF($AM40="","",IF(OR(T$51&gt;=6,T$50=1),N(INDEX(MinFrei,MATCH(3,ArbeitNr,0))),N(INDEX(MinWerktag,MATCH(3,ArbeitNr,0)))))</f>
      </c>
      <c r="U88" s="1">
        <f>IF($AM40="","",IF(OR(U$51&gt;=6,U$50=1),N(INDEX(MinFrei,MATCH(3,ArbeitNr,0))),N(INDEX(MinWerktag,MATCH(3,ArbeitNr,0)))))</f>
      </c>
      <c r="V88" s="1">
        <f>IF($AM40="","",IF(OR(V$51&gt;=6,V$50=1),N(INDEX(MinFrei,MATCH(3,ArbeitNr,0))),N(INDEX(MinWerktag,MATCH(3,ArbeitNr,0)))))</f>
      </c>
      <c r="W88" s="1">
        <f>IF($AM40="","",IF(OR(W$51&gt;=6,W$50=1),N(INDEX(MinFrei,MATCH(3,ArbeitNr,0))),N(INDEX(MinWerktag,MATCH(3,ArbeitNr,0)))))</f>
      </c>
      <c r="X88" s="1">
        <f>IF($AM40="","",IF(OR(X$51&gt;=6,X$50=1),N(INDEX(MinFrei,MATCH(3,ArbeitNr,0))),N(INDEX(MinWerktag,MATCH(3,ArbeitNr,0)))))</f>
      </c>
      <c r="Y88" s="1">
        <f>IF($AM40="","",IF(OR(Y$51&gt;=6,Y$50=1),N(INDEX(MinFrei,MATCH(3,ArbeitNr,0))),N(INDEX(MinWerktag,MATCH(3,ArbeitNr,0)))))</f>
      </c>
      <c r="Z88" s="1">
        <f>IF($AM40="","",IF(OR(Z$51&gt;=6,Z$50=1),N(INDEX(MinFrei,MATCH(3,ArbeitNr,0))),N(INDEX(MinWerktag,MATCH(3,ArbeitNr,0)))))</f>
      </c>
      <c r="AA88" s="1">
        <f>IF($AM40="","",IF(OR(AA$51&gt;=6,AA$50=1),N(INDEX(MinFrei,MATCH(3,ArbeitNr,0))),N(INDEX(MinWerktag,MATCH(3,ArbeitNr,0)))))</f>
      </c>
      <c r="AB88" s="1">
        <f>IF($AM40="","",IF(OR(AB$51&gt;=6,AB$50=1),N(INDEX(MinFrei,MATCH(3,ArbeitNr,0))),N(INDEX(MinWerktag,MATCH(3,ArbeitNr,0)))))</f>
      </c>
      <c r="AC88" s="1">
        <f>IF($AM40="","",IF(OR(AC$51&gt;=6,AC$50=1),N(INDEX(MinFrei,MATCH(3,ArbeitNr,0))),N(INDEX(MinWerktag,MATCH(3,ArbeitNr,0)))))</f>
      </c>
      <c r="AD88" s="1">
        <f>IF($AM40="","",IF(OR(AD$51&gt;=6,AD$50=1),N(INDEX(MinFrei,MATCH(3,ArbeitNr,0))),N(INDEX(MinWerktag,MATCH(3,ArbeitNr,0)))))</f>
      </c>
      <c r="AE88" s="1">
        <f>IF($AM40="","",IF(OR(AE$51&gt;=6,AE$50=1),N(INDEX(MinFrei,MATCH(3,ArbeitNr,0))),N(INDEX(MinWerktag,MATCH(3,ArbeitNr,0)))))</f>
      </c>
      <c r="AF88" s="1">
        <f>IF($AM40="","",IF(OR(AF$51&gt;=6,AF$50=1),N(INDEX(MinFrei,MATCH(3,ArbeitNr,0))),N(INDEX(MinWerktag,MATCH(3,ArbeitNr,0)))))</f>
      </c>
    </row>
    <row r="89" hidden="1" spans="1:32" x14ac:dyDescent="0.25">
      <c r="A89" s="1"/>
      <c r="B89" s="1">
        <f>IF($AM41="","",IF(OR(B$51&gt;=6,B$50=1),N(INDEX(MinFrei,MATCH(4,ArbeitNr,0))),N(INDEX(MinWerktag,MATCH(4,ArbeitNr,0)))))</f>
      </c>
      <c r="C89" s="1">
        <f>IF($AM41="","",IF(OR(C$51&gt;=6,C$50=1),N(INDEX(MinFrei,MATCH(4,ArbeitNr,0))),N(INDEX(MinWerktag,MATCH(4,ArbeitNr,0)))))</f>
      </c>
      <c r="D89" s="1">
        <f>IF($AM41="","",IF(OR(D$51&gt;=6,D$50=1),N(INDEX(MinFrei,MATCH(4,ArbeitNr,0))),N(INDEX(MinWerktag,MATCH(4,ArbeitNr,0)))))</f>
      </c>
      <c r="E89" s="1">
        <f>IF($AM41="","",IF(OR(E$51&gt;=6,E$50=1),N(INDEX(MinFrei,MATCH(4,ArbeitNr,0))),N(INDEX(MinWerktag,MATCH(4,ArbeitNr,0)))))</f>
      </c>
      <c r="F89" s="1">
        <f>IF($AM41="","",IF(OR(F$51&gt;=6,F$50=1),N(INDEX(MinFrei,MATCH(4,ArbeitNr,0))),N(INDEX(MinWerktag,MATCH(4,ArbeitNr,0)))))</f>
      </c>
      <c r="G89" s="1">
        <f>IF($AM41="","",IF(OR(G$51&gt;=6,G$50=1),N(INDEX(MinFrei,MATCH(4,ArbeitNr,0))),N(INDEX(MinWerktag,MATCH(4,ArbeitNr,0)))))</f>
      </c>
      <c r="H89" s="1">
        <f>IF($AM41="","",IF(OR(H$51&gt;=6,H$50=1),N(INDEX(MinFrei,MATCH(4,ArbeitNr,0))),N(INDEX(MinWerktag,MATCH(4,ArbeitNr,0)))))</f>
      </c>
      <c r="I89" s="1">
        <f>IF($AM41="","",IF(OR(I$51&gt;=6,I$50=1),N(INDEX(MinFrei,MATCH(4,ArbeitNr,0))),N(INDEX(MinWerktag,MATCH(4,ArbeitNr,0)))))</f>
      </c>
      <c r="J89" s="1">
        <f>IF($AM41="","",IF(OR(J$51&gt;=6,J$50=1),N(INDEX(MinFrei,MATCH(4,ArbeitNr,0))),N(INDEX(MinWerktag,MATCH(4,ArbeitNr,0)))))</f>
      </c>
      <c r="K89" s="1">
        <f>IF($AM41="","",IF(OR(K$51&gt;=6,K$50=1),N(INDEX(MinFrei,MATCH(4,ArbeitNr,0))),N(INDEX(MinWerktag,MATCH(4,ArbeitNr,0)))))</f>
      </c>
      <c r="L89" s="1">
        <f>IF($AM41="","",IF(OR(L$51&gt;=6,L$50=1),N(INDEX(MinFrei,MATCH(4,ArbeitNr,0))),N(INDEX(MinWerktag,MATCH(4,ArbeitNr,0)))))</f>
      </c>
      <c r="M89" s="1">
        <f>IF($AM41="","",IF(OR(M$51&gt;=6,M$50=1),N(INDEX(MinFrei,MATCH(4,ArbeitNr,0))),N(INDEX(MinWerktag,MATCH(4,ArbeitNr,0)))))</f>
      </c>
      <c r="N89" s="1">
        <f>IF($AM41="","",IF(OR(N$51&gt;=6,N$50=1),N(INDEX(MinFrei,MATCH(4,ArbeitNr,0))),N(INDEX(MinWerktag,MATCH(4,ArbeitNr,0)))))</f>
      </c>
      <c r="O89" s="1">
        <f>IF($AM41="","",IF(OR(O$51&gt;=6,O$50=1),N(INDEX(MinFrei,MATCH(4,ArbeitNr,0))),N(INDEX(MinWerktag,MATCH(4,ArbeitNr,0)))))</f>
      </c>
      <c r="P89" s="1">
        <f>IF($AM41="","",IF(OR(P$51&gt;=6,P$50=1),N(INDEX(MinFrei,MATCH(4,ArbeitNr,0))),N(INDEX(MinWerktag,MATCH(4,ArbeitNr,0)))))</f>
      </c>
      <c r="Q89" s="1">
        <f>IF($AM41="","",IF(OR(Q$51&gt;=6,Q$50=1),N(INDEX(MinFrei,MATCH(4,ArbeitNr,0))),N(INDEX(MinWerktag,MATCH(4,ArbeitNr,0)))))</f>
      </c>
      <c r="R89" s="1">
        <f>IF($AM41="","",IF(OR(R$51&gt;=6,R$50=1),N(INDEX(MinFrei,MATCH(4,ArbeitNr,0))),N(INDEX(MinWerktag,MATCH(4,ArbeitNr,0)))))</f>
      </c>
      <c r="S89" s="1">
        <f>IF($AM41="","",IF(OR(S$51&gt;=6,S$50=1),N(INDEX(MinFrei,MATCH(4,ArbeitNr,0))),N(INDEX(MinWerktag,MATCH(4,ArbeitNr,0)))))</f>
      </c>
      <c r="T89" s="1">
        <f>IF($AM41="","",IF(OR(T$51&gt;=6,T$50=1),N(INDEX(MinFrei,MATCH(4,ArbeitNr,0))),N(INDEX(MinWerktag,MATCH(4,ArbeitNr,0)))))</f>
      </c>
      <c r="U89" s="1">
        <f>IF($AM41="","",IF(OR(U$51&gt;=6,U$50=1),N(INDEX(MinFrei,MATCH(4,ArbeitNr,0))),N(INDEX(MinWerktag,MATCH(4,ArbeitNr,0)))))</f>
      </c>
      <c r="V89" s="1">
        <f>IF($AM41="","",IF(OR(V$51&gt;=6,V$50=1),N(INDEX(MinFrei,MATCH(4,ArbeitNr,0))),N(INDEX(MinWerktag,MATCH(4,ArbeitNr,0)))))</f>
      </c>
      <c r="W89" s="1">
        <f>IF($AM41="","",IF(OR(W$51&gt;=6,W$50=1),N(INDEX(MinFrei,MATCH(4,ArbeitNr,0))),N(INDEX(MinWerktag,MATCH(4,ArbeitNr,0)))))</f>
      </c>
      <c r="X89" s="1">
        <f>IF($AM41="","",IF(OR(X$51&gt;=6,X$50=1),N(INDEX(MinFrei,MATCH(4,ArbeitNr,0))),N(INDEX(MinWerktag,MATCH(4,ArbeitNr,0)))))</f>
      </c>
      <c r="Y89" s="1">
        <f>IF($AM41="","",IF(OR(Y$51&gt;=6,Y$50=1),N(INDEX(MinFrei,MATCH(4,ArbeitNr,0))),N(INDEX(MinWerktag,MATCH(4,ArbeitNr,0)))))</f>
      </c>
      <c r="Z89" s="1">
        <f>IF($AM41="","",IF(OR(Z$51&gt;=6,Z$50=1),N(INDEX(MinFrei,MATCH(4,ArbeitNr,0))),N(INDEX(MinWerktag,MATCH(4,ArbeitNr,0)))))</f>
      </c>
      <c r="AA89" s="1">
        <f>IF($AM41="","",IF(OR(AA$51&gt;=6,AA$50=1),N(INDEX(MinFrei,MATCH(4,ArbeitNr,0))),N(INDEX(MinWerktag,MATCH(4,ArbeitNr,0)))))</f>
      </c>
      <c r="AB89" s="1">
        <f>IF($AM41="","",IF(OR(AB$51&gt;=6,AB$50=1),N(INDEX(MinFrei,MATCH(4,ArbeitNr,0))),N(INDEX(MinWerktag,MATCH(4,ArbeitNr,0)))))</f>
      </c>
      <c r="AC89" s="1">
        <f>IF($AM41="","",IF(OR(AC$51&gt;=6,AC$50=1),N(INDEX(MinFrei,MATCH(4,ArbeitNr,0))),N(INDEX(MinWerktag,MATCH(4,ArbeitNr,0)))))</f>
      </c>
      <c r="AD89" s="1">
        <f>IF($AM41="","",IF(OR(AD$51&gt;=6,AD$50=1),N(INDEX(MinFrei,MATCH(4,ArbeitNr,0))),N(INDEX(MinWerktag,MATCH(4,ArbeitNr,0)))))</f>
      </c>
      <c r="AE89" s="1">
        <f>IF($AM41="","",IF(OR(AE$51&gt;=6,AE$50=1),N(INDEX(MinFrei,MATCH(4,ArbeitNr,0))),N(INDEX(MinWerktag,MATCH(4,ArbeitNr,0)))))</f>
      </c>
      <c r="AF89" s="1">
        <f>IF($AM41="","",IF(OR(AF$51&gt;=6,AF$50=1),N(INDEX(MinFrei,MATCH(4,ArbeitNr,0))),N(INDEX(MinWerktag,MATCH(4,ArbeitNr,0)))))</f>
      </c>
    </row>
    <row r="90" hidden="1" spans="1:32" x14ac:dyDescent="0.25">
      <c r="A90" s="1"/>
      <c r="B90" s="1">
        <f>IF($AM42="","",IF(OR(B$51&gt;=6,B$50=1),N(INDEX(MinFrei,MATCH(5,ArbeitNr,0))),N(INDEX(MinWerktag,MATCH(5,ArbeitNr,0)))))</f>
      </c>
      <c r="C90" s="1">
        <f>IF($AM42="","",IF(OR(C$51&gt;=6,C$50=1),N(INDEX(MinFrei,MATCH(5,ArbeitNr,0))),N(INDEX(MinWerktag,MATCH(5,ArbeitNr,0)))))</f>
      </c>
      <c r="D90" s="1">
        <f>IF($AM42="","",IF(OR(D$51&gt;=6,D$50=1),N(INDEX(MinFrei,MATCH(5,ArbeitNr,0))),N(INDEX(MinWerktag,MATCH(5,ArbeitNr,0)))))</f>
      </c>
      <c r="E90" s="1">
        <f>IF($AM42="","",IF(OR(E$51&gt;=6,E$50=1),N(INDEX(MinFrei,MATCH(5,ArbeitNr,0))),N(INDEX(MinWerktag,MATCH(5,ArbeitNr,0)))))</f>
      </c>
      <c r="F90" s="1">
        <f>IF($AM42="","",IF(OR(F$51&gt;=6,F$50=1),N(INDEX(MinFrei,MATCH(5,ArbeitNr,0))),N(INDEX(MinWerktag,MATCH(5,ArbeitNr,0)))))</f>
      </c>
      <c r="G90" s="1">
        <f>IF($AM42="","",IF(OR(G$51&gt;=6,G$50=1),N(INDEX(MinFrei,MATCH(5,ArbeitNr,0))),N(INDEX(MinWerktag,MATCH(5,ArbeitNr,0)))))</f>
      </c>
      <c r="H90" s="1">
        <f>IF($AM42="","",IF(OR(H$51&gt;=6,H$50=1),N(INDEX(MinFrei,MATCH(5,ArbeitNr,0))),N(INDEX(MinWerktag,MATCH(5,ArbeitNr,0)))))</f>
      </c>
      <c r="I90" s="1">
        <f>IF($AM42="","",IF(OR(I$51&gt;=6,I$50=1),N(INDEX(MinFrei,MATCH(5,ArbeitNr,0))),N(INDEX(MinWerktag,MATCH(5,ArbeitNr,0)))))</f>
      </c>
      <c r="J90" s="1">
        <f>IF($AM42="","",IF(OR(J$51&gt;=6,J$50=1),N(INDEX(MinFrei,MATCH(5,ArbeitNr,0))),N(INDEX(MinWerktag,MATCH(5,ArbeitNr,0)))))</f>
      </c>
      <c r="K90" s="1">
        <f>IF($AM42="","",IF(OR(K$51&gt;=6,K$50=1),N(INDEX(MinFrei,MATCH(5,ArbeitNr,0))),N(INDEX(MinWerktag,MATCH(5,ArbeitNr,0)))))</f>
      </c>
      <c r="L90" s="1">
        <f>IF($AM42="","",IF(OR(L$51&gt;=6,L$50=1),N(INDEX(MinFrei,MATCH(5,ArbeitNr,0))),N(INDEX(MinWerktag,MATCH(5,ArbeitNr,0)))))</f>
      </c>
      <c r="M90" s="1">
        <f>IF($AM42="","",IF(OR(M$51&gt;=6,M$50=1),N(INDEX(MinFrei,MATCH(5,ArbeitNr,0))),N(INDEX(MinWerktag,MATCH(5,ArbeitNr,0)))))</f>
      </c>
      <c r="N90" s="1">
        <f>IF($AM42="","",IF(OR(N$51&gt;=6,N$50=1),N(INDEX(MinFrei,MATCH(5,ArbeitNr,0))),N(INDEX(MinWerktag,MATCH(5,ArbeitNr,0)))))</f>
      </c>
      <c r="O90" s="1">
        <f>IF($AM42="","",IF(OR(O$51&gt;=6,O$50=1),N(INDEX(MinFrei,MATCH(5,ArbeitNr,0))),N(INDEX(MinWerktag,MATCH(5,ArbeitNr,0)))))</f>
      </c>
      <c r="P90" s="1">
        <f>IF($AM42="","",IF(OR(P$51&gt;=6,P$50=1),N(INDEX(MinFrei,MATCH(5,ArbeitNr,0))),N(INDEX(MinWerktag,MATCH(5,ArbeitNr,0)))))</f>
      </c>
      <c r="Q90" s="1">
        <f>IF($AM42="","",IF(OR(Q$51&gt;=6,Q$50=1),N(INDEX(MinFrei,MATCH(5,ArbeitNr,0))),N(INDEX(MinWerktag,MATCH(5,ArbeitNr,0)))))</f>
      </c>
      <c r="R90" s="1">
        <f>IF($AM42="","",IF(OR(R$51&gt;=6,R$50=1),N(INDEX(MinFrei,MATCH(5,ArbeitNr,0))),N(INDEX(MinWerktag,MATCH(5,ArbeitNr,0)))))</f>
      </c>
      <c r="S90" s="1">
        <f>IF($AM42="","",IF(OR(S$51&gt;=6,S$50=1),N(INDEX(MinFrei,MATCH(5,ArbeitNr,0))),N(INDEX(MinWerktag,MATCH(5,ArbeitNr,0)))))</f>
      </c>
      <c r="T90" s="1">
        <f>IF($AM42="","",IF(OR(T$51&gt;=6,T$50=1),N(INDEX(MinFrei,MATCH(5,ArbeitNr,0))),N(INDEX(MinWerktag,MATCH(5,ArbeitNr,0)))))</f>
      </c>
      <c r="U90" s="1">
        <f>IF($AM42="","",IF(OR(U$51&gt;=6,U$50=1),N(INDEX(MinFrei,MATCH(5,ArbeitNr,0))),N(INDEX(MinWerktag,MATCH(5,ArbeitNr,0)))))</f>
      </c>
      <c r="V90" s="1">
        <f>IF($AM42="","",IF(OR(V$51&gt;=6,V$50=1),N(INDEX(MinFrei,MATCH(5,ArbeitNr,0))),N(INDEX(MinWerktag,MATCH(5,ArbeitNr,0)))))</f>
      </c>
      <c r="W90" s="1">
        <f>IF($AM42="","",IF(OR(W$51&gt;=6,W$50=1),N(INDEX(MinFrei,MATCH(5,ArbeitNr,0))),N(INDEX(MinWerktag,MATCH(5,ArbeitNr,0)))))</f>
      </c>
      <c r="X90" s="1">
        <f>IF($AM42="","",IF(OR(X$51&gt;=6,X$50=1),N(INDEX(MinFrei,MATCH(5,ArbeitNr,0))),N(INDEX(MinWerktag,MATCH(5,ArbeitNr,0)))))</f>
      </c>
      <c r="Y90" s="1">
        <f>IF($AM42="","",IF(OR(Y$51&gt;=6,Y$50=1),N(INDEX(MinFrei,MATCH(5,ArbeitNr,0))),N(INDEX(MinWerktag,MATCH(5,ArbeitNr,0)))))</f>
      </c>
      <c r="Z90" s="1">
        <f>IF($AM42="","",IF(OR(Z$51&gt;=6,Z$50=1),N(INDEX(MinFrei,MATCH(5,ArbeitNr,0))),N(INDEX(MinWerktag,MATCH(5,ArbeitNr,0)))))</f>
      </c>
      <c r="AA90" s="1">
        <f>IF($AM42="","",IF(OR(AA$51&gt;=6,AA$50=1),N(INDEX(MinFrei,MATCH(5,ArbeitNr,0))),N(INDEX(MinWerktag,MATCH(5,ArbeitNr,0)))))</f>
      </c>
      <c r="AB90" s="1">
        <f>IF($AM42="","",IF(OR(AB$51&gt;=6,AB$50=1),N(INDEX(MinFrei,MATCH(5,ArbeitNr,0))),N(INDEX(MinWerktag,MATCH(5,ArbeitNr,0)))))</f>
      </c>
      <c r="AC90" s="1">
        <f>IF($AM42="","",IF(OR(AC$51&gt;=6,AC$50=1),N(INDEX(MinFrei,MATCH(5,ArbeitNr,0))),N(INDEX(MinWerktag,MATCH(5,ArbeitNr,0)))))</f>
      </c>
      <c r="AD90" s="1">
        <f>IF($AM42="","",IF(OR(AD$51&gt;=6,AD$50=1),N(INDEX(MinFrei,MATCH(5,ArbeitNr,0))),N(INDEX(MinWerktag,MATCH(5,ArbeitNr,0)))))</f>
      </c>
      <c r="AE90" s="1">
        <f>IF($AM42="","",IF(OR(AE$51&gt;=6,AE$50=1),N(INDEX(MinFrei,MATCH(5,ArbeitNr,0))),N(INDEX(MinWerktag,MATCH(5,ArbeitNr,0)))))</f>
      </c>
      <c r="AF90" s="1">
        <f>IF($AM42="","",IF(OR(AF$51&gt;=6,AF$50=1),N(INDEX(MinFrei,MATCH(5,ArbeitNr,0))),N(INDEX(MinWerktag,MATCH(5,ArbeitNr,0)))))</f>
      </c>
    </row>
    <row r="91" hidden="1" spans="1:32" x14ac:dyDescent="0.25">
      <c r="A91" s="1"/>
      <c r="B91" s="1">
        <f>IF($AM43="","",IF(OR(B$51&gt;=6,B$50=1),N(INDEX(MinFrei,MATCH(6,ArbeitNr,0))),N(INDEX(MinWerktag,MATCH(6,ArbeitNr,0)))))</f>
      </c>
      <c r="C91" s="1">
        <f>IF($AM43="","",IF(OR(C$51&gt;=6,C$50=1),N(INDEX(MinFrei,MATCH(6,ArbeitNr,0))),N(INDEX(MinWerktag,MATCH(6,ArbeitNr,0)))))</f>
      </c>
      <c r="D91" s="1">
        <f>IF($AM43="","",IF(OR(D$51&gt;=6,D$50=1),N(INDEX(MinFrei,MATCH(6,ArbeitNr,0))),N(INDEX(MinWerktag,MATCH(6,ArbeitNr,0)))))</f>
      </c>
      <c r="E91" s="1">
        <f>IF($AM43="","",IF(OR(E$51&gt;=6,E$50=1),N(INDEX(MinFrei,MATCH(6,ArbeitNr,0))),N(INDEX(MinWerktag,MATCH(6,ArbeitNr,0)))))</f>
      </c>
      <c r="F91" s="1">
        <f>IF($AM43="","",IF(OR(F$51&gt;=6,F$50=1),N(INDEX(MinFrei,MATCH(6,ArbeitNr,0))),N(INDEX(MinWerktag,MATCH(6,ArbeitNr,0)))))</f>
      </c>
      <c r="G91" s="1">
        <f>IF($AM43="","",IF(OR(G$51&gt;=6,G$50=1),N(INDEX(MinFrei,MATCH(6,ArbeitNr,0))),N(INDEX(MinWerktag,MATCH(6,ArbeitNr,0)))))</f>
      </c>
      <c r="H91" s="1">
        <f>IF($AM43="","",IF(OR(H$51&gt;=6,H$50=1),N(INDEX(MinFrei,MATCH(6,ArbeitNr,0))),N(INDEX(MinWerktag,MATCH(6,ArbeitNr,0)))))</f>
      </c>
      <c r="I91" s="1">
        <f>IF($AM43="","",IF(OR(I$51&gt;=6,I$50=1),N(INDEX(MinFrei,MATCH(6,ArbeitNr,0))),N(INDEX(MinWerktag,MATCH(6,ArbeitNr,0)))))</f>
      </c>
      <c r="J91" s="1">
        <f>IF($AM43="","",IF(OR(J$51&gt;=6,J$50=1),N(INDEX(MinFrei,MATCH(6,ArbeitNr,0))),N(INDEX(MinWerktag,MATCH(6,ArbeitNr,0)))))</f>
      </c>
      <c r="K91" s="1">
        <f>IF($AM43="","",IF(OR(K$51&gt;=6,K$50=1),N(INDEX(MinFrei,MATCH(6,ArbeitNr,0))),N(INDEX(MinWerktag,MATCH(6,ArbeitNr,0)))))</f>
      </c>
      <c r="L91" s="1">
        <f>IF($AM43="","",IF(OR(L$51&gt;=6,L$50=1),N(INDEX(MinFrei,MATCH(6,ArbeitNr,0))),N(INDEX(MinWerktag,MATCH(6,ArbeitNr,0)))))</f>
      </c>
      <c r="M91" s="1">
        <f>IF($AM43="","",IF(OR(M$51&gt;=6,M$50=1),N(INDEX(MinFrei,MATCH(6,ArbeitNr,0))),N(INDEX(MinWerktag,MATCH(6,ArbeitNr,0)))))</f>
      </c>
      <c r="N91" s="1">
        <f>IF($AM43="","",IF(OR(N$51&gt;=6,N$50=1),N(INDEX(MinFrei,MATCH(6,ArbeitNr,0))),N(INDEX(MinWerktag,MATCH(6,ArbeitNr,0)))))</f>
      </c>
      <c r="O91" s="1">
        <f>IF($AM43="","",IF(OR(O$51&gt;=6,O$50=1),N(INDEX(MinFrei,MATCH(6,ArbeitNr,0))),N(INDEX(MinWerktag,MATCH(6,ArbeitNr,0)))))</f>
      </c>
      <c r="P91" s="1">
        <f>IF($AM43="","",IF(OR(P$51&gt;=6,P$50=1),N(INDEX(MinFrei,MATCH(6,ArbeitNr,0))),N(INDEX(MinWerktag,MATCH(6,ArbeitNr,0)))))</f>
      </c>
      <c r="Q91" s="1">
        <f>IF($AM43="","",IF(OR(Q$51&gt;=6,Q$50=1),N(INDEX(MinFrei,MATCH(6,ArbeitNr,0))),N(INDEX(MinWerktag,MATCH(6,ArbeitNr,0)))))</f>
      </c>
      <c r="R91" s="1">
        <f>IF($AM43="","",IF(OR(R$51&gt;=6,R$50=1),N(INDEX(MinFrei,MATCH(6,ArbeitNr,0))),N(INDEX(MinWerktag,MATCH(6,ArbeitNr,0)))))</f>
      </c>
      <c r="S91" s="1">
        <f>IF($AM43="","",IF(OR(S$51&gt;=6,S$50=1),N(INDEX(MinFrei,MATCH(6,ArbeitNr,0))),N(INDEX(MinWerktag,MATCH(6,ArbeitNr,0)))))</f>
      </c>
      <c r="T91" s="1">
        <f>IF($AM43="","",IF(OR(T$51&gt;=6,T$50=1),N(INDEX(MinFrei,MATCH(6,ArbeitNr,0))),N(INDEX(MinWerktag,MATCH(6,ArbeitNr,0)))))</f>
      </c>
      <c r="U91" s="1">
        <f>IF($AM43="","",IF(OR(U$51&gt;=6,U$50=1),N(INDEX(MinFrei,MATCH(6,ArbeitNr,0))),N(INDEX(MinWerktag,MATCH(6,ArbeitNr,0)))))</f>
      </c>
      <c r="V91" s="1">
        <f>IF($AM43="","",IF(OR(V$51&gt;=6,V$50=1),N(INDEX(MinFrei,MATCH(6,ArbeitNr,0))),N(INDEX(MinWerktag,MATCH(6,ArbeitNr,0)))))</f>
      </c>
      <c r="W91" s="1">
        <f>IF($AM43="","",IF(OR(W$51&gt;=6,W$50=1),N(INDEX(MinFrei,MATCH(6,ArbeitNr,0))),N(INDEX(MinWerktag,MATCH(6,ArbeitNr,0)))))</f>
      </c>
      <c r="X91" s="1">
        <f>IF($AM43="","",IF(OR(X$51&gt;=6,X$50=1),N(INDEX(MinFrei,MATCH(6,ArbeitNr,0))),N(INDEX(MinWerktag,MATCH(6,ArbeitNr,0)))))</f>
      </c>
      <c r="Y91" s="1">
        <f>IF($AM43="","",IF(OR(Y$51&gt;=6,Y$50=1),N(INDEX(MinFrei,MATCH(6,ArbeitNr,0))),N(INDEX(MinWerktag,MATCH(6,ArbeitNr,0)))))</f>
      </c>
      <c r="Z91" s="1">
        <f>IF($AM43="","",IF(OR(Z$51&gt;=6,Z$50=1),N(INDEX(MinFrei,MATCH(6,ArbeitNr,0))),N(INDEX(MinWerktag,MATCH(6,ArbeitNr,0)))))</f>
      </c>
      <c r="AA91" s="1">
        <f>IF($AM43="","",IF(OR(AA$51&gt;=6,AA$50=1),N(INDEX(MinFrei,MATCH(6,ArbeitNr,0))),N(INDEX(MinWerktag,MATCH(6,ArbeitNr,0)))))</f>
      </c>
      <c r="AB91" s="1">
        <f>IF($AM43="","",IF(OR(AB$51&gt;=6,AB$50=1),N(INDEX(MinFrei,MATCH(6,ArbeitNr,0))),N(INDEX(MinWerktag,MATCH(6,ArbeitNr,0)))))</f>
      </c>
      <c r="AC91" s="1">
        <f>IF($AM43="","",IF(OR(AC$51&gt;=6,AC$50=1),N(INDEX(MinFrei,MATCH(6,ArbeitNr,0))),N(INDEX(MinWerktag,MATCH(6,ArbeitNr,0)))))</f>
      </c>
      <c r="AD91" s="1">
        <f>IF($AM43="","",IF(OR(AD$51&gt;=6,AD$50=1),N(INDEX(MinFrei,MATCH(6,ArbeitNr,0))),N(INDEX(MinWerktag,MATCH(6,ArbeitNr,0)))))</f>
      </c>
      <c r="AE91" s="1">
        <f>IF($AM43="","",IF(OR(AE$51&gt;=6,AE$50=1),N(INDEX(MinFrei,MATCH(6,ArbeitNr,0))),N(INDEX(MinWerktag,MATCH(6,ArbeitNr,0)))))</f>
      </c>
      <c r="AF91" s="1">
        <f>IF($AM43="","",IF(OR(AF$51&gt;=6,AF$50=1),N(INDEX(MinFrei,MATCH(6,ArbeitNr,0))),N(INDEX(MinWerktag,MATCH(6,ArbeitNr,0)))))</f>
      </c>
    </row>
    <row r="92" hidden="1" spans="1:32" x14ac:dyDescent="0.25">
      <c r="A92" s="1"/>
      <c r="B92" s="1">
        <f>IF($AM44="","",IF(OR(B$51&gt;=6,B$50=1),N(INDEX(MinFrei,MATCH(7,ArbeitNr,0))),N(INDEX(MinWerktag,MATCH(7,ArbeitNr,0)))))</f>
      </c>
      <c r="C92" s="1">
        <f>IF($AM44="","",IF(OR(C$51&gt;=6,C$50=1),N(INDEX(MinFrei,MATCH(7,ArbeitNr,0))),N(INDEX(MinWerktag,MATCH(7,ArbeitNr,0)))))</f>
      </c>
      <c r="D92" s="1">
        <f>IF($AM44="","",IF(OR(D$51&gt;=6,D$50=1),N(INDEX(MinFrei,MATCH(7,ArbeitNr,0))),N(INDEX(MinWerktag,MATCH(7,ArbeitNr,0)))))</f>
      </c>
      <c r="E92" s="1">
        <f>IF($AM44="","",IF(OR(E$51&gt;=6,E$50=1),N(INDEX(MinFrei,MATCH(7,ArbeitNr,0))),N(INDEX(MinWerktag,MATCH(7,ArbeitNr,0)))))</f>
      </c>
      <c r="F92" s="1">
        <f>IF($AM44="","",IF(OR(F$51&gt;=6,F$50=1),N(INDEX(MinFrei,MATCH(7,ArbeitNr,0))),N(INDEX(MinWerktag,MATCH(7,ArbeitNr,0)))))</f>
      </c>
      <c r="G92" s="1">
        <f>IF($AM44="","",IF(OR(G$51&gt;=6,G$50=1),N(INDEX(MinFrei,MATCH(7,ArbeitNr,0))),N(INDEX(MinWerktag,MATCH(7,ArbeitNr,0)))))</f>
      </c>
      <c r="H92" s="1">
        <f>IF($AM44="","",IF(OR(H$51&gt;=6,H$50=1),N(INDEX(MinFrei,MATCH(7,ArbeitNr,0))),N(INDEX(MinWerktag,MATCH(7,ArbeitNr,0)))))</f>
      </c>
      <c r="I92" s="1">
        <f>IF($AM44="","",IF(OR(I$51&gt;=6,I$50=1),N(INDEX(MinFrei,MATCH(7,ArbeitNr,0))),N(INDEX(MinWerktag,MATCH(7,ArbeitNr,0)))))</f>
      </c>
      <c r="J92" s="1">
        <f>IF($AM44="","",IF(OR(J$51&gt;=6,J$50=1),N(INDEX(MinFrei,MATCH(7,ArbeitNr,0))),N(INDEX(MinWerktag,MATCH(7,ArbeitNr,0)))))</f>
      </c>
      <c r="K92" s="1">
        <f>IF($AM44="","",IF(OR(K$51&gt;=6,K$50=1),N(INDEX(MinFrei,MATCH(7,ArbeitNr,0))),N(INDEX(MinWerktag,MATCH(7,ArbeitNr,0)))))</f>
      </c>
      <c r="L92" s="1">
        <f>IF($AM44="","",IF(OR(L$51&gt;=6,L$50=1),N(INDEX(MinFrei,MATCH(7,ArbeitNr,0))),N(INDEX(MinWerktag,MATCH(7,ArbeitNr,0)))))</f>
      </c>
      <c r="M92" s="1">
        <f>IF($AM44="","",IF(OR(M$51&gt;=6,M$50=1),N(INDEX(MinFrei,MATCH(7,ArbeitNr,0))),N(INDEX(MinWerktag,MATCH(7,ArbeitNr,0)))))</f>
      </c>
      <c r="N92" s="1">
        <f>IF($AM44="","",IF(OR(N$51&gt;=6,N$50=1),N(INDEX(MinFrei,MATCH(7,ArbeitNr,0))),N(INDEX(MinWerktag,MATCH(7,ArbeitNr,0)))))</f>
      </c>
      <c r="O92" s="1">
        <f>IF($AM44="","",IF(OR(O$51&gt;=6,O$50=1),N(INDEX(MinFrei,MATCH(7,ArbeitNr,0))),N(INDEX(MinWerktag,MATCH(7,ArbeitNr,0)))))</f>
      </c>
      <c r="P92" s="1">
        <f>IF($AM44="","",IF(OR(P$51&gt;=6,P$50=1),N(INDEX(MinFrei,MATCH(7,ArbeitNr,0))),N(INDEX(MinWerktag,MATCH(7,ArbeitNr,0)))))</f>
      </c>
      <c r="Q92" s="1">
        <f>IF($AM44="","",IF(OR(Q$51&gt;=6,Q$50=1),N(INDEX(MinFrei,MATCH(7,ArbeitNr,0))),N(INDEX(MinWerktag,MATCH(7,ArbeitNr,0)))))</f>
      </c>
      <c r="R92" s="1">
        <f>IF($AM44="","",IF(OR(R$51&gt;=6,R$50=1),N(INDEX(MinFrei,MATCH(7,ArbeitNr,0))),N(INDEX(MinWerktag,MATCH(7,ArbeitNr,0)))))</f>
      </c>
      <c r="S92" s="1">
        <f>IF($AM44="","",IF(OR(S$51&gt;=6,S$50=1),N(INDEX(MinFrei,MATCH(7,ArbeitNr,0))),N(INDEX(MinWerktag,MATCH(7,ArbeitNr,0)))))</f>
      </c>
      <c r="T92" s="1">
        <f>IF($AM44="","",IF(OR(T$51&gt;=6,T$50=1),N(INDEX(MinFrei,MATCH(7,ArbeitNr,0))),N(INDEX(MinWerktag,MATCH(7,ArbeitNr,0)))))</f>
      </c>
      <c r="U92" s="1">
        <f>IF($AM44="","",IF(OR(U$51&gt;=6,U$50=1),N(INDEX(MinFrei,MATCH(7,ArbeitNr,0))),N(INDEX(MinWerktag,MATCH(7,ArbeitNr,0)))))</f>
      </c>
      <c r="V92" s="1">
        <f>IF($AM44="","",IF(OR(V$51&gt;=6,V$50=1),N(INDEX(MinFrei,MATCH(7,ArbeitNr,0))),N(INDEX(MinWerktag,MATCH(7,ArbeitNr,0)))))</f>
      </c>
      <c r="W92" s="1">
        <f>IF($AM44="","",IF(OR(W$51&gt;=6,W$50=1),N(INDEX(MinFrei,MATCH(7,ArbeitNr,0))),N(INDEX(MinWerktag,MATCH(7,ArbeitNr,0)))))</f>
      </c>
      <c r="X92" s="1">
        <f>IF($AM44="","",IF(OR(X$51&gt;=6,X$50=1),N(INDEX(MinFrei,MATCH(7,ArbeitNr,0))),N(INDEX(MinWerktag,MATCH(7,ArbeitNr,0)))))</f>
      </c>
      <c r="Y92" s="1">
        <f>IF($AM44="","",IF(OR(Y$51&gt;=6,Y$50=1),N(INDEX(MinFrei,MATCH(7,ArbeitNr,0))),N(INDEX(MinWerktag,MATCH(7,ArbeitNr,0)))))</f>
      </c>
      <c r="Z92" s="1">
        <f>IF($AM44="","",IF(OR(Z$51&gt;=6,Z$50=1),N(INDEX(MinFrei,MATCH(7,ArbeitNr,0))),N(INDEX(MinWerktag,MATCH(7,ArbeitNr,0)))))</f>
      </c>
      <c r="AA92" s="1">
        <f>IF($AM44="","",IF(OR(AA$51&gt;=6,AA$50=1),N(INDEX(MinFrei,MATCH(7,ArbeitNr,0))),N(INDEX(MinWerktag,MATCH(7,ArbeitNr,0)))))</f>
      </c>
      <c r="AB92" s="1">
        <f>IF($AM44="","",IF(OR(AB$51&gt;=6,AB$50=1),N(INDEX(MinFrei,MATCH(7,ArbeitNr,0))),N(INDEX(MinWerktag,MATCH(7,ArbeitNr,0)))))</f>
      </c>
      <c r="AC92" s="1">
        <f>IF($AM44="","",IF(OR(AC$51&gt;=6,AC$50=1),N(INDEX(MinFrei,MATCH(7,ArbeitNr,0))),N(INDEX(MinWerktag,MATCH(7,ArbeitNr,0)))))</f>
      </c>
      <c r="AD92" s="1">
        <f>IF($AM44="","",IF(OR(AD$51&gt;=6,AD$50=1),N(INDEX(MinFrei,MATCH(7,ArbeitNr,0))),N(INDEX(MinWerktag,MATCH(7,ArbeitNr,0)))))</f>
      </c>
      <c r="AE92" s="1">
        <f>IF($AM44="","",IF(OR(AE$51&gt;=6,AE$50=1),N(INDEX(MinFrei,MATCH(7,ArbeitNr,0))),N(INDEX(MinWerktag,MATCH(7,ArbeitNr,0)))))</f>
      </c>
      <c r="AF92" s="1">
        <f>IF($AM44="","",IF(OR(AF$51&gt;=6,AF$50=1),N(INDEX(MinFrei,MATCH(7,ArbeitNr,0))),N(INDEX(MinWerktag,MATCH(7,ArbeitNr,0)))))</f>
      </c>
    </row>
    <row r="93" hidden="1" spans="1:32" x14ac:dyDescent="0.25">
      <c r="A93" s="1"/>
      <c r="B93" s="1">
        <f>IF($AM45="","",IF(OR(B$51&gt;=6,B$50=1),N(INDEX(MinFrei,MATCH(8,ArbeitNr,0))),N(INDEX(MinWerktag,MATCH(8,ArbeitNr,0)))))</f>
      </c>
      <c r="C93" s="1">
        <f>IF($AM45="","",IF(OR(C$51&gt;=6,C$50=1),N(INDEX(MinFrei,MATCH(8,ArbeitNr,0))),N(INDEX(MinWerktag,MATCH(8,ArbeitNr,0)))))</f>
      </c>
      <c r="D93" s="1">
        <f>IF($AM45="","",IF(OR(D$51&gt;=6,D$50=1),N(INDEX(MinFrei,MATCH(8,ArbeitNr,0))),N(INDEX(MinWerktag,MATCH(8,ArbeitNr,0)))))</f>
      </c>
      <c r="E93" s="1">
        <f>IF($AM45="","",IF(OR(E$51&gt;=6,E$50=1),N(INDEX(MinFrei,MATCH(8,ArbeitNr,0))),N(INDEX(MinWerktag,MATCH(8,ArbeitNr,0)))))</f>
      </c>
      <c r="F93" s="1">
        <f>IF($AM45="","",IF(OR(F$51&gt;=6,F$50=1),N(INDEX(MinFrei,MATCH(8,ArbeitNr,0))),N(INDEX(MinWerktag,MATCH(8,ArbeitNr,0)))))</f>
      </c>
      <c r="G93" s="1">
        <f>IF($AM45="","",IF(OR(G$51&gt;=6,G$50=1),N(INDEX(MinFrei,MATCH(8,ArbeitNr,0))),N(INDEX(MinWerktag,MATCH(8,ArbeitNr,0)))))</f>
      </c>
      <c r="H93" s="1">
        <f>IF($AM45="","",IF(OR(H$51&gt;=6,H$50=1),N(INDEX(MinFrei,MATCH(8,ArbeitNr,0))),N(INDEX(MinWerktag,MATCH(8,ArbeitNr,0)))))</f>
      </c>
      <c r="I93" s="1">
        <f>IF($AM45="","",IF(OR(I$51&gt;=6,I$50=1),N(INDEX(MinFrei,MATCH(8,ArbeitNr,0))),N(INDEX(MinWerktag,MATCH(8,ArbeitNr,0)))))</f>
      </c>
      <c r="J93" s="1">
        <f>IF($AM45="","",IF(OR(J$51&gt;=6,J$50=1),N(INDEX(MinFrei,MATCH(8,ArbeitNr,0))),N(INDEX(MinWerktag,MATCH(8,ArbeitNr,0)))))</f>
      </c>
      <c r="K93" s="1">
        <f>IF($AM45="","",IF(OR(K$51&gt;=6,K$50=1),N(INDEX(MinFrei,MATCH(8,ArbeitNr,0))),N(INDEX(MinWerktag,MATCH(8,ArbeitNr,0)))))</f>
      </c>
      <c r="L93" s="1">
        <f>IF($AM45="","",IF(OR(L$51&gt;=6,L$50=1),N(INDEX(MinFrei,MATCH(8,ArbeitNr,0))),N(INDEX(MinWerktag,MATCH(8,ArbeitNr,0)))))</f>
      </c>
      <c r="M93" s="1">
        <f>IF($AM45="","",IF(OR(M$51&gt;=6,M$50=1),N(INDEX(MinFrei,MATCH(8,ArbeitNr,0))),N(INDEX(MinWerktag,MATCH(8,ArbeitNr,0)))))</f>
      </c>
      <c r="N93" s="1">
        <f>IF($AM45="","",IF(OR(N$51&gt;=6,N$50=1),N(INDEX(MinFrei,MATCH(8,ArbeitNr,0))),N(INDEX(MinWerktag,MATCH(8,ArbeitNr,0)))))</f>
      </c>
      <c r="O93" s="1">
        <f>IF($AM45="","",IF(OR(O$51&gt;=6,O$50=1),N(INDEX(MinFrei,MATCH(8,ArbeitNr,0))),N(INDEX(MinWerktag,MATCH(8,ArbeitNr,0)))))</f>
      </c>
      <c r="P93" s="1">
        <f>IF($AM45="","",IF(OR(P$51&gt;=6,P$50=1),N(INDEX(MinFrei,MATCH(8,ArbeitNr,0))),N(INDEX(MinWerktag,MATCH(8,ArbeitNr,0)))))</f>
      </c>
      <c r="Q93" s="1">
        <f>IF($AM45="","",IF(OR(Q$51&gt;=6,Q$50=1),N(INDEX(MinFrei,MATCH(8,ArbeitNr,0))),N(INDEX(MinWerktag,MATCH(8,ArbeitNr,0)))))</f>
      </c>
      <c r="R93" s="1">
        <f>IF($AM45="","",IF(OR(R$51&gt;=6,R$50=1),N(INDEX(MinFrei,MATCH(8,ArbeitNr,0))),N(INDEX(MinWerktag,MATCH(8,ArbeitNr,0)))))</f>
      </c>
      <c r="S93" s="1">
        <f>IF($AM45="","",IF(OR(S$51&gt;=6,S$50=1),N(INDEX(MinFrei,MATCH(8,ArbeitNr,0))),N(INDEX(MinWerktag,MATCH(8,ArbeitNr,0)))))</f>
      </c>
      <c r="T93" s="1">
        <f>IF($AM45="","",IF(OR(T$51&gt;=6,T$50=1),N(INDEX(MinFrei,MATCH(8,ArbeitNr,0))),N(INDEX(MinWerktag,MATCH(8,ArbeitNr,0)))))</f>
      </c>
      <c r="U93" s="1">
        <f>IF($AM45="","",IF(OR(U$51&gt;=6,U$50=1),N(INDEX(MinFrei,MATCH(8,ArbeitNr,0))),N(INDEX(MinWerktag,MATCH(8,ArbeitNr,0)))))</f>
      </c>
      <c r="V93" s="1">
        <f>IF($AM45="","",IF(OR(V$51&gt;=6,V$50=1),N(INDEX(MinFrei,MATCH(8,ArbeitNr,0))),N(INDEX(MinWerktag,MATCH(8,ArbeitNr,0)))))</f>
      </c>
      <c r="W93" s="1">
        <f>IF($AM45="","",IF(OR(W$51&gt;=6,W$50=1),N(INDEX(MinFrei,MATCH(8,ArbeitNr,0))),N(INDEX(MinWerktag,MATCH(8,ArbeitNr,0)))))</f>
      </c>
      <c r="X93" s="1">
        <f>IF($AM45="","",IF(OR(X$51&gt;=6,X$50=1),N(INDEX(MinFrei,MATCH(8,ArbeitNr,0))),N(INDEX(MinWerktag,MATCH(8,ArbeitNr,0)))))</f>
      </c>
      <c r="Y93" s="1">
        <f>IF($AM45="","",IF(OR(Y$51&gt;=6,Y$50=1),N(INDEX(MinFrei,MATCH(8,ArbeitNr,0))),N(INDEX(MinWerktag,MATCH(8,ArbeitNr,0)))))</f>
      </c>
      <c r="Z93" s="1">
        <f>IF($AM45="","",IF(OR(Z$51&gt;=6,Z$50=1),N(INDEX(MinFrei,MATCH(8,ArbeitNr,0))),N(INDEX(MinWerktag,MATCH(8,ArbeitNr,0)))))</f>
      </c>
      <c r="AA93" s="1">
        <f>IF($AM45="","",IF(OR(AA$51&gt;=6,AA$50=1),N(INDEX(MinFrei,MATCH(8,ArbeitNr,0))),N(INDEX(MinWerktag,MATCH(8,ArbeitNr,0)))))</f>
      </c>
      <c r="AB93" s="1">
        <f>IF($AM45="","",IF(OR(AB$51&gt;=6,AB$50=1),N(INDEX(MinFrei,MATCH(8,ArbeitNr,0))),N(INDEX(MinWerktag,MATCH(8,ArbeitNr,0)))))</f>
      </c>
      <c r="AC93" s="1">
        <f>IF($AM45="","",IF(OR(AC$51&gt;=6,AC$50=1),N(INDEX(MinFrei,MATCH(8,ArbeitNr,0))),N(INDEX(MinWerktag,MATCH(8,ArbeitNr,0)))))</f>
      </c>
      <c r="AD93" s="1">
        <f>IF($AM45="","",IF(OR(AD$51&gt;=6,AD$50=1),N(INDEX(MinFrei,MATCH(8,ArbeitNr,0))),N(INDEX(MinWerktag,MATCH(8,ArbeitNr,0)))))</f>
      </c>
      <c r="AE93" s="1">
        <f>IF($AM45="","",IF(OR(AE$51&gt;=6,AE$50=1),N(INDEX(MinFrei,MATCH(8,ArbeitNr,0))),N(INDEX(MinWerktag,MATCH(8,ArbeitNr,0)))))</f>
      </c>
      <c r="AF93" s="1">
        <f>IF($AM45="","",IF(OR(AF$51&gt;=6,AF$50=1),N(INDEX(MinFrei,MATCH(8,ArbeitNr,0))),N(INDEX(MinWerktag,MATCH(8,ArbeitNr,0)))))</f>
      </c>
    </row>
  </sheetData>
  <sheetProtection sheet="1" formatCells="0" formatColumns="0" formatRows="0"/>
  <mergeCells count="1">
    <mergeCell ref="B48:U48"/>
  </mergeCells>
  <conditionalFormatting sqref="B6:AF35">
    <cfRule type="expression" dxfId="120" priority="1">
      <formula>B$52=0</formula>
    </cfRule>
    <cfRule type="expression" dxfId="121" priority="2">
      <formula>B55=1</formula>
    </cfRule>
    <cfRule type="expression" dxfId="122" priority="3">
      <formula>AND(B6&lt;&gt;"",UPPER(B6)=UPPER(Einstellungen!$A$9))</formula>
    </cfRule>
    <cfRule type="expression" dxfId="123" priority="4">
      <formula>AND(B6&lt;&gt;"",UPPER(B6)=UPPER(Einstellungen!$A$10))</formula>
    </cfRule>
    <cfRule type="expression" dxfId="124" priority="5">
      <formula>AND(B6&lt;&gt;"",UPPER(B6)=UPPER(Einstellungen!$A$11))</formula>
    </cfRule>
    <cfRule type="expression" dxfId="125" priority="6">
      <formula>AND(B6&lt;&gt;"",UPPER(B6)=UPPER(Einstellungen!$A$12))</formula>
    </cfRule>
    <cfRule type="expression" dxfId="126" priority="7">
      <formula>AND(B6&lt;&gt;"",UPPER(B6)=UPPER(Einstellungen!$A$13))</formula>
    </cfRule>
    <cfRule type="expression" dxfId="127" priority="8">
      <formula>AND(B6&lt;&gt;"",UPPER(B6)=UPPER(Einstellungen!$A$14))</formula>
    </cfRule>
    <cfRule type="expression" dxfId="128" priority="9">
      <formula>AND(B6&lt;&gt;"",UPPER(B6)=UPPER(Einstellungen!$A$15))</formula>
    </cfRule>
    <cfRule type="expression" dxfId="129" priority="10">
      <formula>AND(B6&lt;&gt;"",UPPER(B6)=UPPER(Einstellungen!$A$16))</formula>
    </cfRule>
    <cfRule type="expression" dxfId="130" priority="11">
      <formula>AND(B6&lt;&gt;"",UPPER(B6)=UPPER(Einstellungen!$A$17))</formula>
    </cfRule>
    <cfRule type="expression" dxfId="131" priority="12">
      <formula>AND(B6&lt;&gt;"",UPPER(B6)=UPPER(Einstellungen!$A$18))</formula>
    </cfRule>
    <cfRule type="expression" dxfId="132" priority="13">
      <formula>AND(B6&lt;&gt;"",UPPER(B6)=UPPER(Einstellungen!$A$19))</formula>
    </cfRule>
    <cfRule type="expression" dxfId="133" priority="14">
      <formula>AND(B6&lt;&gt;"",UPPER(B6)=UPPER(Einstellungen!$A$20))</formula>
    </cfRule>
    <cfRule type="expression" dxfId="134" priority="20">
      <formula>B$50=1</formula>
    </cfRule>
    <cfRule type="expression" dxfId="135" priority="21">
      <formula>B$51&gt;=6</formula>
    </cfRule>
  </conditionalFormatting>
  <conditionalFormatting sqref="B4:AF5">
    <cfRule type="expression" dxfId="136" priority="22">
      <formula>B$52=0</formula>
    </cfRule>
    <cfRule type="expression" dxfId="137" priority="23">
      <formula>B$50=1</formula>
    </cfRule>
    <cfRule type="expression" dxfId="138" priority="24">
      <formula>B$51&gt;=6</formula>
    </cfRule>
  </conditionalFormatting>
  <conditionalFormatting sqref="B38:AF45">
    <cfRule type="expression" dxfId="139" priority="25">
      <formula>AND(B38&lt;&gt;"",N(B38)&lt;N(B86))</formula>
    </cfRule>
  </conditionalFormatting>
  <dataValidations count="4">
    <dataValidation type="list" allowBlank="1" showErrorMessage="1" errorTitle="Schicht" error="Bitte ein Kürzel aus den Einstellungen wählen (z. B. F, S, N, U, K)." sqref="AA10:AF35">
      <formula1>Codes</formula1>
    </dataValidation>
    <dataValidation type="list" allowBlank="1" showErrorMessage="1" errorTitle="Schicht" error="Bitte ein Kürzel aus den Einstellungen wählen (z. B. F, S, N, U, K)." sqref="AA6:AF35">
      <formula1>Codes</formula1>
    </dataValidation>
    <dataValidation type="list" allowBlank="1" showErrorMessage="1" errorTitle="Schicht" error="Bitte ein Kürzel aus den Einstellungen wählen (z. B. F, S, N, U, K)." sqref="B10:AF35">
      <formula1>Codes</formula1>
    </dataValidation>
    <dataValidation type="list" allowBlank="1" showErrorMessage="1" errorTitle="Schicht" error="Bitte ein Kürzel aus den Einstellungen wählen (z. B. F, S, N, U, K)." sqref="B6:AF35">
      <formula1>Codes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93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32" width="4.2" customWidth="1"/>
    <col min="36" max="37" width="7" customWidth="1"/>
    <col min="38" max="38" width="30" customWidth="1"/>
    <col min="39" max="39" width="9" hidden="1" customWidth="1"/>
  </cols>
  <sheetData>
    <row r="1" spans="1:1" x14ac:dyDescent="0.25">
      <c r="A1" s="5">
        <f>"Dienstplan August "&amp;Jahr&amp;IF(Team="",""," · "&amp;Team)</f>
      </c>
    </row>
    <row r="2" spans="1:1" x14ac:dyDescent="0.25">
      <c r="A2" s="7">
        <f>IF(Bundesland="","Bitte in den Einstellungen das Bundesland wählen, damit die Feiertage stimmen.","Feiertage: "&amp;Bundesland)</f>
      </c>
    </row>
    <row r="3" spans="1:1" x14ac:dyDescent="0.25">
      <c r="A3" s="30">
        <f>Legende</f>
      </c>
    </row>
    <row r="4" spans="1:32" x14ac:dyDescent="0.25">
      <c r="A4" s="1"/>
      <c r="B4" s="31">
        <f>IF(B$5="","",CHOOSE(WEEKDAY(B$5,2),"Mo","Di","Mi","Do","Fr","Sa","So"))</f>
      </c>
      <c r="C4" s="31">
        <f>IF(C$5="","",CHOOSE(WEEKDAY(C$5,2),"Mo","Di","Mi","Do","Fr","Sa","So"))</f>
      </c>
      <c r="D4" s="31">
        <f>IF(D$5="","",CHOOSE(WEEKDAY(D$5,2),"Mo","Di","Mi","Do","Fr","Sa","So"))</f>
      </c>
      <c r="E4" s="31">
        <f>IF(E$5="","",CHOOSE(WEEKDAY(E$5,2),"Mo","Di","Mi","Do","Fr","Sa","So"))</f>
      </c>
      <c r="F4" s="31">
        <f>IF(F$5="","",CHOOSE(WEEKDAY(F$5,2),"Mo","Di","Mi","Do","Fr","Sa","So"))</f>
      </c>
      <c r="G4" s="31">
        <f>IF(G$5="","",CHOOSE(WEEKDAY(G$5,2),"Mo","Di","Mi","Do","Fr","Sa","So"))</f>
      </c>
      <c r="H4" s="31">
        <f>IF(H$5="","",CHOOSE(WEEKDAY(H$5,2),"Mo","Di","Mi","Do","Fr","Sa","So"))</f>
      </c>
      <c r="I4" s="31">
        <f>IF(I$5="","",CHOOSE(WEEKDAY(I$5,2),"Mo","Di","Mi","Do","Fr","Sa","So"))</f>
      </c>
      <c r="J4" s="31">
        <f>IF(J$5="","",CHOOSE(WEEKDAY(J$5,2),"Mo","Di","Mi","Do","Fr","Sa","So"))</f>
      </c>
      <c r="K4" s="31">
        <f>IF(K$5="","",CHOOSE(WEEKDAY(K$5,2),"Mo","Di","Mi","Do","Fr","Sa","So"))</f>
      </c>
      <c r="L4" s="31">
        <f>IF(L$5="","",CHOOSE(WEEKDAY(L$5,2),"Mo","Di","Mi","Do","Fr","Sa","So"))</f>
      </c>
      <c r="M4" s="31">
        <f>IF(M$5="","",CHOOSE(WEEKDAY(M$5,2),"Mo","Di","Mi","Do","Fr","Sa","So"))</f>
      </c>
      <c r="N4" s="31">
        <f>IF(N$5="","",CHOOSE(WEEKDAY(N$5,2),"Mo","Di","Mi","Do","Fr","Sa","So"))</f>
      </c>
      <c r="O4" s="31">
        <f>IF(O$5="","",CHOOSE(WEEKDAY(O$5,2),"Mo","Di","Mi","Do","Fr","Sa","So"))</f>
      </c>
      <c r="P4" s="31">
        <f>IF(P$5="","",CHOOSE(WEEKDAY(P$5,2),"Mo","Di","Mi","Do","Fr","Sa","So"))</f>
      </c>
      <c r="Q4" s="31">
        <f>IF(Q$5="","",CHOOSE(WEEKDAY(Q$5,2),"Mo","Di","Mi","Do","Fr","Sa","So"))</f>
      </c>
      <c r="R4" s="31">
        <f>IF(R$5="","",CHOOSE(WEEKDAY(R$5,2),"Mo","Di","Mi","Do","Fr","Sa","So"))</f>
      </c>
      <c r="S4" s="31">
        <f>IF(S$5="","",CHOOSE(WEEKDAY(S$5,2),"Mo","Di","Mi","Do","Fr","Sa","So"))</f>
      </c>
      <c r="T4" s="31">
        <f>IF(T$5="","",CHOOSE(WEEKDAY(T$5,2),"Mo","Di","Mi","Do","Fr","Sa","So"))</f>
      </c>
      <c r="U4" s="31">
        <f>IF(U$5="","",CHOOSE(WEEKDAY(U$5,2),"Mo","Di","Mi","Do","Fr","Sa","So"))</f>
      </c>
      <c r="V4" s="31">
        <f>IF(V$5="","",CHOOSE(WEEKDAY(V$5,2),"Mo","Di","Mi","Do","Fr","Sa","So"))</f>
      </c>
      <c r="W4" s="31">
        <f>IF(W$5="","",CHOOSE(WEEKDAY(W$5,2),"Mo","Di","Mi","Do","Fr","Sa","So"))</f>
      </c>
      <c r="X4" s="31">
        <f>IF(X$5="","",CHOOSE(WEEKDAY(X$5,2),"Mo","Di","Mi","Do","Fr","Sa","So"))</f>
      </c>
      <c r="Y4" s="31">
        <f>IF(Y$5="","",CHOOSE(WEEKDAY(Y$5,2),"Mo","Di","Mi","Do","Fr","Sa","So"))</f>
      </c>
      <c r="Z4" s="31">
        <f>IF(Z$5="","",CHOOSE(WEEKDAY(Z$5,2),"Mo","Di","Mi","Do","Fr","Sa","So"))</f>
      </c>
      <c r="AA4" s="31">
        <f>IF(AA$5="","",CHOOSE(WEEKDAY(AA$5,2),"Mo","Di","Mi","Do","Fr","Sa","So"))</f>
      </c>
      <c r="AB4" s="31">
        <f>IF(AB$5="","",CHOOSE(WEEKDAY(AB$5,2),"Mo","Di","Mi","Do","Fr","Sa","So"))</f>
      </c>
      <c r="AC4" s="31">
        <f>IF(AC$5="","",CHOOSE(WEEKDAY(AC$5,2),"Mo","Di","Mi","Do","Fr","Sa","So"))</f>
      </c>
      <c r="AD4" s="31">
        <f>IF(AD$5="","",CHOOSE(WEEKDAY(AD$5,2),"Mo","Di","Mi","Do","Fr","Sa","So"))</f>
      </c>
      <c r="AE4" s="31">
        <f>IF(AE$5="","",CHOOSE(WEEKDAY(AE$5,2),"Mo","Di","Mi","Do","Fr","Sa","So"))</f>
      </c>
      <c r="AF4" s="31">
        <f>IF(AF$5="","",CHOOSE(WEEKDAY(AF$5,2),"Mo","Di","Mi","Do","Fr","Sa","So"))</f>
      </c>
    </row>
    <row r="5" ht="18" customHeight="1" spans="1:38" x14ac:dyDescent="0.25">
      <c r="A5" s="10" t="s">
        <v>52</v>
      </c>
      <c r="B5" s="32">
        <f>IF(MONTH(DATE(Jahr,8,1))=8,DATE(Jahr,8,1),"")</f>
      </c>
      <c r="C5" s="32">
        <f>IF(MONTH(DATE(Jahr,8,2))=8,DATE(Jahr,8,2),"")</f>
      </c>
      <c r="D5" s="32">
        <f>IF(MONTH(DATE(Jahr,8,3))=8,DATE(Jahr,8,3),"")</f>
      </c>
      <c r="E5" s="32">
        <f>IF(MONTH(DATE(Jahr,8,4))=8,DATE(Jahr,8,4),"")</f>
      </c>
      <c r="F5" s="32">
        <f>IF(MONTH(DATE(Jahr,8,5))=8,DATE(Jahr,8,5),"")</f>
      </c>
      <c r="G5" s="32">
        <f>IF(MONTH(DATE(Jahr,8,6))=8,DATE(Jahr,8,6),"")</f>
      </c>
      <c r="H5" s="32">
        <f>IF(MONTH(DATE(Jahr,8,7))=8,DATE(Jahr,8,7),"")</f>
      </c>
      <c r="I5" s="32">
        <f>IF(MONTH(DATE(Jahr,8,8))=8,DATE(Jahr,8,8),"")</f>
      </c>
      <c r="J5" s="32">
        <f>IF(MONTH(DATE(Jahr,8,9))=8,DATE(Jahr,8,9),"")</f>
      </c>
      <c r="K5" s="32">
        <f>IF(MONTH(DATE(Jahr,8,10))=8,DATE(Jahr,8,10),"")</f>
      </c>
      <c r="L5" s="32">
        <f>IF(MONTH(DATE(Jahr,8,11))=8,DATE(Jahr,8,11),"")</f>
      </c>
      <c r="M5" s="32">
        <f>IF(MONTH(DATE(Jahr,8,12))=8,DATE(Jahr,8,12),"")</f>
      </c>
      <c r="N5" s="32">
        <f>IF(MONTH(DATE(Jahr,8,13))=8,DATE(Jahr,8,13),"")</f>
      </c>
      <c r="O5" s="32">
        <f>IF(MONTH(DATE(Jahr,8,14))=8,DATE(Jahr,8,14),"")</f>
      </c>
      <c r="P5" s="32">
        <f>IF(MONTH(DATE(Jahr,8,15))=8,DATE(Jahr,8,15),"")</f>
      </c>
      <c r="Q5" s="32">
        <f>IF(MONTH(DATE(Jahr,8,16))=8,DATE(Jahr,8,16),"")</f>
      </c>
      <c r="R5" s="32">
        <f>IF(MONTH(DATE(Jahr,8,17))=8,DATE(Jahr,8,17),"")</f>
      </c>
      <c r="S5" s="32">
        <f>IF(MONTH(DATE(Jahr,8,18))=8,DATE(Jahr,8,18),"")</f>
      </c>
      <c r="T5" s="32">
        <f>IF(MONTH(DATE(Jahr,8,19))=8,DATE(Jahr,8,19),"")</f>
      </c>
      <c r="U5" s="32">
        <f>IF(MONTH(DATE(Jahr,8,20))=8,DATE(Jahr,8,20),"")</f>
      </c>
      <c r="V5" s="32">
        <f>IF(MONTH(DATE(Jahr,8,21))=8,DATE(Jahr,8,21),"")</f>
      </c>
      <c r="W5" s="32">
        <f>IF(MONTH(DATE(Jahr,8,22))=8,DATE(Jahr,8,22),"")</f>
      </c>
      <c r="X5" s="32">
        <f>IF(MONTH(DATE(Jahr,8,23))=8,DATE(Jahr,8,23),"")</f>
      </c>
      <c r="Y5" s="32">
        <f>IF(MONTH(DATE(Jahr,8,24))=8,DATE(Jahr,8,24),"")</f>
      </c>
      <c r="Z5" s="32">
        <f>IF(MONTH(DATE(Jahr,8,25))=8,DATE(Jahr,8,25),"")</f>
      </c>
      <c r="AA5" s="32">
        <f>IF(MONTH(DATE(Jahr,8,26))=8,DATE(Jahr,8,26),"")</f>
      </c>
      <c r="AB5" s="32">
        <f>IF(MONTH(DATE(Jahr,8,27))=8,DATE(Jahr,8,27),"")</f>
      </c>
      <c r="AC5" s="32">
        <f>IF(MONTH(DATE(Jahr,8,28))=8,DATE(Jahr,8,28),"")</f>
      </c>
      <c r="AD5" s="32">
        <f>IF(MONTH(DATE(Jahr,8,29))=8,DATE(Jahr,8,29),"")</f>
      </c>
      <c r="AE5" s="32">
        <f>IF(MONTH(DATE(Jahr,8,30))=8,DATE(Jahr,8,30),"")</f>
      </c>
      <c r="AF5" s="32">
        <f>IF(MONTH(DATE(Jahr,8,31))=8,DATE(Jahr,8,31),"")</f>
      </c>
      <c r="AG5" s="10" t="s">
        <v>60</v>
      </c>
      <c r="AH5" s="10" t="s">
        <v>61</v>
      </c>
      <c r="AI5" s="10" t="s">
        <v>62</v>
      </c>
      <c r="AJ5" s="10" t="s">
        <v>44</v>
      </c>
      <c r="AK5" s="10" t="s">
        <v>46</v>
      </c>
      <c r="AL5" s="10" t="s">
        <v>33</v>
      </c>
    </row>
    <row r="6" spans="1:38" x14ac:dyDescent="0.25">
      <c r="A6" s="33">
        <f>Mitarbeiter!$A$5&amp;""</f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5">
        <f>IF($A6="","",SUMPRODUCT(COUNTIFS(B6:AF6,Codes,$B$52:$AF$52,1)*(Arten="Arbeit")*Erste*NettoTage)+SUMPRODUCT(COUNTIFS(B6:AF6,Codes,$B$53:$AF$53,1)*((Arten="Urlaub")+(Arten="Krank")+(Arten="Bezahlt abwesend"))*Erste)*N(Mitarbeiter!$B$5)/5/24)</f>
      </c>
      <c r="AH6" s="35">
        <f>IF($A6="","",N(Mitarbeiter!$B$5)/5/24*SUM($B$53:$AF$53))</f>
      </c>
      <c r="AI6" s="36">
        <f>IF($A6="","",IF((AG6-AH6)&lt;0,"-","+")&amp;TEXT(ABS((AG6-AH6)),"[h]:mm"))</f>
      </c>
      <c r="AJ6" s="37">
        <f>IF($A6="","",SUMPRODUCT(COUNTIFS(B6:AF6,Codes,$B$53:$AF$53,1)*(Arten="Urlaub")*Erste))</f>
      </c>
      <c r="AK6" s="37">
        <f>IF($A6="","",SUMPRODUCT(COUNTIFS(B6:AF6,Codes,$B$53:$AF$53,1)*(Arten="Krank")*Erste))</f>
      </c>
      <c r="AL6" s="38">
        <f>IF($A6="","",IF(COUNTIF(B55:AF55,1)&gt;0,COUNTIF(B55:AF55,1)&amp;"× Ruhezeit unter 11 Std. (§ 5)","")&amp;IF((COUNTIFS(B6:AF6,"?*",$B$52:$AF$52,1)-SUMPRODUCT(COUNTIFS(B6:AF6,Codes,$B$52:$AF$52,1)*(Codes&lt;&gt;"")*Erste))&gt;0,IF(COUNTIF(B55:AF55,1)&gt;0,"; ","")&amp;(COUNTIFS(B6:AF6,"?*",$B$52:$AF$52,1)-SUMPRODUCT(COUNTIFS(B6:AF6,Codes,$B$52:$AF$52,1)*(Codes&lt;&gt;"")*Erste))&amp;"× unbekanntes Kürzel",""))</f>
      </c>
    </row>
    <row r="7" spans="1:38" x14ac:dyDescent="0.25">
      <c r="A7" s="33">
        <f>Mitarbeiter!$A$6&amp;""</f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5">
        <f>IF($A7="","",SUMPRODUCT(COUNTIFS(B7:AF7,Codes,$B$52:$AF$52,1)*(Arten="Arbeit")*Erste*NettoTage)+SUMPRODUCT(COUNTIFS(B7:AF7,Codes,$B$53:$AF$53,1)*((Arten="Urlaub")+(Arten="Krank")+(Arten="Bezahlt abwesend"))*Erste)*N(Mitarbeiter!$B$6)/5/24)</f>
      </c>
      <c r="AH7" s="35">
        <f>IF($A7="","",N(Mitarbeiter!$B$6)/5/24*SUM($B$53:$AF$53))</f>
      </c>
      <c r="AI7" s="36">
        <f>IF($A7="","",IF((AG7-AH7)&lt;0,"-","+")&amp;TEXT(ABS((AG7-AH7)),"[h]:mm"))</f>
      </c>
      <c r="AJ7" s="37">
        <f>IF($A7="","",SUMPRODUCT(COUNTIFS(B7:AF7,Codes,$B$53:$AF$53,1)*(Arten="Urlaub")*Erste))</f>
      </c>
      <c r="AK7" s="37">
        <f>IF($A7="","",SUMPRODUCT(COUNTIFS(B7:AF7,Codes,$B$53:$AF$53,1)*(Arten="Krank")*Erste))</f>
      </c>
      <c r="AL7" s="38">
        <f>IF($A7="","",IF(COUNTIF(B56:AF56,1)&gt;0,COUNTIF(B56:AF56,1)&amp;"× Ruhezeit unter 11 Std. (§ 5)","")&amp;IF((COUNTIFS(B7:AF7,"?*",$B$52:$AF$52,1)-SUMPRODUCT(COUNTIFS(B7:AF7,Codes,$B$52:$AF$52,1)*(Codes&lt;&gt;"")*Erste))&gt;0,IF(COUNTIF(B56:AF56,1)&gt;0,"; ","")&amp;(COUNTIFS(B7:AF7,"?*",$B$52:$AF$52,1)-SUMPRODUCT(COUNTIFS(B7:AF7,Codes,$B$52:$AF$52,1)*(Codes&lt;&gt;"")*Erste))&amp;"× unbekanntes Kürzel",""))</f>
      </c>
    </row>
    <row r="8" spans="1:38" x14ac:dyDescent="0.25">
      <c r="A8" s="33">
        <f>Mitarbeiter!$A$7&amp;""</f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5">
        <f>IF($A8="","",SUMPRODUCT(COUNTIFS(B8:AF8,Codes,$B$52:$AF$52,1)*(Arten="Arbeit")*Erste*NettoTage)+SUMPRODUCT(COUNTIFS(B8:AF8,Codes,$B$53:$AF$53,1)*((Arten="Urlaub")+(Arten="Krank")+(Arten="Bezahlt abwesend"))*Erste)*N(Mitarbeiter!$B$7)/5/24)</f>
      </c>
      <c r="AH8" s="35">
        <f>IF($A8="","",N(Mitarbeiter!$B$7)/5/24*SUM($B$53:$AF$53))</f>
      </c>
      <c r="AI8" s="36">
        <f>IF($A8="","",IF((AG8-AH8)&lt;0,"-","+")&amp;TEXT(ABS((AG8-AH8)),"[h]:mm"))</f>
      </c>
      <c r="AJ8" s="37">
        <f>IF($A8="","",SUMPRODUCT(COUNTIFS(B8:AF8,Codes,$B$53:$AF$53,1)*(Arten="Urlaub")*Erste))</f>
      </c>
      <c r="AK8" s="37">
        <f>IF($A8="","",SUMPRODUCT(COUNTIFS(B8:AF8,Codes,$B$53:$AF$53,1)*(Arten="Krank")*Erste))</f>
      </c>
      <c r="AL8" s="38">
        <f>IF($A8="","",IF(COUNTIF(B57:AF57,1)&gt;0,COUNTIF(B57:AF57,1)&amp;"× Ruhezeit unter 11 Std. (§ 5)","")&amp;IF((COUNTIFS(B8:AF8,"?*",$B$52:$AF$52,1)-SUMPRODUCT(COUNTIFS(B8:AF8,Codes,$B$52:$AF$52,1)*(Codes&lt;&gt;"")*Erste))&gt;0,IF(COUNTIF(B57:AF57,1)&gt;0,"; ","")&amp;(COUNTIFS(B8:AF8,"?*",$B$52:$AF$52,1)-SUMPRODUCT(COUNTIFS(B8:AF8,Codes,$B$52:$AF$52,1)*(Codes&lt;&gt;"")*Erste))&amp;"× unbekanntes Kürzel",""))</f>
      </c>
    </row>
    <row r="9" spans="1:38" x14ac:dyDescent="0.25">
      <c r="A9" s="33">
        <f>Mitarbeiter!$A$8&amp;""</f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5">
        <f>IF($A9="","",SUMPRODUCT(COUNTIFS(B9:AF9,Codes,$B$52:$AF$52,1)*(Arten="Arbeit")*Erste*NettoTage)+SUMPRODUCT(COUNTIFS(B9:AF9,Codes,$B$53:$AF$53,1)*((Arten="Urlaub")+(Arten="Krank")+(Arten="Bezahlt abwesend"))*Erste)*N(Mitarbeiter!$B$8)/5/24)</f>
      </c>
      <c r="AH9" s="35">
        <f>IF($A9="","",N(Mitarbeiter!$B$8)/5/24*SUM($B$53:$AF$53))</f>
      </c>
      <c r="AI9" s="36">
        <f>IF($A9="","",IF((AG9-AH9)&lt;0,"-","+")&amp;TEXT(ABS((AG9-AH9)),"[h]:mm"))</f>
      </c>
      <c r="AJ9" s="37">
        <f>IF($A9="","",SUMPRODUCT(COUNTIFS(B9:AF9,Codes,$B$53:$AF$53,1)*(Arten="Urlaub")*Erste))</f>
      </c>
      <c r="AK9" s="37">
        <f>IF($A9="","",SUMPRODUCT(COUNTIFS(B9:AF9,Codes,$B$53:$AF$53,1)*(Arten="Krank")*Erste))</f>
      </c>
      <c r="AL9" s="38">
        <f>IF($A9="","",IF(COUNTIF(B58:AF58,1)&gt;0,COUNTIF(B58:AF58,1)&amp;"× Ruhezeit unter 11 Std. (§ 5)","")&amp;IF((COUNTIFS(B9:AF9,"?*",$B$52:$AF$52,1)-SUMPRODUCT(COUNTIFS(B9:AF9,Codes,$B$52:$AF$52,1)*(Codes&lt;&gt;"")*Erste))&gt;0,IF(COUNTIF(B58:AF58,1)&gt;0,"; ","")&amp;(COUNTIFS(B9:AF9,"?*",$B$52:$AF$52,1)-SUMPRODUCT(COUNTIFS(B9:AF9,Codes,$B$52:$AF$52,1)*(Codes&lt;&gt;"")*Erste))&amp;"× unbekanntes Kürzel",""))</f>
      </c>
    </row>
    <row r="10" spans="1:38" x14ac:dyDescent="0.25">
      <c r="A10" s="33">
        <f>Mitarbeiter!$A$9&amp;""</f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5">
        <f>IF($A10="","",SUMPRODUCT(COUNTIFS(B10:AF10,Codes,$B$52:$AF$52,1)*(Arten="Arbeit")*Erste*NettoTage)+SUMPRODUCT(COUNTIFS(B10:AF10,Codes,$B$53:$AF$53,1)*((Arten="Urlaub")+(Arten="Krank")+(Arten="Bezahlt abwesend"))*Erste)*N(Mitarbeiter!$B$9)/5/24)</f>
      </c>
      <c r="AH10" s="35">
        <f>IF($A10="","",N(Mitarbeiter!$B$9)/5/24*SUM($B$53:$AF$53))</f>
      </c>
      <c r="AI10" s="36">
        <f>IF($A10="","",IF((AG10-AH10)&lt;0,"-","+")&amp;TEXT(ABS((AG10-AH10)),"[h]:mm"))</f>
      </c>
      <c r="AJ10" s="37">
        <f>IF($A10="","",SUMPRODUCT(COUNTIFS(B10:AF10,Codes,$B$53:$AF$53,1)*(Arten="Urlaub")*Erste))</f>
      </c>
      <c r="AK10" s="37">
        <f>IF($A10="","",SUMPRODUCT(COUNTIFS(B10:AF10,Codes,$B$53:$AF$53,1)*(Arten="Krank")*Erste))</f>
      </c>
      <c r="AL10" s="38">
        <f>IF($A10="","",IF(COUNTIF(B59:AF59,1)&gt;0,COUNTIF(B59:AF59,1)&amp;"× Ruhezeit unter 11 Std. (§ 5)","")&amp;IF((COUNTIFS(B10:AF10,"?*",$B$52:$AF$52,1)-SUMPRODUCT(COUNTIFS(B10:AF10,Codes,$B$52:$AF$52,1)*(Codes&lt;&gt;"")*Erste))&gt;0,IF(COUNTIF(B59:AF59,1)&gt;0,"; ","")&amp;(COUNTIFS(B10:AF10,"?*",$B$52:$AF$52,1)-SUMPRODUCT(COUNTIFS(B10:AF10,Codes,$B$52:$AF$52,1)*(Codes&lt;&gt;"")*Erste))&amp;"× unbekanntes Kürzel",""))</f>
      </c>
    </row>
    <row r="11" spans="1:38" x14ac:dyDescent="0.25">
      <c r="A11" s="33">
        <f>Mitarbeiter!$A$10&amp;""</f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5">
        <f>IF($A11="","",SUMPRODUCT(COUNTIFS(B11:AF11,Codes,$B$52:$AF$52,1)*(Arten="Arbeit")*Erste*NettoTage)+SUMPRODUCT(COUNTIFS(B11:AF11,Codes,$B$53:$AF$53,1)*((Arten="Urlaub")+(Arten="Krank")+(Arten="Bezahlt abwesend"))*Erste)*N(Mitarbeiter!$B$10)/5/24)</f>
      </c>
      <c r="AH11" s="35">
        <f>IF($A11="","",N(Mitarbeiter!$B$10)/5/24*SUM($B$53:$AF$53))</f>
      </c>
      <c r="AI11" s="36">
        <f>IF($A11="","",IF((AG11-AH11)&lt;0,"-","+")&amp;TEXT(ABS((AG11-AH11)),"[h]:mm"))</f>
      </c>
      <c r="AJ11" s="37">
        <f>IF($A11="","",SUMPRODUCT(COUNTIFS(B11:AF11,Codes,$B$53:$AF$53,1)*(Arten="Urlaub")*Erste))</f>
      </c>
      <c r="AK11" s="37">
        <f>IF($A11="","",SUMPRODUCT(COUNTIFS(B11:AF11,Codes,$B$53:$AF$53,1)*(Arten="Krank")*Erste))</f>
      </c>
      <c r="AL11" s="38">
        <f>IF($A11="","",IF(COUNTIF(B60:AF60,1)&gt;0,COUNTIF(B60:AF60,1)&amp;"× Ruhezeit unter 11 Std. (§ 5)","")&amp;IF((COUNTIFS(B11:AF11,"?*",$B$52:$AF$52,1)-SUMPRODUCT(COUNTIFS(B11:AF11,Codes,$B$52:$AF$52,1)*(Codes&lt;&gt;"")*Erste))&gt;0,IF(COUNTIF(B60:AF60,1)&gt;0,"; ","")&amp;(COUNTIFS(B11:AF11,"?*",$B$52:$AF$52,1)-SUMPRODUCT(COUNTIFS(B11:AF11,Codes,$B$52:$AF$52,1)*(Codes&lt;&gt;"")*Erste))&amp;"× unbekanntes Kürzel",""))</f>
      </c>
    </row>
    <row r="12" spans="1:38" x14ac:dyDescent="0.25">
      <c r="A12" s="33">
        <f>Mitarbeiter!$A$11&amp;""</f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5">
        <f>IF($A12="","",SUMPRODUCT(COUNTIFS(B12:AF12,Codes,$B$52:$AF$52,1)*(Arten="Arbeit")*Erste*NettoTage)+SUMPRODUCT(COUNTIFS(B12:AF12,Codes,$B$53:$AF$53,1)*((Arten="Urlaub")+(Arten="Krank")+(Arten="Bezahlt abwesend"))*Erste)*N(Mitarbeiter!$B$11)/5/24)</f>
      </c>
      <c r="AH12" s="35">
        <f>IF($A12="","",N(Mitarbeiter!$B$11)/5/24*SUM($B$53:$AF$53))</f>
      </c>
      <c r="AI12" s="36">
        <f>IF($A12="","",IF((AG12-AH12)&lt;0,"-","+")&amp;TEXT(ABS((AG12-AH12)),"[h]:mm"))</f>
      </c>
      <c r="AJ12" s="37">
        <f>IF($A12="","",SUMPRODUCT(COUNTIFS(B12:AF12,Codes,$B$53:$AF$53,1)*(Arten="Urlaub")*Erste))</f>
      </c>
      <c r="AK12" s="37">
        <f>IF($A12="","",SUMPRODUCT(COUNTIFS(B12:AF12,Codes,$B$53:$AF$53,1)*(Arten="Krank")*Erste))</f>
      </c>
      <c r="AL12" s="38">
        <f>IF($A12="","",IF(COUNTIF(B61:AF61,1)&gt;0,COUNTIF(B61:AF61,1)&amp;"× Ruhezeit unter 11 Std. (§ 5)","")&amp;IF((COUNTIFS(B12:AF12,"?*",$B$52:$AF$52,1)-SUMPRODUCT(COUNTIFS(B12:AF12,Codes,$B$52:$AF$52,1)*(Codes&lt;&gt;"")*Erste))&gt;0,IF(COUNTIF(B61:AF61,1)&gt;0,"; ","")&amp;(COUNTIFS(B12:AF12,"?*",$B$52:$AF$52,1)-SUMPRODUCT(COUNTIFS(B12:AF12,Codes,$B$52:$AF$52,1)*(Codes&lt;&gt;"")*Erste))&amp;"× unbekanntes Kürzel",""))</f>
      </c>
    </row>
    <row r="13" spans="1:38" x14ac:dyDescent="0.25">
      <c r="A13" s="33">
        <f>Mitarbeiter!$A$12&amp;""</f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5">
        <f>IF($A13="","",SUMPRODUCT(COUNTIFS(B13:AF13,Codes,$B$52:$AF$52,1)*(Arten="Arbeit")*Erste*NettoTage)+SUMPRODUCT(COUNTIFS(B13:AF13,Codes,$B$53:$AF$53,1)*((Arten="Urlaub")+(Arten="Krank")+(Arten="Bezahlt abwesend"))*Erste)*N(Mitarbeiter!$B$12)/5/24)</f>
      </c>
      <c r="AH13" s="35">
        <f>IF($A13="","",N(Mitarbeiter!$B$12)/5/24*SUM($B$53:$AF$53))</f>
      </c>
      <c r="AI13" s="36">
        <f>IF($A13="","",IF((AG13-AH13)&lt;0,"-","+")&amp;TEXT(ABS((AG13-AH13)),"[h]:mm"))</f>
      </c>
      <c r="AJ13" s="37">
        <f>IF($A13="","",SUMPRODUCT(COUNTIFS(B13:AF13,Codes,$B$53:$AF$53,1)*(Arten="Urlaub")*Erste))</f>
      </c>
      <c r="AK13" s="37">
        <f>IF($A13="","",SUMPRODUCT(COUNTIFS(B13:AF13,Codes,$B$53:$AF$53,1)*(Arten="Krank")*Erste))</f>
      </c>
      <c r="AL13" s="38">
        <f>IF($A13="","",IF(COUNTIF(B62:AF62,1)&gt;0,COUNTIF(B62:AF62,1)&amp;"× Ruhezeit unter 11 Std. (§ 5)","")&amp;IF((COUNTIFS(B13:AF13,"?*",$B$52:$AF$52,1)-SUMPRODUCT(COUNTIFS(B13:AF13,Codes,$B$52:$AF$52,1)*(Codes&lt;&gt;"")*Erste))&gt;0,IF(COUNTIF(B62:AF62,1)&gt;0,"; ","")&amp;(COUNTIFS(B13:AF13,"?*",$B$52:$AF$52,1)-SUMPRODUCT(COUNTIFS(B13:AF13,Codes,$B$52:$AF$52,1)*(Codes&lt;&gt;"")*Erste))&amp;"× unbekanntes Kürzel",""))</f>
      </c>
    </row>
    <row r="14" spans="1:38" x14ac:dyDescent="0.25">
      <c r="A14" s="33">
        <f>Mitarbeiter!$A$13&amp;""</f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5">
        <f>IF($A14="","",SUMPRODUCT(COUNTIFS(B14:AF14,Codes,$B$52:$AF$52,1)*(Arten="Arbeit")*Erste*NettoTage)+SUMPRODUCT(COUNTIFS(B14:AF14,Codes,$B$53:$AF$53,1)*((Arten="Urlaub")+(Arten="Krank")+(Arten="Bezahlt abwesend"))*Erste)*N(Mitarbeiter!$B$13)/5/24)</f>
      </c>
      <c r="AH14" s="35">
        <f>IF($A14="","",N(Mitarbeiter!$B$13)/5/24*SUM($B$53:$AF$53))</f>
      </c>
      <c r="AI14" s="36">
        <f>IF($A14="","",IF((AG14-AH14)&lt;0,"-","+")&amp;TEXT(ABS((AG14-AH14)),"[h]:mm"))</f>
      </c>
      <c r="AJ14" s="37">
        <f>IF($A14="","",SUMPRODUCT(COUNTIFS(B14:AF14,Codes,$B$53:$AF$53,1)*(Arten="Urlaub")*Erste))</f>
      </c>
      <c r="AK14" s="37">
        <f>IF($A14="","",SUMPRODUCT(COUNTIFS(B14:AF14,Codes,$B$53:$AF$53,1)*(Arten="Krank")*Erste))</f>
      </c>
      <c r="AL14" s="38">
        <f>IF($A14="","",IF(COUNTIF(B63:AF63,1)&gt;0,COUNTIF(B63:AF63,1)&amp;"× Ruhezeit unter 11 Std. (§ 5)","")&amp;IF((COUNTIFS(B14:AF14,"?*",$B$52:$AF$52,1)-SUMPRODUCT(COUNTIFS(B14:AF14,Codes,$B$52:$AF$52,1)*(Codes&lt;&gt;"")*Erste))&gt;0,IF(COUNTIF(B63:AF63,1)&gt;0,"; ","")&amp;(COUNTIFS(B14:AF14,"?*",$B$52:$AF$52,1)-SUMPRODUCT(COUNTIFS(B14:AF14,Codes,$B$52:$AF$52,1)*(Codes&lt;&gt;"")*Erste))&amp;"× unbekanntes Kürzel",""))</f>
      </c>
    </row>
    <row r="15" spans="1:38" x14ac:dyDescent="0.25">
      <c r="A15" s="33">
        <f>Mitarbeiter!$A$14&amp;""</f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5">
        <f>IF($A15="","",SUMPRODUCT(COUNTIFS(B15:AF15,Codes,$B$52:$AF$52,1)*(Arten="Arbeit")*Erste*NettoTage)+SUMPRODUCT(COUNTIFS(B15:AF15,Codes,$B$53:$AF$53,1)*((Arten="Urlaub")+(Arten="Krank")+(Arten="Bezahlt abwesend"))*Erste)*N(Mitarbeiter!$B$14)/5/24)</f>
      </c>
      <c r="AH15" s="35">
        <f>IF($A15="","",N(Mitarbeiter!$B$14)/5/24*SUM($B$53:$AF$53))</f>
      </c>
      <c r="AI15" s="36">
        <f>IF($A15="","",IF((AG15-AH15)&lt;0,"-","+")&amp;TEXT(ABS((AG15-AH15)),"[h]:mm"))</f>
      </c>
      <c r="AJ15" s="37">
        <f>IF($A15="","",SUMPRODUCT(COUNTIFS(B15:AF15,Codes,$B$53:$AF$53,1)*(Arten="Urlaub")*Erste))</f>
      </c>
      <c r="AK15" s="37">
        <f>IF($A15="","",SUMPRODUCT(COUNTIFS(B15:AF15,Codes,$B$53:$AF$53,1)*(Arten="Krank")*Erste))</f>
      </c>
      <c r="AL15" s="38">
        <f>IF($A15="","",IF(COUNTIF(B64:AF64,1)&gt;0,COUNTIF(B64:AF64,1)&amp;"× Ruhezeit unter 11 Std. (§ 5)","")&amp;IF((COUNTIFS(B15:AF15,"?*",$B$52:$AF$52,1)-SUMPRODUCT(COUNTIFS(B15:AF15,Codes,$B$52:$AF$52,1)*(Codes&lt;&gt;"")*Erste))&gt;0,IF(COUNTIF(B64:AF64,1)&gt;0,"; ","")&amp;(COUNTIFS(B15:AF15,"?*",$B$52:$AF$52,1)-SUMPRODUCT(COUNTIFS(B15:AF15,Codes,$B$52:$AF$52,1)*(Codes&lt;&gt;"")*Erste))&amp;"× unbekanntes Kürzel",""))</f>
      </c>
    </row>
    <row r="16" spans="1:38" x14ac:dyDescent="0.25">
      <c r="A16" s="33">
        <f>Mitarbeiter!$A$15&amp;""</f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5">
        <f>IF($A16="","",SUMPRODUCT(COUNTIFS(B16:AF16,Codes,$B$52:$AF$52,1)*(Arten="Arbeit")*Erste*NettoTage)+SUMPRODUCT(COUNTIFS(B16:AF16,Codes,$B$53:$AF$53,1)*((Arten="Urlaub")+(Arten="Krank")+(Arten="Bezahlt abwesend"))*Erste)*N(Mitarbeiter!$B$15)/5/24)</f>
      </c>
      <c r="AH16" s="35">
        <f>IF($A16="","",N(Mitarbeiter!$B$15)/5/24*SUM($B$53:$AF$53))</f>
      </c>
      <c r="AI16" s="36">
        <f>IF($A16="","",IF((AG16-AH16)&lt;0,"-","+")&amp;TEXT(ABS((AG16-AH16)),"[h]:mm"))</f>
      </c>
      <c r="AJ16" s="37">
        <f>IF($A16="","",SUMPRODUCT(COUNTIFS(B16:AF16,Codes,$B$53:$AF$53,1)*(Arten="Urlaub")*Erste))</f>
      </c>
      <c r="AK16" s="37">
        <f>IF($A16="","",SUMPRODUCT(COUNTIFS(B16:AF16,Codes,$B$53:$AF$53,1)*(Arten="Krank")*Erste))</f>
      </c>
      <c r="AL16" s="38">
        <f>IF($A16="","",IF(COUNTIF(B65:AF65,1)&gt;0,COUNTIF(B65:AF65,1)&amp;"× Ruhezeit unter 11 Std. (§ 5)","")&amp;IF((COUNTIFS(B16:AF16,"?*",$B$52:$AF$52,1)-SUMPRODUCT(COUNTIFS(B16:AF16,Codes,$B$52:$AF$52,1)*(Codes&lt;&gt;"")*Erste))&gt;0,IF(COUNTIF(B65:AF65,1)&gt;0,"; ","")&amp;(COUNTIFS(B16:AF16,"?*",$B$52:$AF$52,1)-SUMPRODUCT(COUNTIFS(B16:AF16,Codes,$B$52:$AF$52,1)*(Codes&lt;&gt;"")*Erste))&amp;"× unbekanntes Kürzel",""))</f>
      </c>
    </row>
    <row r="17" spans="1:38" x14ac:dyDescent="0.25">
      <c r="A17" s="33">
        <f>Mitarbeiter!$A$16&amp;""</f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5">
        <f>IF($A17="","",SUMPRODUCT(COUNTIFS(B17:AF17,Codes,$B$52:$AF$52,1)*(Arten="Arbeit")*Erste*NettoTage)+SUMPRODUCT(COUNTIFS(B17:AF17,Codes,$B$53:$AF$53,1)*((Arten="Urlaub")+(Arten="Krank")+(Arten="Bezahlt abwesend"))*Erste)*N(Mitarbeiter!$B$16)/5/24)</f>
      </c>
      <c r="AH17" s="35">
        <f>IF($A17="","",N(Mitarbeiter!$B$16)/5/24*SUM($B$53:$AF$53))</f>
      </c>
      <c r="AI17" s="36">
        <f>IF($A17="","",IF((AG17-AH17)&lt;0,"-","+")&amp;TEXT(ABS((AG17-AH17)),"[h]:mm"))</f>
      </c>
      <c r="AJ17" s="37">
        <f>IF($A17="","",SUMPRODUCT(COUNTIFS(B17:AF17,Codes,$B$53:$AF$53,1)*(Arten="Urlaub")*Erste))</f>
      </c>
      <c r="AK17" s="37">
        <f>IF($A17="","",SUMPRODUCT(COUNTIFS(B17:AF17,Codes,$B$53:$AF$53,1)*(Arten="Krank")*Erste))</f>
      </c>
      <c r="AL17" s="38">
        <f>IF($A17="","",IF(COUNTIF(B66:AF66,1)&gt;0,COUNTIF(B66:AF66,1)&amp;"× Ruhezeit unter 11 Std. (§ 5)","")&amp;IF((COUNTIFS(B17:AF17,"?*",$B$52:$AF$52,1)-SUMPRODUCT(COUNTIFS(B17:AF17,Codes,$B$52:$AF$52,1)*(Codes&lt;&gt;"")*Erste))&gt;0,IF(COUNTIF(B66:AF66,1)&gt;0,"; ","")&amp;(COUNTIFS(B17:AF17,"?*",$B$52:$AF$52,1)-SUMPRODUCT(COUNTIFS(B17:AF17,Codes,$B$52:$AF$52,1)*(Codes&lt;&gt;"")*Erste))&amp;"× unbekanntes Kürzel",""))</f>
      </c>
    </row>
    <row r="18" spans="1:38" x14ac:dyDescent="0.25">
      <c r="A18" s="33">
        <f>Mitarbeiter!$A$17&amp;""</f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5">
        <f>IF($A18="","",SUMPRODUCT(COUNTIFS(B18:AF18,Codes,$B$52:$AF$52,1)*(Arten="Arbeit")*Erste*NettoTage)+SUMPRODUCT(COUNTIFS(B18:AF18,Codes,$B$53:$AF$53,1)*((Arten="Urlaub")+(Arten="Krank")+(Arten="Bezahlt abwesend"))*Erste)*N(Mitarbeiter!$B$17)/5/24)</f>
      </c>
      <c r="AH18" s="35">
        <f>IF($A18="","",N(Mitarbeiter!$B$17)/5/24*SUM($B$53:$AF$53))</f>
      </c>
      <c r="AI18" s="36">
        <f>IF($A18="","",IF((AG18-AH18)&lt;0,"-","+")&amp;TEXT(ABS((AG18-AH18)),"[h]:mm"))</f>
      </c>
      <c r="AJ18" s="37">
        <f>IF($A18="","",SUMPRODUCT(COUNTIFS(B18:AF18,Codes,$B$53:$AF$53,1)*(Arten="Urlaub")*Erste))</f>
      </c>
      <c r="AK18" s="37">
        <f>IF($A18="","",SUMPRODUCT(COUNTIFS(B18:AF18,Codes,$B$53:$AF$53,1)*(Arten="Krank")*Erste))</f>
      </c>
      <c r="AL18" s="38">
        <f>IF($A18="","",IF(COUNTIF(B67:AF67,1)&gt;0,COUNTIF(B67:AF67,1)&amp;"× Ruhezeit unter 11 Std. (§ 5)","")&amp;IF((COUNTIFS(B18:AF18,"?*",$B$52:$AF$52,1)-SUMPRODUCT(COUNTIFS(B18:AF18,Codes,$B$52:$AF$52,1)*(Codes&lt;&gt;"")*Erste))&gt;0,IF(COUNTIF(B67:AF67,1)&gt;0,"; ","")&amp;(COUNTIFS(B18:AF18,"?*",$B$52:$AF$52,1)-SUMPRODUCT(COUNTIFS(B18:AF18,Codes,$B$52:$AF$52,1)*(Codes&lt;&gt;"")*Erste))&amp;"× unbekanntes Kürzel",""))</f>
      </c>
    </row>
    <row r="19" spans="1:38" x14ac:dyDescent="0.25">
      <c r="A19" s="33">
        <f>Mitarbeiter!$A$18&amp;""</f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5">
        <f>IF($A19="","",SUMPRODUCT(COUNTIFS(B19:AF19,Codes,$B$52:$AF$52,1)*(Arten="Arbeit")*Erste*NettoTage)+SUMPRODUCT(COUNTIFS(B19:AF19,Codes,$B$53:$AF$53,1)*((Arten="Urlaub")+(Arten="Krank")+(Arten="Bezahlt abwesend"))*Erste)*N(Mitarbeiter!$B$18)/5/24)</f>
      </c>
      <c r="AH19" s="35">
        <f>IF($A19="","",N(Mitarbeiter!$B$18)/5/24*SUM($B$53:$AF$53))</f>
      </c>
      <c r="AI19" s="36">
        <f>IF($A19="","",IF((AG19-AH19)&lt;0,"-","+")&amp;TEXT(ABS((AG19-AH19)),"[h]:mm"))</f>
      </c>
      <c r="AJ19" s="37">
        <f>IF($A19="","",SUMPRODUCT(COUNTIFS(B19:AF19,Codes,$B$53:$AF$53,1)*(Arten="Urlaub")*Erste))</f>
      </c>
      <c r="AK19" s="37">
        <f>IF($A19="","",SUMPRODUCT(COUNTIFS(B19:AF19,Codes,$B$53:$AF$53,1)*(Arten="Krank")*Erste))</f>
      </c>
      <c r="AL19" s="38">
        <f>IF($A19="","",IF(COUNTIF(B68:AF68,1)&gt;0,COUNTIF(B68:AF68,1)&amp;"× Ruhezeit unter 11 Std. (§ 5)","")&amp;IF((COUNTIFS(B19:AF19,"?*",$B$52:$AF$52,1)-SUMPRODUCT(COUNTIFS(B19:AF19,Codes,$B$52:$AF$52,1)*(Codes&lt;&gt;"")*Erste))&gt;0,IF(COUNTIF(B68:AF68,1)&gt;0,"; ","")&amp;(COUNTIFS(B19:AF19,"?*",$B$52:$AF$52,1)-SUMPRODUCT(COUNTIFS(B19:AF19,Codes,$B$52:$AF$52,1)*(Codes&lt;&gt;"")*Erste))&amp;"× unbekanntes Kürzel",""))</f>
      </c>
    </row>
    <row r="20" spans="1:38" x14ac:dyDescent="0.25">
      <c r="A20" s="33">
        <f>Mitarbeiter!$A$19&amp;""</f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5">
        <f>IF($A20="","",SUMPRODUCT(COUNTIFS(B20:AF20,Codes,$B$52:$AF$52,1)*(Arten="Arbeit")*Erste*NettoTage)+SUMPRODUCT(COUNTIFS(B20:AF20,Codes,$B$53:$AF$53,1)*((Arten="Urlaub")+(Arten="Krank")+(Arten="Bezahlt abwesend"))*Erste)*N(Mitarbeiter!$B$19)/5/24)</f>
      </c>
      <c r="AH20" s="35">
        <f>IF($A20="","",N(Mitarbeiter!$B$19)/5/24*SUM($B$53:$AF$53))</f>
      </c>
      <c r="AI20" s="36">
        <f>IF($A20="","",IF((AG20-AH20)&lt;0,"-","+")&amp;TEXT(ABS((AG20-AH20)),"[h]:mm"))</f>
      </c>
      <c r="AJ20" s="37">
        <f>IF($A20="","",SUMPRODUCT(COUNTIFS(B20:AF20,Codes,$B$53:$AF$53,1)*(Arten="Urlaub")*Erste))</f>
      </c>
      <c r="AK20" s="37">
        <f>IF($A20="","",SUMPRODUCT(COUNTIFS(B20:AF20,Codes,$B$53:$AF$53,1)*(Arten="Krank")*Erste))</f>
      </c>
      <c r="AL20" s="38">
        <f>IF($A20="","",IF(COUNTIF(B69:AF69,1)&gt;0,COUNTIF(B69:AF69,1)&amp;"× Ruhezeit unter 11 Std. (§ 5)","")&amp;IF((COUNTIFS(B20:AF20,"?*",$B$52:$AF$52,1)-SUMPRODUCT(COUNTIFS(B20:AF20,Codes,$B$52:$AF$52,1)*(Codes&lt;&gt;"")*Erste))&gt;0,IF(COUNTIF(B69:AF69,1)&gt;0,"; ","")&amp;(COUNTIFS(B20:AF20,"?*",$B$52:$AF$52,1)-SUMPRODUCT(COUNTIFS(B20:AF20,Codes,$B$52:$AF$52,1)*(Codes&lt;&gt;"")*Erste))&amp;"× unbekanntes Kürzel",""))</f>
      </c>
    </row>
    <row r="21" spans="1:38" x14ac:dyDescent="0.25">
      <c r="A21" s="33">
        <f>Mitarbeiter!$A$20&amp;""</f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5">
        <f>IF($A21="","",SUMPRODUCT(COUNTIFS(B21:AF21,Codes,$B$52:$AF$52,1)*(Arten="Arbeit")*Erste*NettoTage)+SUMPRODUCT(COUNTIFS(B21:AF21,Codes,$B$53:$AF$53,1)*((Arten="Urlaub")+(Arten="Krank")+(Arten="Bezahlt abwesend"))*Erste)*N(Mitarbeiter!$B$20)/5/24)</f>
      </c>
      <c r="AH21" s="35">
        <f>IF($A21="","",N(Mitarbeiter!$B$20)/5/24*SUM($B$53:$AF$53))</f>
      </c>
      <c r="AI21" s="36">
        <f>IF($A21="","",IF((AG21-AH21)&lt;0,"-","+")&amp;TEXT(ABS((AG21-AH21)),"[h]:mm"))</f>
      </c>
      <c r="AJ21" s="37">
        <f>IF($A21="","",SUMPRODUCT(COUNTIFS(B21:AF21,Codes,$B$53:$AF$53,1)*(Arten="Urlaub")*Erste))</f>
      </c>
      <c r="AK21" s="37">
        <f>IF($A21="","",SUMPRODUCT(COUNTIFS(B21:AF21,Codes,$B$53:$AF$53,1)*(Arten="Krank")*Erste))</f>
      </c>
      <c r="AL21" s="38">
        <f>IF($A21="","",IF(COUNTIF(B70:AF70,1)&gt;0,COUNTIF(B70:AF70,1)&amp;"× Ruhezeit unter 11 Std. (§ 5)","")&amp;IF((COUNTIFS(B21:AF21,"?*",$B$52:$AF$52,1)-SUMPRODUCT(COUNTIFS(B21:AF21,Codes,$B$52:$AF$52,1)*(Codes&lt;&gt;"")*Erste))&gt;0,IF(COUNTIF(B70:AF70,1)&gt;0,"; ","")&amp;(COUNTIFS(B21:AF21,"?*",$B$52:$AF$52,1)-SUMPRODUCT(COUNTIFS(B21:AF21,Codes,$B$52:$AF$52,1)*(Codes&lt;&gt;"")*Erste))&amp;"× unbekanntes Kürzel",""))</f>
      </c>
    </row>
    <row r="22" spans="1:38" x14ac:dyDescent="0.25">
      <c r="A22" s="33">
        <f>Mitarbeiter!$A$21&amp;""</f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5">
        <f>IF($A22="","",SUMPRODUCT(COUNTIFS(B22:AF22,Codes,$B$52:$AF$52,1)*(Arten="Arbeit")*Erste*NettoTage)+SUMPRODUCT(COUNTIFS(B22:AF22,Codes,$B$53:$AF$53,1)*((Arten="Urlaub")+(Arten="Krank")+(Arten="Bezahlt abwesend"))*Erste)*N(Mitarbeiter!$B$21)/5/24)</f>
      </c>
      <c r="AH22" s="35">
        <f>IF($A22="","",N(Mitarbeiter!$B$21)/5/24*SUM($B$53:$AF$53))</f>
      </c>
      <c r="AI22" s="36">
        <f>IF($A22="","",IF((AG22-AH22)&lt;0,"-","+")&amp;TEXT(ABS((AG22-AH22)),"[h]:mm"))</f>
      </c>
      <c r="AJ22" s="37">
        <f>IF($A22="","",SUMPRODUCT(COUNTIFS(B22:AF22,Codes,$B$53:$AF$53,1)*(Arten="Urlaub")*Erste))</f>
      </c>
      <c r="AK22" s="37">
        <f>IF($A22="","",SUMPRODUCT(COUNTIFS(B22:AF22,Codes,$B$53:$AF$53,1)*(Arten="Krank")*Erste))</f>
      </c>
      <c r="AL22" s="38">
        <f>IF($A22="","",IF(COUNTIF(B71:AF71,1)&gt;0,COUNTIF(B71:AF71,1)&amp;"× Ruhezeit unter 11 Std. (§ 5)","")&amp;IF((COUNTIFS(B22:AF22,"?*",$B$52:$AF$52,1)-SUMPRODUCT(COUNTIFS(B22:AF22,Codes,$B$52:$AF$52,1)*(Codes&lt;&gt;"")*Erste))&gt;0,IF(COUNTIF(B71:AF71,1)&gt;0,"; ","")&amp;(COUNTIFS(B22:AF22,"?*",$B$52:$AF$52,1)-SUMPRODUCT(COUNTIFS(B22:AF22,Codes,$B$52:$AF$52,1)*(Codes&lt;&gt;"")*Erste))&amp;"× unbekanntes Kürzel",""))</f>
      </c>
    </row>
    <row r="23" spans="1:38" x14ac:dyDescent="0.25">
      <c r="A23" s="33">
        <f>Mitarbeiter!$A$22&amp;""</f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5">
        <f>IF($A23="","",SUMPRODUCT(COUNTIFS(B23:AF23,Codes,$B$52:$AF$52,1)*(Arten="Arbeit")*Erste*NettoTage)+SUMPRODUCT(COUNTIFS(B23:AF23,Codes,$B$53:$AF$53,1)*((Arten="Urlaub")+(Arten="Krank")+(Arten="Bezahlt abwesend"))*Erste)*N(Mitarbeiter!$B$22)/5/24)</f>
      </c>
      <c r="AH23" s="35">
        <f>IF($A23="","",N(Mitarbeiter!$B$22)/5/24*SUM($B$53:$AF$53))</f>
      </c>
      <c r="AI23" s="36">
        <f>IF($A23="","",IF((AG23-AH23)&lt;0,"-","+")&amp;TEXT(ABS((AG23-AH23)),"[h]:mm"))</f>
      </c>
      <c r="AJ23" s="37">
        <f>IF($A23="","",SUMPRODUCT(COUNTIFS(B23:AF23,Codes,$B$53:$AF$53,1)*(Arten="Urlaub")*Erste))</f>
      </c>
      <c r="AK23" s="37">
        <f>IF($A23="","",SUMPRODUCT(COUNTIFS(B23:AF23,Codes,$B$53:$AF$53,1)*(Arten="Krank")*Erste))</f>
      </c>
      <c r="AL23" s="38">
        <f>IF($A23="","",IF(COUNTIF(B72:AF72,1)&gt;0,COUNTIF(B72:AF72,1)&amp;"× Ruhezeit unter 11 Std. (§ 5)","")&amp;IF((COUNTIFS(B23:AF23,"?*",$B$52:$AF$52,1)-SUMPRODUCT(COUNTIFS(B23:AF23,Codes,$B$52:$AF$52,1)*(Codes&lt;&gt;"")*Erste))&gt;0,IF(COUNTIF(B72:AF72,1)&gt;0,"; ","")&amp;(COUNTIFS(B23:AF23,"?*",$B$52:$AF$52,1)-SUMPRODUCT(COUNTIFS(B23:AF23,Codes,$B$52:$AF$52,1)*(Codes&lt;&gt;"")*Erste))&amp;"× unbekanntes Kürzel",""))</f>
      </c>
    </row>
    <row r="24" spans="1:38" x14ac:dyDescent="0.25">
      <c r="A24" s="33">
        <f>Mitarbeiter!$A$23&amp;""</f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5">
        <f>IF($A24="","",SUMPRODUCT(COUNTIFS(B24:AF24,Codes,$B$52:$AF$52,1)*(Arten="Arbeit")*Erste*NettoTage)+SUMPRODUCT(COUNTIFS(B24:AF24,Codes,$B$53:$AF$53,1)*((Arten="Urlaub")+(Arten="Krank")+(Arten="Bezahlt abwesend"))*Erste)*N(Mitarbeiter!$B$23)/5/24)</f>
      </c>
      <c r="AH24" s="35">
        <f>IF($A24="","",N(Mitarbeiter!$B$23)/5/24*SUM($B$53:$AF$53))</f>
      </c>
      <c r="AI24" s="36">
        <f>IF($A24="","",IF((AG24-AH24)&lt;0,"-","+")&amp;TEXT(ABS((AG24-AH24)),"[h]:mm"))</f>
      </c>
      <c r="AJ24" s="37">
        <f>IF($A24="","",SUMPRODUCT(COUNTIFS(B24:AF24,Codes,$B$53:$AF$53,1)*(Arten="Urlaub")*Erste))</f>
      </c>
      <c r="AK24" s="37">
        <f>IF($A24="","",SUMPRODUCT(COUNTIFS(B24:AF24,Codes,$B$53:$AF$53,1)*(Arten="Krank")*Erste))</f>
      </c>
      <c r="AL24" s="38">
        <f>IF($A24="","",IF(COUNTIF(B73:AF73,1)&gt;0,COUNTIF(B73:AF73,1)&amp;"× Ruhezeit unter 11 Std. (§ 5)","")&amp;IF((COUNTIFS(B24:AF24,"?*",$B$52:$AF$52,1)-SUMPRODUCT(COUNTIFS(B24:AF24,Codes,$B$52:$AF$52,1)*(Codes&lt;&gt;"")*Erste))&gt;0,IF(COUNTIF(B73:AF73,1)&gt;0,"; ","")&amp;(COUNTIFS(B24:AF24,"?*",$B$52:$AF$52,1)-SUMPRODUCT(COUNTIFS(B24:AF24,Codes,$B$52:$AF$52,1)*(Codes&lt;&gt;"")*Erste))&amp;"× unbekanntes Kürzel",""))</f>
      </c>
    </row>
    <row r="25" spans="1:38" x14ac:dyDescent="0.25">
      <c r="A25" s="33">
        <f>Mitarbeiter!$A$24&amp;""</f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5">
        <f>IF($A25="","",SUMPRODUCT(COUNTIFS(B25:AF25,Codes,$B$52:$AF$52,1)*(Arten="Arbeit")*Erste*NettoTage)+SUMPRODUCT(COUNTIFS(B25:AF25,Codes,$B$53:$AF$53,1)*((Arten="Urlaub")+(Arten="Krank")+(Arten="Bezahlt abwesend"))*Erste)*N(Mitarbeiter!$B$24)/5/24)</f>
      </c>
      <c r="AH25" s="35">
        <f>IF($A25="","",N(Mitarbeiter!$B$24)/5/24*SUM($B$53:$AF$53))</f>
      </c>
      <c r="AI25" s="36">
        <f>IF($A25="","",IF((AG25-AH25)&lt;0,"-","+")&amp;TEXT(ABS((AG25-AH25)),"[h]:mm"))</f>
      </c>
      <c r="AJ25" s="37">
        <f>IF($A25="","",SUMPRODUCT(COUNTIFS(B25:AF25,Codes,$B$53:$AF$53,1)*(Arten="Urlaub")*Erste))</f>
      </c>
      <c r="AK25" s="37">
        <f>IF($A25="","",SUMPRODUCT(COUNTIFS(B25:AF25,Codes,$B$53:$AF$53,1)*(Arten="Krank")*Erste))</f>
      </c>
      <c r="AL25" s="38">
        <f>IF($A25="","",IF(COUNTIF(B74:AF74,1)&gt;0,COUNTIF(B74:AF74,1)&amp;"× Ruhezeit unter 11 Std. (§ 5)","")&amp;IF((COUNTIFS(B25:AF25,"?*",$B$52:$AF$52,1)-SUMPRODUCT(COUNTIFS(B25:AF25,Codes,$B$52:$AF$52,1)*(Codes&lt;&gt;"")*Erste))&gt;0,IF(COUNTIF(B74:AF74,1)&gt;0,"; ","")&amp;(COUNTIFS(B25:AF25,"?*",$B$52:$AF$52,1)-SUMPRODUCT(COUNTIFS(B25:AF25,Codes,$B$52:$AF$52,1)*(Codes&lt;&gt;"")*Erste))&amp;"× unbekanntes Kürzel",""))</f>
      </c>
    </row>
    <row r="26" spans="1:38" x14ac:dyDescent="0.25">
      <c r="A26" s="33">
        <f>Mitarbeiter!$A$25&amp;""</f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5">
        <f>IF($A26="","",SUMPRODUCT(COUNTIFS(B26:AF26,Codes,$B$52:$AF$52,1)*(Arten="Arbeit")*Erste*NettoTage)+SUMPRODUCT(COUNTIFS(B26:AF26,Codes,$B$53:$AF$53,1)*((Arten="Urlaub")+(Arten="Krank")+(Arten="Bezahlt abwesend"))*Erste)*N(Mitarbeiter!$B$25)/5/24)</f>
      </c>
      <c r="AH26" s="35">
        <f>IF($A26="","",N(Mitarbeiter!$B$25)/5/24*SUM($B$53:$AF$53))</f>
      </c>
      <c r="AI26" s="36">
        <f>IF($A26="","",IF((AG26-AH26)&lt;0,"-","+")&amp;TEXT(ABS((AG26-AH26)),"[h]:mm"))</f>
      </c>
      <c r="AJ26" s="37">
        <f>IF($A26="","",SUMPRODUCT(COUNTIFS(B26:AF26,Codes,$B$53:$AF$53,1)*(Arten="Urlaub")*Erste))</f>
      </c>
      <c r="AK26" s="37">
        <f>IF($A26="","",SUMPRODUCT(COUNTIFS(B26:AF26,Codes,$B$53:$AF$53,1)*(Arten="Krank")*Erste))</f>
      </c>
      <c r="AL26" s="38">
        <f>IF($A26="","",IF(COUNTIF(B75:AF75,1)&gt;0,COUNTIF(B75:AF75,1)&amp;"× Ruhezeit unter 11 Std. (§ 5)","")&amp;IF((COUNTIFS(B26:AF26,"?*",$B$52:$AF$52,1)-SUMPRODUCT(COUNTIFS(B26:AF26,Codes,$B$52:$AF$52,1)*(Codes&lt;&gt;"")*Erste))&gt;0,IF(COUNTIF(B75:AF75,1)&gt;0,"; ","")&amp;(COUNTIFS(B26:AF26,"?*",$B$52:$AF$52,1)-SUMPRODUCT(COUNTIFS(B26:AF26,Codes,$B$52:$AF$52,1)*(Codes&lt;&gt;"")*Erste))&amp;"× unbekanntes Kürzel",""))</f>
      </c>
    </row>
    <row r="27" spans="1:38" x14ac:dyDescent="0.25">
      <c r="A27" s="33">
        <f>Mitarbeiter!$A$26&amp;""</f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5">
        <f>IF($A27="","",SUMPRODUCT(COUNTIFS(B27:AF27,Codes,$B$52:$AF$52,1)*(Arten="Arbeit")*Erste*NettoTage)+SUMPRODUCT(COUNTIFS(B27:AF27,Codes,$B$53:$AF$53,1)*((Arten="Urlaub")+(Arten="Krank")+(Arten="Bezahlt abwesend"))*Erste)*N(Mitarbeiter!$B$26)/5/24)</f>
      </c>
      <c r="AH27" s="35">
        <f>IF($A27="","",N(Mitarbeiter!$B$26)/5/24*SUM($B$53:$AF$53))</f>
      </c>
      <c r="AI27" s="36">
        <f>IF($A27="","",IF((AG27-AH27)&lt;0,"-","+")&amp;TEXT(ABS((AG27-AH27)),"[h]:mm"))</f>
      </c>
      <c r="AJ27" s="37">
        <f>IF($A27="","",SUMPRODUCT(COUNTIFS(B27:AF27,Codes,$B$53:$AF$53,1)*(Arten="Urlaub")*Erste))</f>
      </c>
      <c r="AK27" s="37">
        <f>IF($A27="","",SUMPRODUCT(COUNTIFS(B27:AF27,Codes,$B$53:$AF$53,1)*(Arten="Krank")*Erste))</f>
      </c>
      <c r="AL27" s="38">
        <f>IF($A27="","",IF(COUNTIF(B76:AF76,1)&gt;0,COUNTIF(B76:AF76,1)&amp;"× Ruhezeit unter 11 Std. (§ 5)","")&amp;IF((COUNTIFS(B27:AF27,"?*",$B$52:$AF$52,1)-SUMPRODUCT(COUNTIFS(B27:AF27,Codes,$B$52:$AF$52,1)*(Codes&lt;&gt;"")*Erste))&gt;0,IF(COUNTIF(B76:AF76,1)&gt;0,"; ","")&amp;(COUNTIFS(B27:AF27,"?*",$B$52:$AF$52,1)-SUMPRODUCT(COUNTIFS(B27:AF27,Codes,$B$52:$AF$52,1)*(Codes&lt;&gt;"")*Erste))&amp;"× unbekanntes Kürzel",""))</f>
      </c>
    </row>
    <row r="28" spans="1:38" x14ac:dyDescent="0.25">
      <c r="A28" s="33">
        <f>Mitarbeiter!$A$27&amp;""</f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5">
        <f>IF($A28="","",SUMPRODUCT(COUNTIFS(B28:AF28,Codes,$B$52:$AF$52,1)*(Arten="Arbeit")*Erste*NettoTage)+SUMPRODUCT(COUNTIFS(B28:AF28,Codes,$B$53:$AF$53,1)*((Arten="Urlaub")+(Arten="Krank")+(Arten="Bezahlt abwesend"))*Erste)*N(Mitarbeiter!$B$27)/5/24)</f>
      </c>
      <c r="AH28" s="35">
        <f>IF($A28="","",N(Mitarbeiter!$B$27)/5/24*SUM($B$53:$AF$53))</f>
      </c>
      <c r="AI28" s="36">
        <f>IF($A28="","",IF((AG28-AH28)&lt;0,"-","+")&amp;TEXT(ABS((AG28-AH28)),"[h]:mm"))</f>
      </c>
      <c r="AJ28" s="37">
        <f>IF($A28="","",SUMPRODUCT(COUNTIFS(B28:AF28,Codes,$B$53:$AF$53,1)*(Arten="Urlaub")*Erste))</f>
      </c>
      <c r="AK28" s="37">
        <f>IF($A28="","",SUMPRODUCT(COUNTIFS(B28:AF28,Codes,$B$53:$AF$53,1)*(Arten="Krank")*Erste))</f>
      </c>
      <c r="AL28" s="38">
        <f>IF($A28="","",IF(COUNTIF(B77:AF77,1)&gt;0,COUNTIF(B77:AF77,1)&amp;"× Ruhezeit unter 11 Std. (§ 5)","")&amp;IF((COUNTIFS(B28:AF28,"?*",$B$52:$AF$52,1)-SUMPRODUCT(COUNTIFS(B28:AF28,Codes,$B$52:$AF$52,1)*(Codes&lt;&gt;"")*Erste))&gt;0,IF(COUNTIF(B77:AF77,1)&gt;0,"; ","")&amp;(COUNTIFS(B28:AF28,"?*",$B$52:$AF$52,1)-SUMPRODUCT(COUNTIFS(B28:AF28,Codes,$B$52:$AF$52,1)*(Codes&lt;&gt;"")*Erste))&amp;"× unbekanntes Kürzel",""))</f>
      </c>
    </row>
    <row r="29" spans="1:38" x14ac:dyDescent="0.25">
      <c r="A29" s="33">
        <f>Mitarbeiter!$A$28&amp;""</f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5">
        <f>IF($A29="","",SUMPRODUCT(COUNTIFS(B29:AF29,Codes,$B$52:$AF$52,1)*(Arten="Arbeit")*Erste*NettoTage)+SUMPRODUCT(COUNTIFS(B29:AF29,Codes,$B$53:$AF$53,1)*((Arten="Urlaub")+(Arten="Krank")+(Arten="Bezahlt abwesend"))*Erste)*N(Mitarbeiter!$B$28)/5/24)</f>
      </c>
      <c r="AH29" s="35">
        <f>IF($A29="","",N(Mitarbeiter!$B$28)/5/24*SUM($B$53:$AF$53))</f>
      </c>
      <c r="AI29" s="36">
        <f>IF($A29="","",IF((AG29-AH29)&lt;0,"-","+")&amp;TEXT(ABS((AG29-AH29)),"[h]:mm"))</f>
      </c>
      <c r="AJ29" s="37">
        <f>IF($A29="","",SUMPRODUCT(COUNTIFS(B29:AF29,Codes,$B$53:$AF$53,1)*(Arten="Urlaub")*Erste))</f>
      </c>
      <c r="AK29" s="37">
        <f>IF($A29="","",SUMPRODUCT(COUNTIFS(B29:AF29,Codes,$B$53:$AF$53,1)*(Arten="Krank")*Erste))</f>
      </c>
      <c r="AL29" s="38">
        <f>IF($A29="","",IF(COUNTIF(B78:AF78,1)&gt;0,COUNTIF(B78:AF78,1)&amp;"× Ruhezeit unter 11 Std. (§ 5)","")&amp;IF((COUNTIFS(B29:AF29,"?*",$B$52:$AF$52,1)-SUMPRODUCT(COUNTIFS(B29:AF29,Codes,$B$52:$AF$52,1)*(Codes&lt;&gt;"")*Erste))&gt;0,IF(COUNTIF(B78:AF78,1)&gt;0,"; ","")&amp;(COUNTIFS(B29:AF29,"?*",$B$52:$AF$52,1)-SUMPRODUCT(COUNTIFS(B29:AF29,Codes,$B$52:$AF$52,1)*(Codes&lt;&gt;"")*Erste))&amp;"× unbekanntes Kürzel",""))</f>
      </c>
    </row>
    <row r="30" spans="1:38" x14ac:dyDescent="0.25">
      <c r="A30" s="33">
        <f>Mitarbeiter!$A$29&amp;""</f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5">
        <f>IF($A30="","",SUMPRODUCT(COUNTIFS(B30:AF30,Codes,$B$52:$AF$52,1)*(Arten="Arbeit")*Erste*NettoTage)+SUMPRODUCT(COUNTIFS(B30:AF30,Codes,$B$53:$AF$53,1)*((Arten="Urlaub")+(Arten="Krank")+(Arten="Bezahlt abwesend"))*Erste)*N(Mitarbeiter!$B$29)/5/24)</f>
      </c>
      <c r="AH30" s="35">
        <f>IF($A30="","",N(Mitarbeiter!$B$29)/5/24*SUM($B$53:$AF$53))</f>
      </c>
      <c r="AI30" s="36">
        <f>IF($A30="","",IF((AG30-AH30)&lt;0,"-","+")&amp;TEXT(ABS((AG30-AH30)),"[h]:mm"))</f>
      </c>
      <c r="AJ30" s="37">
        <f>IF($A30="","",SUMPRODUCT(COUNTIFS(B30:AF30,Codes,$B$53:$AF$53,1)*(Arten="Urlaub")*Erste))</f>
      </c>
      <c r="AK30" s="37">
        <f>IF($A30="","",SUMPRODUCT(COUNTIFS(B30:AF30,Codes,$B$53:$AF$53,1)*(Arten="Krank")*Erste))</f>
      </c>
      <c r="AL30" s="38">
        <f>IF($A30="","",IF(COUNTIF(B79:AF79,1)&gt;0,COUNTIF(B79:AF79,1)&amp;"× Ruhezeit unter 11 Std. (§ 5)","")&amp;IF((COUNTIFS(B30:AF30,"?*",$B$52:$AF$52,1)-SUMPRODUCT(COUNTIFS(B30:AF30,Codes,$B$52:$AF$52,1)*(Codes&lt;&gt;"")*Erste))&gt;0,IF(COUNTIF(B79:AF79,1)&gt;0,"; ","")&amp;(COUNTIFS(B30:AF30,"?*",$B$52:$AF$52,1)-SUMPRODUCT(COUNTIFS(B30:AF30,Codes,$B$52:$AF$52,1)*(Codes&lt;&gt;"")*Erste))&amp;"× unbekanntes Kürzel",""))</f>
      </c>
    </row>
    <row r="31" spans="1:38" x14ac:dyDescent="0.25">
      <c r="A31" s="33">
        <f>Mitarbeiter!$A$30&amp;""</f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5">
        <f>IF($A31="","",SUMPRODUCT(COUNTIFS(B31:AF31,Codes,$B$52:$AF$52,1)*(Arten="Arbeit")*Erste*NettoTage)+SUMPRODUCT(COUNTIFS(B31:AF31,Codes,$B$53:$AF$53,1)*((Arten="Urlaub")+(Arten="Krank")+(Arten="Bezahlt abwesend"))*Erste)*N(Mitarbeiter!$B$30)/5/24)</f>
      </c>
      <c r="AH31" s="35">
        <f>IF($A31="","",N(Mitarbeiter!$B$30)/5/24*SUM($B$53:$AF$53))</f>
      </c>
      <c r="AI31" s="36">
        <f>IF($A31="","",IF((AG31-AH31)&lt;0,"-","+")&amp;TEXT(ABS((AG31-AH31)),"[h]:mm"))</f>
      </c>
      <c r="AJ31" s="37">
        <f>IF($A31="","",SUMPRODUCT(COUNTIFS(B31:AF31,Codes,$B$53:$AF$53,1)*(Arten="Urlaub")*Erste))</f>
      </c>
      <c r="AK31" s="37">
        <f>IF($A31="","",SUMPRODUCT(COUNTIFS(B31:AF31,Codes,$B$53:$AF$53,1)*(Arten="Krank")*Erste))</f>
      </c>
      <c r="AL31" s="38">
        <f>IF($A31="","",IF(COUNTIF(B80:AF80,1)&gt;0,COUNTIF(B80:AF80,1)&amp;"× Ruhezeit unter 11 Std. (§ 5)","")&amp;IF((COUNTIFS(B31:AF31,"?*",$B$52:$AF$52,1)-SUMPRODUCT(COUNTIFS(B31:AF31,Codes,$B$52:$AF$52,1)*(Codes&lt;&gt;"")*Erste))&gt;0,IF(COUNTIF(B80:AF80,1)&gt;0,"; ","")&amp;(COUNTIFS(B31:AF31,"?*",$B$52:$AF$52,1)-SUMPRODUCT(COUNTIFS(B31:AF31,Codes,$B$52:$AF$52,1)*(Codes&lt;&gt;"")*Erste))&amp;"× unbekanntes Kürzel",""))</f>
      </c>
    </row>
    <row r="32" spans="1:38" x14ac:dyDescent="0.25">
      <c r="A32" s="33">
        <f>Mitarbeiter!$A$31&amp;""</f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5">
        <f>IF($A32="","",SUMPRODUCT(COUNTIFS(B32:AF32,Codes,$B$52:$AF$52,1)*(Arten="Arbeit")*Erste*NettoTage)+SUMPRODUCT(COUNTIFS(B32:AF32,Codes,$B$53:$AF$53,1)*((Arten="Urlaub")+(Arten="Krank")+(Arten="Bezahlt abwesend"))*Erste)*N(Mitarbeiter!$B$31)/5/24)</f>
      </c>
      <c r="AH32" s="35">
        <f>IF($A32="","",N(Mitarbeiter!$B$31)/5/24*SUM($B$53:$AF$53))</f>
      </c>
      <c r="AI32" s="36">
        <f>IF($A32="","",IF((AG32-AH32)&lt;0,"-","+")&amp;TEXT(ABS((AG32-AH32)),"[h]:mm"))</f>
      </c>
      <c r="AJ32" s="37">
        <f>IF($A32="","",SUMPRODUCT(COUNTIFS(B32:AF32,Codes,$B$53:$AF$53,1)*(Arten="Urlaub")*Erste))</f>
      </c>
      <c r="AK32" s="37">
        <f>IF($A32="","",SUMPRODUCT(COUNTIFS(B32:AF32,Codes,$B$53:$AF$53,1)*(Arten="Krank")*Erste))</f>
      </c>
      <c r="AL32" s="38">
        <f>IF($A32="","",IF(COUNTIF(B81:AF81,1)&gt;0,COUNTIF(B81:AF81,1)&amp;"× Ruhezeit unter 11 Std. (§ 5)","")&amp;IF((COUNTIFS(B32:AF32,"?*",$B$52:$AF$52,1)-SUMPRODUCT(COUNTIFS(B32:AF32,Codes,$B$52:$AF$52,1)*(Codes&lt;&gt;"")*Erste))&gt;0,IF(COUNTIF(B81:AF81,1)&gt;0,"; ","")&amp;(COUNTIFS(B32:AF32,"?*",$B$52:$AF$52,1)-SUMPRODUCT(COUNTIFS(B32:AF32,Codes,$B$52:$AF$52,1)*(Codes&lt;&gt;"")*Erste))&amp;"× unbekanntes Kürzel",""))</f>
      </c>
    </row>
    <row r="33" spans="1:38" x14ac:dyDescent="0.25">
      <c r="A33" s="33">
        <f>Mitarbeiter!$A$32&amp;""</f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5">
        <f>IF($A33="","",SUMPRODUCT(COUNTIFS(B33:AF33,Codes,$B$52:$AF$52,1)*(Arten="Arbeit")*Erste*NettoTage)+SUMPRODUCT(COUNTIFS(B33:AF33,Codes,$B$53:$AF$53,1)*((Arten="Urlaub")+(Arten="Krank")+(Arten="Bezahlt abwesend"))*Erste)*N(Mitarbeiter!$B$32)/5/24)</f>
      </c>
      <c r="AH33" s="35">
        <f>IF($A33="","",N(Mitarbeiter!$B$32)/5/24*SUM($B$53:$AF$53))</f>
      </c>
      <c r="AI33" s="36">
        <f>IF($A33="","",IF((AG33-AH33)&lt;0,"-","+")&amp;TEXT(ABS((AG33-AH33)),"[h]:mm"))</f>
      </c>
      <c r="AJ33" s="37">
        <f>IF($A33="","",SUMPRODUCT(COUNTIFS(B33:AF33,Codes,$B$53:$AF$53,1)*(Arten="Urlaub")*Erste))</f>
      </c>
      <c r="AK33" s="37">
        <f>IF($A33="","",SUMPRODUCT(COUNTIFS(B33:AF33,Codes,$B$53:$AF$53,1)*(Arten="Krank")*Erste))</f>
      </c>
      <c r="AL33" s="38">
        <f>IF($A33="","",IF(COUNTIF(B82:AF82,1)&gt;0,COUNTIF(B82:AF82,1)&amp;"× Ruhezeit unter 11 Std. (§ 5)","")&amp;IF((COUNTIFS(B33:AF33,"?*",$B$52:$AF$52,1)-SUMPRODUCT(COUNTIFS(B33:AF33,Codes,$B$52:$AF$52,1)*(Codes&lt;&gt;"")*Erste))&gt;0,IF(COUNTIF(B82:AF82,1)&gt;0,"; ","")&amp;(COUNTIFS(B33:AF33,"?*",$B$52:$AF$52,1)-SUMPRODUCT(COUNTIFS(B33:AF33,Codes,$B$52:$AF$52,1)*(Codes&lt;&gt;"")*Erste))&amp;"× unbekanntes Kürzel",""))</f>
      </c>
    </row>
    <row r="34" spans="1:38" x14ac:dyDescent="0.25">
      <c r="A34" s="33">
        <f>Mitarbeiter!$A$33&amp;""</f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5">
        <f>IF($A34="","",SUMPRODUCT(COUNTIFS(B34:AF34,Codes,$B$52:$AF$52,1)*(Arten="Arbeit")*Erste*NettoTage)+SUMPRODUCT(COUNTIFS(B34:AF34,Codes,$B$53:$AF$53,1)*((Arten="Urlaub")+(Arten="Krank")+(Arten="Bezahlt abwesend"))*Erste)*N(Mitarbeiter!$B$33)/5/24)</f>
      </c>
      <c r="AH34" s="35">
        <f>IF($A34="","",N(Mitarbeiter!$B$33)/5/24*SUM($B$53:$AF$53))</f>
      </c>
      <c r="AI34" s="36">
        <f>IF($A34="","",IF((AG34-AH34)&lt;0,"-","+")&amp;TEXT(ABS((AG34-AH34)),"[h]:mm"))</f>
      </c>
      <c r="AJ34" s="37">
        <f>IF($A34="","",SUMPRODUCT(COUNTIFS(B34:AF34,Codes,$B$53:$AF$53,1)*(Arten="Urlaub")*Erste))</f>
      </c>
      <c r="AK34" s="37">
        <f>IF($A34="","",SUMPRODUCT(COUNTIFS(B34:AF34,Codes,$B$53:$AF$53,1)*(Arten="Krank")*Erste))</f>
      </c>
      <c r="AL34" s="38">
        <f>IF($A34="","",IF(COUNTIF(B83:AF83,1)&gt;0,COUNTIF(B83:AF83,1)&amp;"× Ruhezeit unter 11 Std. (§ 5)","")&amp;IF((COUNTIFS(B34:AF34,"?*",$B$52:$AF$52,1)-SUMPRODUCT(COUNTIFS(B34:AF34,Codes,$B$52:$AF$52,1)*(Codes&lt;&gt;"")*Erste))&gt;0,IF(COUNTIF(B83:AF83,1)&gt;0,"; ","")&amp;(COUNTIFS(B34:AF34,"?*",$B$52:$AF$52,1)-SUMPRODUCT(COUNTIFS(B34:AF34,Codes,$B$52:$AF$52,1)*(Codes&lt;&gt;"")*Erste))&amp;"× unbekanntes Kürzel",""))</f>
      </c>
    </row>
    <row r="35" spans="1:38" x14ac:dyDescent="0.25">
      <c r="A35" s="33">
        <f>Mitarbeiter!$A$34&amp;""</f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5">
        <f>IF($A35="","",SUMPRODUCT(COUNTIFS(B35:AF35,Codes,$B$52:$AF$52,1)*(Arten="Arbeit")*Erste*NettoTage)+SUMPRODUCT(COUNTIFS(B35:AF35,Codes,$B$53:$AF$53,1)*((Arten="Urlaub")+(Arten="Krank")+(Arten="Bezahlt abwesend"))*Erste)*N(Mitarbeiter!$B$34)/5/24)</f>
      </c>
      <c r="AH35" s="35">
        <f>IF($A35="","",N(Mitarbeiter!$B$34)/5/24*SUM($B$53:$AF$53))</f>
      </c>
      <c r="AI35" s="36">
        <f>IF($A35="","",IF((AG35-AH35)&lt;0,"-","+")&amp;TEXT(ABS((AG35-AH35)),"[h]:mm"))</f>
      </c>
      <c r="AJ35" s="37">
        <f>IF($A35="","",SUMPRODUCT(COUNTIFS(B35:AF35,Codes,$B$53:$AF$53,1)*(Arten="Urlaub")*Erste))</f>
      </c>
      <c r="AK35" s="37">
        <f>IF($A35="","",SUMPRODUCT(COUNTIFS(B35:AF35,Codes,$B$53:$AF$53,1)*(Arten="Krank")*Erste))</f>
      </c>
      <c r="AL35" s="38">
        <f>IF($A35="","",IF(COUNTIF(B84:AF84,1)&gt;0,COUNTIF(B84:AF84,1)&amp;"× Ruhezeit unter 11 Std. (§ 5)","")&amp;IF((COUNTIFS(B35:AF35,"?*",$B$52:$AF$52,1)-SUMPRODUCT(COUNTIFS(B35:AF35,Codes,$B$52:$AF$52,1)*(Codes&lt;&gt;"")*Erste))&gt;0,IF(COUNTIF(B84:AF84,1)&gt;0,"; ","")&amp;(COUNTIFS(B35:AF35,"?*",$B$52:$AF$52,1)-SUMPRODUCT(COUNTIFS(B35:AF35,Codes,$B$52:$AF$52,1)*(Codes&lt;&gt;"")*Erste))&amp;"× unbekanntes Kürzel",""))</f>
      </c>
    </row>
    <row r="37" spans="1:1" x14ac:dyDescent="0.25">
      <c r="A37" s="39" t="s">
        <v>63</v>
      </c>
    </row>
    <row r="38" spans="1:39" x14ac:dyDescent="0.25">
      <c r="A38" s="40">
        <f>IFERROR(INDEX(Codes,MATCH(1,ArbeitNr,0))&amp;" "&amp;INDEX(Bezeichnungen,MATCH(1,ArbeitNr,0)),"")</f>
      </c>
      <c r="B38" s="41">
        <f>IF(OR($AM38="",B$52=0),"",COUNTIF(B$6:B$35,$AM38))</f>
      </c>
      <c r="C38" s="41">
        <f>IF(OR($AM38="",C$52=0),"",COUNTIF(C$6:C$35,$AM38))</f>
      </c>
      <c r="D38" s="41">
        <f>IF(OR($AM38="",D$52=0),"",COUNTIF(D$6:D$35,$AM38))</f>
      </c>
      <c r="E38" s="41">
        <f>IF(OR($AM38="",E$52=0),"",COUNTIF(E$6:E$35,$AM38))</f>
      </c>
      <c r="F38" s="41">
        <f>IF(OR($AM38="",F$52=0),"",COUNTIF(F$6:F$35,$AM38))</f>
      </c>
      <c r="G38" s="41">
        <f>IF(OR($AM38="",G$52=0),"",COUNTIF(G$6:G$35,$AM38))</f>
      </c>
      <c r="H38" s="41">
        <f>IF(OR($AM38="",H$52=0),"",COUNTIF(H$6:H$35,$AM38))</f>
      </c>
      <c r="I38" s="41">
        <f>IF(OR($AM38="",I$52=0),"",COUNTIF(I$6:I$35,$AM38))</f>
      </c>
      <c r="J38" s="41">
        <f>IF(OR($AM38="",J$52=0),"",COUNTIF(J$6:J$35,$AM38))</f>
      </c>
      <c r="K38" s="41">
        <f>IF(OR($AM38="",K$52=0),"",COUNTIF(K$6:K$35,$AM38))</f>
      </c>
      <c r="L38" s="41">
        <f>IF(OR($AM38="",L$52=0),"",COUNTIF(L$6:L$35,$AM38))</f>
      </c>
      <c r="M38" s="41">
        <f>IF(OR($AM38="",M$52=0),"",COUNTIF(M$6:M$35,$AM38))</f>
      </c>
      <c r="N38" s="41">
        <f>IF(OR($AM38="",N$52=0),"",COUNTIF(N$6:N$35,$AM38))</f>
      </c>
      <c r="O38" s="41">
        <f>IF(OR($AM38="",O$52=0),"",COUNTIF(O$6:O$35,$AM38))</f>
      </c>
      <c r="P38" s="41">
        <f>IF(OR($AM38="",P$52=0),"",COUNTIF(P$6:P$35,$AM38))</f>
      </c>
      <c r="Q38" s="41">
        <f>IF(OR($AM38="",Q$52=0),"",COUNTIF(Q$6:Q$35,$AM38))</f>
      </c>
      <c r="R38" s="41">
        <f>IF(OR($AM38="",R$52=0),"",COUNTIF(R$6:R$35,$AM38))</f>
      </c>
      <c r="S38" s="41">
        <f>IF(OR($AM38="",S$52=0),"",COUNTIF(S$6:S$35,$AM38))</f>
      </c>
      <c r="T38" s="41">
        <f>IF(OR($AM38="",T$52=0),"",COUNTIF(T$6:T$35,$AM38))</f>
      </c>
      <c r="U38" s="41">
        <f>IF(OR($AM38="",U$52=0),"",COUNTIF(U$6:U$35,$AM38))</f>
      </c>
      <c r="V38" s="41">
        <f>IF(OR($AM38="",V$52=0),"",COUNTIF(V$6:V$35,$AM38))</f>
      </c>
      <c r="W38" s="41">
        <f>IF(OR($AM38="",W$52=0),"",COUNTIF(W$6:W$35,$AM38))</f>
      </c>
      <c r="X38" s="41">
        <f>IF(OR($AM38="",X$52=0),"",COUNTIF(X$6:X$35,$AM38))</f>
      </c>
      <c r="Y38" s="41">
        <f>IF(OR($AM38="",Y$52=0),"",COUNTIF(Y$6:Y$35,$AM38))</f>
      </c>
      <c r="Z38" s="41">
        <f>IF(OR($AM38="",Z$52=0),"",COUNTIF(Z$6:Z$35,$AM38))</f>
      </c>
      <c r="AA38" s="41">
        <f>IF(OR($AM38="",AA$52=0),"",COUNTIF(AA$6:AA$35,$AM38))</f>
      </c>
      <c r="AB38" s="41">
        <f>IF(OR($AM38="",AB$52=0),"",COUNTIF(AB$6:AB$35,$AM38))</f>
      </c>
      <c r="AC38" s="41">
        <f>IF(OR($AM38="",AC$52=0),"",COUNTIF(AC$6:AC$35,$AM38))</f>
      </c>
      <c r="AD38" s="41">
        <f>IF(OR($AM38="",AD$52=0),"",COUNTIF(AD$6:AD$35,$AM38))</f>
      </c>
      <c r="AE38" s="41">
        <f>IF(OR($AM38="",AE$52=0),"",COUNTIF(AE$6:AE$35,$AM38))</f>
      </c>
      <c r="AF38" s="41">
        <f>IF(OR($AM38="",AF$52=0),"",COUNTIF(AF$6:AF$35,$AM38))</f>
      </c>
      <c r="AG38" s="1"/>
      <c r="AH38" s="1"/>
      <c r="AI38" s="1"/>
      <c r="AJ38" s="1"/>
      <c r="AK38" s="1"/>
      <c r="AL38" s="1"/>
      <c r="AM38" s="1">
        <f>IFERROR(INDEX(Codes,MATCH(1,ArbeitNr,0)),"")</f>
      </c>
    </row>
    <row r="39" spans="1:39" x14ac:dyDescent="0.25">
      <c r="A39" s="40">
        <f>IFERROR(INDEX(Codes,MATCH(2,ArbeitNr,0))&amp;" "&amp;INDEX(Bezeichnungen,MATCH(2,ArbeitNr,0)),"")</f>
      </c>
      <c r="B39" s="41">
        <f>IF(OR($AM39="",B$52=0),"",COUNTIF(B$6:B$35,$AM39))</f>
      </c>
      <c r="C39" s="41">
        <f>IF(OR($AM39="",C$52=0),"",COUNTIF(C$6:C$35,$AM39))</f>
      </c>
      <c r="D39" s="41">
        <f>IF(OR($AM39="",D$52=0),"",COUNTIF(D$6:D$35,$AM39))</f>
      </c>
      <c r="E39" s="41">
        <f>IF(OR($AM39="",E$52=0),"",COUNTIF(E$6:E$35,$AM39))</f>
      </c>
      <c r="F39" s="41">
        <f>IF(OR($AM39="",F$52=0),"",COUNTIF(F$6:F$35,$AM39))</f>
      </c>
      <c r="G39" s="41">
        <f>IF(OR($AM39="",G$52=0),"",COUNTIF(G$6:G$35,$AM39))</f>
      </c>
      <c r="H39" s="41">
        <f>IF(OR($AM39="",H$52=0),"",COUNTIF(H$6:H$35,$AM39))</f>
      </c>
      <c r="I39" s="41">
        <f>IF(OR($AM39="",I$52=0),"",COUNTIF(I$6:I$35,$AM39))</f>
      </c>
      <c r="J39" s="41">
        <f>IF(OR($AM39="",J$52=0),"",COUNTIF(J$6:J$35,$AM39))</f>
      </c>
      <c r="K39" s="41">
        <f>IF(OR($AM39="",K$52=0),"",COUNTIF(K$6:K$35,$AM39))</f>
      </c>
      <c r="L39" s="41">
        <f>IF(OR($AM39="",L$52=0),"",COUNTIF(L$6:L$35,$AM39))</f>
      </c>
      <c r="M39" s="41">
        <f>IF(OR($AM39="",M$52=0),"",COUNTIF(M$6:M$35,$AM39))</f>
      </c>
      <c r="N39" s="41">
        <f>IF(OR($AM39="",N$52=0),"",COUNTIF(N$6:N$35,$AM39))</f>
      </c>
      <c r="O39" s="41">
        <f>IF(OR($AM39="",O$52=0),"",COUNTIF(O$6:O$35,$AM39))</f>
      </c>
      <c r="P39" s="41">
        <f>IF(OR($AM39="",P$52=0),"",COUNTIF(P$6:P$35,$AM39))</f>
      </c>
      <c r="Q39" s="41">
        <f>IF(OR($AM39="",Q$52=0),"",COUNTIF(Q$6:Q$35,$AM39))</f>
      </c>
      <c r="R39" s="41">
        <f>IF(OR($AM39="",R$52=0),"",COUNTIF(R$6:R$35,$AM39))</f>
      </c>
      <c r="S39" s="41">
        <f>IF(OR($AM39="",S$52=0),"",COUNTIF(S$6:S$35,$AM39))</f>
      </c>
      <c r="T39" s="41">
        <f>IF(OR($AM39="",T$52=0),"",COUNTIF(T$6:T$35,$AM39))</f>
      </c>
      <c r="U39" s="41">
        <f>IF(OR($AM39="",U$52=0),"",COUNTIF(U$6:U$35,$AM39))</f>
      </c>
      <c r="V39" s="41">
        <f>IF(OR($AM39="",V$52=0),"",COUNTIF(V$6:V$35,$AM39))</f>
      </c>
      <c r="W39" s="41">
        <f>IF(OR($AM39="",W$52=0),"",COUNTIF(W$6:W$35,$AM39))</f>
      </c>
      <c r="X39" s="41">
        <f>IF(OR($AM39="",X$52=0),"",COUNTIF(X$6:X$35,$AM39))</f>
      </c>
      <c r="Y39" s="41">
        <f>IF(OR($AM39="",Y$52=0),"",COUNTIF(Y$6:Y$35,$AM39))</f>
      </c>
      <c r="Z39" s="41">
        <f>IF(OR($AM39="",Z$52=0),"",COUNTIF(Z$6:Z$35,$AM39))</f>
      </c>
      <c r="AA39" s="41">
        <f>IF(OR($AM39="",AA$52=0),"",COUNTIF(AA$6:AA$35,$AM39))</f>
      </c>
      <c r="AB39" s="41">
        <f>IF(OR($AM39="",AB$52=0),"",COUNTIF(AB$6:AB$35,$AM39))</f>
      </c>
      <c r="AC39" s="41">
        <f>IF(OR($AM39="",AC$52=0),"",COUNTIF(AC$6:AC$35,$AM39))</f>
      </c>
      <c r="AD39" s="41">
        <f>IF(OR($AM39="",AD$52=0),"",COUNTIF(AD$6:AD$35,$AM39))</f>
      </c>
      <c r="AE39" s="41">
        <f>IF(OR($AM39="",AE$52=0),"",COUNTIF(AE$6:AE$35,$AM39))</f>
      </c>
      <c r="AF39" s="41">
        <f>IF(OR($AM39="",AF$52=0),"",COUNTIF(AF$6:AF$35,$AM39))</f>
      </c>
      <c r="AG39" s="1"/>
      <c r="AH39" s="1"/>
      <c r="AI39" s="1"/>
      <c r="AJ39" s="1"/>
      <c r="AK39" s="1"/>
      <c r="AL39" s="1"/>
      <c r="AM39" s="1">
        <f>IFERROR(INDEX(Codes,MATCH(2,ArbeitNr,0)),"")</f>
      </c>
    </row>
    <row r="40" spans="1:39" x14ac:dyDescent="0.25">
      <c r="A40" s="40">
        <f>IFERROR(INDEX(Codes,MATCH(3,ArbeitNr,0))&amp;" "&amp;INDEX(Bezeichnungen,MATCH(3,ArbeitNr,0)),"")</f>
      </c>
      <c r="B40" s="41">
        <f>IF(OR($AM40="",B$52=0),"",COUNTIF(B$6:B$35,$AM40))</f>
      </c>
      <c r="C40" s="41">
        <f>IF(OR($AM40="",C$52=0),"",COUNTIF(C$6:C$35,$AM40))</f>
      </c>
      <c r="D40" s="41">
        <f>IF(OR($AM40="",D$52=0),"",COUNTIF(D$6:D$35,$AM40))</f>
      </c>
      <c r="E40" s="41">
        <f>IF(OR($AM40="",E$52=0),"",COUNTIF(E$6:E$35,$AM40))</f>
      </c>
      <c r="F40" s="41">
        <f>IF(OR($AM40="",F$52=0),"",COUNTIF(F$6:F$35,$AM40))</f>
      </c>
      <c r="G40" s="41">
        <f>IF(OR($AM40="",G$52=0),"",COUNTIF(G$6:G$35,$AM40))</f>
      </c>
      <c r="H40" s="41">
        <f>IF(OR($AM40="",H$52=0),"",COUNTIF(H$6:H$35,$AM40))</f>
      </c>
      <c r="I40" s="41">
        <f>IF(OR($AM40="",I$52=0),"",COUNTIF(I$6:I$35,$AM40))</f>
      </c>
      <c r="J40" s="41">
        <f>IF(OR($AM40="",J$52=0),"",COUNTIF(J$6:J$35,$AM40))</f>
      </c>
      <c r="K40" s="41">
        <f>IF(OR($AM40="",K$52=0),"",COUNTIF(K$6:K$35,$AM40))</f>
      </c>
      <c r="L40" s="41">
        <f>IF(OR($AM40="",L$52=0),"",COUNTIF(L$6:L$35,$AM40))</f>
      </c>
      <c r="M40" s="41">
        <f>IF(OR($AM40="",M$52=0),"",COUNTIF(M$6:M$35,$AM40))</f>
      </c>
      <c r="N40" s="41">
        <f>IF(OR($AM40="",N$52=0),"",COUNTIF(N$6:N$35,$AM40))</f>
      </c>
      <c r="O40" s="41">
        <f>IF(OR($AM40="",O$52=0),"",COUNTIF(O$6:O$35,$AM40))</f>
      </c>
      <c r="P40" s="41">
        <f>IF(OR($AM40="",P$52=0),"",COUNTIF(P$6:P$35,$AM40))</f>
      </c>
      <c r="Q40" s="41">
        <f>IF(OR($AM40="",Q$52=0),"",COUNTIF(Q$6:Q$35,$AM40))</f>
      </c>
      <c r="R40" s="41">
        <f>IF(OR($AM40="",R$52=0),"",COUNTIF(R$6:R$35,$AM40))</f>
      </c>
      <c r="S40" s="41">
        <f>IF(OR($AM40="",S$52=0),"",COUNTIF(S$6:S$35,$AM40))</f>
      </c>
      <c r="T40" s="41">
        <f>IF(OR($AM40="",T$52=0),"",COUNTIF(T$6:T$35,$AM40))</f>
      </c>
      <c r="U40" s="41">
        <f>IF(OR($AM40="",U$52=0),"",COUNTIF(U$6:U$35,$AM40))</f>
      </c>
      <c r="V40" s="41">
        <f>IF(OR($AM40="",V$52=0),"",COUNTIF(V$6:V$35,$AM40))</f>
      </c>
      <c r="W40" s="41">
        <f>IF(OR($AM40="",W$52=0),"",COUNTIF(W$6:W$35,$AM40))</f>
      </c>
      <c r="X40" s="41">
        <f>IF(OR($AM40="",X$52=0),"",COUNTIF(X$6:X$35,$AM40))</f>
      </c>
      <c r="Y40" s="41">
        <f>IF(OR($AM40="",Y$52=0),"",COUNTIF(Y$6:Y$35,$AM40))</f>
      </c>
      <c r="Z40" s="41">
        <f>IF(OR($AM40="",Z$52=0),"",COUNTIF(Z$6:Z$35,$AM40))</f>
      </c>
      <c r="AA40" s="41">
        <f>IF(OR($AM40="",AA$52=0),"",COUNTIF(AA$6:AA$35,$AM40))</f>
      </c>
      <c r="AB40" s="41">
        <f>IF(OR($AM40="",AB$52=0),"",COUNTIF(AB$6:AB$35,$AM40))</f>
      </c>
      <c r="AC40" s="41">
        <f>IF(OR($AM40="",AC$52=0),"",COUNTIF(AC$6:AC$35,$AM40))</f>
      </c>
      <c r="AD40" s="41">
        <f>IF(OR($AM40="",AD$52=0),"",COUNTIF(AD$6:AD$35,$AM40))</f>
      </c>
      <c r="AE40" s="41">
        <f>IF(OR($AM40="",AE$52=0),"",COUNTIF(AE$6:AE$35,$AM40))</f>
      </c>
      <c r="AF40" s="41">
        <f>IF(OR($AM40="",AF$52=0),"",COUNTIF(AF$6:AF$35,$AM40))</f>
      </c>
      <c r="AG40" s="1"/>
      <c r="AH40" s="1"/>
      <c r="AI40" s="1"/>
      <c r="AJ40" s="1"/>
      <c r="AK40" s="1"/>
      <c r="AL40" s="1"/>
      <c r="AM40" s="1">
        <f>IFERROR(INDEX(Codes,MATCH(3,ArbeitNr,0)),"")</f>
      </c>
    </row>
    <row r="41" spans="1:39" x14ac:dyDescent="0.25">
      <c r="A41" s="40">
        <f>IFERROR(INDEX(Codes,MATCH(4,ArbeitNr,0))&amp;" "&amp;INDEX(Bezeichnungen,MATCH(4,ArbeitNr,0)),"")</f>
      </c>
      <c r="B41" s="41">
        <f>IF(OR($AM41="",B$52=0),"",COUNTIF(B$6:B$35,$AM41))</f>
      </c>
      <c r="C41" s="41">
        <f>IF(OR($AM41="",C$52=0),"",COUNTIF(C$6:C$35,$AM41))</f>
      </c>
      <c r="D41" s="41">
        <f>IF(OR($AM41="",D$52=0),"",COUNTIF(D$6:D$35,$AM41))</f>
      </c>
      <c r="E41" s="41">
        <f>IF(OR($AM41="",E$52=0),"",COUNTIF(E$6:E$35,$AM41))</f>
      </c>
      <c r="F41" s="41">
        <f>IF(OR($AM41="",F$52=0),"",COUNTIF(F$6:F$35,$AM41))</f>
      </c>
      <c r="G41" s="41">
        <f>IF(OR($AM41="",G$52=0),"",COUNTIF(G$6:G$35,$AM41))</f>
      </c>
      <c r="H41" s="41">
        <f>IF(OR($AM41="",H$52=0),"",COUNTIF(H$6:H$35,$AM41))</f>
      </c>
      <c r="I41" s="41">
        <f>IF(OR($AM41="",I$52=0),"",COUNTIF(I$6:I$35,$AM41))</f>
      </c>
      <c r="J41" s="41">
        <f>IF(OR($AM41="",J$52=0),"",COUNTIF(J$6:J$35,$AM41))</f>
      </c>
      <c r="K41" s="41">
        <f>IF(OR($AM41="",K$52=0),"",COUNTIF(K$6:K$35,$AM41))</f>
      </c>
      <c r="L41" s="41">
        <f>IF(OR($AM41="",L$52=0),"",COUNTIF(L$6:L$35,$AM41))</f>
      </c>
      <c r="M41" s="41">
        <f>IF(OR($AM41="",M$52=0),"",COUNTIF(M$6:M$35,$AM41))</f>
      </c>
      <c r="N41" s="41">
        <f>IF(OR($AM41="",N$52=0),"",COUNTIF(N$6:N$35,$AM41))</f>
      </c>
      <c r="O41" s="41">
        <f>IF(OR($AM41="",O$52=0),"",COUNTIF(O$6:O$35,$AM41))</f>
      </c>
      <c r="P41" s="41">
        <f>IF(OR($AM41="",P$52=0),"",COUNTIF(P$6:P$35,$AM41))</f>
      </c>
      <c r="Q41" s="41">
        <f>IF(OR($AM41="",Q$52=0),"",COUNTIF(Q$6:Q$35,$AM41))</f>
      </c>
      <c r="R41" s="41">
        <f>IF(OR($AM41="",R$52=0),"",COUNTIF(R$6:R$35,$AM41))</f>
      </c>
      <c r="S41" s="41">
        <f>IF(OR($AM41="",S$52=0),"",COUNTIF(S$6:S$35,$AM41))</f>
      </c>
      <c r="T41" s="41">
        <f>IF(OR($AM41="",T$52=0),"",COUNTIF(T$6:T$35,$AM41))</f>
      </c>
      <c r="U41" s="41">
        <f>IF(OR($AM41="",U$52=0),"",COUNTIF(U$6:U$35,$AM41))</f>
      </c>
      <c r="V41" s="41">
        <f>IF(OR($AM41="",V$52=0),"",COUNTIF(V$6:V$35,$AM41))</f>
      </c>
      <c r="W41" s="41">
        <f>IF(OR($AM41="",W$52=0),"",COUNTIF(W$6:W$35,$AM41))</f>
      </c>
      <c r="X41" s="41">
        <f>IF(OR($AM41="",X$52=0),"",COUNTIF(X$6:X$35,$AM41))</f>
      </c>
      <c r="Y41" s="41">
        <f>IF(OR($AM41="",Y$52=0),"",COUNTIF(Y$6:Y$35,$AM41))</f>
      </c>
      <c r="Z41" s="41">
        <f>IF(OR($AM41="",Z$52=0),"",COUNTIF(Z$6:Z$35,$AM41))</f>
      </c>
      <c r="AA41" s="41">
        <f>IF(OR($AM41="",AA$52=0),"",COUNTIF(AA$6:AA$35,$AM41))</f>
      </c>
      <c r="AB41" s="41">
        <f>IF(OR($AM41="",AB$52=0),"",COUNTIF(AB$6:AB$35,$AM41))</f>
      </c>
      <c r="AC41" s="41">
        <f>IF(OR($AM41="",AC$52=0),"",COUNTIF(AC$6:AC$35,$AM41))</f>
      </c>
      <c r="AD41" s="41">
        <f>IF(OR($AM41="",AD$52=0),"",COUNTIF(AD$6:AD$35,$AM41))</f>
      </c>
      <c r="AE41" s="41">
        <f>IF(OR($AM41="",AE$52=0),"",COUNTIF(AE$6:AE$35,$AM41))</f>
      </c>
      <c r="AF41" s="41">
        <f>IF(OR($AM41="",AF$52=0),"",COUNTIF(AF$6:AF$35,$AM41))</f>
      </c>
      <c r="AG41" s="1"/>
      <c r="AH41" s="1"/>
      <c r="AI41" s="1"/>
      <c r="AJ41" s="1"/>
      <c r="AK41" s="1"/>
      <c r="AL41" s="1"/>
      <c r="AM41" s="1">
        <f>IFERROR(INDEX(Codes,MATCH(4,ArbeitNr,0)),"")</f>
      </c>
    </row>
    <row r="42" spans="1:39" x14ac:dyDescent="0.25">
      <c r="A42" s="40">
        <f>IFERROR(INDEX(Codes,MATCH(5,ArbeitNr,0))&amp;" "&amp;INDEX(Bezeichnungen,MATCH(5,ArbeitNr,0)),"")</f>
      </c>
      <c r="B42" s="41">
        <f>IF(OR($AM42="",B$52=0),"",COUNTIF(B$6:B$35,$AM42))</f>
      </c>
      <c r="C42" s="41">
        <f>IF(OR($AM42="",C$52=0),"",COUNTIF(C$6:C$35,$AM42))</f>
      </c>
      <c r="D42" s="41">
        <f>IF(OR($AM42="",D$52=0),"",COUNTIF(D$6:D$35,$AM42))</f>
      </c>
      <c r="E42" s="41">
        <f>IF(OR($AM42="",E$52=0),"",COUNTIF(E$6:E$35,$AM42))</f>
      </c>
      <c r="F42" s="41">
        <f>IF(OR($AM42="",F$52=0),"",COUNTIF(F$6:F$35,$AM42))</f>
      </c>
      <c r="G42" s="41">
        <f>IF(OR($AM42="",G$52=0),"",COUNTIF(G$6:G$35,$AM42))</f>
      </c>
      <c r="H42" s="41">
        <f>IF(OR($AM42="",H$52=0),"",COUNTIF(H$6:H$35,$AM42))</f>
      </c>
      <c r="I42" s="41">
        <f>IF(OR($AM42="",I$52=0),"",COUNTIF(I$6:I$35,$AM42))</f>
      </c>
      <c r="J42" s="41">
        <f>IF(OR($AM42="",J$52=0),"",COUNTIF(J$6:J$35,$AM42))</f>
      </c>
      <c r="K42" s="41">
        <f>IF(OR($AM42="",K$52=0),"",COUNTIF(K$6:K$35,$AM42))</f>
      </c>
      <c r="L42" s="41">
        <f>IF(OR($AM42="",L$52=0),"",COUNTIF(L$6:L$35,$AM42))</f>
      </c>
      <c r="M42" s="41">
        <f>IF(OR($AM42="",M$52=0),"",COUNTIF(M$6:M$35,$AM42))</f>
      </c>
      <c r="N42" s="41">
        <f>IF(OR($AM42="",N$52=0),"",COUNTIF(N$6:N$35,$AM42))</f>
      </c>
      <c r="O42" s="41">
        <f>IF(OR($AM42="",O$52=0),"",COUNTIF(O$6:O$35,$AM42))</f>
      </c>
      <c r="P42" s="41">
        <f>IF(OR($AM42="",P$52=0),"",COUNTIF(P$6:P$35,$AM42))</f>
      </c>
      <c r="Q42" s="41">
        <f>IF(OR($AM42="",Q$52=0),"",COUNTIF(Q$6:Q$35,$AM42))</f>
      </c>
      <c r="R42" s="41">
        <f>IF(OR($AM42="",R$52=0),"",COUNTIF(R$6:R$35,$AM42))</f>
      </c>
      <c r="S42" s="41">
        <f>IF(OR($AM42="",S$52=0),"",COUNTIF(S$6:S$35,$AM42))</f>
      </c>
      <c r="T42" s="41">
        <f>IF(OR($AM42="",T$52=0),"",COUNTIF(T$6:T$35,$AM42))</f>
      </c>
      <c r="U42" s="41">
        <f>IF(OR($AM42="",U$52=0),"",COUNTIF(U$6:U$35,$AM42))</f>
      </c>
      <c r="V42" s="41">
        <f>IF(OR($AM42="",V$52=0),"",COUNTIF(V$6:V$35,$AM42))</f>
      </c>
      <c r="W42" s="41">
        <f>IF(OR($AM42="",W$52=0),"",COUNTIF(W$6:W$35,$AM42))</f>
      </c>
      <c r="X42" s="41">
        <f>IF(OR($AM42="",X$52=0),"",COUNTIF(X$6:X$35,$AM42))</f>
      </c>
      <c r="Y42" s="41">
        <f>IF(OR($AM42="",Y$52=0),"",COUNTIF(Y$6:Y$35,$AM42))</f>
      </c>
      <c r="Z42" s="41">
        <f>IF(OR($AM42="",Z$52=0),"",COUNTIF(Z$6:Z$35,$AM42))</f>
      </c>
      <c r="AA42" s="41">
        <f>IF(OR($AM42="",AA$52=0),"",COUNTIF(AA$6:AA$35,$AM42))</f>
      </c>
      <c r="AB42" s="41">
        <f>IF(OR($AM42="",AB$52=0),"",COUNTIF(AB$6:AB$35,$AM42))</f>
      </c>
      <c r="AC42" s="41">
        <f>IF(OR($AM42="",AC$52=0),"",COUNTIF(AC$6:AC$35,$AM42))</f>
      </c>
      <c r="AD42" s="41">
        <f>IF(OR($AM42="",AD$52=0),"",COUNTIF(AD$6:AD$35,$AM42))</f>
      </c>
      <c r="AE42" s="41">
        <f>IF(OR($AM42="",AE$52=0),"",COUNTIF(AE$6:AE$35,$AM42))</f>
      </c>
      <c r="AF42" s="41">
        <f>IF(OR($AM42="",AF$52=0),"",COUNTIF(AF$6:AF$35,$AM42))</f>
      </c>
      <c r="AG42" s="1"/>
      <c r="AH42" s="1"/>
      <c r="AI42" s="1"/>
      <c r="AJ42" s="1"/>
      <c r="AK42" s="1"/>
      <c r="AL42" s="1"/>
      <c r="AM42" s="1">
        <f>IFERROR(INDEX(Codes,MATCH(5,ArbeitNr,0)),"")</f>
      </c>
    </row>
    <row r="43" spans="1:39" x14ac:dyDescent="0.25">
      <c r="A43" s="40">
        <f>IFERROR(INDEX(Codes,MATCH(6,ArbeitNr,0))&amp;" "&amp;INDEX(Bezeichnungen,MATCH(6,ArbeitNr,0)),"")</f>
      </c>
      <c r="B43" s="41">
        <f>IF(OR($AM43="",B$52=0),"",COUNTIF(B$6:B$35,$AM43))</f>
      </c>
      <c r="C43" s="41">
        <f>IF(OR($AM43="",C$52=0),"",COUNTIF(C$6:C$35,$AM43))</f>
      </c>
      <c r="D43" s="41">
        <f>IF(OR($AM43="",D$52=0),"",COUNTIF(D$6:D$35,$AM43))</f>
      </c>
      <c r="E43" s="41">
        <f>IF(OR($AM43="",E$52=0),"",COUNTIF(E$6:E$35,$AM43))</f>
      </c>
      <c r="F43" s="41">
        <f>IF(OR($AM43="",F$52=0),"",COUNTIF(F$6:F$35,$AM43))</f>
      </c>
      <c r="G43" s="41">
        <f>IF(OR($AM43="",G$52=0),"",COUNTIF(G$6:G$35,$AM43))</f>
      </c>
      <c r="H43" s="41">
        <f>IF(OR($AM43="",H$52=0),"",COUNTIF(H$6:H$35,$AM43))</f>
      </c>
      <c r="I43" s="41">
        <f>IF(OR($AM43="",I$52=0),"",COUNTIF(I$6:I$35,$AM43))</f>
      </c>
      <c r="J43" s="41">
        <f>IF(OR($AM43="",J$52=0),"",COUNTIF(J$6:J$35,$AM43))</f>
      </c>
      <c r="K43" s="41">
        <f>IF(OR($AM43="",K$52=0),"",COUNTIF(K$6:K$35,$AM43))</f>
      </c>
      <c r="L43" s="41">
        <f>IF(OR($AM43="",L$52=0),"",COUNTIF(L$6:L$35,$AM43))</f>
      </c>
      <c r="M43" s="41">
        <f>IF(OR($AM43="",M$52=0),"",COUNTIF(M$6:M$35,$AM43))</f>
      </c>
      <c r="N43" s="41">
        <f>IF(OR($AM43="",N$52=0),"",COUNTIF(N$6:N$35,$AM43))</f>
      </c>
      <c r="O43" s="41">
        <f>IF(OR($AM43="",O$52=0),"",COUNTIF(O$6:O$35,$AM43))</f>
      </c>
      <c r="P43" s="41">
        <f>IF(OR($AM43="",P$52=0),"",COUNTIF(P$6:P$35,$AM43))</f>
      </c>
      <c r="Q43" s="41">
        <f>IF(OR($AM43="",Q$52=0),"",COUNTIF(Q$6:Q$35,$AM43))</f>
      </c>
      <c r="R43" s="41">
        <f>IF(OR($AM43="",R$52=0),"",COUNTIF(R$6:R$35,$AM43))</f>
      </c>
      <c r="S43" s="41">
        <f>IF(OR($AM43="",S$52=0),"",COUNTIF(S$6:S$35,$AM43))</f>
      </c>
      <c r="T43" s="41">
        <f>IF(OR($AM43="",T$52=0),"",COUNTIF(T$6:T$35,$AM43))</f>
      </c>
      <c r="U43" s="41">
        <f>IF(OR($AM43="",U$52=0),"",COUNTIF(U$6:U$35,$AM43))</f>
      </c>
      <c r="V43" s="41">
        <f>IF(OR($AM43="",V$52=0),"",COUNTIF(V$6:V$35,$AM43))</f>
      </c>
      <c r="W43" s="41">
        <f>IF(OR($AM43="",W$52=0),"",COUNTIF(W$6:W$35,$AM43))</f>
      </c>
      <c r="X43" s="41">
        <f>IF(OR($AM43="",X$52=0),"",COUNTIF(X$6:X$35,$AM43))</f>
      </c>
      <c r="Y43" s="41">
        <f>IF(OR($AM43="",Y$52=0),"",COUNTIF(Y$6:Y$35,$AM43))</f>
      </c>
      <c r="Z43" s="41">
        <f>IF(OR($AM43="",Z$52=0),"",COUNTIF(Z$6:Z$35,$AM43))</f>
      </c>
      <c r="AA43" s="41">
        <f>IF(OR($AM43="",AA$52=0),"",COUNTIF(AA$6:AA$35,$AM43))</f>
      </c>
      <c r="AB43" s="41">
        <f>IF(OR($AM43="",AB$52=0),"",COUNTIF(AB$6:AB$35,$AM43))</f>
      </c>
      <c r="AC43" s="41">
        <f>IF(OR($AM43="",AC$52=0),"",COUNTIF(AC$6:AC$35,$AM43))</f>
      </c>
      <c r="AD43" s="41">
        <f>IF(OR($AM43="",AD$52=0),"",COUNTIF(AD$6:AD$35,$AM43))</f>
      </c>
      <c r="AE43" s="41">
        <f>IF(OR($AM43="",AE$52=0),"",COUNTIF(AE$6:AE$35,$AM43))</f>
      </c>
      <c r="AF43" s="41">
        <f>IF(OR($AM43="",AF$52=0),"",COUNTIF(AF$6:AF$35,$AM43))</f>
      </c>
      <c r="AG43" s="1"/>
      <c r="AH43" s="1"/>
      <c r="AI43" s="1"/>
      <c r="AJ43" s="1"/>
      <c r="AK43" s="1"/>
      <c r="AL43" s="1"/>
      <c r="AM43" s="1">
        <f>IFERROR(INDEX(Codes,MATCH(6,ArbeitNr,0)),"")</f>
      </c>
    </row>
    <row r="44" spans="1:39" x14ac:dyDescent="0.25">
      <c r="A44" s="40">
        <f>IFERROR(INDEX(Codes,MATCH(7,ArbeitNr,0))&amp;" "&amp;INDEX(Bezeichnungen,MATCH(7,ArbeitNr,0)),"")</f>
      </c>
      <c r="B44" s="41">
        <f>IF(OR($AM44="",B$52=0),"",COUNTIF(B$6:B$35,$AM44))</f>
      </c>
      <c r="C44" s="41">
        <f>IF(OR($AM44="",C$52=0),"",COUNTIF(C$6:C$35,$AM44))</f>
      </c>
      <c r="D44" s="41">
        <f>IF(OR($AM44="",D$52=0),"",COUNTIF(D$6:D$35,$AM44))</f>
      </c>
      <c r="E44" s="41">
        <f>IF(OR($AM44="",E$52=0),"",COUNTIF(E$6:E$35,$AM44))</f>
      </c>
      <c r="F44" s="41">
        <f>IF(OR($AM44="",F$52=0),"",COUNTIF(F$6:F$35,$AM44))</f>
      </c>
      <c r="G44" s="41">
        <f>IF(OR($AM44="",G$52=0),"",COUNTIF(G$6:G$35,$AM44))</f>
      </c>
      <c r="H44" s="41">
        <f>IF(OR($AM44="",H$52=0),"",COUNTIF(H$6:H$35,$AM44))</f>
      </c>
      <c r="I44" s="41">
        <f>IF(OR($AM44="",I$52=0),"",COUNTIF(I$6:I$35,$AM44))</f>
      </c>
      <c r="J44" s="41">
        <f>IF(OR($AM44="",J$52=0),"",COUNTIF(J$6:J$35,$AM44))</f>
      </c>
      <c r="K44" s="41">
        <f>IF(OR($AM44="",K$52=0),"",COUNTIF(K$6:K$35,$AM44))</f>
      </c>
      <c r="L44" s="41">
        <f>IF(OR($AM44="",L$52=0),"",COUNTIF(L$6:L$35,$AM44))</f>
      </c>
      <c r="M44" s="41">
        <f>IF(OR($AM44="",M$52=0),"",COUNTIF(M$6:M$35,$AM44))</f>
      </c>
      <c r="N44" s="41">
        <f>IF(OR($AM44="",N$52=0),"",COUNTIF(N$6:N$35,$AM44))</f>
      </c>
      <c r="O44" s="41">
        <f>IF(OR($AM44="",O$52=0),"",COUNTIF(O$6:O$35,$AM44))</f>
      </c>
      <c r="P44" s="41">
        <f>IF(OR($AM44="",P$52=0),"",COUNTIF(P$6:P$35,$AM44))</f>
      </c>
      <c r="Q44" s="41">
        <f>IF(OR($AM44="",Q$52=0),"",COUNTIF(Q$6:Q$35,$AM44))</f>
      </c>
      <c r="R44" s="41">
        <f>IF(OR($AM44="",R$52=0),"",COUNTIF(R$6:R$35,$AM44))</f>
      </c>
      <c r="S44" s="41">
        <f>IF(OR($AM44="",S$52=0),"",COUNTIF(S$6:S$35,$AM44))</f>
      </c>
      <c r="T44" s="41">
        <f>IF(OR($AM44="",T$52=0),"",COUNTIF(T$6:T$35,$AM44))</f>
      </c>
      <c r="U44" s="41">
        <f>IF(OR($AM44="",U$52=0),"",COUNTIF(U$6:U$35,$AM44))</f>
      </c>
      <c r="V44" s="41">
        <f>IF(OR($AM44="",V$52=0),"",COUNTIF(V$6:V$35,$AM44))</f>
      </c>
      <c r="W44" s="41">
        <f>IF(OR($AM44="",W$52=0),"",COUNTIF(W$6:W$35,$AM44))</f>
      </c>
      <c r="X44" s="41">
        <f>IF(OR($AM44="",X$52=0),"",COUNTIF(X$6:X$35,$AM44))</f>
      </c>
      <c r="Y44" s="41">
        <f>IF(OR($AM44="",Y$52=0),"",COUNTIF(Y$6:Y$35,$AM44))</f>
      </c>
      <c r="Z44" s="41">
        <f>IF(OR($AM44="",Z$52=0),"",COUNTIF(Z$6:Z$35,$AM44))</f>
      </c>
      <c r="AA44" s="41">
        <f>IF(OR($AM44="",AA$52=0),"",COUNTIF(AA$6:AA$35,$AM44))</f>
      </c>
      <c r="AB44" s="41">
        <f>IF(OR($AM44="",AB$52=0),"",COUNTIF(AB$6:AB$35,$AM44))</f>
      </c>
      <c r="AC44" s="41">
        <f>IF(OR($AM44="",AC$52=0),"",COUNTIF(AC$6:AC$35,$AM44))</f>
      </c>
      <c r="AD44" s="41">
        <f>IF(OR($AM44="",AD$52=0),"",COUNTIF(AD$6:AD$35,$AM44))</f>
      </c>
      <c r="AE44" s="41">
        <f>IF(OR($AM44="",AE$52=0),"",COUNTIF(AE$6:AE$35,$AM44))</f>
      </c>
      <c r="AF44" s="41">
        <f>IF(OR($AM44="",AF$52=0),"",COUNTIF(AF$6:AF$35,$AM44))</f>
      </c>
      <c r="AG44" s="1"/>
      <c r="AH44" s="1"/>
      <c r="AI44" s="1"/>
      <c r="AJ44" s="1"/>
      <c r="AK44" s="1"/>
      <c r="AL44" s="1"/>
      <c r="AM44" s="1">
        <f>IFERROR(INDEX(Codes,MATCH(7,ArbeitNr,0)),"")</f>
      </c>
    </row>
    <row r="45" spans="1:39" x14ac:dyDescent="0.25">
      <c r="A45" s="40">
        <f>IFERROR(INDEX(Codes,MATCH(8,ArbeitNr,0))&amp;" "&amp;INDEX(Bezeichnungen,MATCH(8,ArbeitNr,0)),"")</f>
      </c>
      <c r="B45" s="41">
        <f>IF(OR($AM45="",B$52=0),"",COUNTIF(B$6:B$35,$AM45))</f>
      </c>
      <c r="C45" s="41">
        <f>IF(OR($AM45="",C$52=0),"",COUNTIF(C$6:C$35,$AM45))</f>
      </c>
      <c r="D45" s="41">
        <f>IF(OR($AM45="",D$52=0),"",COUNTIF(D$6:D$35,$AM45))</f>
      </c>
      <c r="E45" s="41">
        <f>IF(OR($AM45="",E$52=0),"",COUNTIF(E$6:E$35,$AM45))</f>
      </c>
      <c r="F45" s="41">
        <f>IF(OR($AM45="",F$52=0),"",COUNTIF(F$6:F$35,$AM45))</f>
      </c>
      <c r="G45" s="41">
        <f>IF(OR($AM45="",G$52=0),"",COUNTIF(G$6:G$35,$AM45))</f>
      </c>
      <c r="H45" s="41">
        <f>IF(OR($AM45="",H$52=0),"",COUNTIF(H$6:H$35,$AM45))</f>
      </c>
      <c r="I45" s="41">
        <f>IF(OR($AM45="",I$52=0),"",COUNTIF(I$6:I$35,$AM45))</f>
      </c>
      <c r="J45" s="41">
        <f>IF(OR($AM45="",J$52=0),"",COUNTIF(J$6:J$35,$AM45))</f>
      </c>
      <c r="K45" s="41">
        <f>IF(OR($AM45="",K$52=0),"",COUNTIF(K$6:K$35,$AM45))</f>
      </c>
      <c r="L45" s="41">
        <f>IF(OR($AM45="",L$52=0),"",COUNTIF(L$6:L$35,$AM45))</f>
      </c>
      <c r="M45" s="41">
        <f>IF(OR($AM45="",M$52=0),"",COUNTIF(M$6:M$35,$AM45))</f>
      </c>
      <c r="N45" s="41">
        <f>IF(OR($AM45="",N$52=0),"",COUNTIF(N$6:N$35,$AM45))</f>
      </c>
      <c r="O45" s="41">
        <f>IF(OR($AM45="",O$52=0),"",COUNTIF(O$6:O$35,$AM45))</f>
      </c>
      <c r="P45" s="41">
        <f>IF(OR($AM45="",P$52=0),"",COUNTIF(P$6:P$35,$AM45))</f>
      </c>
      <c r="Q45" s="41">
        <f>IF(OR($AM45="",Q$52=0),"",COUNTIF(Q$6:Q$35,$AM45))</f>
      </c>
      <c r="R45" s="41">
        <f>IF(OR($AM45="",R$52=0),"",COUNTIF(R$6:R$35,$AM45))</f>
      </c>
      <c r="S45" s="41">
        <f>IF(OR($AM45="",S$52=0),"",COUNTIF(S$6:S$35,$AM45))</f>
      </c>
      <c r="T45" s="41">
        <f>IF(OR($AM45="",T$52=0),"",COUNTIF(T$6:T$35,$AM45))</f>
      </c>
      <c r="U45" s="41">
        <f>IF(OR($AM45="",U$52=0),"",COUNTIF(U$6:U$35,$AM45))</f>
      </c>
      <c r="V45" s="41">
        <f>IF(OR($AM45="",V$52=0),"",COUNTIF(V$6:V$35,$AM45))</f>
      </c>
      <c r="W45" s="41">
        <f>IF(OR($AM45="",W$52=0),"",COUNTIF(W$6:W$35,$AM45))</f>
      </c>
      <c r="X45" s="41">
        <f>IF(OR($AM45="",X$52=0),"",COUNTIF(X$6:X$35,$AM45))</f>
      </c>
      <c r="Y45" s="41">
        <f>IF(OR($AM45="",Y$52=0),"",COUNTIF(Y$6:Y$35,$AM45))</f>
      </c>
      <c r="Z45" s="41">
        <f>IF(OR($AM45="",Z$52=0),"",COUNTIF(Z$6:Z$35,$AM45))</f>
      </c>
      <c r="AA45" s="41">
        <f>IF(OR($AM45="",AA$52=0),"",COUNTIF(AA$6:AA$35,$AM45))</f>
      </c>
      <c r="AB45" s="41">
        <f>IF(OR($AM45="",AB$52=0),"",COUNTIF(AB$6:AB$35,$AM45))</f>
      </c>
      <c r="AC45" s="41">
        <f>IF(OR($AM45="",AC$52=0),"",COUNTIF(AC$6:AC$35,$AM45))</f>
      </c>
      <c r="AD45" s="41">
        <f>IF(OR($AM45="",AD$52=0),"",COUNTIF(AD$6:AD$35,$AM45))</f>
      </c>
      <c r="AE45" s="41">
        <f>IF(OR($AM45="",AE$52=0),"",COUNTIF(AE$6:AE$35,$AM45))</f>
      </c>
      <c r="AF45" s="41">
        <f>IF(OR($AM45="",AF$52=0),"",COUNTIF(AF$6:AF$35,$AM45))</f>
      </c>
      <c r="AG45" s="1"/>
      <c r="AH45" s="1"/>
      <c r="AI45" s="1"/>
      <c r="AJ45" s="1"/>
      <c r="AK45" s="1"/>
      <c r="AL45" s="1"/>
      <c r="AM45" s="1">
        <f>IFERROR(INDEX(Codes,MATCH(8,ArbeitNr,0)),"")</f>
      </c>
    </row>
    <row r="46" ht="22" customHeight="1" spans="1:32" x14ac:dyDescent="0.25">
      <c r="A46" s="42" t="s">
        <v>64</v>
      </c>
      <c r="B46" s="43">
        <f>TRIM(IF(AND(B38&lt;&gt;"",N(B38)&lt;N(B86)),$AM38&amp;" ","")&amp;IF(AND(B39&lt;&gt;"",N(B39)&lt;N(B87)),$AM39&amp;" ","")&amp;IF(AND(B40&lt;&gt;"",N(B40)&lt;N(B88)),$AM40&amp;" ","")&amp;IF(AND(B41&lt;&gt;"",N(B41)&lt;N(B89)),$AM41&amp;" ","")&amp;IF(AND(B42&lt;&gt;"",N(B42)&lt;N(B90)),$AM42&amp;" ","")&amp;IF(AND(B43&lt;&gt;"",N(B43)&lt;N(B91)),$AM43&amp;" ","")&amp;IF(AND(B44&lt;&gt;"",N(B44)&lt;N(B92)),$AM44&amp;" ","")&amp;IF(AND(B45&lt;&gt;"",N(B45)&lt;N(B93)),$AM45&amp;" ",""))</f>
      </c>
      <c r="C46" s="43">
        <f>TRIM(IF(AND(C38&lt;&gt;"",N(C38)&lt;N(C86)),$AM38&amp;" ","")&amp;IF(AND(C39&lt;&gt;"",N(C39)&lt;N(C87)),$AM39&amp;" ","")&amp;IF(AND(C40&lt;&gt;"",N(C40)&lt;N(C88)),$AM40&amp;" ","")&amp;IF(AND(C41&lt;&gt;"",N(C41)&lt;N(C89)),$AM41&amp;" ","")&amp;IF(AND(C42&lt;&gt;"",N(C42)&lt;N(C90)),$AM42&amp;" ","")&amp;IF(AND(C43&lt;&gt;"",N(C43)&lt;N(C91)),$AM43&amp;" ","")&amp;IF(AND(C44&lt;&gt;"",N(C44)&lt;N(C92)),$AM44&amp;" ","")&amp;IF(AND(C45&lt;&gt;"",N(C45)&lt;N(C93)),$AM45&amp;" ",""))</f>
      </c>
      <c r="D46" s="43">
        <f>TRIM(IF(AND(D38&lt;&gt;"",N(D38)&lt;N(D86)),$AM38&amp;" ","")&amp;IF(AND(D39&lt;&gt;"",N(D39)&lt;N(D87)),$AM39&amp;" ","")&amp;IF(AND(D40&lt;&gt;"",N(D40)&lt;N(D88)),$AM40&amp;" ","")&amp;IF(AND(D41&lt;&gt;"",N(D41)&lt;N(D89)),$AM41&amp;" ","")&amp;IF(AND(D42&lt;&gt;"",N(D42)&lt;N(D90)),$AM42&amp;" ","")&amp;IF(AND(D43&lt;&gt;"",N(D43)&lt;N(D91)),$AM43&amp;" ","")&amp;IF(AND(D44&lt;&gt;"",N(D44)&lt;N(D92)),$AM44&amp;" ","")&amp;IF(AND(D45&lt;&gt;"",N(D45)&lt;N(D93)),$AM45&amp;" ",""))</f>
      </c>
      <c r="E46" s="43">
        <f>TRIM(IF(AND(E38&lt;&gt;"",N(E38)&lt;N(E86)),$AM38&amp;" ","")&amp;IF(AND(E39&lt;&gt;"",N(E39)&lt;N(E87)),$AM39&amp;" ","")&amp;IF(AND(E40&lt;&gt;"",N(E40)&lt;N(E88)),$AM40&amp;" ","")&amp;IF(AND(E41&lt;&gt;"",N(E41)&lt;N(E89)),$AM41&amp;" ","")&amp;IF(AND(E42&lt;&gt;"",N(E42)&lt;N(E90)),$AM42&amp;" ","")&amp;IF(AND(E43&lt;&gt;"",N(E43)&lt;N(E91)),$AM43&amp;" ","")&amp;IF(AND(E44&lt;&gt;"",N(E44)&lt;N(E92)),$AM44&amp;" ","")&amp;IF(AND(E45&lt;&gt;"",N(E45)&lt;N(E93)),$AM45&amp;" ",""))</f>
      </c>
      <c r="F46" s="43">
        <f>TRIM(IF(AND(F38&lt;&gt;"",N(F38)&lt;N(F86)),$AM38&amp;" ","")&amp;IF(AND(F39&lt;&gt;"",N(F39)&lt;N(F87)),$AM39&amp;" ","")&amp;IF(AND(F40&lt;&gt;"",N(F40)&lt;N(F88)),$AM40&amp;" ","")&amp;IF(AND(F41&lt;&gt;"",N(F41)&lt;N(F89)),$AM41&amp;" ","")&amp;IF(AND(F42&lt;&gt;"",N(F42)&lt;N(F90)),$AM42&amp;" ","")&amp;IF(AND(F43&lt;&gt;"",N(F43)&lt;N(F91)),$AM43&amp;" ","")&amp;IF(AND(F44&lt;&gt;"",N(F44)&lt;N(F92)),$AM44&amp;" ","")&amp;IF(AND(F45&lt;&gt;"",N(F45)&lt;N(F93)),$AM45&amp;" ",""))</f>
      </c>
      <c r="G46" s="43">
        <f>TRIM(IF(AND(G38&lt;&gt;"",N(G38)&lt;N(G86)),$AM38&amp;" ","")&amp;IF(AND(G39&lt;&gt;"",N(G39)&lt;N(G87)),$AM39&amp;" ","")&amp;IF(AND(G40&lt;&gt;"",N(G40)&lt;N(G88)),$AM40&amp;" ","")&amp;IF(AND(G41&lt;&gt;"",N(G41)&lt;N(G89)),$AM41&amp;" ","")&amp;IF(AND(G42&lt;&gt;"",N(G42)&lt;N(G90)),$AM42&amp;" ","")&amp;IF(AND(G43&lt;&gt;"",N(G43)&lt;N(G91)),$AM43&amp;" ","")&amp;IF(AND(G44&lt;&gt;"",N(G44)&lt;N(G92)),$AM44&amp;" ","")&amp;IF(AND(G45&lt;&gt;"",N(G45)&lt;N(G93)),$AM45&amp;" ",""))</f>
      </c>
      <c r="H46" s="43">
        <f>TRIM(IF(AND(H38&lt;&gt;"",N(H38)&lt;N(H86)),$AM38&amp;" ","")&amp;IF(AND(H39&lt;&gt;"",N(H39)&lt;N(H87)),$AM39&amp;" ","")&amp;IF(AND(H40&lt;&gt;"",N(H40)&lt;N(H88)),$AM40&amp;" ","")&amp;IF(AND(H41&lt;&gt;"",N(H41)&lt;N(H89)),$AM41&amp;" ","")&amp;IF(AND(H42&lt;&gt;"",N(H42)&lt;N(H90)),$AM42&amp;" ","")&amp;IF(AND(H43&lt;&gt;"",N(H43)&lt;N(H91)),$AM43&amp;" ","")&amp;IF(AND(H44&lt;&gt;"",N(H44)&lt;N(H92)),$AM44&amp;" ","")&amp;IF(AND(H45&lt;&gt;"",N(H45)&lt;N(H93)),$AM45&amp;" ",""))</f>
      </c>
      <c r="I46" s="43">
        <f>TRIM(IF(AND(I38&lt;&gt;"",N(I38)&lt;N(I86)),$AM38&amp;" ","")&amp;IF(AND(I39&lt;&gt;"",N(I39)&lt;N(I87)),$AM39&amp;" ","")&amp;IF(AND(I40&lt;&gt;"",N(I40)&lt;N(I88)),$AM40&amp;" ","")&amp;IF(AND(I41&lt;&gt;"",N(I41)&lt;N(I89)),$AM41&amp;" ","")&amp;IF(AND(I42&lt;&gt;"",N(I42)&lt;N(I90)),$AM42&amp;" ","")&amp;IF(AND(I43&lt;&gt;"",N(I43)&lt;N(I91)),$AM43&amp;" ","")&amp;IF(AND(I44&lt;&gt;"",N(I44)&lt;N(I92)),$AM44&amp;" ","")&amp;IF(AND(I45&lt;&gt;"",N(I45)&lt;N(I93)),$AM45&amp;" ",""))</f>
      </c>
      <c r="J46" s="43">
        <f>TRIM(IF(AND(J38&lt;&gt;"",N(J38)&lt;N(J86)),$AM38&amp;" ","")&amp;IF(AND(J39&lt;&gt;"",N(J39)&lt;N(J87)),$AM39&amp;" ","")&amp;IF(AND(J40&lt;&gt;"",N(J40)&lt;N(J88)),$AM40&amp;" ","")&amp;IF(AND(J41&lt;&gt;"",N(J41)&lt;N(J89)),$AM41&amp;" ","")&amp;IF(AND(J42&lt;&gt;"",N(J42)&lt;N(J90)),$AM42&amp;" ","")&amp;IF(AND(J43&lt;&gt;"",N(J43)&lt;N(J91)),$AM43&amp;" ","")&amp;IF(AND(J44&lt;&gt;"",N(J44)&lt;N(J92)),$AM44&amp;" ","")&amp;IF(AND(J45&lt;&gt;"",N(J45)&lt;N(J93)),$AM45&amp;" ",""))</f>
      </c>
      <c r="K46" s="43">
        <f>TRIM(IF(AND(K38&lt;&gt;"",N(K38)&lt;N(K86)),$AM38&amp;" ","")&amp;IF(AND(K39&lt;&gt;"",N(K39)&lt;N(K87)),$AM39&amp;" ","")&amp;IF(AND(K40&lt;&gt;"",N(K40)&lt;N(K88)),$AM40&amp;" ","")&amp;IF(AND(K41&lt;&gt;"",N(K41)&lt;N(K89)),$AM41&amp;" ","")&amp;IF(AND(K42&lt;&gt;"",N(K42)&lt;N(K90)),$AM42&amp;" ","")&amp;IF(AND(K43&lt;&gt;"",N(K43)&lt;N(K91)),$AM43&amp;" ","")&amp;IF(AND(K44&lt;&gt;"",N(K44)&lt;N(K92)),$AM44&amp;" ","")&amp;IF(AND(K45&lt;&gt;"",N(K45)&lt;N(K93)),$AM45&amp;" ",""))</f>
      </c>
      <c r="L46" s="43">
        <f>TRIM(IF(AND(L38&lt;&gt;"",N(L38)&lt;N(L86)),$AM38&amp;" ","")&amp;IF(AND(L39&lt;&gt;"",N(L39)&lt;N(L87)),$AM39&amp;" ","")&amp;IF(AND(L40&lt;&gt;"",N(L40)&lt;N(L88)),$AM40&amp;" ","")&amp;IF(AND(L41&lt;&gt;"",N(L41)&lt;N(L89)),$AM41&amp;" ","")&amp;IF(AND(L42&lt;&gt;"",N(L42)&lt;N(L90)),$AM42&amp;" ","")&amp;IF(AND(L43&lt;&gt;"",N(L43)&lt;N(L91)),$AM43&amp;" ","")&amp;IF(AND(L44&lt;&gt;"",N(L44)&lt;N(L92)),$AM44&amp;" ","")&amp;IF(AND(L45&lt;&gt;"",N(L45)&lt;N(L93)),$AM45&amp;" ",""))</f>
      </c>
      <c r="M46" s="43">
        <f>TRIM(IF(AND(M38&lt;&gt;"",N(M38)&lt;N(M86)),$AM38&amp;" ","")&amp;IF(AND(M39&lt;&gt;"",N(M39)&lt;N(M87)),$AM39&amp;" ","")&amp;IF(AND(M40&lt;&gt;"",N(M40)&lt;N(M88)),$AM40&amp;" ","")&amp;IF(AND(M41&lt;&gt;"",N(M41)&lt;N(M89)),$AM41&amp;" ","")&amp;IF(AND(M42&lt;&gt;"",N(M42)&lt;N(M90)),$AM42&amp;" ","")&amp;IF(AND(M43&lt;&gt;"",N(M43)&lt;N(M91)),$AM43&amp;" ","")&amp;IF(AND(M44&lt;&gt;"",N(M44)&lt;N(M92)),$AM44&amp;" ","")&amp;IF(AND(M45&lt;&gt;"",N(M45)&lt;N(M93)),$AM45&amp;" ",""))</f>
      </c>
      <c r="N46" s="43">
        <f>TRIM(IF(AND(N38&lt;&gt;"",N(N38)&lt;N(N86)),$AM38&amp;" ","")&amp;IF(AND(N39&lt;&gt;"",N(N39)&lt;N(N87)),$AM39&amp;" ","")&amp;IF(AND(N40&lt;&gt;"",N(N40)&lt;N(N88)),$AM40&amp;" ","")&amp;IF(AND(N41&lt;&gt;"",N(N41)&lt;N(N89)),$AM41&amp;" ","")&amp;IF(AND(N42&lt;&gt;"",N(N42)&lt;N(N90)),$AM42&amp;" ","")&amp;IF(AND(N43&lt;&gt;"",N(N43)&lt;N(N91)),$AM43&amp;" ","")&amp;IF(AND(N44&lt;&gt;"",N(N44)&lt;N(N92)),$AM44&amp;" ","")&amp;IF(AND(N45&lt;&gt;"",N(N45)&lt;N(N93)),$AM45&amp;" ",""))</f>
      </c>
      <c r="O46" s="43">
        <f>TRIM(IF(AND(O38&lt;&gt;"",N(O38)&lt;N(O86)),$AM38&amp;" ","")&amp;IF(AND(O39&lt;&gt;"",N(O39)&lt;N(O87)),$AM39&amp;" ","")&amp;IF(AND(O40&lt;&gt;"",N(O40)&lt;N(O88)),$AM40&amp;" ","")&amp;IF(AND(O41&lt;&gt;"",N(O41)&lt;N(O89)),$AM41&amp;" ","")&amp;IF(AND(O42&lt;&gt;"",N(O42)&lt;N(O90)),$AM42&amp;" ","")&amp;IF(AND(O43&lt;&gt;"",N(O43)&lt;N(O91)),$AM43&amp;" ","")&amp;IF(AND(O44&lt;&gt;"",N(O44)&lt;N(O92)),$AM44&amp;" ","")&amp;IF(AND(O45&lt;&gt;"",N(O45)&lt;N(O93)),$AM45&amp;" ",""))</f>
      </c>
      <c r="P46" s="43">
        <f>TRIM(IF(AND(P38&lt;&gt;"",N(P38)&lt;N(P86)),$AM38&amp;" ","")&amp;IF(AND(P39&lt;&gt;"",N(P39)&lt;N(P87)),$AM39&amp;" ","")&amp;IF(AND(P40&lt;&gt;"",N(P40)&lt;N(P88)),$AM40&amp;" ","")&amp;IF(AND(P41&lt;&gt;"",N(P41)&lt;N(P89)),$AM41&amp;" ","")&amp;IF(AND(P42&lt;&gt;"",N(P42)&lt;N(P90)),$AM42&amp;" ","")&amp;IF(AND(P43&lt;&gt;"",N(P43)&lt;N(P91)),$AM43&amp;" ","")&amp;IF(AND(P44&lt;&gt;"",N(P44)&lt;N(P92)),$AM44&amp;" ","")&amp;IF(AND(P45&lt;&gt;"",N(P45)&lt;N(P93)),$AM45&amp;" ",""))</f>
      </c>
      <c r="Q46" s="43">
        <f>TRIM(IF(AND(Q38&lt;&gt;"",N(Q38)&lt;N(Q86)),$AM38&amp;" ","")&amp;IF(AND(Q39&lt;&gt;"",N(Q39)&lt;N(Q87)),$AM39&amp;" ","")&amp;IF(AND(Q40&lt;&gt;"",N(Q40)&lt;N(Q88)),$AM40&amp;" ","")&amp;IF(AND(Q41&lt;&gt;"",N(Q41)&lt;N(Q89)),$AM41&amp;" ","")&amp;IF(AND(Q42&lt;&gt;"",N(Q42)&lt;N(Q90)),$AM42&amp;" ","")&amp;IF(AND(Q43&lt;&gt;"",N(Q43)&lt;N(Q91)),$AM43&amp;" ","")&amp;IF(AND(Q44&lt;&gt;"",N(Q44)&lt;N(Q92)),$AM44&amp;" ","")&amp;IF(AND(Q45&lt;&gt;"",N(Q45)&lt;N(Q93)),$AM45&amp;" ",""))</f>
      </c>
      <c r="R46" s="43">
        <f>TRIM(IF(AND(R38&lt;&gt;"",N(R38)&lt;N(R86)),$AM38&amp;" ","")&amp;IF(AND(R39&lt;&gt;"",N(R39)&lt;N(R87)),$AM39&amp;" ","")&amp;IF(AND(R40&lt;&gt;"",N(R40)&lt;N(R88)),$AM40&amp;" ","")&amp;IF(AND(R41&lt;&gt;"",N(R41)&lt;N(R89)),$AM41&amp;" ","")&amp;IF(AND(R42&lt;&gt;"",N(R42)&lt;N(R90)),$AM42&amp;" ","")&amp;IF(AND(R43&lt;&gt;"",N(R43)&lt;N(R91)),$AM43&amp;" ","")&amp;IF(AND(R44&lt;&gt;"",N(R44)&lt;N(R92)),$AM44&amp;" ","")&amp;IF(AND(R45&lt;&gt;"",N(R45)&lt;N(R93)),$AM45&amp;" ",""))</f>
      </c>
      <c r="S46" s="43">
        <f>TRIM(IF(AND(S38&lt;&gt;"",N(S38)&lt;N(S86)),$AM38&amp;" ","")&amp;IF(AND(S39&lt;&gt;"",N(S39)&lt;N(S87)),$AM39&amp;" ","")&amp;IF(AND(S40&lt;&gt;"",N(S40)&lt;N(S88)),$AM40&amp;" ","")&amp;IF(AND(S41&lt;&gt;"",N(S41)&lt;N(S89)),$AM41&amp;" ","")&amp;IF(AND(S42&lt;&gt;"",N(S42)&lt;N(S90)),$AM42&amp;" ","")&amp;IF(AND(S43&lt;&gt;"",N(S43)&lt;N(S91)),$AM43&amp;" ","")&amp;IF(AND(S44&lt;&gt;"",N(S44)&lt;N(S92)),$AM44&amp;" ","")&amp;IF(AND(S45&lt;&gt;"",N(S45)&lt;N(S93)),$AM45&amp;" ",""))</f>
      </c>
      <c r="T46" s="43">
        <f>TRIM(IF(AND(T38&lt;&gt;"",N(T38)&lt;N(T86)),$AM38&amp;" ","")&amp;IF(AND(T39&lt;&gt;"",N(T39)&lt;N(T87)),$AM39&amp;" ","")&amp;IF(AND(T40&lt;&gt;"",N(T40)&lt;N(T88)),$AM40&amp;" ","")&amp;IF(AND(T41&lt;&gt;"",N(T41)&lt;N(T89)),$AM41&amp;" ","")&amp;IF(AND(T42&lt;&gt;"",N(T42)&lt;N(T90)),$AM42&amp;" ","")&amp;IF(AND(T43&lt;&gt;"",N(T43)&lt;N(T91)),$AM43&amp;" ","")&amp;IF(AND(T44&lt;&gt;"",N(T44)&lt;N(T92)),$AM44&amp;" ","")&amp;IF(AND(T45&lt;&gt;"",N(T45)&lt;N(T93)),$AM45&amp;" ",""))</f>
      </c>
      <c r="U46" s="43">
        <f>TRIM(IF(AND(U38&lt;&gt;"",N(U38)&lt;N(U86)),$AM38&amp;" ","")&amp;IF(AND(U39&lt;&gt;"",N(U39)&lt;N(U87)),$AM39&amp;" ","")&amp;IF(AND(U40&lt;&gt;"",N(U40)&lt;N(U88)),$AM40&amp;" ","")&amp;IF(AND(U41&lt;&gt;"",N(U41)&lt;N(U89)),$AM41&amp;" ","")&amp;IF(AND(U42&lt;&gt;"",N(U42)&lt;N(U90)),$AM42&amp;" ","")&amp;IF(AND(U43&lt;&gt;"",N(U43)&lt;N(U91)),$AM43&amp;" ","")&amp;IF(AND(U44&lt;&gt;"",N(U44)&lt;N(U92)),$AM44&amp;" ","")&amp;IF(AND(U45&lt;&gt;"",N(U45)&lt;N(U93)),$AM45&amp;" ",""))</f>
      </c>
      <c r="V46" s="43">
        <f>TRIM(IF(AND(V38&lt;&gt;"",N(V38)&lt;N(V86)),$AM38&amp;" ","")&amp;IF(AND(V39&lt;&gt;"",N(V39)&lt;N(V87)),$AM39&amp;" ","")&amp;IF(AND(V40&lt;&gt;"",N(V40)&lt;N(V88)),$AM40&amp;" ","")&amp;IF(AND(V41&lt;&gt;"",N(V41)&lt;N(V89)),$AM41&amp;" ","")&amp;IF(AND(V42&lt;&gt;"",N(V42)&lt;N(V90)),$AM42&amp;" ","")&amp;IF(AND(V43&lt;&gt;"",N(V43)&lt;N(V91)),$AM43&amp;" ","")&amp;IF(AND(V44&lt;&gt;"",N(V44)&lt;N(V92)),$AM44&amp;" ","")&amp;IF(AND(V45&lt;&gt;"",N(V45)&lt;N(V93)),$AM45&amp;" ",""))</f>
      </c>
      <c r="W46" s="43">
        <f>TRIM(IF(AND(W38&lt;&gt;"",N(W38)&lt;N(W86)),$AM38&amp;" ","")&amp;IF(AND(W39&lt;&gt;"",N(W39)&lt;N(W87)),$AM39&amp;" ","")&amp;IF(AND(W40&lt;&gt;"",N(W40)&lt;N(W88)),$AM40&amp;" ","")&amp;IF(AND(W41&lt;&gt;"",N(W41)&lt;N(W89)),$AM41&amp;" ","")&amp;IF(AND(W42&lt;&gt;"",N(W42)&lt;N(W90)),$AM42&amp;" ","")&amp;IF(AND(W43&lt;&gt;"",N(W43)&lt;N(W91)),$AM43&amp;" ","")&amp;IF(AND(W44&lt;&gt;"",N(W44)&lt;N(W92)),$AM44&amp;" ","")&amp;IF(AND(W45&lt;&gt;"",N(W45)&lt;N(W93)),$AM45&amp;" ",""))</f>
      </c>
      <c r="X46" s="43">
        <f>TRIM(IF(AND(X38&lt;&gt;"",N(X38)&lt;N(X86)),$AM38&amp;" ","")&amp;IF(AND(X39&lt;&gt;"",N(X39)&lt;N(X87)),$AM39&amp;" ","")&amp;IF(AND(X40&lt;&gt;"",N(X40)&lt;N(X88)),$AM40&amp;" ","")&amp;IF(AND(X41&lt;&gt;"",N(X41)&lt;N(X89)),$AM41&amp;" ","")&amp;IF(AND(X42&lt;&gt;"",N(X42)&lt;N(X90)),$AM42&amp;" ","")&amp;IF(AND(X43&lt;&gt;"",N(X43)&lt;N(X91)),$AM43&amp;" ","")&amp;IF(AND(X44&lt;&gt;"",N(X44)&lt;N(X92)),$AM44&amp;" ","")&amp;IF(AND(X45&lt;&gt;"",N(X45)&lt;N(X93)),$AM45&amp;" ",""))</f>
      </c>
      <c r="Y46" s="43">
        <f>TRIM(IF(AND(Y38&lt;&gt;"",N(Y38)&lt;N(Y86)),$AM38&amp;" ","")&amp;IF(AND(Y39&lt;&gt;"",N(Y39)&lt;N(Y87)),$AM39&amp;" ","")&amp;IF(AND(Y40&lt;&gt;"",N(Y40)&lt;N(Y88)),$AM40&amp;" ","")&amp;IF(AND(Y41&lt;&gt;"",N(Y41)&lt;N(Y89)),$AM41&amp;" ","")&amp;IF(AND(Y42&lt;&gt;"",N(Y42)&lt;N(Y90)),$AM42&amp;" ","")&amp;IF(AND(Y43&lt;&gt;"",N(Y43)&lt;N(Y91)),$AM43&amp;" ","")&amp;IF(AND(Y44&lt;&gt;"",N(Y44)&lt;N(Y92)),$AM44&amp;" ","")&amp;IF(AND(Y45&lt;&gt;"",N(Y45)&lt;N(Y93)),$AM45&amp;" ",""))</f>
      </c>
      <c r="Z46" s="43">
        <f>TRIM(IF(AND(Z38&lt;&gt;"",N(Z38)&lt;N(Z86)),$AM38&amp;" ","")&amp;IF(AND(Z39&lt;&gt;"",N(Z39)&lt;N(Z87)),$AM39&amp;" ","")&amp;IF(AND(Z40&lt;&gt;"",N(Z40)&lt;N(Z88)),$AM40&amp;" ","")&amp;IF(AND(Z41&lt;&gt;"",N(Z41)&lt;N(Z89)),$AM41&amp;" ","")&amp;IF(AND(Z42&lt;&gt;"",N(Z42)&lt;N(Z90)),$AM42&amp;" ","")&amp;IF(AND(Z43&lt;&gt;"",N(Z43)&lt;N(Z91)),$AM43&amp;" ","")&amp;IF(AND(Z44&lt;&gt;"",N(Z44)&lt;N(Z92)),$AM44&amp;" ","")&amp;IF(AND(Z45&lt;&gt;"",N(Z45)&lt;N(Z93)),$AM45&amp;" ",""))</f>
      </c>
      <c r="AA46" s="43">
        <f>TRIM(IF(AND(AA38&lt;&gt;"",N(AA38)&lt;N(AA86)),$AM38&amp;" ","")&amp;IF(AND(AA39&lt;&gt;"",N(AA39)&lt;N(AA87)),$AM39&amp;" ","")&amp;IF(AND(AA40&lt;&gt;"",N(AA40)&lt;N(AA88)),$AM40&amp;" ","")&amp;IF(AND(AA41&lt;&gt;"",N(AA41)&lt;N(AA89)),$AM41&amp;" ","")&amp;IF(AND(AA42&lt;&gt;"",N(AA42)&lt;N(AA90)),$AM42&amp;" ","")&amp;IF(AND(AA43&lt;&gt;"",N(AA43)&lt;N(AA91)),$AM43&amp;" ","")&amp;IF(AND(AA44&lt;&gt;"",N(AA44)&lt;N(AA92)),$AM44&amp;" ","")&amp;IF(AND(AA45&lt;&gt;"",N(AA45)&lt;N(AA93)),$AM45&amp;" ",""))</f>
      </c>
      <c r="AB46" s="43">
        <f>TRIM(IF(AND(AB38&lt;&gt;"",N(AB38)&lt;N(AB86)),$AM38&amp;" ","")&amp;IF(AND(AB39&lt;&gt;"",N(AB39)&lt;N(AB87)),$AM39&amp;" ","")&amp;IF(AND(AB40&lt;&gt;"",N(AB40)&lt;N(AB88)),$AM40&amp;" ","")&amp;IF(AND(AB41&lt;&gt;"",N(AB41)&lt;N(AB89)),$AM41&amp;" ","")&amp;IF(AND(AB42&lt;&gt;"",N(AB42)&lt;N(AB90)),$AM42&amp;" ","")&amp;IF(AND(AB43&lt;&gt;"",N(AB43)&lt;N(AB91)),$AM43&amp;" ","")&amp;IF(AND(AB44&lt;&gt;"",N(AB44)&lt;N(AB92)),$AM44&amp;" ","")&amp;IF(AND(AB45&lt;&gt;"",N(AB45)&lt;N(AB93)),$AM45&amp;" ",""))</f>
      </c>
      <c r="AC46" s="43">
        <f>TRIM(IF(AND(AC38&lt;&gt;"",N(AC38)&lt;N(AC86)),$AM38&amp;" ","")&amp;IF(AND(AC39&lt;&gt;"",N(AC39)&lt;N(AC87)),$AM39&amp;" ","")&amp;IF(AND(AC40&lt;&gt;"",N(AC40)&lt;N(AC88)),$AM40&amp;" ","")&amp;IF(AND(AC41&lt;&gt;"",N(AC41)&lt;N(AC89)),$AM41&amp;" ","")&amp;IF(AND(AC42&lt;&gt;"",N(AC42)&lt;N(AC90)),$AM42&amp;" ","")&amp;IF(AND(AC43&lt;&gt;"",N(AC43)&lt;N(AC91)),$AM43&amp;" ","")&amp;IF(AND(AC44&lt;&gt;"",N(AC44)&lt;N(AC92)),$AM44&amp;" ","")&amp;IF(AND(AC45&lt;&gt;"",N(AC45)&lt;N(AC93)),$AM45&amp;" ",""))</f>
      </c>
      <c r="AD46" s="43">
        <f>TRIM(IF(AND(AD38&lt;&gt;"",N(AD38)&lt;N(AD86)),$AM38&amp;" ","")&amp;IF(AND(AD39&lt;&gt;"",N(AD39)&lt;N(AD87)),$AM39&amp;" ","")&amp;IF(AND(AD40&lt;&gt;"",N(AD40)&lt;N(AD88)),$AM40&amp;" ","")&amp;IF(AND(AD41&lt;&gt;"",N(AD41)&lt;N(AD89)),$AM41&amp;" ","")&amp;IF(AND(AD42&lt;&gt;"",N(AD42)&lt;N(AD90)),$AM42&amp;" ","")&amp;IF(AND(AD43&lt;&gt;"",N(AD43)&lt;N(AD91)),$AM43&amp;" ","")&amp;IF(AND(AD44&lt;&gt;"",N(AD44)&lt;N(AD92)),$AM44&amp;" ","")&amp;IF(AND(AD45&lt;&gt;"",N(AD45)&lt;N(AD93)),$AM45&amp;" ",""))</f>
      </c>
      <c r="AE46" s="43">
        <f>TRIM(IF(AND(AE38&lt;&gt;"",N(AE38)&lt;N(AE86)),$AM38&amp;" ","")&amp;IF(AND(AE39&lt;&gt;"",N(AE39)&lt;N(AE87)),$AM39&amp;" ","")&amp;IF(AND(AE40&lt;&gt;"",N(AE40)&lt;N(AE88)),$AM40&amp;" ","")&amp;IF(AND(AE41&lt;&gt;"",N(AE41)&lt;N(AE89)),$AM41&amp;" ","")&amp;IF(AND(AE42&lt;&gt;"",N(AE42)&lt;N(AE90)),$AM42&amp;" ","")&amp;IF(AND(AE43&lt;&gt;"",N(AE43)&lt;N(AE91)),$AM43&amp;" ","")&amp;IF(AND(AE44&lt;&gt;"",N(AE44)&lt;N(AE92)),$AM44&amp;" ","")&amp;IF(AND(AE45&lt;&gt;"",N(AE45)&lt;N(AE93)),$AM45&amp;" ",""))</f>
      </c>
      <c r="AF46" s="43">
        <f>TRIM(IF(AND(AF38&lt;&gt;"",N(AF38)&lt;N(AF86)),$AM38&amp;" ","")&amp;IF(AND(AF39&lt;&gt;"",N(AF39)&lt;N(AF87)),$AM39&amp;" ","")&amp;IF(AND(AF40&lt;&gt;"",N(AF40)&lt;N(AF88)),$AM40&amp;" ","")&amp;IF(AND(AF41&lt;&gt;"",N(AF41)&lt;N(AF89)),$AM41&amp;" ","")&amp;IF(AND(AF42&lt;&gt;"",N(AF42)&lt;N(AF90)),$AM42&amp;" ","")&amp;IF(AND(AF43&lt;&gt;"",N(AF43)&lt;N(AF91)),$AM43&amp;" ","")&amp;IF(AND(AF44&lt;&gt;"",N(AF44)&lt;N(AF92)),$AM44&amp;" ","")&amp;IF(AND(AF45&lt;&gt;"",N(AF45)&lt;N(AF93)),$AM45&amp;" ",""))</f>
      </c>
    </row>
    <row r="48" spans="1:38" x14ac:dyDescent="0.25">
      <c r="A48" s="7" t="s">
        <v>65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1"/>
      <c r="W48" s="1"/>
      <c r="X48" s="7" t="s">
        <v>66</v>
      </c>
      <c r="Y48" s="1"/>
      <c r="Z48" s="1"/>
      <c r="AA48" s="1"/>
      <c r="AB48" s="1"/>
      <c r="AC48" s="1"/>
      <c r="AD48" s="1"/>
      <c r="AE48" s="1"/>
      <c r="AF48" s="1"/>
      <c r="AG48" s="44"/>
      <c r="AH48" s="44"/>
      <c r="AI48" s="44"/>
      <c r="AJ48" s="44"/>
      <c r="AK48" s="44"/>
      <c r="AL48" s="44"/>
    </row>
    <row r="50" hidden="1" spans="1:32" x14ac:dyDescent="0.25">
      <c r="A50" s="1"/>
      <c r="B50" s="1">
        <f>IF(B$5="",0,IF(ISNUMBER(MATCH(B$5,FeiertagDaten,0)),1,0))</f>
      </c>
      <c r="C50" s="1">
        <f>IF(C$5="",0,IF(ISNUMBER(MATCH(C$5,FeiertagDaten,0)),1,0))</f>
      </c>
      <c r="D50" s="1">
        <f>IF(D$5="",0,IF(ISNUMBER(MATCH(D$5,FeiertagDaten,0)),1,0))</f>
      </c>
      <c r="E50" s="1">
        <f>IF(E$5="",0,IF(ISNUMBER(MATCH(E$5,FeiertagDaten,0)),1,0))</f>
      </c>
      <c r="F50" s="1">
        <f>IF(F$5="",0,IF(ISNUMBER(MATCH(F$5,FeiertagDaten,0)),1,0))</f>
      </c>
      <c r="G50" s="1">
        <f>IF(G$5="",0,IF(ISNUMBER(MATCH(G$5,FeiertagDaten,0)),1,0))</f>
      </c>
      <c r="H50" s="1">
        <f>IF(H$5="",0,IF(ISNUMBER(MATCH(H$5,FeiertagDaten,0)),1,0))</f>
      </c>
      <c r="I50" s="1">
        <f>IF(I$5="",0,IF(ISNUMBER(MATCH(I$5,FeiertagDaten,0)),1,0))</f>
      </c>
      <c r="J50" s="1">
        <f>IF(J$5="",0,IF(ISNUMBER(MATCH(J$5,FeiertagDaten,0)),1,0))</f>
      </c>
      <c r="K50" s="1">
        <f>IF(K$5="",0,IF(ISNUMBER(MATCH(K$5,FeiertagDaten,0)),1,0))</f>
      </c>
      <c r="L50" s="1">
        <f>IF(L$5="",0,IF(ISNUMBER(MATCH(L$5,FeiertagDaten,0)),1,0))</f>
      </c>
      <c r="M50" s="1">
        <f>IF(M$5="",0,IF(ISNUMBER(MATCH(M$5,FeiertagDaten,0)),1,0))</f>
      </c>
      <c r="N50" s="1">
        <f>IF(N$5="",0,IF(ISNUMBER(MATCH(N$5,FeiertagDaten,0)),1,0))</f>
      </c>
      <c r="O50" s="1">
        <f>IF(O$5="",0,IF(ISNUMBER(MATCH(O$5,FeiertagDaten,0)),1,0))</f>
      </c>
      <c r="P50" s="1">
        <f>IF(P$5="",0,IF(ISNUMBER(MATCH(P$5,FeiertagDaten,0)),1,0))</f>
      </c>
      <c r="Q50" s="1">
        <f>IF(Q$5="",0,IF(ISNUMBER(MATCH(Q$5,FeiertagDaten,0)),1,0))</f>
      </c>
      <c r="R50" s="1">
        <f>IF(R$5="",0,IF(ISNUMBER(MATCH(R$5,FeiertagDaten,0)),1,0))</f>
      </c>
      <c r="S50" s="1">
        <f>IF(S$5="",0,IF(ISNUMBER(MATCH(S$5,FeiertagDaten,0)),1,0))</f>
      </c>
      <c r="T50" s="1">
        <f>IF(T$5="",0,IF(ISNUMBER(MATCH(T$5,FeiertagDaten,0)),1,0))</f>
      </c>
      <c r="U50" s="1">
        <f>IF(U$5="",0,IF(ISNUMBER(MATCH(U$5,FeiertagDaten,0)),1,0))</f>
      </c>
      <c r="V50" s="1">
        <f>IF(V$5="",0,IF(ISNUMBER(MATCH(V$5,FeiertagDaten,0)),1,0))</f>
      </c>
      <c r="W50" s="1">
        <f>IF(W$5="",0,IF(ISNUMBER(MATCH(W$5,FeiertagDaten,0)),1,0))</f>
      </c>
      <c r="X50" s="1">
        <f>IF(X$5="",0,IF(ISNUMBER(MATCH(X$5,FeiertagDaten,0)),1,0))</f>
      </c>
      <c r="Y50" s="1">
        <f>IF(Y$5="",0,IF(ISNUMBER(MATCH(Y$5,FeiertagDaten,0)),1,0))</f>
      </c>
      <c r="Z50" s="1">
        <f>IF(Z$5="",0,IF(ISNUMBER(MATCH(Z$5,FeiertagDaten,0)),1,0))</f>
      </c>
      <c r="AA50" s="1">
        <f>IF(AA$5="",0,IF(ISNUMBER(MATCH(AA$5,FeiertagDaten,0)),1,0))</f>
      </c>
      <c r="AB50" s="1">
        <f>IF(AB$5="",0,IF(ISNUMBER(MATCH(AB$5,FeiertagDaten,0)),1,0))</f>
      </c>
      <c r="AC50" s="1">
        <f>IF(AC$5="",0,IF(ISNUMBER(MATCH(AC$5,FeiertagDaten,0)),1,0))</f>
      </c>
      <c r="AD50" s="1">
        <f>IF(AD$5="",0,IF(ISNUMBER(MATCH(AD$5,FeiertagDaten,0)),1,0))</f>
      </c>
      <c r="AE50" s="1">
        <f>IF(AE$5="",0,IF(ISNUMBER(MATCH(AE$5,FeiertagDaten,0)),1,0))</f>
      </c>
      <c r="AF50" s="1">
        <f>IF(AF$5="",0,IF(ISNUMBER(MATCH(AF$5,FeiertagDaten,0)),1,0))</f>
      </c>
    </row>
    <row r="51" hidden="1" spans="1:32" x14ac:dyDescent="0.25">
      <c r="A51" s="1"/>
      <c r="B51" s="1">
        <f>IF(B$5="",0,WEEKDAY(B$5,2))</f>
      </c>
      <c r="C51" s="1">
        <f>IF(C$5="",0,WEEKDAY(C$5,2))</f>
      </c>
      <c r="D51" s="1">
        <f>IF(D$5="",0,WEEKDAY(D$5,2))</f>
      </c>
      <c r="E51" s="1">
        <f>IF(E$5="",0,WEEKDAY(E$5,2))</f>
      </c>
      <c r="F51" s="1">
        <f>IF(F$5="",0,WEEKDAY(F$5,2))</f>
      </c>
      <c r="G51" s="1">
        <f>IF(G$5="",0,WEEKDAY(G$5,2))</f>
      </c>
      <c r="H51" s="1">
        <f>IF(H$5="",0,WEEKDAY(H$5,2))</f>
      </c>
      <c r="I51" s="1">
        <f>IF(I$5="",0,WEEKDAY(I$5,2))</f>
      </c>
      <c r="J51" s="1">
        <f>IF(J$5="",0,WEEKDAY(J$5,2))</f>
      </c>
      <c r="K51" s="1">
        <f>IF(K$5="",0,WEEKDAY(K$5,2))</f>
      </c>
      <c r="L51" s="1">
        <f>IF(L$5="",0,WEEKDAY(L$5,2))</f>
      </c>
      <c r="M51" s="1">
        <f>IF(M$5="",0,WEEKDAY(M$5,2))</f>
      </c>
      <c r="N51" s="1">
        <f>IF(N$5="",0,WEEKDAY(N$5,2))</f>
      </c>
      <c r="O51" s="1">
        <f>IF(O$5="",0,WEEKDAY(O$5,2))</f>
      </c>
      <c r="P51" s="1">
        <f>IF(P$5="",0,WEEKDAY(P$5,2))</f>
      </c>
      <c r="Q51" s="1">
        <f>IF(Q$5="",0,WEEKDAY(Q$5,2))</f>
      </c>
      <c r="R51" s="1">
        <f>IF(R$5="",0,WEEKDAY(R$5,2))</f>
      </c>
      <c r="S51" s="1">
        <f>IF(S$5="",0,WEEKDAY(S$5,2))</f>
      </c>
      <c r="T51" s="1">
        <f>IF(T$5="",0,WEEKDAY(T$5,2))</f>
      </c>
      <c r="U51" s="1">
        <f>IF(U$5="",0,WEEKDAY(U$5,2))</f>
      </c>
      <c r="V51" s="1">
        <f>IF(V$5="",0,WEEKDAY(V$5,2))</f>
      </c>
      <c r="W51" s="1">
        <f>IF(W$5="",0,WEEKDAY(W$5,2))</f>
      </c>
      <c r="X51" s="1">
        <f>IF(X$5="",0,WEEKDAY(X$5,2))</f>
      </c>
      <c r="Y51" s="1">
        <f>IF(Y$5="",0,WEEKDAY(Y$5,2))</f>
      </c>
      <c r="Z51" s="1">
        <f>IF(Z$5="",0,WEEKDAY(Z$5,2))</f>
      </c>
      <c r="AA51" s="1">
        <f>IF(AA$5="",0,WEEKDAY(AA$5,2))</f>
      </c>
      <c r="AB51" s="1">
        <f>IF(AB$5="",0,WEEKDAY(AB$5,2))</f>
      </c>
      <c r="AC51" s="1">
        <f>IF(AC$5="",0,WEEKDAY(AC$5,2))</f>
      </c>
      <c r="AD51" s="1">
        <f>IF(AD$5="",0,WEEKDAY(AD$5,2))</f>
      </c>
      <c r="AE51" s="1">
        <f>IF(AE$5="",0,WEEKDAY(AE$5,2))</f>
      </c>
      <c r="AF51" s="1">
        <f>IF(AF$5="",0,WEEKDAY(AF$5,2))</f>
      </c>
    </row>
    <row r="52" hidden="1" spans="1:32" x14ac:dyDescent="0.25">
      <c r="A52" s="1"/>
      <c r="B52" s="1">
        <f>IF(B$5="",0,1)</f>
      </c>
      <c r="C52" s="1">
        <f>IF(C$5="",0,1)</f>
      </c>
      <c r="D52" s="1">
        <f>IF(D$5="",0,1)</f>
      </c>
      <c r="E52" s="1">
        <f>IF(E$5="",0,1)</f>
      </c>
      <c r="F52" s="1">
        <f>IF(F$5="",0,1)</f>
      </c>
      <c r="G52" s="1">
        <f>IF(G$5="",0,1)</f>
      </c>
      <c r="H52" s="1">
        <f>IF(H$5="",0,1)</f>
      </c>
      <c r="I52" s="1">
        <f>IF(I$5="",0,1)</f>
      </c>
      <c r="J52" s="1">
        <f>IF(J$5="",0,1)</f>
      </c>
      <c r="K52" s="1">
        <f>IF(K$5="",0,1)</f>
      </c>
      <c r="L52" s="1">
        <f>IF(L$5="",0,1)</f>
      </c>
      <c r="M52" s="1">
        <f>IF(M$5="",0,1)</f>
      </c>
      <c r="N52" s="1">
        <f>IF(N$5="",0,1)</f>
      </c>
      <c r="O52" s="1">
        <f>IF(O$5="",0,1)</f>
      </c>
      <c r="P52" s="1">
        <f>IF(P$5="",0,1)</f>
      </c>
      <c r="Q52" s="1">
        <f>IF(Q$5="",0,1)</f>
      </c>
      <c r="R52" s="1">
        <f>IF(R$5="",0,1)</f>
      </c>
      <c r="S52" s="1">
        <f>IF(S$5="",0,1)</f>
      </c>
      <c r="T52" s="1">
        <f>IF(T$5="",0,1)</f>
      </c>
      <c r="U52" s="1">
        <f>IF(U$5="",0,1)</f>
      </c>
      <c r="V52" s="1">
        <f>IF(V$5="",0,1)</f>
      </c>
      <c r="W52" s="1">
        <f>IF(W$5="",0,1)</f>
      </c>
      <c r="X52" s="1">
        <f>IF(X$5="",0,1)</f>
      </c>
      <c r="Y52" s="1">
        <f>IF(Y$5="",0,1)</f>
      </c>
      <c r="Z52" s="1">
        <f>IF(Z$5="",0,1)</f>
      </c>
      <c r="AA52" s="1">
        <f>IF(AA$5="",0,1)</f>
      </c>
      <c r="AB52" s="1">
        <f>IF(AB$5="",0,1)</f>
      </c>
      <c r="AC52" s="1">
        <f>IF(AC$5="",0,1)</f>
      </c>
      <c r="AD52" s="1">
        <f>IF(AD$5="",0,1)</f>
      </c>
      <c r="AE52" s="1">
        <f>IF(AE$5="",0,1)</f>
      </c>
      <c r="AF52" s="1">
        <f>IF(AF$5="",0,1)</f>
      </c>
    </row>
    <row r="53" hidden="1" spans="1:32" x14ac:dyDescent="0.25">
      <c r="A53" s="1"/>
      <c r="B53" s="1">
        <f>IF(AND(B51&gt;=1,B51&lt;=5,B50=0),1,0)</f>
      </c>
      <c r="C53" s="1">
        <f>IF(AND(C51&gt;=1,C51&lt;=5,C50=0),1,0)</f>
      </c>
      <c r="D53" s="1">
        <f>IF(AND(D51&gt;=1,D51&lt;=5,D50=0),1,0)</f>
      </c>
      <c r="E53" s="1">
        <f>IF(AND(E51&gt;=1,E51&lt;=5,E50=0),1,0)</f>
      </c>
      <c r="F53" s="1">
        <f>IF(AND(F51&gt;=1,F51&lt;=5,F50=0),1,0)</f>
      </c>
      <c r="G53" s="1">
        <f>IF(AND(G51&gt;=1,G51&lt;=5,G50=0),1,0)</f>
      </c>
      <c r="H53" s="1">
        <f>IF(AND(H51&gt;=1,H51&lt;=5,H50=0),1,0)</f>
      </c>
      <c r="I53" s="1">
        <f>IF(AND(I51&gt;=1,I51&lt;=5,I50=0),1,0)</f>
      </c>
      <c r="J53" s="1">
        <f>IF(AND(J51&gt;=1,J51&lt;=5,J50=0),1,0)</f>
      </c>
      <c r="K53" s="1">
        <f>IF(AND(K51&gt;=1,K51&lt;=5,K50=0),1,0)</f>
      </c>
      <c r="L53" s="1">
        <f>IF(AND(L51&gt;=1,L51&lt;=5,L50=0),1,0)</f>
      </c>
      <c r="M53" s="1">
        <f>IF(AND(M51&gt;=1,M51&lt;=5,M50=0),1,0)</f>
      </c>
      <c r="N53" s="1">
        <f>IF(AND(N51&gt;=1,N51&lt;=5,N50=0),1,0)</f>
      </c>
      <c r="O53" s="1">
        <f>IF(AND(O51&gt;=1,O51&lt;=5,O50=0),1,0)</f>
      </c>
      <c r="P53" s="1">
        <f>IF(AND(P51&gt;=1,P51&lt;=5,P50=0),1,0)</f>
      </c>
      <c r="Q53" s="1">
        <f>IF(AND(Q51&gt;=1,Q51&lt;=5,Q50=0),1,0)</f>
      </c>
      <c r="R53" s="1">
        <f>IF(AND(R51&gt;=1,R51&lt;=5,R50=0),1,0)</f>
      </c>
      <c r="S53" s="1">
        <f>IF(AND(S51&gt;=1,S51&lt;=5,S50=0),1,0)</f>
      </c>
      <c r="T53" s="1">
        <f>IF(AND(T51&gt;=1,T51&lt;=5,T50=0),1,0)</f>
      </c>
      <c r="U53" s="1">
        <f>IF(AND(U51&gt;=1,U51&lt;=5,U50=0),1,0)</f>
      </c>
      <c r="V53" s="1">
        <f>IF(AND(V51&gt;=1,V51&lt;=5,V50=0),1,0)</f>
      </c>
      <c r="W53" s="1">
        <f>IF(AND(W51&gt;=1,W51&lt;=5,W50=0),1,0)</f>
      </c>
      <c r="X53" s="1">
        <f>IF(AND(X51&gt;=1,X51&lt;=5,X50=0),1,0)</f>
      </c>
      <c r="Y53" s="1">
        <f>IF(AND(Y51&gt;=1,Y51&lt;=5,Y50=0),1,0)</f>
      </c>
      <c r="Z53" s="1">
        <f>IF(AND(Z51&gt;=1,Z51&lt;=5,Z50=0),1,0)</f>
      </c>
      <c r="AA53" s="1">
        <f>IF(AND(AA51&gt;=1,AA51&lt;=5,AA50=0),1,0)</f>
      </c>
      <c r="AB53" s="1">
        <f>IF(AND(AB51&gt;=1,AB51&lt;=5,AB50=0),1,0)</f>
      </c>
      <c r="AC53" s="1">
        <f>IF(AND(AC51&gt;=1,AC51&lt;=5,AC50=0),1,0)</f>
      </c>
      <c r="AD53" s="1">
        <f>IF(AND(AD51&gt;=1,AD51&lt;=5,AD50=0),1,0)</f>
      </c>
      <c r="AE53" s="1">
        <f>IF(AND(AE51&gt;=1,AE51&lt;=5,AE50=0),1,0)</f>
      </c>
      <c r="AF53" s="1">
        <f>IF(AND(AF51&gt;=1,AF51&lt;=5,AF50=0),1,0)</f>
      </c>
    </row>
    <row r="55" hidden="1" spans="1:32" x14ac:dyDescent="0.25">
      <c r="A55" s="1"/>
      <c r="B55" s="1">
        <f>IF(OR(B$52=0,INDEX('Juli'!$B$6:$AF$6,DAY(DATE(Jahr,8,0)))="",B6=""),0,IFERROR(IF(AND(INDEX(Arten,MATCH(INDEX('Juli'!$B$6:$AF$6,DAY(DATE(Jahr,8,0))),Codes,0))="Arbeit",INDEX(Arten,MATCH(B6,Codes,0))="Arbeit"),IF(ROUND((1+INDEX(Beginne,MATCH(B6,Codes,0))-INDEX(EndeRel,MATCH(INDEX('Juli'!$B$6:$AF$6,DAY(DATE(Jahr,8,0))),Codes,0)))*1440,0)&lt;660,1,0),0),0))</f>
      </c>
      <c r="C55" s="1">
        <f>IF(OR(C$52=0,B6="",C6=""),0,IFERROR(IF(AND(INDEX(Arten,MATCH(B6,Codes,0))="Arbeit",INDEX(Arten,MATCH(C6,Codes,0))="Arbeit"),IF(ROUND((1+INDEX(Beginne,MATCH(C6,Codes,0))-INDEX(EndeRel,MATCH(B6,Codes,0)))*1440,0)&lt;660,1,0),0),0))</f>
      </c>
      <c r="D55" s="1">
        <f>IF(OR(D$52=0,C6="",D6=""),0,IFERROR(IF(AND(INDEX(Arten,MATCH(C6,Codes,0))="Arbeit",INDEX(Arten,MATCH(D6,Codes,0))="Arbeit"),IF(ROUND((1+INDEX(Beginne,MATCH(D6,Codes,0))-INDEX(EndeRel,MATCH(C6,Codes,0)))*1440,0)&lt;660,1,0),0),0))</f>
      </c>
      <c r="E55" s="1">
        <f>IF(OR(E$52=0,D6="",E6=""),0,IFERROR(IF(AND(INDEX(Arten,MATCH(D6,Codes,0))="Arbeit",INDEX(Arten,MATCH(E6,Codes,0))="Arbeit"),IF(ROUND((1+INDEX(Beginne,MATCH(E6,Codes,0))-INDEX(EndeRel,MATCH(D6,Codes,0)))*1440,0)&lt;660,1,0),0),0))</f>
      </c>
      <c r="F55" s="1">
        <f>IF(OR(F$52=0,E6="",F6=""),0,IFERROR(IF(AND(INDEX(Arten,MATCH(E6,Codes,0))="Arbeit",INDEX(Arten,MATCH(F6,Codes,0))="Arbeit"),IF(ROUND((1+INDEX(Beginne,MATCH(F6,Codes,0))-INDEX(EndeRel,MATCH(E6,Codes,0)))*1440,0)&lt;660,1,0),0),0))</f>
      </c>
      <c r="G55" s="1">
        <f>IF(OR(G$52=0,F6="",G6=""),0,IFERROR(IF(AND(INDEX(Arten,MATCH(F6,Codes,0))="Arbeit",INDEX(Arten,MATCH(G6,Codes,0))="Arbeit"),IF(ROUND((1+INDEX(Beginne,MATCH(G6,Codes,0))-INDEX(EndeRel,MATCH(F6,Codes,0)))*1440,0)&lt;660,1,0),0),0))</f>
      </c>
      <c r="H55" s="1">
        <f>IF(OR(H$52=0,G6="",H6=""),0,IFERROR(IF(AND(INDEX(Arten,MATCH(G6,Codes,0))="Arbeit",INDEX(Arten,MATCH(H6,Codes,0))="Arbeit"),IF(ROUND((1+INDEX(Beginne,MATCH(H6,Codes,0))-INDEX(EndeRel,MATCH(G6,Codes,0)))*1440,0)&lt;660,1,0),0),0))</f>
      </c>
      <c r="I55" s="1">
        <f>IF(OR(I$52=0,H6="",I6=""),0,IFERROR(IF(AND(INDEX(Arten,MATCH(H6,Codes,0))="Arbeit",INDEX(Arten,MATCH(I6,Codes,0))="Arbeit"),IF(ROUND((1+INDEX(Beginne,MATCH(I6,Codes,0))-INDEX(EndeRel,MATCH(H6,Codes,0)))*1440,0)&lt;660,1,0),0),0))</f>
      </c>
      <c r="J55" s="1">
        <f>IF(OR(J$52=0,I6="",J6=""),0,IFERROR(IF(AND(INDEX(Arten,MATCH(I6,Codes,0))="Arbeit",INDEX(Arten,MATCH(J6,Codes,0))="Arbeit"),IF(ROUND((1+INDEX(Beginne,MATCH(J6,Codes,0))-INDEX(EndeRel,MATCH(I6,Codes,0)))*1440,0)&lt;660,1,0),0),0))</f>
      </c>
      <c r="K55" s="1">
        <f>IF(OR(K$52=0,J6="",K6=""),0,IFERROR(IF(AND(INDEX(Arten,MATCH(J6,Codes,0))="Arbeit",INDEX(Arten,MATCH(K6,Codes,0))="Arbeit"),IF(ROUND((1+INDEX(Beginne,MATCH(K6,Codes,0))-INDEX(EndeRel,MATCH(J6,Codes,0)))*1440,0)&lt;660,1,0),0),0))</f>
      </c>
      <c r="L55" s="1">
        <f>IF(OR(L$52=0,K6="",L6=""),0,IFERROR(IF(AND(INDEX(Arten,MATCH(K6,Codes,0))="Arbeit",INDEX(Arten,MATCH(L6,Codes,0))="Arbeit"),IF(ROUND((1+INDEX(Beginne,MATCH(L6,Codes,0))-INDEX(EndeRel,MATCH(K6,Codes,0)))*1440,0)&lt;660,1,0),0),0))</f>
      </c>
      <c r="M55" s="1">
        <f>IF(OR(M$52=0,L6="",M6=""),0,IFERROR(IF(AND(INDEX(Arten,MATCH(L6,Codes,0))="Arbeit",INDEX(Arten,MATCH(M6,Codes,0))="Arbeit"),IF(ROUND((1+INDEX(Beginne,MATCH(M6,Codes,0))-INDEX(EndeRel,MATCH(L6,Codes,0)))*1440,0)&lt;660,1,0),0),0))</f>
      </c>
      <c r="N55" s="1">
        <f>IF(OR(N$52=0,M6="",N6=""),0,IFERROR(IF(AND(INDEX(Arten,MATCH(M6,Codes,0))="Arbeit",INDEX(Arten,MATCH(N6,Codes,0))="Arbeit"),IF(ROUND((1+INDEX(Beginne,MATCH(N6,Codes,0))-INDEX(EndeRel,MATCH(M6,Codes,0)))*1440,0)&lt;660,1,0),0),0))</f>
      </c>
      <c r="O55" s="1">
        <f>IF(OR(O$52=0,N6="",O6=""),0,IFERROR(IF(AND(INDEX(Arten,MATCH(N6,Codes,0))="Arbeit",INDEX(Arten,MATCH(O6,Codes,0))="Arbeit"),IF(ROUND((1+INDEX(Beginne,MATCH(O6,Codes,0))-INDEX(EndeRel,MATCH(N6,Codes,0)))*1440,0)&lt;660,1,0),0),0))</f>
      </c>
      <c r="P55" s="1">
        <f>IF(OR(P$52=0,O6="",P6=""),0,IFERROR(IF(AND(INDEX(Arten,MATCH(O6,Codes,0))="Arbeit",INDEX(Arten,MATCH(P6,Codes,0))="Arbeit"),IF(ROUND((1+INDEX(Beginne,MATCH(P6,Codes,0))-INDEX(EndeRel,MATCH(O6,Codes,0)))*1440,0)&lt;660,1,0),0),0))</f>
      </c>
      <c r="Q55" s="1">
        <f>IF(OR(Q$52=0,P6="",Q6=""),0,IFERROR(IF(AND(INDEX(Arten,MATCH(P6,Codes,0))="Arbeit",INDEX(Arten,MATCH(Q6,Codes,0))="Arbeit"),IF(ROUND((1+INDEX(Beginne,MATCH(Q6,Codes,0))-INDEX(EndeRel,MATCH(P6,Codes,0)))*1440,0)&lt;660,1,0),0),0))</f>
      </c>
      <c r="R55" s="1">
        <f>IF(OR(R$52=0,Q6="",R6=""),0,IFERROR(IF(AND(INDEX(Arten,MATCH(Q6,Codes,0))="Arbeit",INDEX(Arten,MATCH(R6,Codes,0))="Arbeit"),IF(ROUND((1+INDEX(Beginne,MATCH(R6,Codes,0))-INDEX(EndeRel,MATCH(Q6,Codes,0)))*1440,0)&lt;660,1,0),0),0))</f>
      </c>
      <c r="S55" s="1">
        <f>IF(OR(S$52=0,R6="",S6=""),0,IFERROR(IF(AND(INDEX(Arten,MATCH(R6,Codes,0))="Arbeit",INDEX(Arten,MATCH(S6,Codes,0))="Arbeit"),IF(ROUND((1+INDEX(Beginne,MATCH(S6,Codes,0))-INDEX(EndeRel,MATCH(R6,Codes,0)))*1440,0)&lt;660,1,0),0),0))</f>
      </c>
      <c r="T55" s="1">
        <f>IF(OR(T$52=0,S6="",T6=""),0,IFERROR(IF(AND(INDEX(Arten,MATCH(S6,Codes,0))="Arbeit",INDEX(Arten,MATCH(T6,Codes,0))="Arbeit"),IF(ROUND((1+INDEX(Beginne,MATCH(T6,Codes,0))-INDEX(EndeRel,MATCH(S6,Codes,0)))*1440,0)&lt;660,1,0),0),0))</f>
      </c>
      <c r="U55" s="1">
        <f>IF(OR(U$52=0,T6="",U6=""),0,IFERROR(IF(AND(INDEX(Arten,MATCH(T6,Codes,0))="Arbeit",INDEX(Arten,MATCH(U6,Codes,0))="Arbeit"),IF(ROUND((1+INDEX(Beginne,MATCH(U6,Codes,0))-INDEX(EndeRel,MATCH(T6,Codes,0)))*1440,0)&lt;660,1,0),0),0))</f>
      </c>
      <c r="V55" s="1">
        <f>IF(OR(V$52=0,U6="",V6=""),0,IFERROR(IF(AND(INDEX(Arten,MATCH(U6,Codes,0))="Arbeit",INDEX(Arten,MATCH(V6,Codes,0))="Arbeit"),IF(ROUND((1+INDEX(Beginne,MATCH(V6,Codes,0))-INDEX(EndeRel,MATCH(U6,Codes,0)))*1440,0)&lt;660,1,0),0),0))</f>
      </c>
      <c r="W55" s="1">
        <f>IF(OR(W$52=0,V6="",W6=""),0,IFERROR(IF(AND(INDEX(Arten,MATCH(V6,Codes,0))="Arbeit",INDEX(Arten,MATCH(W6,Codes,0))="Arbeit"),IF(ROUND((1+INDEX(Beginne,MATCH(W6,Codes,0))-INDEX(EndeRel,MATCH(V6,Codes,0)))*1440,0)&lt;660,1,0),0),0))</f>
      </c>
      <c r="X55" s="1">
        <f>IF(OR(X$52=0,W6="",X6=""),0,IFERROR(IF(AND(INDEX(Arten,MATCH(W6,Codes,0))="Arbeit",INDEX(Arten,MATCH(X6,Codes,0))="Arbeit"),IF(ROUND((1+INDEX(Beginne,MATCH(X6,Codes,0))-INDEX(EndeRel,MATCH(W6,Codes,0)))*1440,0)&lt;660,1,0),0),0))</f>
      </c>
      <c r="Y55" s="1">
        <f>IF(OR(Y$52=0,X6="",Y6=""),0,IFERROR(IF(AND(INDEX(Arten,MATCH(X6,Codes,0))="Arbeit",INDEX(Arten,MATCH(Y6,Codes,0))="Arbeit"),IF(ROUND((1+INDEX(Beginne,MATCH(Y6,Codes,0))-INDEX(EndeRel,MATCH(X6,Codes,0)))*1440,0)&lt;660,1,0),0),0))</f>
      </c>
      <c r="Z55" s="1">
        <f>IF(OR(Z$52=0,Y6="",Z6=""),0,IFERROR(IF(AND(INDEX(Arten,MATCH(Y6,Codes,0))="Arbeit",INDEX(Arten,MATCH(Z6,Codes,0))="Arbeit"),IF(ROUND((1+INDEX(Beginne,MATCH(Z6,Codes,0))-INDEX(EndeRel,MATCH(Y6,Codes,0)))*1440,0)&lt;660,1,0),0),0))</f>
      </c>
      <c r="AA55" s="1">
        <f>IF(OR(AA$52=0,Z6="",AA6=""),0,IFERROR(IF(AND(INDEX(Arten,MATCH(Z6,Codes,0))="Arbeit",INDEX(Arten,MATCH(AA6,Codes,0))="Arbeit"),IF(ROUND((1+INDEX(Beginne,MATCH(AA6,Codes,0))-INDEX(EndeRel,MATCH(Z6,Codes,0)))*1440,0)&lt;660,1,0),0),0))</f>
      </c>
      <c r="AB55" s="1">
        <f>IF(OR(AB$52=0,AA6="",AB6=""),0,IFERROR(IF(AND(INDEX(Arten,MATCH(AA6,Codes,0))="Arbeit",INDEX(Arten,MATCH(AB6,Codes,0))="Arbeit"),IF(ROUND((1+INDEX(Beginne,MATCH(AB6,Codes,0))-INDEX(EndeRel,MATCH(AA6,Codes,0)))*1440,0)&lt;660,1,0),0),0))</f>
      </c>
      <c r="AC55" s="1">
        <f>IF(OR(AC$52=0,AB6="",AC6=""),0,IFERROR(IF(AND(INDEX(Arten,MATCH(AB6,Codes,0))="Arbeit",INDEX(Arten,MATCH(AC6,Codes,0))="Arbeit"),IF(ROUND((1+INDEX(Beginne,MATCH(AC6,Codes,0))-INDEX(EndeRel,MATCH(AB6,Codes,0)))*1440,0)&lt;660,1,0),0),0))</f>
      </c>
      <c r="AD55" s="1">
        <f>IF(OR(AD$52=0,AC6="",AD6=""),0,IFERROR(IF(AND(INDEX(Arten,MATCH(AC6,Codes,0))="Arbeit",INDEX(Arten,MATCH(AD6,Codes,0))="Arbeit"),IF(ROUND((1+INDEX(Beginne,MATCH(AD6,Codes,0))-INDEX(EndeRel,MATCH(AC6,Codes,0)))*1440,0)&lt;660,1,0),0),0))</f>
      </c>
      <c r="AE55" s="1">
        <f>IF(OR(AE$52=0,AD6="",AE6=""),0,IFERROR(IF(AND(INDEX(Arten,MATCH(AD6,Codes,0))="Arbeit",INDEX(Arten,MATCH(AE6,Codes,0))="Arbeit"),IF(ROUND((1+INDEX(Beginne,MATCH(AE6,Codes,0))-INDEX(EndeRel,MATCH(AD6,Codes,0)))*1440,0)&lt;660,1,0),0),0))</f>
      </c>
      <c r="AF55" s="1">
        <f>IF(OR(AF$52=0,AE6="",AF6=""),0,IFERROR(IF(AND(INDEX(Arten,MATCH(AE6,Codes,0))="Arbeit",INDEX(Arten,MATCH(AF6,Codes,0))="Arbeit"),IF(ROUND((1+INDEX(Beginne,MATCH(AF6,Codes,0))-INDEX(EndeRel,MATCH(AE6,Codes,0)))*1440,0)&lt;660,1,0),0),0))</f>
      </c>
    </row>
    <row r="56" hidden="1" spans="1:32" x14ac:dyDescent="0.25">
      <c r="A56" s="1"/>
      <c r="B56" s="1">
        <f>IF(OR(B$52=0,INDEX('Juli'!$B$7:$AF$7,DAY(DATE(Jahr,8,0)))="",B7=""),0,IFERROR(IF(AND(INDEX(Arten,MATCH(INDEX('Juli'!$B$7:$AF$7,DAY(DATE(Jahr,8,0))),Codes,0))="Arbeit",INDEX(Arten,MATCH(B7,Codes,0))="Arbeit"),IF(ROUND((1+INDEX(Beginne,MATCH(B7,Codes,0))-INDEX(EndeRel,MATCH(INDEX('Juli'!$B$7:$AF$7,DAY(DATE(Jahr,8,0))),Codes,0)))*1440,0)&lt;660,1,0),0),0))</f>
      </c>
      <c r="C56" s="1">
        <f>IF(OR(C$52=0,B7="",C7=""),0,IFERROR(IF(AND(INDEX(Arten,MATCH(B7,Codes,0))="Arbeit",INDEX(Arten,MATCH(C7,Codes,0))="Arbeit"),IF(ROUND((1+INDEX(Beginne,MATCH(C7,Codes,0))-INDEX(EndeRel,MATCH(B7,Codes,0)))*1440,0)&lt;660,1,0),0),0))</f>
      </c>
      <c r="D56" s="1">
        <f>IF(OR(D$52=0,C7="",D7=""),0,IFERROR(IF(AND(INDEX(Arten,MATCH(C7,Codes,0))="Arbeit",INDEX(Arten,MATCH(D7,Codes,0))="Arbeit"),IF(ROUND((1+INDEX(Beginne,MATCH(D7,Codes,0))-INDEX(EndeRel,MATCH(C7,Codes,0)))*1440,0)&lt;660,1,0),0),0))</f>
      </c>
      <c r="E56" s="1">
        <f>IF(OR(E$52=0,D7="",E7=""),0,IFERROR(IF(AND(INDEX(Arten,MATCH(D7,Codes,0))="Arbeit",INDEX(Arten,MATCH(E7,Codes,0))="Arbeit"),IF(ROUND((1+INDEX(Beginne,MATCH(E7,Codes,0))-INDEX(EndeRel,MATCH(D7,Codes,0)))*1440,0)&lt;660,1,0),0),0))</f>
      </c>
      <c r="F56" s="1">
        <f>IF(OR(F$52=0,E7="",F7=""),0,IFERROR(IF(AND(INDEX(Arten,MATCH(E7,Codes,0))="Arbeit",INDEX(Arten,MATCH(F7,Codes,0))="Arbeit"),IF(ROUND((1+INDEX(Beginne,MATCH(F7,Codes,0))-INDEX(EndeRel,MATCH(E7,Codes,0)))*1440,0)&lt;660,1,0),0),0))</f>
      </c>
      <c r="G56" s="1">
        <f>IF(OR(G$52=0,F7="",G7=""),0,IFERROR(IF(AND(INDEX(Arten,MATCH(F7,Codes,0))="Arbeit",INDEX(Arten,MATCH(G7,Codes,0))="Arbeit"),IF(ROUND((1+INDEX(Beginne,MATCH(G7,Codes,0))-INDEX(EndeRel,MATCH(F7,Codes,0)))*1440,0)&lt;660,1,0),0),0))</f>
      </c>
      <c r="H56" s="1">
        <f>IF(OR(H$52=0,G7="",H7=""),0,IFERROR(IF(AND(INDEX(Arten,MATCH(G7,Codes,0))="Arbeit",INDEX(Arten,MATCH(H7,Codes,0))="Arbeit"),IF(ROUND((1+INDEX(Beginne,MATCH(H7,Codes,0))-INDEX(EndeRel,MATCH(G7,Codes,0)))*1440,0)&lt;660,1,0),0),0))</f>
      </c>
      <c r="I56" s="1">
        <f>IF(OR(I$52=0,H7="",I7=""),0,IFERROR(IF(AND(INDEX(Arten,MATCH(H7,Codes,0))="Arbeit",INDEX(Arten,MATCH(I7,Codes,0))="Arbeit"),IF(ROUND((1+INDEX(Beginne,MATCH(I7,Codes,0))-INDEX(EndeRel,MATCH(H7,Codes,0)))*1440,0)&lt;660,1,0),0),0))</f>
      </c>
      <c r="J56" s="1">
        <f>IF(OR(J$52=0,I7="",J7=""),0,IFERROR(IF(AND(INDEX(Arten,MATCH(I7,Codes,0))="Arbeit",INDEX(Arten,MATCH(J7,Codes,0))="Arbeit"),IF(ROUND((1+INDEX(Beginne,MATCH(J7,Codes,0))-INDEX(EndeRel,MATCH(I7,Codes,0)))*1440,0)&lt;660,1,0),0),0))</f>
      </c>
      <c r="K56" s="1">
        <f>IF(OR(K$52=0,J7="",K7=""),0,IFERROR(IF(AND(INDEX(Arten,MATCH(J7,Codes,0))="Arbeit",INDEX(Arten,MATCH(K7,Codes,0))="Arbeit"),IF(ROUND((1+INDEX(Beginne,MATCH(K7,Codes,0))-INDEX(EndeRel,MATCH(J7,Codes,0)))*1440,0)&lt;660,1,0),0),0))</f>
      </c>
      <c r="L56" s="1">
        <f>IF(OR(L$52=0,K7="",L7=""),0,IFERROR(IF(AND(INDEX(Arten,MATCH(K7,Codes,0))="Arbeit",INDEX(Arten,MATCH(L7,Codes,0))="Arbeit"),IF(ROUND((1+INDEX(Beginne,MATCH(L7,Codes,0))-INDEX(EndeRel,MATCH(K7,Codes,0)))*1440,0)&lt;660,1,0),0),0))</f>
      </c>
      <c r="M56" s="1">
        <f>IF(OR(M$52=0,L7="",M7=""),0,IFERROR(IF(AND(INDEX(Arten,MATCH(L7,Codes,0))="Arbeit",INDEX(Arten,MATCH(M7,Codes,0))="Arbeit"),IF(ROUND((1+INDEX(Beginne,MATCH(M7,Codes,0))-INDEX(EndeRel,MATCH(L7,Codes,0)))*1440,0)&lt;660,1,0),0),0))</f>
      </c>
      <c r="N56" s="1">
        <f>IF(OR(N$52=0,M7="",N7=""),0,IFERROR(IF(AND(INDEX(Arten,MATCH(M7,Codes,0))="Arbeit",INDEX(Arten,MATCH(N7,Codes,0))="Arbeit"),IF(ROUND((1+INDEX(Beginne,MATCH(N7,Codes,0))-INDEX(EndeRel,MATCH(M7,Codes,0)))*1440,0)&lt;660,1,0),0),0))</f>
      </c>
      <c r="O56" s="1">
        <f>IF(OR(O$52=0,N7="",O7=""),0,IFERROR(IF(AND(INDEX(Arten,MATCH(N7,Codes,0))="Arbeit",INDEX(Arten,MATCH(O7,Codes,0))="Arbeit"),IF(ROUND((1+INDEX(Beginne,MATCH(O7,Codes,0))-INDEX(EndeRel,MATCH(N7,Codes,0)))*1440,0)&lt;660,1,0),0),0))</f>
      </c>
      <c r="P56" s="1">
        <f>IF(OR(P$52=0,O7="",P7=""),0,IFERROR(IF(AND(INDEX(Arten,MATCH(O7,Codes,0))="Arbeit",INDEX(Arten,MATCH(P7,Codes,0))="Arbeit"),IF(ROUND((1+INDEX(Beginne,MATCH(P7,Codes,0))-INDEX(EndeRel,MATCH(O7,Codes,0)))*1440,0)&lt;660,1,0),0),0))</f>
      </c>
      <c r="Q56" s="1">
        <f>IF(OR(Q$52=0,P7="",Q7=""),0,IFERROR(IF(AND(INDEX(Arten,MATCH(P7,Codes,0))="Arbeit",INDEX(Arten,MATCH(Q7,Codes,0))="Arbeit"),IF(ROUND((1+INDEX(Beginne,MATCH(Q7,Codes,0))-INDEX(EndeRel,MATCH(P7,Codes,0)))*1440,0)&lt;660,1,0),0),0))</f>
      </c>
      <c r="R56" s="1">
        <f>IF(OR(R$52=0,Q7="",R7=""),0,IFERROR(IF(AND(INDEX(Arten,MATCH(Q7,Codes,0))="Arbeit",INDEX(Arten,MATCH(R7,Codes,0))="Arbeit"),IF(ROUND((1+INDEX(Beginne,MATCH(R7,Codes,0))-INDEX(EndeRel,MATCH(Q7,Codes,0)))*1440,0)&lt;660,1,0),0),0))</f>
      </c>
      <c r="S56" s="1">
        <f>IF(OR(S$52=0,R7="",S7=""),0,IFERROR(IF(AND(INDEX(Arten,MATCH(R7,Codes,0))="Arbeit",INDEX(Arten,MATCH(S7,Codes,0))="Arbeit"),IF(ROUND((1+INDEX(Beginne,MATCH(S7,Codes,0))-INDEX(EndeRel,MATCH(R7,Codes,0)))*1440,0)&lt;660,1,0),0),0))</f>
      </c>
      <c r="T56" s="1">
        <f>IF(OR(T$52=0,S7="",T7=""),0,IFERROR(IF(AND(INDEX(Arten,MATCH(S7,Codes,0))="Arbeit",INDEX(Arten,MATCH(T7,Codes,0))="Arbeit"),IF(ROUND((1+INDEX(Beginne,MATCH(T7,Codes,0))-INDEX(EndeRel,MATCH(S7,Codes,0)))*1440,0)&lt;660,1,0),0),0))</f>
      </c>
      <c r="U56" s="1">
        <f>IF(OR(U$52=0,T7="",U7=""),0,IFERROR(IF(AND(INDEX(Arten,MATCH(T7,Codes,0))="Arbeit",INDEX(Arten,MATCH(U7,Codes,0))="Arbeit"),IF(ROUND((1+INDEX(Beginne,MATCH(U7,Codes,0))-INDEX(EndeRel,MATCH(T7,Codes,0)))*1440,0)&lt;660,1,0),0),0))</f>
      </c>
      <c r="V56" s="1">
        <f>IF(OR(V$52=0,U7="",V7=""),0,IFERROR(IF(AND(INDEX(Arten,MATCH(U7,Codes,0))="Arbeit",INDEX(Arten,MATCH(V7,Codes,0))="Arbeit"),IF(ROUND((1+INDEX(Beginne,MATCH(V7,Codes,0))-INDEX(EndeRel,MATCH(U7,Codes,0)))*1440,0)&lt;660,1,0),0),0))</f>
      </c>
      <c r="W56" s="1">
        <f>IF(OR(W$52=0,V7="",W7=""),0,IFERROR(IF(AND(INDEX(Arten,MATCH(V7,Codes,0))="Arbeit",INDEX(Arten,MATCH(W7,Codes,0))="Arbeit"),IF(ROUND((1+INDEX(Beginne,MATCH(W7,Codes,0))-INDEX(EndeRel,MATCH(V7,Codes,0)))*1440,0)&lt;660,1,0),0),0))</f>
      </c>
      <c r="X56" s="1">
        <f>IF(OR(X$52=0,W7="",X7=""),0,IFERROR(IF(AND(INDEX(Arten,MATCH(W7,Codes,0))="Arbeit",INDEX(Arten,MATCH(X7,Codes,0))="Arbeit"),IF(ROUND((1+INDEX(Beginne,MATCH(X7,Codes,0))-INDEX(EndeRel,MATCH(W7,Codes,0)))*1440,0)&lt;660,1,0),0),0))</f>
      </c>
      <c r="Y56" s="1">
        <f>IF(OR(Y$52=0,X7="",Y7=""),0,IFERROR(IF(AND(INDEX(Arten,MATCH(X7,Codes,0))="Arbeit",INDEX(Arten,MATCH(Y7,Codes,0))="Arbeit"),IF(ROUND((1+INDEX(Beginne,MATCH(Y7,Codes,0))-INDEX(EndeRel,MATCH(X7,Codes,0)))*1440,0)&lt;660,1,0),0),0))</f>
      </c>
      <c r="Z56" s="1">
        <f>IF(OR(Z$52=0,Y7="",Z7=""),0,IFERROR(IF(AND(INDEX(Arten,MATCH(Y7,Codes,0))="Arbeit",INDEX(Arten,MATCH(Z7,Codes,0))="Arbeit"),IF(ROUND((1+INDEX(Beginne,MATCH(Z7,Codes,0))-INDEX(EndeRel,MATCH(Y7,Codes,0)))*1440,0)&lt;660,1,0),0),0))</f>
      </c>
      <c r="AA56" s="1">
        <f>IF(OR(AA$52=0,Z7="",AA7=""),0,IFERROR(IF(AND(INDEX(Arten,MATCH(Z7,Codes,0))="Arbeit",INDEX(Arten,MATCH(AA7,Codes,0))="Arbeit"),IF(ROUND((1+INDEX(Beginne,MATCH(AA7,Codes,0))-INDEX(EndeRel,MATCH(Z7,Codes,0)))*1440,0)&lt;660,1,0),0),0))</f>
      </c>
      <c r="AB56" s="1">
        <f>IF(OR(AB$52=0,AA7="",AB7=""),0,IFERROR(IF(AND(INDEX(Arten,MATCH(AA7,Codes,0))="Arbeit",INDEX(Arten,MATCH(AB7,Codes,0))="Arbeit"),IF(ROUND((1+INDEX(Beginne,MATCH(AB7,Codes,0))-INDEX(EndeRel,MATCH(AA7,Codes,0)))*1440,0)&lt;660,1,0),0),0))</f>
      </c>
      <c r="AC56" s="1">
        <f>IF(OR(AC$52=0,AB7="",AC7=""),0,IFERROR(IF(AND(INDEX(Arten,MATCH(AB7,Codes,0))="Arbeit",INDEX(Arten,MATCH(AC7,Codes,0))="Arbeit"),IF(ROUND((1+INDEX(Beginne,MATCH(AC7,Codes,0))-INDEX(EndeRel,MATCH(AB7,Codes,0)))*1440,0)&lt;660,1,0),0),0))</f>
      </c>
      <c r="AD56" s="1">
        <f>IF(OR(AD$52=0,AC7="",AD7=""),0,IFERROR(IF(AND(INDEX(Arten,MATCH(AC7,Codes,0))="Arbeit",INDEX(Arten,MATCH(AD7,Codes,0))="Arbeit"),IF(ROUND((1+INDEX(Beginne,MATCH(AD7,Codes,0))-INDEX(EndeRel,MATCH(AC7,Codes,0)))*1440,0)&lt;660,1,0),0),0))</f>
      </c>
      <c r="AE56" s="1">
        <f>IF(OR(AE$52=0,AD7="",AE7=""),0,IFERROR(IF(AND(INDEX(Arten,MATCH(AD7,Codes,0))="Arbeit",INDEX(Arten,MATCH(AE7,Codes,0))="Arbeit"),IF(ROUND((1+INDEX(Beginne,MATCH(AE7,Codes,0))-INDEX(EndeRel,MATCH(AD7,Codes,0)))*1440,0)&lt;660,1,0),0),0))</f>
      </c>
      <c r="AF56" s="1">
        <f>IF(OR(AF$52=0,AE7="",AF7=""),0,IFERROR(IF(AND(INDEX(Arten,MATCH(AE7,Codes,0))="Arbeit",INDEX(Arten,MATCH(AF7,Codes,0))="Arbeit"),IF(ROUND((1+INDEX(Beginne,MATCH(AF7,Codes,0))-INDEX(EndeRel,MATCH(AE7,Codes,0)))*1440,0)&lt;660,1,0),0),0))</f>
      </c>
    </row>
    <row r="57" hidden="1" spans="1:32" x14ac:dyDescent="0.25">
      <c r="A57" s="1"/>
      <c r="B57" s="1">
        <f>IF(OR(B$52=0,INDEX('Juli'!$B$8:$AF$8,DAY(DATE(Jahr,8,0)))="",B8=""),0,IFERROR(IF(AND(INDEX(Arten,MATCH(INDEX('Juli'!$B$8:$AF$8,DAY(DATE(Jahr,8,0))),Codes,0))="Arbeit",INDEX(Arten,MATCH(B8,Codes,0))="Arbeit"),IF(ROUND((1+INDEX(Beginne,MATCH(B8,Codes,0))-INDEX(EndeRel,MATCH(INDEX('Juli'!$B$8:$AF$8,DAY(DATE(Jahr,8,0))),Codes,0)))*1440,0)&lt;660,1,0),0),0))</f>
      </c>
      <c r="C57" s="1">
        <f>IF(OR(C$52=0,B8="",C8=""),0,IFERROR(IF(AND(INDEX(Arten,MATCH(B8,Codes,0))="Arbeit",INDEX(Arten,MATCH(C8,Codes,0))="Arbeit"),IF(ROUND((1+INDEX(Beginne,MATCH(C8,Codes,0))-INDEX(EndeRel,MATCH(B8,Codes,0)))*1440,0)&lt;660,1,0),0),0))</f>
      </c>
      <c r="D57" s="1">
        <f>IF(OR(D$52=0,C8="",D8=""),0,IFERROR(IF(AND(INDEX(Arten,MATCH(C8,Codes,0))="Arbeit",INDEX(Arten,MATCH(D8,Codes,0))="Arbeit"),IF(ROUND((1+INDEX(Beginne,MATCH(D8,Codes,0))-INDEX(EndeRel,MATCH(C8,Codes,0)))*1440,0)&lt;660,1,0),0),0))</f>
      </c>
      <c r="E57" s="1">
        <f>IF(OR(E$52=0,D8="",E8=""),0,IFERROR(IF(AND(INDEX(Arten,MATCH(D8,Codes,0))="Arbeit",INDEX(Arten,MATCH(E8,Codes,0))="Arbeit"),IF(ROUND((1+INDEX(Beginne,MATCH(E8,Codes,0))-INDEX(EndeRel,MATCH(D8,Codes,0)))*1440,0)&lt;660,1,0),0),0))</f>
      </c>
      <c r="F57" s="1">
        <f>IF(OR(F$52=0,E8="",F8=""),0,IFERROR(IF(AND(INDEX(Arten,MATCH(E8,Codes,0))="Arbeit",INDEX(Arten,MATCH(F8,Codes,0))="Arbeit"),IF(ROUND((1+INDEX(Beginne,MATCH(F8,Codes,0))-INDEX(EndeRel,MATCH(E8,Codes,0)))*1440,0)&lt;660,1,0),0),0))</f>
      </c>
      <c r="G57" s="1">
        <f>IF(OR(G$52=0,F8="",G8=""),0,IFERROR(IF(AND(INDEX(Arten,MATCH(F8,Codes,0))="Arbeit",INDEX(Arten,MATCH(G8,Codes,0))="Arbeit"),IF(ROUND((1+INDEX(Beginne,MATCH(G8,Codes,0))-INDEX(EndeRel,MATCH(F8,Codes,0)))*1440,0)&lt;660,1,0),0),0))</f>
      </c>
      <c r="H57" s="1">
        <f>IF(OR(H$52=0,G8="",H8=""),0,IFERROR(IF(AND(INDEX(Arten,MATCH(G8,Codes,0))="Arbeit",INDEX(Arten,MATCH(H8,Codes,0))="Arbeit"),IF(ROUND((1+INDEX(Beginne,MATCH(H8,Codes,0))-INDEX(EndeRel,MATCH(G8,Codes,0)))*1440,0)&lt;660,1,0),0),0))</f>
      </c>
      <c r="I57" s="1">
        <f>IF(OR(I$52=0,H8="",I8=""),0,IFERROR(IF(AND(INDEX(Arten,MATCH(H8,Codes,0))="Arbeit",INDEX(Arten,MATCH(I8,Codes,0))="Arbeit"),IF(ROUND((1+INDEX(Beginne,MATCH(I8,Codes,0))-INDEX(EndeRel,MATCH(H8,Codes,0)))*1440,0)&lt;660,1,0),0),0))</f>
      </c>
      <c r="J57" s="1">
        <f>IF(OR(J$52=0,I8="",J8=""),0,IFERROR(IF(AND(INDEX(Arten,MATCH(I8,Codes,0))="Arbeit",INDEX(Arten,MATCH(J8,Codes,0))="Arbeit"),IF(ROUND((1+INDEX(Beginne,MATCH(J8,Codes,0))-INDEX(EndeRel,MATCH(I8,Codes,0)))*1440,0)&lt;660,1,0),0),0))</f>
      </c>
      <c r="K57" s="1">
        <f>IF(OR(K$52=0,J8="",K8=""),0,IFERROR(IF(AND(INDEX(Arten,MATCH(J8,Codes,0))="Arbeit",INDEX(Arten,MATCH(K8,Codes,0))="Arbeit"),IF(ROUND((1+INDEX(Beginne,MATCH(K8,Codes,0))-INDEX(EndeRel,MATCH(J8,Codes,0)))*1440,0)&lt;660,1,0),0),0))</f>
      </c>
      <c r="L57" s="1">
        <f>IF(OR(L$52=0,K8="",L8=""),0,IFERROR(IF(AND(INDEX(Arten,MATCH(K8,Codes,0))="Arbeit",INDEX(Arten,MATCH(L8,Codes,0))="Arbeit"),IF(ROUND((1+INDEX(Beginne,MATCH(L8,Codes,0))-INDEX(EndeRel,MATCH(K8,Codes,0)))*1440,0)&lt;660,1,0),0),0))</f>
      </c>
      <c r="M57" s="1">
        <f>IF(OR(M$52=0,L8="",M8=""),0,IFERROR(IF(AND(INDEX(Arten,MATCH(L8,Codes,0))="Arbeit",INDEX(Arten,MATCH(M8,Codes,0))="Arbeit"),IF(ROUND((1+INDEX(Beginne,MATCH(M8,Codes,0))-INDEX(EndeRel,MATCH(L8,Codes,0)))*1440,0)&lt;660,1,0),0),0))</f>
      </c>
      <c r="N57" s="1">
        <f>IF(OR(N$52=0,M8="",N8=""),0,IFERROR(IF(AND(INDEX(Arten,MATCH(M8,Codes,0))="Arbeit",INDEX(Arten,MATCH(N8,Codes,0))="Arbeit"),IF(ROUND((1+INDEX(Beginne,MATCH(N8,Codes,0))-INDEX(EndeRel,MATCH(M8,Codes,0)))*1440,0)&lt;660,1,0),0),0))</f>
      </c>
      <c r="O57" s="1">
        <f>IF(OR(O$52=0,N8="",O8=""),0,IFERROR(IF(AND(INDEX(Arten,MATCH(N8,Codes,0))="Arbeit",INDEX(Arten,MATCH(O8,Codes,0))="Arbeit"),IF(ROUND((1+INDEX(Beginne,MATCH(O8,Codes,0))-INDEX(EndeRel,MATCH(N8,Codes,0)))*1440,0)&lt;660,1,0),0),0))</f>
      </c>
      <c r="P57" s="1">
        <f>IF(OR(P$52=0,O8="",P8=""),0,IFERROR(IF(AND(INDEX(Arten,MATCH(O8,Codes,0))="Arbeit",INDEX(Arten,MATCH(P8,Codes,0))="Arbeit"),IF(ROUND((1+INDEX(Beginne,MATCH(P8,Codes,0))-INDEX(EndeRel,MATCH(O8,Codes,0)))*1440,0)&lt;660,1,0),0),0))</f>
      </c>
      <c r="Q57" s="1">
        <f>IF(OR(Q$52=0,P8="",Q8=""),0,IFERROR(IF(AND(INDEX(Arten,MATCH(P8,Codes,0))="Arbeit",INDEX(Arten,MATCH(Q8,Codes,0))="Arbeit"),IF(ROUND((1+INDEX(Beginne,MATCH(Q8,Codes,0))-INDEX(EndeRel,MATCH(P8,Codes,0)))*1440,0)&lt;660,1,0),0),0))</f>
      </c>
      <c r="R57" s="1">
        <f>IF(OR(R$52=0,Q8="",R8=""),0,IFERROR(IF(AND(INDEX(Arten,MATCH(Q8,Codes,0))="Arbeit",INDEX(Arten,MATCH(R8,Codes,0))="Arbeit"),IF(ROUND((1+INDEX(Beginne,MATCH(R8,Codes,0))-INDEX(EndeRel,MATCH(Q8,Codes,0)))*1440,0)&lt;660,1,0),0),0))</f>
      </c>
      <c r="S57" s="1">
        <f>IF(OR(S$52=0,R8="",S8=""),0,IFERROR(IF(AND(INDEX(Arten,MATCH(R8,Codes,0))="Arbeit",INDEX(Arten,MATCH(S8,Codes,0))="Arbeit"),IF(ROUND((1+INDEX(Beginne,MATCH(S8,Codes,0))-INDEX(EndeRel,MATCH(R8,Codes,0)))*1440,0)&lt;660,1,0),0),0))</f>
      </c>
      <c r="T57" s="1">
        <f>IF(OR(T$52=0,S8="",T8=""),0,IFERROR(IF(AND(INDEX(Arten,MATCH(S8,Codes,0))="Arbeit",INDEX(Arten,MATCH(T8,Codes,0))="Arbeit"),IF(ROUND((1+INDEX(Beginne,MATCH(T8,Codes,0))-INDEX(EndeRel,MATCH(S8,Codes,0)))*1440,0)&lt;660,1,0),0),0))</f>
      </c>
      <c r="U57" s="1">
        <f>IF(OR(U$52=0,T8="",U8=""),0,IFERROR(IF(AND(INDEX(Arten,MATCH(T8,Codes,0))="Arbeit",INDEX(Arten,MATCH(U8,Codes,0))="Arbeit"),IF(ROUND((1+INDEX(Beginne,MATCH(U8,Codes,0))-INDEX(EndeRel,MATCH(T8,Codes,0)))*1440,0)&lt;660,1,0),0),0))</f>
      </c>
      <c r="V57" s="1">
        <f>IF(OR(V$52=0,U8="",V8=""),0,IFERROR(IF(AND(INDEX(Arten,MATCH(U8,Codes,0))="Arbeit",INDEX(Arten,MATCH(V8,Codes,0))="Arbeit"),IF(ROUND((1+INDEX(Beginne,MATCH(V8,Codes,0))-INDEX(EndeRel,MATCH(U8,Codes,0)))*1440,0)&lt;660,1,0),0),0))</f>
      </c>
      <c r="W57" s="1">
        <f>IF(OR(W$52=0,V8="",W8=""),0,IFERROR(IF(AND(INDEX(Arten,MATCH(V8,Codes,0))="Arbeit",INDEX(Arten,MATCH(W8,Codes,0))="Arbeit"),IF(ROUND((1+INDEX(Beginne,MATCH(W8,Codes,0))-INDEX(EndeRel,MATCH(V8,Codes,0)))*1440,0)&lt;660,1,0),0),0))</f>
      </c>
      <c r="X57" s="1">
        <f>IF(OR(X$52=0,W8="",X8=""),0,IFERROR(IF(AND(INDEX(Arten,MATCH(W8,Codes,0))="Arbeit",INDEX(Arten,MATCH(X8,Codes,0))="Arbeit"),IF(ROUND((1+INDEX(Beginne,MATCH(X8,Codes,0))-INDEX(EndeRel,MATCH(W8,Codes,0)))*1440,0)&lt;660,1,0),0),0))</f>
      </c>
      <c r="Y57" s="1">
        <f>IF(OR(Y$52=0,X8="",Y8=""),0,IFERROR(IF(AND(INDEX(Arten,MATCH(X8,Codes,0))="Arbeit",INDEX(Arten,MATCH(Y8,Codes,0))="Arbeit"),IF(ROUND((1+INDEX(Beginne,MATCH(Y8,Codes,0))-INDEX(EndeRel,MATCH(X8,Codes,0)))*1440,0)&lt;660,1,0),0),0))</f>
      </c>
      <c r="Z57" s="1">
        <f>IF(OR(Z$52=0,Y8="",Z8=""),0,IFERROR(IF(AND(INDEX(Arten,MATCH(Y8,Codes,0))="Arbeit",INDEX(Arten,MATCH(Z8,Codes,0))="Arbeit"),IF(ROUND((1+INDEX(Beginne,MATCH(Z8,Codes,0))-INDEX(EndeRel,MATCH(Y8,Codes,0)))*1440,0)&lt;660,1,0),0),0))</f>
      </c>
      <c r="AA57" s="1">
        <f>IF(OR(AA$52=0,Z8="",AA8=""),0,IFERROR(IF(AND(INDEX(Arten,MATCH(Z8,Codes,0))="Arbeit",INDEX(Arten,MATCH(AA8,Codes,0))="Arbeit"),IF(ROUND((1+INDEX(Beginne,MATCH(AA8,Codes,0))-INDEX(EndeRel,MATCH(Z8,Codes,0)))*1440,0)&lt;660,1,0),0),0))</f>
      </c>
      <c r="AB57" s="1">
        <f>IF(OR(AB$52=0,AA8="",AB8=""),0,IFERROR(IF(AND(INDEX(Arten,MATCH(AA8,Codes,0))="Arbeit",INDEX(Arten,MATCH(AB8,Codes,0))="Arbeit"),IF(ROUND((1+INDEX(Beginne,MATCH(AB8,Codes,0))-INDEX(EndeRel,MATCH(AA8,Codes,0)))*1440,0)&lt;660,1,0),0),0))</f>
      </c>
      <c r="AC57" s="1">
        <f>IF(OR(AC$52=0,AB8="",AC8=""),0,IFERROR(IF(AND(INDEX(Arten,MATCH(AB8,Codes,0))="Arbeit",INDEX(Arten,MATCH(AC8,Codes,0))="Arbeit"),IF(ROUND((1+INDEX(Beginne,MATCH(AC8,Codes,0))-INDEX(EndeRel,MATCH(AB8,Codes,0)))*1440,0)&lt;660,1,0),0),0))</f>
      </c>
      <c r="AD57" s="1">
        <f>IF(OR(AD$52=0,AC8="",AD8=""),0,IFERROR(IF(AND(INDEX(Arten,MATCH(AC8,Codes,0))="Arbeit",INDEX(Arten,MATCH(AD8,Codes,0))="Arbeit"),IF(ROUND((1+INDEX(Beginne,MATCH(AD8,Codes,0))-INDEX(EndeRel,MATCH(AC8,Codes,0)))*1440,0)&lt;660,1,0),0),0))</f>
      </c>
      <c r="AE57" s="1">
        <f>IF(OR(AE$52=0,AD8="",AE8=""),0,IFERROR(IF(AND(INDEX(Arten,MATCH(AD8,Codes,0))="Arbeit",INDEX(Arten,MATCH(AE8,Codes,0))="Arbeit"),IF(ROUND((1+INDEX(Beginne,MATCH(AE8,Codes,0))-INDEX(EndeRel,MATCH(AD8,Codes,0)))*1440,0)&lt;660,1,0),0),0))</f>
      </c>
      <c r="AF57" s="1">
        <f>IF(OR(AF$52=0,AE8="",AF8=""),0,IFERROR(IF(AND(INDEX(Arten,MATCH(AE8,Codes,0))="Arbeit",INDEX(Arten,MATCH(AF8,Codes,0))="Arbeit"),IF(ROUND((1+INDEX(Beginne,MATCH(AF8,Codes,0))-INDEX(EndeRel,MATCH(AE8,Codes,0)))*1440,0)&lt;660,1,0),0),0))</f>
      </c>
    </row>
    <row r="58" hidden="1" spans="1:32" x14ac:dyDescent="0.25">
      <c r="A58" s="1"/>
      <c r="B58" s="1">
        <f>IF(OR(B$52=0,INDEX('Juli'!$B$9:$AF$9,DAY(DATE(Jahr,8,0)))="",B9=""),0,IFERROR(IF(AND(INDEX(Arten,MATCH(INDEX('Juli'!$B$9:$AF$9,DAY(DATE(Jahr,8,0))),Codes,0))="Arbeit",INDEX(Arten,MATCH(B9,Codes,0))="Arbeit"),IF(ROUND((1+INDEX(Beginne,MATCH(B9,Codes,0))-INDEX(EndeRel,MATCH(INDEX('Juli'!$B$9:$AF$9,DAY(DATE(Jahr,8,0))),Codes,0)))*1440,0)&lt;660,1,0),0),0))</f>
      </c>
      <c r="C58" s="1">
        <f>IF(OR(C$52=0,B9="",C9=""),0,IFERROR(IF(AND(INDEX(Arten,MATCH(B9,Codes,0))="Arbeit",INDEX(Arten,MATCH(C9,Codes,0))="Arbeit"),IF(ROUND((1+INDEX(Beginne,MATCH(C9,Codes,0))-INDEX(EndeRel,MATCH(B9,Codes,0)))*1440,0)&lt;660,1,0),0),0))</f>
      </c>
      <c r="D58" s="1">
        <f>IF(OR(D$52=0,C9="",D9=""),0,IFERROR(IF(AND(INDEX(Arten,MATCH(C9,Codes,0))="Arbeit",INDEX(Arten,MATCH(D9,Codes,0))="Arbeit"),IF(ROUND((1+INDEX(Beginne,MATCH(D9,Codes,0))-INDEX(EndeRel,MATCH(C9,Codes,0)))*1440,0)&lt;660,1,0),0),0))</f>
      </c>
      <c r="E58" s="1">
        <f>IF(OR(E$52=0,D9="",E9=""),0,IFERROR(IF(AND(INDEX(Arten,MATCH(D9,Codes,0))="Arbeit",INDEX(Arten,MATCH(E9,Codes,0))="Arbeit"),IF(ROUND((1+INDEX(Beginne,MATCH(E9,Codes,0))-INDEX(EndeRel,MATCH(D9,Codes,0)))*1440,0)&lt;660,1,0),0),0))</f>
      </c>
      <c r="F58" s="1">
        <f>IF(OR(F$52=0,E9="",F9=""),0,IFERROR(IF(AND(INDEX(Arten,MATCH(E9,Codes,0))="Arbeit",INDEX(Arten,MATCH(F9,Codes,0))="Arbeit"),IF(ROUND((1+INDEX(Beginne,MATCH(F9,Codes,0))-INDEX(EndeRel,MATCH(E9,Codes,0)))*1440,0)&lt;660,1,0),0),0))</f>
      </c>
      <c r="G58" s="1">
        <f>IF(OR(G$52=0,F9="",G9=""),0,IFERROR(IF(AND(INDEX(Arten,MATCH(F9,Codes,0))="Arbeit",INDEX(Arten,MATCH(G9,Codes,0))="Arbeit"),IF(ROUND((1+INDEX(Beginne,MATCH(G9,Codes,0))-INDEX(EndeRel,MATCH(F9,Codes,0)))*1440,0)&lt;660,1,0),0),0))</f>
      </c>
      <c r="H58" s="1">
        <f>IF(OR(H$52=0,G9="",H9=""),0,IFERROR(IF(AND(INDEX(Arten,MATCH(G9,Codes,0))="Arbeit",INDEX(Arten,MATCH(H9,Codes,0))="Arbeit"),IF(ROUND((1+INDEX(Beginne,MATCH(H9,Codes,0))-INDEX(EndeRel,MATCH(G9,Codes,0)))*1440,0)&lt;660,1,0),0),0))</f>
      </c>
      <c r="I58" s="1">
        <f>IF(OR(I$52=0,H9="",I9=""),0,IFERROR(IF(AND(INDEX(Arten,MATCH(H9,Codes,0))="Arbeit",INDEX(Arten,MATCH(I9,Codes,0))="Arbeit"),IF(ROUND((1+INDEX(Beginne,MATCH(I9,Codes,0))-INDEX(EndeRel,MATCH(H9,Codes,0)))*1440,0)&lt;660,1,0),0),0))</f>
      </c>
      <c r="J58" s="1">
        <f>IF(OR(J$52=0,I9="",J9=""),0,IFERROR(IF(AND(INDEX(Arten,MATCH(I9,Codes,0))="Arbeit",INDEX(Arten,MATCH(J9,Codes,0))="Arbeit"),IF(ROUND((1+INDEX(Beginne,MATCH(J9,Codes,0))-INDEX(EndeRel,MATCH(I9,Codes,0)))*1440,0)&lt;660,1,0),0),0))</f>
      </c>
      <c r="K58" s="1">
        <f>IF(OR(K$52=0,J9="",K9=""),0,IFERROR(IF(AND(INDEX(Arten,MATCH(J9,Codes,0))="Arbeit",INDEX(Arten,MATCH(K9,Codes,0))="Arbeit"),IF(ROUND((1+INDEX(Beginne,MATCH(K9,Codes,0))-INDEX(EndeRel,MATCH(J9,Codes,0)))*1440,0)&lt;660,1,0),0),0))</f>
      </c>
      <c r="L58" s="1">
        <f>IF(OR(L$52=0,K9="",L9=""),0,IFERROR(IF(AND(INDEX(Arten,MATCH(K9,Codes,0))="Arbeit",INDEX(Arten,MATCH(L9,Codes,0))="Arbeit"),IF(ROUND((1+INDEX(Beginne,MATCH(L9,Codes,0))-INDEX(EndeRel,MATCH(K9,Codes,0)))*1440,0)&lt;660,1,0),0),0))</f>
      </c>
      <c r="M58" s="1">
        <f>IF(OR(M$52=0,L9="",M9=""),0,IFERROR(IF(AND(INDEX(Arten,MATCH(L9,Codes,0))="Arbeit",INDEX(Arten,MATCH(M9,Codes,0))="Arbeit"),IF(ROUND((1+INDEX(Beginne,MATCH(M9,Codes,0))-INDEX(EndeRel,MATCH(L9,Codes,0)))*1440,0)&lt;660,1,0),0),0))</f>
      </c>
      <c r="N58" s="1">
        <f>IF(OR(N$52=0,M9="",N9=""),0,IFERROR(IF(AND(INDEX(Arten,MATCH(M9,Codes,0))="Arbeit",INDEX(Arten,MATCH(N9,Codes,0))="Arbeit"),IF(ROUND((1+INDEX(Beginne,MATCH(N9,Codes,0))-INDEX(EndeRel,MATCH(M9,Codes,0)))*1440,0)&lt;660,1,0),0),0))</f>
      </c>
      <c r="O58" s="1">
        <f>IF(OR(O$52=0,N9="",O9=""),0,IFERROR(IF(AND(INDEX(Arten,MATCH(N9,Codes,0))="Arbeit",INDEX(Arten,MATCH(O9,Codes,0))="Arbeit"),IF(ROUND((1+INDEX(Beginne,MATCH(O9,Codes,0))-INDEX(EndeRel,MATCH(N9,Codes,0)))*1440,0)&lt;660,1,0),0),0))</f>
      </c>
      <c r="P58" s="1">
        <f>IF(OR(P$52=0,O9="",P9=""),0,IFERROR(IF(AND(INDEX(Arten,MATCH(O9,Codes,0))="Arbeit",INDEX(Arten,MATCH(P9,Codes,0))="Arbeit"),IF(ROUND((1+INDEX(Beginne,MATCH(P9,Codes,0))-INDEX(EndeRel,MATCH(O9,Codes,0)))*1440,0)&lt;660,1,0),0),0))</f>
      </c>
      <c r="Q58" s="1">
        <f>IF(OR(Q$52=0,P9="",Q9=""),0,IFERROR(IF(AND(INDEX(Arten,MATCH(P9,Codes,0))="Arbeit",INDEX(Arten,MATCH(Q9,Codes,0))="Arbeit"),IF(ROUND((1+INDEX(Beginne,MATCH(Q9,Codes,0))-INDEX(EndeRel,MATCH(P9,Codes,0)))*1440,0)&lt;660,1,0),0),0))</f>
      </c>
      <c r="R58" s="1">
        <f>IF(OR(R$52=0,Q9="",R9=""),0,IFERROR(IF(AND(INDEX(Arten,MATCH(Q9,Codes,0))="Arbeit",INDEX(Arten,MATCH(R9,Codes,0))="Arbeit"),IF(ROUND((1+INDEX(Beginne,MATCH(R9,Codes,0))-INDEX(EndeRel,MATCH(Q9,Codes,0)))*1440,0)&lt;660,1,0),0),0))</f>
      </c>
      <c r="S58" s="1">
        <f>IF(OR(S$52=0,R9="",S9=""),0,IFERROR(IF(AND(INDEX(Arten,MATCH(R9,Codes,0))="Arbeit",INDEX(Arten,MATCH(S9,Codes,0))="Arbeit"),IF(ROUND((1+INDEX(Beginne,MATCH(S9,Codes,0))-INDEX(EndeRel,MATCH(R9,Codes,0)))*1440,0)&lt;660,1,0),0),0))</f>
      </c>
      <c r="T58" s="1">
        <f>IF(OR(T$52=0,S9="",T9=""),0,IFERROR(IF(AND(INDEX(Arten,MATCH(S9,Codes,0))="Arbeit",INDEX(Arten,MATCH(T9,Codes,0))="Arbeit"),IF(ROUND((1+INDEX(Beginne,MATCH(T9,Codes,0))-INDEX(EndeRel,MATCH(S9,Codes,0)))*1440,0)&lt;660,1,0),0),0))</f>
      </c>
      <c r="U58" s="1">
        <f>IF(OR(U$52=0,T9="",U9=""),0,IFERROR(IF(AND(INDEX(Arten,MATCH(T9,Codes,0))="Arbeit",INDEX(Arten,MATCH(U9,Codes,0))="Arbeit"),IF(ROUND((1+INDEX(Beginne,MATCH(U9,Codes,0))-INDEX(EndeRel,MATCH(T9,Codes,0)))*1440,0)&lt;660,1,0),0),0))</f>
      </c>
      <c r="V58" s="1">
        <f>IF(OR(V$52=0,U9="",V9=""),0,IFERROR(IF(AND(INDEX(Arten,MATCH(U9,Codes,0))="Arbeit",INDEX(Arten,MATCH(V9,Codes,0))="Arbeit"),IF(ROUND((1+INDEX(Beginne,MATCH(V9,Codes,0))-INDEX(EndeRel,MATCH(U9,Codes,0)))*1440,0)&lt;660,1,0),0),0))</f>
      </c>
      <c r="W58" s="1">
        <f>IF(OR(W$52=0,V9="",W9=""),0,IFERROR(IF(AND(INDEX(Arten,MATCH(V9,Codes,0))="Arbeit",INDEX(Arten,MATCH(W9,Codes,0))="Arbeit"),IF(ROUND((1+INDEX(Beginne,MATCH(W9,Codes,0))-INDEX(EndeRel,MATCH(V9,Codes,0)))*1440,0)&lt;660,1,0),0),0))</f>
      </c>
      <c r="X58" s="1">
        <f>IF(OR(X$52=0,W9="",X9=""),0,IFERROR(IF(AND(INDEX(Arten,MATCH(W9,Codes,0))="Arbeit",INDEX(Arten,MATCH(X9,Codes,0))="Arbeit"),IF(ROUND((1+INDEX(Beginne,MATCH(X9,Codes,0))-INDEX(EndeRel,MATCH(W9,Codes,0)))*1440,0)&lt;660,1,0),0),0))</f>
      </c>
      <c r="Y58" s="1">
        <f>IF(OR(Y$52=0,X9="",Y9=""),0,IFERROR(IF(AND(INDEX(Arten,MATCH(X9,Codes,0))="Arbeit",INDEX(Arten,MATCH(Y9,Codes,0))="Arbeit"),IF(ROUND((1+INDEX(Beginne,MATCH(Y9,Codes,0))-INDEX(EndeRel,MATCH(X9,Codes,0)))*1440,0)&lt;660,1,0),0),0))</f>
      </c>
      <c r="Z58" s="1">
        <f>IF(OR(Z$52=0,Y9="",Z9=""),0,IFERROR(IF(AND(INDEX(Arten,MATCH(Y9,Codes,0))="Arbeit",INDEX(Arten,MATCH(Z9,Codes,0))="Arbeit"),IF(ROUND((1+INDEX(Beginne,MATCH(Z9,Codes,0))-INDEX(EndeRel,MATCH(Y9,Codes,0)))*1440,0)&lt;660,1,0),0),0))</f>
      </c>
      <c r="AA58" s="1">
        <f>IF(OR(AA$52=0,Z9="",AA9=""),0,IFERROR(IF(AND(INDEX(Arten,MATCH(Z9,Codes,0))="Arbeit",INDEX(Arten,MATCH(AA9,Codes,0))="Arbeit"),IF(ROUND((1+INDEX(Beginne,MATCH(AA9,Codes,0))-INDEX(EndeRel,MATCH(Z9,Codes,0)))*1440,0)&lt;660,1,0),0),0))</f>
      </c>
      <c r="AB58" s="1">
        <f>IF(OR(AB$52=0,AA9="",AB9=""),0,IFERROR(IF(AND(INDEX(Arten,MATCH(AA9,Codes,0))="Arbeit",INDEX(Arten,MATCH(AB9,Codes,0))="Arbeit"),IF(ROUND((1+INDEX(Beginne,MATCH(AB9,Codes,0))-INDEX(EndeRel,MATCH(AA9,Codes,0)))*1440,0)&lt;660,1,0),0),0))</f>
      </c>
      <c r="AC58" s="1">
        <f>IF(OR(AC$52=0,AB9="",AC9=""),0,IFERROR(IF(AND(INDEX(Arten,MATCH(AB9,Codes,0))="Arbeit",INDEX(Arten,MATCH(AC9,Codes,0))="Arbeit"),IF(ROUND((1+INDEX(Beginne,MATCH(AC9,Codes,0))-INDEX(EndeRel,MATCH(AB9,Codes,0)))*1440,0)&lt;660,1,0),0),0))</f>
      </c>
      <c r="AD58" s="1">
        <f>IF(OR(AD$52=0,AC9="",AD9=""),0,IFERROR(IF(AND(INDEX(Arten,MATCH(AC9,Codes,0))="Arbeit",INDEX(Arten,MATCH(AD9,Codes,0))="Arbeit"),IF(ROUND((1+INDEX(Beginne,MATCH(AD9,Codes,0))-INDEX(EndeRel,MATCH(AC9,Codes,0)))*1440,0)&lt;660,1,0),0),0))</f>
      </c>
      <c r="AE58" s="1">
        <f>IF(OR(AE$52=0,AD9="",AE9=""),0,IFERROR(IF(AND(INDEX(Arten,MATCH(AD9,Codes,0))="Arbeit",INDEX(Arten,MATCH(AE9,Codes,0))="Arbeit"),IF(ROUND((1+INDEX(Beginne,MATCH(AE9,Codes,0))-INDEX(EndeRel,MATCH(AD9,Codes,0)))*1440,0)&lt;660,1,0),0),0))</f>
      </c>
      <c r="AF58" s="1">
        <f>IF(OR(AF$52=0,AE9="",AF9=""),0,IFERROR(IF(AND(INDEX(Arten,MATCH(AE9,Codes,0))="Arbeit",INDEX(Arten,MATCH(AF9,Codes,0))="Arbeit"),IF(ROUND((1+INDEX(Beginne,MATCH(AF9,Codes,0))-INDEX(EndeRel,MATCH(AE9,Codes,0)))*1440,0)&lt;660,1,0),0),0))</f>
      </c>
    </row>
    <row r="59" hidden="1" spans="1:32" x14ac:dyDescent="0.25">
      <c r="A59" s="1"/>
      <c r="B59" s="1">
        <f>IF(OR(B$52=0,INDEX('Juli'!$B$10:$AF$10,DAY(DATE(Jahr,8,0)))="",B10=""),0,IFERROR(IF(AND(INDEX(Arten,MATCH(INDEX('Juli'!$B$10:$AF$10,DAY(DATE(Jahr,8,0))),Codes,0))="Arbeit",INDEX(Arten,MATCH(B10,Codes,0))="Arbeit"),IF(ROUND((1+INDEX(Beginne,MATCH(B10,Codes,0))-INDEX(EndeRel,MATCH(INDEX('Juli'!$B$10:$AF$10,DAY(DATE(Jahr,8,0))),Codes,0)))*1440,0)&lt;660,1,0),0),0))</f>
      </c>
      <c r="C59" s="1">
        <f>IF(OR(C$52=0,B10="",C10=""),0,IFERROR(IF(AND(INDEX(Arten,MATCH(B10,Codes,0))="Arbeit",INDEX(Arten,MATCH(C10,Codes,0))="Arbeit"),IF(ROUND((1+INDEX(Beginne,MATCH(C10,Codes,0))-INDEX(EndeRel,MATCH(B10,Codes,0)))*1440,0)&lt;660,1,0),0),0))</f>
      </c>
      <c r="D59" s="1">
        <f>IF(OR(D$52=0,C10="",D10=""),0,IFERROR(IF(AND(INDEX(Arten,MATCH(C10,Codes,0))="Arbeit",INDEX(Arten,MATCH(D10,Codes,0))="Arbeit"),IF(ROUND((1+INDEX(Beginne,MATCH(D10,Codes,0))-INDEX(EndeRel,MATCH(C10,Codes,0)))*1440,0)&lt;660,1,0),0),0))</f>
      </c>
      <c r="E59" s="1">
        <f>IF(OR(E$52=0,D10="",E10=""),0,IFERROR(IF(AND(INDEX(Arten,MATCH(D10,Codes,0))="Arbeit",INDEX(Arten,MATCH(E10,Codes,0))="Arbeit"),IF(ROUND((1+INDEX(Beginne,MATCH(E10,Codes,0))-INDEX(EndeRel,MATCH(D10,Codes,0)))*1440,0)&lt;660,1,0),0),0))</f>
      </c>
      <c r="F59" s="1">
        <f>IF(OR(F$52=0,E10="",F10=""),0,IFERROR(IF(AND(INDEX(Arten,MATCH(E10,Codes,0))="Arbeit",INDEX(Arten,MATCH(F10,Codes,0))="Arbeit"),IF(ROUND((1+INDEX(Beginne,MATCH(F10,Codes,0))-INDEX(EndeRel,MATCH(E10,Codes,0)))*1440,0)&lt;660,1,0),0),0))</f>
      </c>
      <c r="G59" s="1">
        <f>IF(OR(G$52=0,F10="",G10=""),0,IFERROR(IF(AND(INDEX(Arten,MATCH(F10,Codes,0))="Arbeit",INDEX(Arten,MATCH(G10,Codes,0))="Arbeit"),IF(ROUND((1+INDEX(Beginne,MATCH(G10,Codes,0))-INDEX(EndeRel,MATCH(F10,Codes,0)))*1440,0)&lt;660,1,0),0),0))</f>
      </c>
      <c r="H59" s="1">
        <f>IF(OR(H$52=0,G10="",H10=""),0,IFERROR(IF(AND(INDEX(Arten,MATCH(G10,Codes,0))="Arbeit",INDEX(Arten,MATCH(H10,Codes,0))="Arbeit"),IF(ROUND((1+INDEX(Beginne,MATCH(H10,Codes,0))-INDEX(EndeRel,MATCH(G10,Codes,0)))*1440,0)&lt;660,1,0),0),0))</f>
      </c>
      <c r="I59" s="1">
        <f>IF(OR(I$52=0,H10="",I10=""),0,IFERROR(IF(AND(INDEX(Arten,MATCH(H10,Codes,0))="Arbeit",INDEX(Arten,MATCH(I10,Codes,0))="Arbeit"),IF(ROUND((1+INDEX(Beginne,MATCH(I10,Codes,0))-INDEX(EndeRel,MATCH(H10,Codes,0)))*1440,0)&lt;660,1,0),0),0))</f>
      </c>
      <c r="J59" s="1">
        <f>IF(OR(J$52=0,I10="",J10=""),0,IFERROR(IF(AND(INDEX(Arten,MATCH(I10,Codes,0))="Arbeit",INDEX(Arten,MATCH(J10,Codes,0))="Arbeit"),IF(ROUND((1+INDEX(Beginne,MATCH(J10,Codes,0))-INDEX(EndeRel,MATCH(I10,Codes,0)))*1440,0)&lt;660,1,0),0),0))</f>
      </c>
      <c r="K59" s="1">
        <f>IF(OR(K$52=0,J10="",K10=""),0,IFERROR(IF(AND(INDEX(Arten,MATCH(J10,Codes,0))="Arbeit",INDEX(Arten,MATCH(K10,Codes,0))="Arbeit"),IF(ROUND((1+INDEX(Beginne,MATCH(K10,Codes,0))-INDEX(EndeRel,MATCH(J10,Codes,0)))*1440,0)&lt;660,1,0),0),0))</f>
      </c>
      <c r="L59" s="1">
        <f>IF(OR(L$52=0,K10="",L10=""),0,IFERROR(IF(AND(INDEX(Arten,MATCH(K10,Codes,0))="Arbeit",INDEX(Arten,MATCH(L10,Codes,0))="Arbeit"),IF(ROUND((1+INDEX(Beginne,MATCH(L10,Codes,0))-INDEX(EndeRel,MATCH(K10,Codes,0)))*1440,0)&lt;660,1,0),0),0))</f>
      </c>
      <c r="M59" s="1">
        <f>IF(OR(M$52=0,L10="",M10=""),0,IFERROR(IF(AND(INDEX(Arten,MATCH(L10,Codes,0))="Arbeit",INDEX(Arten,MATCH(M10,Codes,0))="Arbeit"),IF(ROUND((1+INDEX(Beginne,MATCH(M10,Codes,0))-INDEX(EndeRel,MATCH(L10,Codes,0)))*1440,0)&lt;660,1,0),0),0))</f>
      </c>
      <c r="N59" s="1">
        <f>IF(OR(N$52=0,M10="",N10=""),0,IFERROR(IF(AND(INDEX(Arten,MATCH(M10,Codes,0))="Arbeit",INDEX(Arten,MATCH(N10,Codes,0))="Arbeit"),IF(ROUND((1+INDEX(Beginne,MATCH(N10,Codes,0))-INDEX(EndeRel,MATCH(M10,Codes,0)))*1440,0)&lt;660,1,0),0),0))</f>
      </c>
      <c r="O59" s="1">
        <f>IF(OR(O$52=0,N10="",O10=""),0,IFERROR(IF(AND(INDEX(Arten,MATCH(N10,Codes,0))="Arbeit",INDEX(Arten,MATCH(O10,Codes,0))="Arbeit"),IF(ROUND((1+INDEX(Beginne,MATCH(O10,Codes,0))-INDEX(EndeRel,MATCH(N10,Codes,0)))*1440,0)&lt;660,1,0),0),0))</f>
      </c>
      <c r="P59" s="1">
        <f>IF(OR(P$52=0,O10="",P10=""),0,IFERROR(IF(AND(INDEX(Arten,MATCH(O10,Codes,0))="Arbeit",INDEX(Arten,MATCH(P10,Codes,0))="Arbeit"),IF(ROUND((1+INDEX(Beginne,MATCH(P10,Codes,0))-INDEX(EndeRel,MATCH(O10,Codes,0)))*1440,0)&lt;660,1,0),0),0))</f>
      </c>
      <c r="Q59" s="1">
        <f>IF(OR(Q$52=0,P10="",Q10=""),0,IFERROR(IF(AND(INDEX(Arten,MATCH(P10,Codes,0))="Arbeit",INDEX(Arten,MATCH(Q10,Codes,0))="Arbeit"),IF(ROUND((1+INDEX(Beginne,MATCH(Q10,Codes,0))-INDEX(EndeRel,MATCH(P10,Codes,0)))*1440,0)&lt;660,1,0),0),0))</f>
      </c>
      <c r="R59" s="1">
        <f>IF(OR(R$52=0,Q10="",R10=""),0,IFERROR(IF(AND(INDEX(Arten,MATCH(Q10,Codes,0))="Arbeit",INDEX(Arten,MATCH(R10,Codes,0))="Arbeit"),IF(ROUND((1+INDEX(Beginne,MATCH(R10,Codes,0))-INDEX(EndeRel,MATCH(Q10,Codes,0)))*1440,0)&lt;660,1,0),0),0))</f>
      </c>
      <c r="S59" s="1">
        <f>IF(OR(S$52=0,R10="",S10=""),0,IFERROR(IF(AND(INDEX(Arten,MATCH(R10,Codes,0))="Arbeit",INDEX(Arten,MATCH(S10,Codes,0))="Arbeit"),IF(ROUND((1+INDEX(Beginne,MATCH(S10,Codes,0))-INDEX(EndeRel,MATCH(R10,Codes,0)))*1440,0)&lt;660,1,0),0),0))</f>
      </c>
      <c r="T59" s="1">
        <f>IF(OR(T$52=0,S10="",T10=""),0,IFERROR(IF(AND(INDEX(Arten,MATCH(S10,Codes,0))="Arbeit",INDEX(Arten,MATCH(T10,Codes,0))="Arbeit"),IF(ROUND((1+INDEX(Beginne,MATCH(T10,Codes,0))-INDEX(EndeRel,MATCH(S10,Codes,0)))*1440,0)&lt;660,1,0),0),0))</f>
      </c>
      <c r="U59" s="1">
        <f>IF(OR(U$52=0,T10="",U10=""),0,IFERROR(IF(AND(INDEX(Arten,MATCH(T10,Codes,0))="Arbeit",INDEX(Arten,MATCH(U10,Codes,0))="Arbeit"),IF(ROUND((1+INDEX(Beginne,MATCH(U10,Codes,0))-INDEX(EndeRel,MATCH(T10,Codes,0)))*1440,0)&lt;660,1,0),0),0))</f>
      </c>
      <c r="V59" s="1">
        <f>IF(OR(V$52=0,U10="",V10=""),0,IFERROR(IF(AND(INDEX(Arten,MATCH(U10,Codes,0))="Arbeit",INDEX(Arten,MATCH(V10,Codes,0))="Arbeit"),IF(ROUND((1+INDEX(Beginne,MATCH(V10,Codes,0))-INDEX(EndeRel,MATCH(U10,Codes,0)))*1440,0)&lt;660,1,0),0),0))</f>
      </c>
      <c r="W59" s="1">
        <f>IF(OR(W$52=0,V10="",W10=""),0,IFERROR(IF(AND(INDEX(Arten,MATCH(V10,Codes,0))="Arbeit",INDEX(Arten,MATCH(W10,Codes,0))="Arbeit"),IF(ROUND((1+INDEX(Beginne,MATCH(W10,Codes,0))-INDEX(EndeRel,MATCH(V10,Codes,0)))*1440,0)&lt;660,1,0),0),0))</f>
      </c>
      <c r="X59" s="1">
        <f>IF(OR(X$52=0,W10="",X10=""),0,IFERROR(IF(AND(INDEX(Arten,MATCH(W10,Codes,0))="Arbeit",INDEX(Arten,MATCH(X10,Codes,0))="Arbeit"),IF(ROUND((1+INDEX(Beginne,MATCH(X10,Codes,0))-INDEX(EndeRel,MATCH(W10,Codes,0)))*1440,0)&lt;660,1,0),0),0))</f>
      </c>
      <c r="Y59" s="1">
        <f>IF(OR(Y$52=0,X10="",Y10=""),0,IFERROR(IF(AND(INDEX(Arten,MATCH(X10,Codes,0))="Arbeit",INDEX(Arten,MATCH(Y10,Codes,0))="Arbeit"),IF(ROUND((1+INDEX(Beginne,MATCH(Y10,Codes,0))-INDEX(EndeRel,MATCH(X10,Codes,0)))*1440,0)&lt;660,1,0),0),0))</f>
      </c>
      <c r="Z59" s="1">
        <f>IF(OR(Z$52=0,Y10="",Z10=""),0,IFERROR(IF(AND(INDEX(Arten,MATCH(Y10,Codes,0))="Arbeit",INDEX(Arten,MATCH(Z10,Codes,0))="Arbeit"),IF(ROUND((1+INDEX(Beginne,MATCH(Z10,Codes,0))-INDEX(EndeRel,MATCH(Y10,Codes,0)))*1440,0)&lt;660,1,0),0),0))</f>
      </c>
      <c r="AA59" s="1">
        <f>IF(OR(AA$52=0,Z10="",AA10=""),0,IFERROR(IF(AND(INDEX(Arten,MATCH(Z10,Codes,0))="Arbeit",INDEX(Arten,MATCH(AA10,Codes,0))="Arbeit"),IF(ROUND((1+INDEX(Beginne,MATCH(AA10,Codes,0))-INDEX(EndeRel,MATCH(Z10,Codes,0)))*1440,0)&lt;660,1,0),0),0))</f>
      </c>
      <c r="AB59" s="1">
        <f>IF(OR(AB$52=0,AA10="",AB10=""),0,IFERROR(IF(AND(INDEX(Arten,MATCH(AA10,Codes,0))="Arbeit",INDEX(Arten,MATCH(AB10,Codes,0))="Arbeit"),IF(ROUND((1+INDEX(Beginne,MATCH(AB10,Codes,0))-INDEX(EndeRel,MATCH(AA10,Codes,0)))*1440,0)&lt;660,1,0),0),0))</f>
      </c>
      <c r="AC59" s="1">
        <f>IF(OR(AC$52=0,AB10="",AC10=""),0,IFERROR(IF(AND(INDEX(Arten,MATCH(AB10,Codes,0))="Arbeit",INDEX(Arten,MATCH(AC10,Codes,0))="Arbeit"),IF(ROUND((1+INDEX(Beginne,MATCH(AC10,Codes,0))-INDEX(EndeRel,MATCH(AB10,Codes,0)))*1440,0)&lt;660,1,0),0),0))</f>
      </c>
      <c r="AD59" s="1">
        <f>IF(OR(AD$52=0,AC10="",AD10=""),0,IFERROR(IF(AND(INDEX(Arten,MATCH(AC10,Codes,0))="Arbeit",INDEX(Arten,MATCH(AD10,Codes,0))="Arbeit"),IF(ROUND((1+INDEX(Beginne,MATCH(AD10,Codes,0))-INDEX(EndeRel,MATCH(AC10,Codes,0)))*1440,0)&lt;660,1,0),0),0))</f>
      </c>
      <c r="AE59" s="1">
        <f>IF(OR(AE$52=0,AD10="",AE10=""),0,IFERROR(IF(AND(INDEX(Arten,MATCH(AD10,Codes,0))="Arbeit",INDEX(Arten,MATCH(AE10,Codes,0))="Arbeit"),IF(ROUND((1+INDEX(Beginne,MATCH(AE10,Codes,0))-INDEX(EndeRel,MATCH(AD10,Codes,0)))*1440,0)&lt;660,1,0),0),0))</f>
      </c>
      <c r="AF59" s="1">
        <f>IF(OR(AF$52=0,AE10="",AF10=""),0,IFERROR(IF(AND(INDEX(Arten,MATCH(AE10,Codes,0))="Arbeit",INDEX(Arten,MATCH(AF10,Codes,0))="Arbeit"),IF(ROUND((1+INDEX(Beginne,MATCH(AF10,Codes,0))-INDEX(EndeRel,MATCH(AE10,Codes,0)))*1440,0)&lt;660,1,0),0),0))</f>
      </c>
    </row>
    <row r="60" hidden="1" spans="1:32" x14ac:dyDescent="0.25">
      <c r="A60" s="1"/>
      <c r="B60" s="1">
        <f>IF(OR(B$52=0,INDEX('Juli'!$B$11:$AF$11,DAY(DATE(Jahr,8,0)))="",B11=""),0,IFERROR(IF(AND(INDEX(Arten,MATCH(INDEX('Juli'!$B$11:$AF$11,DAY(DATE(Jahr,8,0))),Codes,0))="Arbeit",INDEX(Arten,MATCH(B11,Codes,0))="Arbeit"),IF(ROUND((1+INDEX(Beginne,MATCH(B11,Codes,0))-INDEX(EndeRel,MATCH(INDEX('Juli'!$B$11:$AF$11,DAY(DATE(Jahr,8,0))),Codes,0)))*1440,0)&lt;660,1,0),0),0))</f>
      </c>
      <c r="C60" s="1">
        <f>IF(OR(C$52=0,B11="",C11=""),0,IFERROR(IF(AND(INDEX(Arten,MATCH(B11,Codes,0))="Arbeit",INDEX(Arten,MATCH(C11,Codes,0))="Arbeit"),IF(ROUND((1+INDEX(Beginne,MATCH(C11,Codes,0))-INDEX(EndeRel,MATCH(B11,Codes,0)))*1440,0)&lt;660,1,0),0),0))</f>
      </c>
      <c r="D60" s="1">
        <f>IF(OR(D$52=0,C11="",D11=""),0,IFERROR(IF(AND(INDEX(Arten,MATCH(C11,Codes,0))="Arbeit",INDEX(Arten,MATCH(D11,Codes,0))="Arbeit"),IF(ROUND((1+INDEX(Beginne,MATCH(D11,Codes,0))-INDEX(EndeRel,MATCH(C11,Codes,0)))*1440,0)&lt;660,1,0),0),0))</f>
      </c>
      <c r="E60" s="1">
        <f>IF(OR(E$52=0,D11="",E11=""),0,IFERROR(IF(AND(INDEX(Arten,MATCH(D11,Codes,0))="Arbeit",INDEX(Arten,MATCH(E11,Codes,0))="Arbeit"),IF(ROUND((1+INDEX(Beginne,MATCH(E11,Codes,0))-INDEX(EndeRel,MATCH(D11,Codes,0)))*1440,0)&lt;660,1,0),0),0))</f>
      </c>
      <c r="F60" s="1">
        <f>IF(OR(F$52=0,E11="",F11=""),0,IFERROR(IF(AND(INDEX(Arten,MATCH(E11,Codes,0))="Arbeit",INDEX(Arten,MATCH(F11,Codes,0))="Arbeit"),IF(ROUND((1+INDEX(Beginne,MATCH(F11,Codes,0))-INDEX(EndeRel,MATCH(E11,Codes,0)))*1440,0)&lt;660,1,0),0),0))</f>
      </c>
      <c r="G60" s="1">
        <f>IF(OR(G$52=0,F11="",G11=""),0,IFERROR(IF(AND(INDEX(Arten,MATCH(F11,Codes,0))="Arbeit",INDEX(Arten,MATCH(G11,Codes,0))="Arbeit"),IF(ROUND((1+INDEX(Beginne,MATCH(G11,Codes,0))-INDEX(EndeRel,MATCH(F11,Codes,0)))*1440,0)&lt;660,1,0),0),0))</f>
      </c>
      <c r="H60" s="1">
        <f>IF(OR(H$52=0,G11="",H11=""),0,IFERROR(IF(AND(INDEX(Arten,MATCH(G11,Codes,0))="Arbeit",INDEX(Arten,MATCH(H11,Codes,0))="Arbeit"),IF(ROUND((1+INDEX(Beginne,MATCH(H11,Codes,0))-INDEX(EndeRel,MATCH(G11,Codes,0)))*1440,0)&lt;660,1,0),0),0))</f>
      </c>
      <c r="I60" s="1">
        <f>IF(OR(I$52=0,H11="",I11=""),0,IFERROR(IF(AND(INDEX(Arten,MATCH(H11,Codes,0))="Arbeit",INDEX(Arten,MATCH(I11,Codes,0))="Arbeit"),IF(ROUND((1+INDEX(Beginne,MATCH(I11,Codes,0))-INDEX(EndeRel,MATCH(H11,Codes,0)))*1440,0)&lt;660,1,0),0),0))</f>
      </c>
      <c r="J60" s="1">
        <f>IF(OR(J$52=0,I11="",J11=""),0,IFERROR(IF(AND(INDEX(Arten,MATCH(I11,Codes,0))="Arbeit",INDEX(Arten,MATCH(J11,Codes,0))="Arbeit"),IF(ROUND((1+INDEX(Beginne,MATCH(J11,Codes,0))-INDEX(EndeRel,MATCH(I11,Codes,0)))*1440,0)&lt;660,1,0),0),0))</f>
      </c>
      <c r="K60" s="1">
        <f>IF(OR(K$52=0,J11="",K11=""),0,IFERROR(IF(AND(INDEX(Arten,MATCH(J11,Codes,0))="Arbeit",INDEX(Arten,MATCH(K11,Codes,0))="Arbeit"),IF(ROUND((1+INDEX(Beginne,MATCH(K11,Codes,0))-INDEX(EndeRel,MATCH(J11,Codes,0)))*1440,0)&lt;660,1,0),0),0))</f>
      </c>
      <c r="L60" s="1">
        <f>IF(OR(L$52=0,K11="",L11=""),0,IFERROR(IF(AND(INDEX(Arten,MATCH(K11,Codes,0))="Arbeit",INDEX(Arten,MATCH(L11,Codes,0))="Arbeit"),IF(ROUND((1+INDEX(Beginne,MATCH(L11,Codes,0))-INDEX(EndeRel,MATCH(K11,Codes,0)))*1440,0)&lt;660,1,0),0),0))</f>
      </c>
      <c r="M60" s="1">
        <f>IF(OR(M$52=0,L11="",M11=""),0,IFERROR(IF(AND(INDEX(Arten,MATCH(L11,Codes,0))="Arbeit",INDEX(Arten,MATCH(M11,Codes,0))="Arbeit"),IF(ROUND((1+INDEX(Beginne,MATCH(M11,Codes,0))-INDEX(EndeRel,MATCH(L11,Codes,0)))*1440,0)&lt;660,1,0),0),0))</f>
      </c>
      <c r="N60" s="1">
        <f>IF(OR(N$52=0,M11="",N11=""),0,IFERROR(IF(AND(INDEX(Arten,MATCH(M11,Codes,0))="Arbeit",INDEX(Arten,MATCH(N11,Codes,0))="Arbeit"),IF(ROUND((1+INDEX(Beginne,MATCH(N11,Codes,0))-INDEX(EndeRel,MATCH(M11,Codes,0)))*1440,0)&lt;660,1,0),0),0))</f>
      </c>
      <c r="O60" s="1">
        <f>IF(OR(O$52=0,N11="",O11=""),0,IFERROR(IF(AND(INDEX(Arten,MATCH(N11,Codes,0))="Arbeit",INDEX(Arten,MATCH(O11,Codes,0))="Arbeit"),IF(ROUND((1+INDEX(Beginne,MATCH(O11,Codes,0))-INDEX(EndeRel,MATCH(N11,Codes,0)))*1440,0)&lt;660,1,0),0),0))</f>
      </c>
      <c r="P60" s="1">
        <f>IF(OR(P$52=0,O11="",P11=""),0,IFERROR(IF(AND(INDEX(Arten,MATCH(O11,Codes,0))="Arbeit",INDEX(Arten,MATCH(P11,Codes,0))="Arbeit"),IF(ROUND((1+INDEX(Beginne,MATCH(P11,Codes,0))-INDEX(EndeRel,MATCH(O11,Codes,0)))*1440,0)&lt;660,1,0),0),0))</f>
      </c>
      <c r="Q60" s="1">
        <f>IF(OR(Q$52=0,P11="",Q11=""),0,IFERROR(IF(AND(INDEX(Arten,MATCH(P11,Codes,0))="Arbeit",INDEX(Arten,MATCH(Q11,Codes,0))="Arbeit"),IF(ROUND((1+INDEX(Beginne,MATCH(Q11,Codes,0))-INDEX(EndeRel,MATCH(P11,Codes,0)))*1440,0)&lt;660,1,0),0),0))</f>
      </c>
      <c r="R60" s="1">
        <f>IF(OR(R$52=0,Q11="",R11=""),0,IFERROR(IF(AND(INDEX(Arten,MATCH(Q11,Codes,0))="Arbeit",INDEX(Arten,MATCH(R11,Codes,0))="Arbeit"),IF(ROUND((1+INDEX(Beginne,MATCH(R11,Codes,0))-INDEX(EndeRel,MATCH(Q11,Codes,0)))*1440,0)&lt;660,1,0),0),0))</f>
      </c>
      <c r="S60" s="1">
        <f>IF(OR(S$52=0,R11="",S11=""),0,IFERROR(IF(AND(INDEX(Arten,MATCH(R11,Codes,0))="Arbeit",INDEX(Arten,MATCH(S11,Codes,0))="Arbeit"),IF(ROUND((1+INDEX(Beginne,MATCH(S11,Codes,0))-INDEX(EndeRel,MATCH(R11,Codes,0)))*1440,0)&lt;660,1,0),0),0))</f>
      </c>
      <c r="T60" s="1">
        <f>IF(OR(T$52=0,S11="",T11=""),0,IFERROR(IF(AND(INDEX(Arten,MATCH(S11,Codes,0))="Arbeit",INDEX(Arten,MATCH(T11,Codes,0))="Arbeit"),IF(ROUND((1+INDEX(Beginne,MATCH(T11,Codes,0))-INDEX(EndeRel,MATCH(S11,Codes,0)))*1440,0)&lt;660,1,0),0),0))</f>
      </c>
      <c r="U60" s="1">
        <f>IF(OR(U$52=0,T11="",U11=""),0,IFERROR(IF(AND(INDEX(Arten,MATCH(T11,Codes,0))="Arbeit",INDEX(Arten,MATCH(U11,Codes,0))="Arbeit"),IF(ROUND((1+INDEX(Beginne,MATCH(U11,Codes,0))-INDEX(EndeRel,MATCH(T11,Codes,0)))*1440,0)&lt;660,1,0),0),0))</f>
      </c>
      <c r="V60" s="1">
        <f>IF(OR(V$52=0,U11="",V11=""),0,IFERROR(IF(AND(INDEX(Arten,MATCH(U11,Codes,0))="Arbeit",INDEX(Arten,MATCH(V11,Codes,0))="Arbeit"),IF(ROUND((1+INDEX(Beginne,MATCH(V11,Codes,0))-INDEX(EndeRel,MATCH(U11,Codes,0)))*1440,0)&lt;660,1,0),0),0))</f>
      </c>
      <c r="W60" s="1">
        <f>IF(OR(W$52=0,V11="",W11=""),0,IFERROR(IF(AND(INDEX(Arten,MATCH(V11,Codes,0))="Arbeit",INDEX(Arten,MATCH(W11,Codes,0))="Arbeit"),IF(ROUND((1+INDEX(Beginne,MATCH(W11,Codes,0))-INDEX(EndeRel,MATCH(V11,Codes,0)))*1440,0)&lt;660,1,0),0),0))</f>
      </c>
      <c r="X60" s="1">
        <f>IF(OR(X$52=0,W11="",X11=""),0,IFERROR(IF(AND(INDEX(Arten,MATCH(W11,Codes,0))="Arbeit",INDEX(Arten,MATCH(X11,Codes,0))="Arbeit"),IF(ROUND((1+INDEX(Beginne,MATCH(X11,Codes,0))-INDEX(EndeRel,MATCH(W11,Codes,0)))*1440,0)&lt;660,1,0),0),0))</f>
      </c>
      <c r="Y60" s="1">
        <f>IF(OR(Y$52=0,X11="",Y11=""),0,IFERROR(IF(AND(INDEX(Arten,MATCH(X11,Codes,0))="Arbeit",INDEX(Arten,MATCH(Y11,Codes,0))="Arbeit"),IF(ROUND((1+INDEX(Beginne,MATCH(Y11,Codes,0))-INDEX(EndeRel,MATCH(X11,Codes,0)))*1440,0)&lt;660,1,0),0),0))</f>
      </c>
      <c r="Z60" s="1">
        <f>IF(OR(Z$52=0,Y11="",Z11=""),0,IFERROR(IF(AND(INDEX(Arten,MATCH(Y11,Codes,0))="Arbeit",INDEX(Arten,MATCH(Z11,Codes,0))="Arbeit"),IF(ROUND((1+INDEX(Beginne,MATCH(Z11,Codes,0))-INDEX(EndeRel,MATCH(Y11,Codes,0)))*1440,0)&lt;660,1,0),0),0))</f>
      </c>
      <c r="AA60" s="1">
        <f>IF(OR(AA$52=0,Z11="",AA11=""),0,IFERROR(IF(AND(INDEX(Arten,MATCH(Z11,Codes,0))="Arbeit",INDEX(Arten,MATCH(AA11,Codes,0))="Arbeit"),IF(ROUND((1+INDEX(Beginne,MATCH(AA11,Codes,0))-INDEX(EndeRel,MATCH(Z11,Codes,0)))*1440,0)&lt;660,1,0),0),0))</f>
      </c>
      <c r="AB60" s="1">
        <f>IF(OR(AB$52=0,AA11="",AB11=""),0,IFERROR(IF(AND(INDEX(Arten,MATCH(AA11,Codes,0))="Arbeit",INDEX(Arten,MATCH(AB11,Codes,0))="Arbeit"),IF(ROUND((1+INDEX(Beginne,MATCH(AB11,Codes,0))-INDEX(EndeRel,MATCH(AA11,Codes,0)))*1440,0)&lt;660,1,0),0),0))</f>
      </c>
      <c r="AC60" s="1">
        <f>IF(OR(AC$52=0,AB11="",AC11=""),0,IFERROR(IF(AND(INDEX(Arten,MATCH(AB11,Codes,0))="Arbeit",INDEX(Arten,MATCH(AC11,Codes,0))="Arbeit"),IF(ROUND((1+INDEX(Beginne,MATCH(AC11,Codes,0))-INDEX(EndeRel,MATCH(AB11,Codes,0)))*1440,0)&lt;660,1,0),0),0))</f>
      </c>
      <c r="AD60" s="1">
        <f>IF(OR(AD$52=0,AC11="",AD11=""),0,IFERROR(IF(AND(INDEX(Arten,MATCH(AC11,Codes,0))="Arbeit",INDEX(Arten,MATCH(AD11,Codes,0))="Arbeit"),IF(ROUND((1+INDEX(Beginne,MATCH(AD11,Codes,0))-INDEX(EndeRel,MATCH(AC11,Codes,0)))*1440,0)&lt;660,1,0),0),0))</f>
      </c>
      <c r="AE60" s="1">
        <f>IF(OR(AE$52=0,AD11="",AE11=""),0,IFERROR(IF(AND(INDEX(Arten,MATCH(AD11,Codes,0))="Arbeit",INDEX(Arten,MATCH(AE11,Codes,0))="Arbeit"),IF(ROUND((1+INDEX(Beginne,MATCH(AE11,Codes,0))-INDEX(EndeRel,MATCH(AD11,Codes,0)))*1440,0)&lt;660,1,0),0),0))</f>
      </c>
      <c r="AF60" s="1">
        <f>IF(OR(AF$52=0,AE11="",AF11=""),0,IFERROR(IF(AND(INDEX(Arten,MATCH(AE11,Codes,0))="Arbeit",INDEX(Arten,MATCH(AF11,Codes,0))="Arbeit"),IF(ROUND((1+INDEX(Beginne,MATCH(AF11,Codes,0))-INDEX(EndeRel,MATCH(AE11,Codes,0)))*1440,0)&lt;660,1,0),0),0))</f>
      </c>
    </row>
    <row r="61" hidden="1" spans="1:32" x14ac:dyDescent="0.25">
      <c r="A61" s="1"/>
      <c r="B61" s="1">
        <f>IF(OR(B$52=0,INDEX('Juli'!$B$12:$AF$12,DAY(DATE(Jahr,8,0)))="",B12=""),0,IFERROR(IF(AND(INDEX(Arten,MATCH(INDEX('Juli'!$B$12:$AF$12,DAY(DATE(Jahr,8,0))),Codes,0))="Arbeit",INDEX(Arten,MATCH(B12,Codes,0))="Arbeit"),IF(ROUND((1+INDEX(Beginne,MATCH(B12,Codes,0))-INDEX(EndeRel,MATCH(INDEX('Juli'!$B$12:$AF$12,DAY(DATE(Jahr,8,0))),Codes,0)))*1440,0)&lt;660,1,0),0),0))</f>
      </c>
      <c r="C61" s="1">
        <f>IF(OR(C$52=0,B12="",C12=""),0,IFERROR(IF(AND(INDEX(Arten,MATCH(B12,Codes,0))="Arbeit",INDEX(Arten,MATCH(C12,Codes,0))="Arbeit"),IF(ROUND((1+INDEX(Beginne,MATCH(C12,Codes,0))-INDEX(EndeRel,MATCH(B12,Codes,0)))*1440,0)&lt;660,1,0),0),0))</f>
      </c>
      <c r="D61" s="1">
        <f>IF(OR(D$52=0,C12="",D12=""),0,IFERROR(IF(AND(INDEX(Arten,MATCH(C12,Codes,0))="Arbeit",INDEX(Arten,MATCH(D12,Codes,0))="Arbeit"),IF(ROUND((1+INDEX(Beginne,MATCH(D12,Codes,0))-INDEX(EndeRel,MATCH(C12,Codes,0)))*1440,0)&lt;660,1,0),0),0))</f>
      </c>
      <c r="E61" s="1">
        <f>IF(OR(E$52=0,D12="",E12=""),0,IFERROR(IF(AND(INDEX(Arten,MATCH(D12,Codes,0))="Arbeit",INDEX(Arten,MATCH(E12,Codes,0))="Arbeit"),IF(ROUND((1+INDEX(Beginne,MATCH(E12,Codes,0))-INDEX(EndeRel,MATCH(D12,Codes,0)))*1440,0)&lt;660,1,0),0),0))</f>
      </c>
      <c r="F61" s="1">
        <f>IF(OR(F$52=0,E12="",F12=""),0,IFERROR(IF(AND(INDEX(Arten,MATCH(E12,Codes,0))="Arbeit",INDEX(Arten,MATCH(F12,Codes,0))="Arbeit"),IF(ROUND((1+INDEX(Beginne,MATCH(F12,Codes,0))-INDEX(EndeRel,MATCH(E12,Codes,0)))*1440,0)&lt;660,1,0),0),0))</f>
      </c>
      <c r="G61" s="1">
        <f>IF(OR(G$52=0,F12="",G12=""),0,IFERROR(IF(AND(INDEX(Arten,MATCH(F12,Codes,0))="Arbeit",INDEX(Arten,MATCH(G12,Codes,0))="Arbeit"),IF(ROUND((1+INDEX(Beginne,MATCH(G12,Codes,0))-INDEX(EndeRel,MATCH(F12,Codes,0)))*1440,0)&lt;660,1,0),0),0))</f>
      </c>
      <c r="H61" s="1">
        <f>IF(OR(H$52=0,G12="",H12=""),0,IFERROR(IF(AND(INDEX(Arten,MATCH(G12,Codes,0))="Arbeit",INDEX(Arten,MATCH(H12,Codes,0))="Arbeit"),IF(ROUND((1+INDEX(Beginne,MATCH(H12,Codes,0))-INDEX(EndeRel,MATCH(G12,Codes,0)))*1440,0)&lt;660,1,0),0),0))</f>
      </c>
      <c r="I61" s="1">
        <f>IF(OR(I$52=0,H12="",I12=""),0,IFERROR(IF(AND(INDEX(Arten,MATCH(H12,Codes,0))="Arbeit",INDEX(Arten,MATCH(I12,Codes,0))="Arbeit"),IF(ROUND((1+INDEX(Beginne,MATCH(I12,Codes,0))-INDEX(EndeRel,MATCH(H12,Codes,0)))*1440,0)&lt;660,1,0),0),0))</f>
      </c>
      <c r="J61" s="1">
        <f>IF(OR(J$52=0,I12="",J12=""),0,IFERROR(IF(AND(INDEX(Arten,MATCH(I12,Codes,0))="Arbeit",INDEX(Arten,MATCH(J12,Codes,0))="Arbeit"),IF(ROUND((1+INDEX(Beginne,MATCH(J12,Codes,0))-INDEX(EndeRel,MATCH(I12,Codes,0)))*1440,0)&lt;660,1,0),0),0))</f>
      </c>
      <c r="K61" s="1">
        <f>IF(OR(K$52=0,J12="",K12=""),0,IFERROR(IF(AND(INDEX(Arten,MATCH(J12,Codes,0))="Arbeit",INDEX(Arten,MATCH(K12,Codes,0))="Arbeit"),IF(ROUND((1+INDEX(Beginne,MATCH(K12,Codes,0))-INDEX(EndeRel,MATCH(J12,Codes,0)))*1440,0)&lt;660,1,0),0),0))</f>
      </c>
      <c r="L61" s="1">
        <f>IF(OR(L$52=0,K12="",L12=""),0,IFERROR(IF(AND(INDEX(Arten,MATCH(K12,Codes,0))="Arbeit",INDEX(Arten,MATCH(L12,Codes,0))="Arbeit"),IF(ROUND((1+INDEX(Beginne,MATCH(L12,Codes,0))-INDEX(EndeRel,MATCH(K12,Codes,0)))*1440,0)&lt;660,1,0),0),0))</f>
      </c>
      <c r="M61" s="1">
        <f>IF(OR(M$52=0,L12="",M12=""),0,IFERROR(IF(AND(INDEX(Arten,MATCH(L12,Codes,0))="Arbeit",INDEX(Arten,MATCH(M12,Codes,0))="Arbeit"),IF(ROUND((1+INDEX(Beginne,MATCH(M12,Codes,0))-INDEX(EndeRel,MATCH(L12,Codes,0)))*1440,0)&lt;660,1,0),0),0))</f>
      </c>
      <c r="N61" s="1">
        <f>IF(OR(N$52=0,M12="",N12=""),0,IFERROR(IF(AND(INDEX(Arten,MATCH(M12,Codes,0))="Arbeit",INDEX(Arten,MATCH(N12,Codes,0))="Arbeit"),IF(ROUND((1+INDEX(Beginne,MATCH(N12,Codes,0))-INDEX(EndeRel,MATCH(M12,Codes,0)))*1440,0)&lt;660,1,0),0),0))</f>
      </c>
      <c r="O61" s="1">
        <f>IF(OR(O$52=0,N12="",O12=""),0,IFERROR(IF(AND(INDEX(Arten,MATCH(N12,Codes,0))="Arbeit",INDEX(Arten,MATCH(O12,Codes,0))="Arbeit"),IF(ROUND((1+INDEX(Beginne,MATCH(O12,Codes,0))-INDEX(EndeRel,MATCH(N12,Codes,0)))*1440,0)&lt;660,1,0),0),0))</f>
      </c>
      <c r="P61" s="1">
        <f>IF(OR(P$52=0,O12="",P12=""),0,IFERROR(IF(AND(INDEX(Arten,MATCH(O12,Codes,0))="Arbeit",INDEX(Arten,MATCH(P12,Codes,0))="Arbeit"),IF(ROUND((1+INDEX(Beginne,MATCH(P12,Codes,0))-INDEX(EndeRel,MATCH(O12,Codes,0)))*1440,0)&lt;660,1,0),0),0))</f>
      </c>
      <c r="Q61" s="1">
        <f>IF(OR(Q$52=0,P12="",Q12=""),0,IFERROR(IF(AND(INDEX(Arten,MATCH(P12,Codes,0))="Arbeit",INDEX(Arten,MATCH(Q12,Codes,0))="Arbeit"),IF(ROUND((1+INDEX(Beginne,MATCH(Q12,Codes,0))-INDEX(EndeRel,MATCH(P12,Codes,0)))*1440,0)&lt;660,1,0),0),0))</f>
      </c>
      <c r="R61" s="1">
        <f>IF(OR(R$52=0,Q12="",R12=""),0,IFERROR(IF(AND(INDEX(Arten,MATCH(Q12,Codes,0))="Arbeit",INDEX(Arten,MATCH(R12,Codes,0))="Arbeit"),IF(ROUND((1+INDEX(Beginne,MATCH(R12,Codes,0))-INDEX(EndeRel,MATCH(Q12,Codes,0)))*1440,0)&lt;660,1,0),0),0))</f>
      </c>
      <c r="S61" s="1">
        <f>IF(OR(S$52=0,R12="",S12=""),0,IFERROR(IF(AND(INDEX(Arten,MATCH(R12,Codes,0))="Arbeit",INDEX(Arten,MATCH(S12,Codes,0))="Arbeit"),IF(ROUND((1+INDEX(Beginne,MATCH(S12,Codes,0))-INDEX(EndeRel,MATCH(R12,Codes,0)))*1440,0)&lt;660,1,0),0),0))</f>
      </c>
      <c r="T61" s="1">
        <f>IF(OR(T$52=0,S12="",T12=""),0,IFERROR(IF(AND(INDEX(Arten,MATCH(S12,Codes,0))="Arbeit",INDEX(Arten,MATCH(T12,Codes,0))="Arbeit"),IF(ROUND((1+INDEX(Beginne,MATCH(T12,Codes,0))-INDEX(EndeRel,MATCH(S12,Codes,0)))*1440,0)&lt;660,1,0),0),0))</f>
      </c>
      <c r="U61" s="1">
        <f>IF(OR(U$52=0,T12="",U12=""),0,IFERROR(IF(AND(INDEX(Arten,MATCH(T12,Codes,0))="Arbeit",INDEX(Arten,MATCH(U12,Codes,0))="Arbeit"),IF(ROUND((1+INDEX(Beginne,MATCH(U12,Codes,0))-INDEX(EndeRel,MATCH(T12,Codes,0)))*1440,0)&lt;660,1,0),0),0))</f>
      </c>
      <c r="V61" s="1">
        <f>IF(OR(V$52=0,U12="",V12=""),0,IFERROR(IF(AND(INDEX(Arten,MATCH(U12,Codes,0))="Arbeit",INDEX(Arten,MATCH(V12,Codes,0))="Arbeit"),IF(ROUND((1+INDEX(Beginne,MATCH(V12,Codes,0))-INDEX(EndeRel,MATCH(U12,Codes,0)))*1440,0)&lt;660,1,0),0),0))</f>
      </c>
      <c r="W61" s="1">
        <f>IF(OR(W$52=0,V12="",W12=""),0,IFERROR(IF(AND(INDEX(Arten,MATCH(V12,Codes,0))="Arbeit",INDEX(Arten,MATCH(W12,Codes,0))="Arbeit"),IF(ROUND((1+INDEX(Beginne,MATCH(W12,Codes,0))-INDEX(EndeRel,MATCH(V12,Codes,0)))*1440,0)&lt;660,1,0),0),0))</f>
      </c>
      <c r="X61" s="1">
        <f>IF(OR(X$52=0,W12="",X12=""),0,IFERROR(IF(AND(INDEX(Arten,MATCH(W12,Codes,0))="Arbeit",INDEX(Arten,MATCH(X12,Codes,0))="Arbeit"),IF(ROUND((1+INDEX(Beginne,MATCH(X12,Codes,0))-INDEX(EndeRel,MATCH(W12,Codes,0)))*1440,0)&lt;660,1,0),0),0))</f>
      </c>
      <c r="Y61" s="1">
        <f>IF(OR(Y$52=0,X12="",Y12=""),0,IFERROR(IF(AND(INDEX(Arten,MATCH(X12,Codes,0))="Arbeit",INDEX(Arten,MATCH(Y12,Codes,0))="Arbeit"),IF(ROUND((1+INDEX(Beginne,MATCH(Y12,Codes,0))-INDEX(EndeRel,MATCH(X12,Codes,0)))*1440,0)&lt;660,1,0),0),0))</f>
      </c>
      <c r="Z61" s="1">
        <f>IF(OR(Z$52=0,Y12="",Z12=""),0,IFERROR(IF(AND(INDEX(Arten,MATCH(Y12,Codes,0))="Arbeit",INDEX(Arten,MATCH(Z12,Codes,0))="Arbeit"),IF(ROUND((1+INDEX(Beginne,MATCH(Z12,Codes,0))-INDEX(EndeRel,MATCH(Y12,Codes,0)))*1440,0)&lt;660,1,0),0),0))</f>
      </c>
      <c r="AA61" s="1">
        <f>IF(OR(AA$52=0,Z12="",AA12=""),0,IFERROR(IF(AND(INDEX(Arten,MATCH(Z12,Codes,0))="Arbeit",INDEX(Arten,MATCH(AA12,Codes,0))="Arbeit"),IF(ROUND((1+INDEX(Beginne,MATCH(AA12,Codes,0))-INDEX(EndeRel,MATCH(Z12,Codes,0)))*1440,0)&lt;660,1,0),0),0))</f>
      </c>
      <c r="AB61" s="1">
        <f>IF(OR(AB$52=0,AA12="",AB12=""),0,IFERROR(IF(AND(INDEX(Arten,MATCH(AA12,Codes,0))="Arbeit",INDEX(Arten,MATCH(AB12,Codes,0))="Arbeit"),IF(ROUND((1+INDEX(Beginne,MATCH(AB12,Codes,0))-INDEX(EndeRel,MATCH(AA12,Codes,0)))*1440,0)&lt;660,1,0),0),0))</f>
      </c>
      <c r="AC61" s="1">
        <f>IF(OR(AC$52=0,AB12="",AC12=""),0,IFERROR(IF(AND(INDEX(Arten,MATCH(AB12,Codes,0))="Arbeit",INDEX(Arten,MATCH(AC12,Codes,0))="Arbeit"),IF(ROUND((1+INDEX(Beginne,MATCH(AC12,Codes,0))-INDEX(EndeRel,MATCH(AB12,Codes,0)))*1440,0)&lt;660,1,0),0),0))</f>
      </c>
      <c r="AD61" s="1">
        <f>IF(OR(AD$52=0,AC12="",AD12=""),0,IFERROR(IF(AND(INDEX(Arten,MATCH(AC12,Codes,0))="Arbeit",INDEX(Arten,MATCH(AD12,Codes,0))="Arbeit"),IF(ROUND((1+INDEX(Beginne,MATCH(AD12,Codes,0))-INDEX(EndeRel,MATCH(AC12,Codes,0)))*1440,0)&lt;660,1,0),0),0))</f>
      </c>
      <c r="AE61" s="1">
        <f>IF(OR(AE$52=0,AD12="",AE12=""),0,IFERROR(IF(AND(INDEX(Arten,MATCH(AD12,Codes,0))="Arbeit",INDEX(Arten,MATCH(AE12,Codes,0))="Arbeit"),IF(ROUND((1+INDEX(Beginne,MATCH(AE12,Codes,0))-INDEX(EndeRel,MATCH(AD12,Codes,0)))*1440,0)&lt;660,1,0),0),0))</f>
      </c>
      <c r="AF61" s="1">
        <f>IF(OR(AF$52=0,AE12="",AF12=""),0,IFERROR(IF(AND(INDEX(Arten,MATCH(AE12,Codes,0))="Arbeit",INDEX(Arten,MATCH(AF12,Codes,0))="Arbeit"),IF(ROUND((1+INDEX(Beginne,MATCH(AF12,Codes,0))-INDEX(EndeRel,MATCH(AE12,Codes,0)))*1440,0)&lt;660,1,0),0),0))</f>
      </c>
    </row>
    <row r="62" hidden="1" spans="1:32" x14ac:dyDescent="0.25">
      <c r="A62" s="1"/>
      <c r="B62" s="1">
        <f>IF(OR(B$52=0,INDEX('Juli'!$B$13:$AF$13,DAY(DATE(Jahr,8,0)))="",B13=""),0,IFERROR(IF(AND(INDEX(Arten,MATCH(INDEX('Juli'!$B$13:$AF$13,DAY(DATE(Jahr,8,0))),Codes,0))="Arbeit",INDEX(Arten,MATCH(B13,Codes,0))="Arbeit"),IF(ROUND((1+INDEX(Beginne,MATCH(B13,Codes,0))-INDEX(EndeRel,MATCH(INDEX('Juli'!$B$13:$AF$13,DAY(DATE(Jahr,8,0))),Codes,0)))*1440,0)&lt;660,1,0),0),0))</f>
      </c>
      <c r="C62" s="1">
        <f>IF(OR(C$52=0,B13="",C13=""),0,IFERROR(IF(AND(INDEX(Arten,MATCH(B13,Codes,0))="Arbeit",INDEX(Arten,MATCH(C13,Codes,0))="Arbeit"),IF(ROUND((1+INDEX(Beginne,MATCH(C13,Codes,0))-INDEX(EndeRel,MATCH(B13,Codes,0)))*1440,0)&lt;660,1,0),0),0))</f>
      </c>
      <c r="D62" s="1">
        <f>IF(OR(D$52=0,C13="",D13=""),0,IFERROR(IF(AND(INDEX(Arten,MATCH(C13,Codes,0))="Arbeit",INDEX(Arten,MATCH(D13,Codes,0))="Arbeit"),IF(ROUND((1+INDEX(Beginne,MATCH(D13,Codes,0))-INDEX(EndeRel,MATCH(C13,Codes,0)))*1440,0)&lt;660,1,0),0),0))</f>
      </c>
      <c r="E62" s="1">
        <f>IF(OR(E$52=0,D13="",E13=""),0,IFERROR(IF(AND(INDEX(Arten,MATCH(D13,Codes,0))="Arbeit",INDEX(Arten,MATCH(E13,Codes,0))="Arbeit"),IF(ROUND((1+INDEX(Beginne,MATCH(E13,Codes,0))-INDEX(EndeRel,MATCH(D13,Codes,0)))*1440,0)&lt;660,1,0),0),0))</f>
      </c>
      <c r="F62" s="1">
        <f>IF(OR(F$52=0,E13="",F13=""),0,IFERROR(IF(AND(INDEX(Arten,MATCH(E13,Codes,0))="Arbeit",INDEX(Arten,MATCH(F13,Codes,0))="Arbeit"),IF(ROUND((1+INDEX(Beginne,MATCH(F13,Codes,0))-INDEX(EndeRel,MATCH(E13,Codes,0)))*1440,0)&lt;660,1,0),0),0))</f>
      </c>
      <c r="G62" s="1">
        <f>IF(OR(G$52=0,F13="",G13=""),0,IFERROR(IF(AND(INDEX(Arten,MATCH(F13,Codes,0))="Arbeit",INDEX(Arten,MATCH(G13,Codes,0))="Arbeit"),IF(ROUND((1+INDEX(Beginne,MATCH(G13,Codes,0))-INDEX(EndeRel,MATCH(F13,Codes,0)))*1440,0)&lt;660,1,0),0),0))</f>
      </c>
      <c r="H62" s="1">
        <f>IF(OR(H$52=0,G13="",H13=""),0,IFERROR(IF(AND(INDEX(Arten,MATCH(G13,Codes,0))="Arbeit",INDEX(Arten,MATCH(H13,Codes,0))="Arbeit"),IF(ROUND((1+INDEX(Beginne,MATCH(H13,Codes,0))-INDEX(EndeRel,MATCH(G13,Codes,0)))*1440,0)&lt;660,1,0),0),0))</f>
      </c>
      <c r="I62" s="1">
        <f>IF(OR(I$52=0,H13="",I13=""),0,IFERROR(IF(AND(INDEX(Arten,MATCH(H13,Codes,0))="Arbeit",INDEX(Arten,MATCH(I13,Codes,0))="Arbeit"),IF(ROUND((1+INDEX(Beginne,MATCH(I13,Codes,0))-INDEX(EndeRel,MATCH(H13,Codes,0)))*1440,0)&lt;660,1,0),0),0))</f>
      </c>
      <c r="J62" s="1">
        <f>IF(OR(J$52=0,I13="",J13=""),0,IFERROR(IF(AND(INDEX(Arten,MATCH(I13,Codes,0))="Arbeit",INDEX(Arten,MATCH(J13,Codes,0))="Arbeit"),IF(ROUND((1+INDEX(Beginne,MATCH(J13,Codes,0))-INDEX(EndeRel,MATCH(I13,Codes,0)))*1440,0)&lt;660,1,0),0),0))</f>
      </c>
      <c r="K62" s="1">
        <f>IF(OR(K$52=0,J13="",K13=""),0,IFERROR(IF(AND(INDEX(Arten,MATCH(J13,Codes,0))="Arbeit",INDEX(Arten,MATCH(K13,Codes,0))="Arbeit"),IF(ROUND((1+INDEX(Beginne,MATCH(K13,Codes,0))-INDEX(EndeRel,MATCH(J13,Codes,0)))*1440,0)&lt;660,1,0),0),0))</f>
      </c>
      <c r="L62" s="1">
        <f>IF(OR(L$52=0,K13="",L13=""),0,IFERROR(IF(AND(INDEX(Arten,MATCH(K13,Codes,0))="Arbeit",INDEX(Arten,MATCH(L13,Codes,0))="Arbeit"),IF(ROUND((1+INDEX(Beginne,MATCH(L13,Codes,0))-INDEX(EndeRel,MATCH(K13,Codes,0)))*1440,0)&lt;660,1,0),0),0))</f>
      </c>
      <c r="M62" s="1">
        <f>IF(OR(M$52=0,L13="",M13=""),0,IFERROR(IF(AND(INDEX(Arten,MATCH(L13,Codes,0))="Arbeit",INDEX(Arten,MATCH(M13,Codes,0))="Arbeit"),IF(ROUND((1+INDEX(Beginne,MATCH(M13,Codes,0))-INDEX(EndeRel,MATCH(L13,Codes,0)))*1440,0)&lt;660,1,0),0),0))</f>
      </c>
      <c r="N62" s="1">
        <f>IF(OR(N$52=0,M13="",N13=""),0,IFERROR(IF(AND(INDEX(Arten,MATCH(M13,Codes,0))="Arbeit",INDEX(Arten,MATCH(N13,Codes,0))="Arbeit"),IF(ROUND((1+INDEX(Beginne,MATCH(N13,Codes,0))-INDEX(EndeRel,MATCH(M13,Codes,0)))*1440,0)&lt;660,1,0),0),0))</f>
      </c>
      <c r="O62" s="1">
        <f>IF(OR(O$52=0,N13="",O13=""),0,IFERROR(IF(AND(INDEX(Arten,MATCH(N13,Codes,0))="Arbeit",INDEX(Arten,MATCH(O13,Codes,0))="Arbeit"),IF(ROUND((1+INDEX(Beginne,MATCH(O13,Codes,0))-INDEX(EndeRel,MATCH(N13,Codes,0)))*1440,0)&lt;660,1,0),0),0))</f>
      </c>
      <c r="P62" s="1">
        <f>IF(OR(P$52=0,O13="",P13=""),0,IFERROR(IF(AND(INDEX(Arten,MATCH(O13,Codes,0))="Arbeit",INDEX(Arten,MATCH(P13,Codes,0))="Arbeit"),IF(ROUND((1+INDEX(Beginne,MATCH(P13,Codes,0))-INDEX(EndeRel,MATCH(O13,Codes,0)))*1440,0)&lt;660,1,0),0),0))</f>
      </c>
      <c r="Q62" s="1">
        <f>IF(OR(Q$52=0,P13="",Q13=""),0,IFERROR(IF(AND(INDEX(Arten,MATCH(P13,Codes,0))="Arbeit",INDEX(Arten,MATCH(Q13,Codes,0))="Arbeit"),IF(ROUND((1+INDEX(Beginne,MATCH(Q13,Codes,0))-INDEX(EndeRel,MATCH(P13,Codes,0)))*1440,0)&lt;660,1,0),0),0))</f>
      </c>
      <c r="R62" s="1">
        <f>IF(OR(R$52=0,Q13="",R13=""),0,IFERROR(IF(AND(INDEX(Arten,MATCH(Q13,Codes,0))="Arbeit",INDEX(Arten,MATCH(R13,Codes,0))="Arbeit"),IF(ROUND((1+INDEX(Beginne,MATCH(R13,Codes,0))-INDEX(EndeRel,MATCH(Q13,Codes,0)))*1440,0)&lt;660,1,0),0),0))</f>
      </c>
      <c r="S62" s="1">
        <f>IF(OR(S$52=0,R13="",S13=""),0,IFERROR(IF(AND(INDEX(Arten,MATCH(R13,Codes,0))="Arbeit",INDEX(Arten,MATCH(S13,Codes,0))="Arbeit"),IF(ROUND((1+INDEX(Beginne,MATCH(S13,Codes,0))-INDEX(EndeRel,MATCH(R13,Codes,0)))*1440,0)&lt;660,1,0),0),0))</f>
      </c>
      <c r="T62" s="1">
        <f>IF(OR(T$52=0,S13="",T13=""),0,IFERROR(IF(AND(INDEX(Arten,MATCH(S13,Codes,0))="Arbeit",INDEX(Arten,MATCH(T13,Codes,0))="Arbeit"),IF(ROUND((1+INDEX(Beginne,MATCH(T13,Codes,0))-INDEX(EndeRel,MATCH(S13,Codes,0)))*1440,0)&lt;660,1,0),0),0))</f>
      </c>
      <c r="U62" s="1">
        <f>IF(OR(U$52=0,T13="",U13=""),0,IFERROR(IF(AND(INDEX(Arten,MATCH(T13,Codes,0))="Arbeit",INDEX(Arten,MATCH(U13,Codes,0))="Arbeit"),IF(ROUND((1+INDEX(Beginne,MATCH(U13,Codes,0))-INDEX(EndeRel,MATCH(T13,Codes,0)))*1440,0)&lt;660,1,0),0),0))</f>
      </c>
      <c r="V62" s="1">
        <f>IF(OR(V$52=0,U13="",V13=""),0,IFERROR(IF(AND(INDEX(Arten,MATCH(U13,Codes,0))="Arbeit",INDEX(Arten,MATCH(V13,Codes,0))="Arbeit"),IF(ROUND((1+INDEX(Beginne,MATCH(V13,Codes,0))-INDEX(EndeRel,MATCH(U13,Codes,0)))*1440,0)&lt;660,1,0),0),0))</f>
      </c>
      <c r="W62" s="1">
        <f>IF(OR(W$52=0,V13="",W13=""),0,IFERROR(IF(AND(INDEX(Arten,MATCH(V13,Codes,0))="Arbeit",INDEX(Arten,MATCH(W13,Codes,0))="Arbeit"),IF(ROUND((1+INDEX(Beginne,MATCH(W13,Codes,0))-INDEX(EndeRel,MATCH(V13,Codes,0)))*1440,0)&lt;660,1,0),0),0))</f>
      </c>
      <c r="X62" s="1">
        <f>IF(OR(X$52=0,W13="",X13=""),0,IFERROR(IF(AND(INDEX(Arten,MATCH(W13,Codes,0))="Arbeit",INDEX(Arten,MATCH(X13,Codes,0))="Arbeit"),IF(ROUND((1+INDEX(Beginne,MATCH(X13,Codes,0))-INDEX(EndeRel,MATCH(W13,Codes,0)))*1440,0)&lt;660,1,0),0),0))</f>
      </c>
      <c r="Y62" s="1">
        <f>IF(OR(Y$52=0,X13="",Y13=""),0,IFERROR(IF(AND(INDEX(Arten,MATCH(X13,Codes,0))="Arbeit",INDEX(Arten,MATCH(Y13,Codes,0))="Arbeit"),IF(ROUND((1+INDEX(Beginne,MATCH(Y13,Codes,0))-INDEX(EndeRel,MATCH(X13,Codes,0)))*1440,0)&lt;660,1,0),0),0))</f>
      </c>
      <c r="Z62" s="1">
        <f>IF(OR(Z$52=0,Y13="",Z13=""),0,IFERROR(IF(AND(INDEX(Arten,MATCH(Y13,Codes,0))="Arbeit",INDEX(Arten,MATCH(Z13,Codes,0))="Arbeit"),IF(ROUND((1+INDEX(Beginne,MATCH(Z13,Codes,0))-INDEX(EndeRel,MATCH(Y13,Codes,0)))*1440,0)&lt;660,1,0),0),0))</f>
      </c>
      <c r="AA62" s="1">
        <f>IF(OR(AA$52=0,Z13="",AA13=""),0,IFERROR(IF(AND(INDEX(Arten,MATCH(Z13,Codes,0))="Arbeit",INDEX(Arten,MATCH(AA13,Codes,0))="Arbeit"),IF(ROUND((1+INDEX(Beginne,MATCH(AA13,Codes,0))-INDEX(EndeRel,MATCH(Z13,Codes,0)))*1440,0)&lt;660,1,0),0),0))</f>
      </c>
      <c r="AB62" s="1">
        <f>IF(OR(AB$52=0,AA13="",AB13=""),0,IFERROR(IF(AND(INDEX(Arten,MATCH(AA13,Codes,0))="Arbeit",INDEX(Arten,MATCH(AB13,Codes,0))="Arbeit"),IF(ROUND((1+INDEX(Beginne,MATCH(AB13,Codes,0))-INDEX(EndeRel,MATCH(AA13,Codes,0)))*1440,0)&lt;660,1,0),0),0))</f>
      </c>
      <c r="AC62" s="1">
        <f>IF(OR(AC$52=0,AB13="",AC13=""),0,IFERROR(IF(AND(INDEX(Arten,MATCH(AB13,Codes,0))="Arbeit",INDEX(Arten,MATCH(AC13,Codes,0))="Arbeit"),IF(ROUND((1+INDEX(Beginne,MATCH(AC13,Codes,0))-INDEX(EndeRel,MATCH(AB13,Codes,0)))*1440,0)&lt;660,1,0),0),0))</f>
      </c>
      <c r="AD62" s="1">
        <f>IF(OR(AD$52=0,AC13="",AD13=""),0,IFERROR(IF(AND(INDEX(Arten,MATCH(AC13,Codes,0))="Arbeit",INDEX(Arten,MATCH(AD13,Codes,0))="Arbeit"),IF(ROUND((1+INDEX(Beginne,MATCH(AD13,Codes,0))-INDEX(EndeRel,MATCH(AC13,Codes,0)))*1440,0)&lt;660,1,0),0),0))</f>
      </c>
      <c r="AE62" s="1">
        <f>IF(OR(AE$52=0,AD13="",AE13=""),0,IFERROR(IF(AND(INDEX(Arten,MATCH(AD13,Codes,0))="Arbeit",INDEX(Arten,MATCH(AE13,Codes,0))="Arbeit"),IF(ROUND((1+INDEX(Beginne,MATCH(AE13,Codes,0))-INDEX(EndeRel,MATCH(AD13,Codes,0)))*1440,0)&lt;660,1,0),0),0))</f>
      </c>
      <c r="AF62" s="1">
        <f>IF(OR(AF$52=0,AE13="",AF13=""),0,IFERROR(IF(AND(INDEX(Arten,MATCH(AE13,Codes,0))="Arbeit",INDEX(Arten,MATCH(AF13,Codes,0))="Arbeit"),IF(ROUND((1+INDEX(Beginne,MATCH(AF13,Codes,0))-INDEX(EndeRel,MATCH(AE13,Codes,0)))*1440,0)&lt;660,1,0),0),0))</f>
      </c>
    </row>
    <row r="63" hidden="1" spans="1:32" x14ac:dyDescent="0.25">
      <c r="A63" s="1"/>
      <c r="B63" s="1">
        <f>IF(OR(B$52=0,INDEX('Juli'!$B$14:$AF$14,DAY(DATE(Jahr,8,0)))="",B14=""),0,IFERROR(IF(AND(INDEX(Arten,MATCH(INDEX('Juli'!$B$14:$AF$14,DAY(DATE(Jahr,8,0))),Codes,0))="Arbeit",INDEX(Arten,MATCH(B14,Codes,0))="Arbeit"),IF(ROUND((1+INDEX(Beginne,MATCH(B14,Codes,0))-INDEX(EndeRel,MATCH(INDEX('Juli'!$B$14:$AF$14,DAY(DATE(Jahr,8,0))),Codes,0)))*1440,0)&lt;660,1,0),0),0))</f>
      </c>
      <c r="C63" s="1">
        <f>IF(OR(C$52=0,B14="",C14=""),0,IFERROR(IF(AND(INDEX(Arten,MATCH(B14,Codes,0))="Arbeit",INDEX(Arten,MATCH(C14,Codes,0))="Arbeit"),IF(ROUND((1+INDEX(Beginne,MATCH(C14,Codes,0))-INDEX(EndeRel,MATCH(B14,Codes,0)))*1440,0)&lt;660,1,0),0),0))</f>
      </c>
      <c r="D63" s="1">
        <f>IF(OR(D$52=0,C14="",D14=""),0,IFERROR(IF(AND(INDEX(Arten,MATCH(C14,Codes,0))="Arbeit",INDEX(Arten,MATCH(D14,Codes,0))="Arbeit"),IF(ROUND((1+INDEX(Beginne,MATCH(D14,Codes,0))-INDEX(EndeRel,MATCH(C14,Codes,0)))*1440,0)&lt;660,1,0),0),0))</f>
      </c>
      <c r="E63" s="1">
        <f>IF(OR(E$52=0,D14="",E14=""),0,IFERROR(IF(AND(INDEX(Arten,MATCH(D14,Codes,0))="Arbeit",INDEX(Arten,MATCH(E14,Codes,0))="Arbeit"),IF(ROUND((1+INDEX(Beginne,MATCH(E14,Codes,0))-INDEX(EndeRel,MATCH(D14,Codes,0)))*1440,0)&lt;660,1,0),0),0))</f>
      </c>
      <c r="F63" s="1">
        <f>IF(OR(F$52=0,E14="",F14=""),0,IFERROR(IF(AND(INDEX(Arten,MATCH(E14,Codes,0))="Arbeit",INDEX(Arten,MATCH(F14,Codes,0))="Arbeit"),IF(ROUND((1+INDEX(Beginne,MATCH(F14,Codes,0))-INDEX(EndeRel,MATCH(E14,Codes,0)))*1440,0)&lt;660,1,0),0),0))</f>
      </c>
      <c r="G63" s="1">
        <f>IF(OR(G$52=0,F14="",G14=""),0,IFERROR(IF(AND(INDEX(Arten,MATCH(F14,Codes,0))="Arbeit",INDEX(Arten,MATCH(G14,Codes,0))="Arbeit"),IF(ROUND((1+INDEX(Beginne,MATCH(G14,Codes,0))-INDEX(EndeRel,MATCH(F14,Codes,0)))*1440,0)&lt;660,1,0),0),0))</f>
      </c>
      <c r="H63" s="1">
        <f>IF(OR(H$52=0,G14="",H14=""),0,IFERROR(IF(AND(INDEX(Arten,MATCH(G14,Codes,0))="Arbeit",INDEX(Arten,MATCH(H14,Codes,0))="Arbeit"),IF(ROUND((1+INDEX(Beginne,MATCH(H14,Codes,0))-INDEX(EndeRel,MATCH(G14,Codes,0)))*1440,0)&lt;660,1,0),0),0))</f>
      </c>
      <c r="I63" s="1">
        <f>IF(OR(I$52=0,H14="",I14=""),0,IFERROR(IF(AND(INDEX(Arten,MATCH(H14,Codes,0))="Arbeit",INDEX(Arten,MATCH(I14,Codes,0))="Arbeit"),IF(ROUND((1+INDEX(Beginne,MATCH(I14,Codes,0))-INDEX(EndeRel,MATCH(H14,Codes,0)))*1440,0)&lt;660,1,0),0),0))</f>
      </c>
      <c r="J63" s="1">
        <f>IF(OR(J$52=0,I14="",J14=""),0,IFERROR(IF(AND(INDEX(Arten,MATCH(I14,Codes,0))="Arbeit",INDEX(Arten,MATCH(J14,Codes,0))="Arbeit"),IF(ROUND((1+INDEX(Beginne,MATCH(J14,Codes,0))-INDEX(EndeRel,MATCH(I14,Codes,0)))*1440,0)&lt;660,1,0),0),0))</f>
      </c>
      <c r="K63" s="1">
        <f>IF(OR(K$52=0,J14="",K14=""),0,IFERROR(IF(AND(INDEX(Arten,MATCH(J14,Codes,0))="Arbeit",INDEX(Arten,MATCH(K14,Codes,0))="Arbeit"),IF(ROUND((1+INDEX(Beginne,MATCH(K14,Codes,0))-INDEX(EndeRel,MATCH(J14,Codes,0)))*1440,0)&lt;660,1,0),0),0))</f>
      </c>
      <c r="L63" s="1">
        <f>IF(OR(L$52=0,K14="",L14=""),0,IFERROR(IF(AND(INDEX(Arten,MATCH(K14,Codes,0))="Arbeit",INDEX(Arten,MATCH(L14,Codes,0))="Arbeit"),IF(ROUND((1+INDEX(Beginne,MATCH(L14,Codes,0))-INDEX(EndeRel,MATCH(K14,Codes,0)))*1440,0)&lt;660,1,0),0),0))</f>
      </c>
      <c r="M63" s="1">
        <f>IF(OR(M$52=0,L14="",M14=""),0,IFERROR(IF(AND(INDEX(Arten,MATCH(L14,Codes,0))="Arbeit",INDEX(Arten,MATCH(M14,Codes,0))="Arbeit"),IF(ROUND((1+INDEX(Beginne,MATCH(M14,Codes,0))-INDEX(EndeRel,MATCH(L14,Codes,0)))*1440,0)&lt;660,1,0),0),0))</f>
      </c>
      <c r="N63" s="1">
        <f>IF(OR(N$52=0,M14="",N14=""),0,IFERROR(IF(AND(INDEX(Arten,MATCH(M14,Codes,0))="Arbeit",INDEX(Arten,MATCH(N14,Codes,0))="Arbeit"),IF(ROUND((1+INDEX(Beginne,MATCH(N14,Codes,0))-INDEX(EndeRel,MATCH(M14,Codes,0)))*1440,0)&lt;660,1,0),0),0))</f>
      </c>
      <c r="O63" s="1">
        <f>IF(OR(O$52=0,N14="",O14=""),0,IFERROR(IF(AND(INDEX(Arten,MATCH(N14,Codes,0))="Arbeit",INDEX(Arten,MATCH(O14,Codes,0))="Arbeit"),IF(ROUND((1+INDEX(Beginne,MATCH(O14,Codes,0))-INDEX(EndeRel,MATCH(N14,Codes,0)))*1440,0)&lt;660,1,0),0),0))</f>
      </c>
      <c r="P63" s="1">
        <f>IF(OR(P$52=0,O14="",P14=""),0,IFERROR(IF(AND(INDEX(Arten,MATCH(O14,Codes,0))="Arbeit",INDEX(Arten,MATCH(P14,Codes,0))="Arbeit"),IF(ROUND((1+INDEX(Beginne,MATCH(P14,Codes,0))-INDEX(EndeRel,MATCH(O14,Codes,0)))*1440,0)&lt;660,1,0),0),0))</f>
      </c>
      <c r="Q63" s="1">
        <f>IF(OR(Q$52=0,P14="",Q14=""),0,IFERROR(IF(AND(INDEX(Arten,MATCH(P14,Codes,0))="Arbeit",INDEX(Arten,MATCH(Q14,Codes,0))="Arbeit"),IF(ROUND((1+INDEX(Beginne,MATCH(Q14,Codes,0))-INDEX(EndeRel,MATCH(P14,Codes,0)))*1440,0)&lt;660,1,0),0),0))</f>
      </c>
      <c r="R63" s="1">
        <f>IF(OR(R$52=0,Q14="",R14=""),0,IFERROR(IF(AND(INDEX(Arten,MATCH(Q14,Codes,0))="Arbeit",INDEX(Arten,MATCH(R14,Codes,0))="Arbeit"),IF(ROUND((1+INDEX(Beginne,MATCH(R14,Codes,0))-INDEX(EndeRel,MATCH(Q14,Codes,0)))*1440,0)&lt;660,1,0),0),0))</f>
      </c>
      <c r="S63" s="1">
        <f>IF(OR(S$52=0,R14="",S14=""),0,IFERROR(IF(AND(INDEX(Arten,MATCH(R14,Codes,0))="Arbeit",INDEX(Arten,MATCH(S14,Codes,0))="Arbeit"),IF(ROUND((1+INDEX(Beginne,MATCH(S14,Codes,0))-INDEX(EndeRel,MATCH(R14,Codes,0)))*1440,0)&lt;660,1,0),0),0))</f>
      </c>
      <c r="T63" s="1">
        <f>IF(OR(T$52=0,S14="",T14=""),0,IFERROR(IF(AND(INDEX(Arten,MATCH(S14,Codes,0))="Arbeit",INDEX(Arten,MATCH(T14,Codes,0))="Arbeit"),IF(ROUND((1+INDEX(Beginne,MATCH(T14,Codes,0))-INDEX(EndeRel,MATCH(S14,Codes,0)))*1440,0)&lt;660,1,0),0),0))</f>
      </c>
      <c r="U63" s="1">
        <f>IF(OR(U$52=0,T14="",U14=""),0,IFERROR(IF(AND(INDEX(Arten,MATCH(T14,Codes,0))="Arbeit",INDEX(Arten,MATCH(U14,Codes,0))="Arbeit"),IF(ROUND((1+INDEX(Beginne,MATCH(U14,Codes,0))-INDEX(EndeRel,MATCH(T14,Codes,0)))*1440,0)&lt;660,1,0),0),0))</f>
      </c>
      <c r="V63" s="1">
        <f>IF(OR(V$52=0,U14="",V14=""),0,IFERROR(IF(AND(INDEX(Arten,MATCH(U14,Codes,0))="Arbeit",INDEX(Arten,MATCH(V14,Codes,0))="Arbeit"),IF(ROUND((1+INDEX(Beginne,MATCH(V14,Codes,0))-INDEX(EndeRel,MATCH(U14,Codes,0)))*1440,0)&lt;660,1,0),0),0))</f>
      </c>
      <c r="W63" s="1">
        <f>IF(OR(W$52=0,V14="",W14=""),0,IFERROR(IF(AND(INDEX(Arten,MATCH(V14,Codes,0))="Arbeit",INDEX(Arten,MATCH(W14,Codes,0))="Arbeit"),IF(ROUND((1+INDEX(Beginne,MATCH(W14,Codes,0))-INDEX(EndeRel,MATCH(V14,Codes,0)))*1440,0)&lt;660,1,0),0),0))</f>
      </c>
      <c r="X63" s="1">
        <f>IF(OR(X$52=0,W14="",X14=""),0,IFERROR(IF(AND(INDEX(Arten,MATCH(W14,Codes,0))="Arbeit",INDEX(Arten,MATCH(X14,Codes,0))="Arbeit"),IF(ROUND((1+INDEX(Beginne,MATCH(X14,Codes,0))-INDEX(EndeRel,MATCH(W14,Codes,0)))*1440,0)&lt;660,1,0),0),0))</f>
      </c>
      <c r="Y63" s="1">
        <f>IF(OR(Y$52=0,X14="",Y14=""),0,IFERROR(IF(AND(INDEX(Arten,MATCH(X14,Codes,0))="Arbeit",INDEX(Arten,MATCH(Y14,Codes,0))="Arbeit"),IF(ROUND((1+INDEX(Beginne,MATCH(Y14,Codes,0))-INDEX(EndeRel,MATCH(X14,Codes,0)))*1440,0)&lt;660,1,0),0),0))</f>
      </c>
      <c r="Z63" s="1">
        <f>IF(OR(Z$52=0,Y14="",Z14=""),0,IFERROR(IF(AND(INDEX(Arten,MATCH(Y14,Codes,0))="Arbeit",INDEX(Arten,MATCH(Z14,Codes,0))="Arbeit"),IF(ROUND((1+INDEX(Beginne,MATCH(Z14,Codes,0))-INDEX(EndeRel,MATCH(Y14,Codes,0)))*1440,0)&lt;660,1,0),0),0))</f>
      </c>
      <c r="AA63" s="1">
        <f>IF(OR(AA$52=0,Z14="",AA14=""),0,IFERROR(IF(AND(INDEX(Arten,MATCH(Z14,Codes,0))="Arbeit",INDEX(Arten,MATCH(AA14,Codes,0))="Arbeit"),IF(ROUND((1+INDEX(Beginne,MATCH(AA14,Codes,0))-INDEX(EndeRel,MATCH(Z14,Codes,0)))*1440,0)&lt;660,1,0),0),0))</f>
      </c>
      <c r="AB63" s="1">
        <f>IF(OR(AB$52=0,AA14="",AB14=""),0,IFERROR(IF(AND(INDEX(Arten,MATCH(AA14,Codes,0))="Arbeit",INDEX(Arten,MATCH(AB14,Codes,0))="Arbeit"),IF(ROUND((1+INDEX(Beginne,MATCH(AB14,Codes,0))-INDEX(EndeRel,MATCH(AA14,Codes,0)))*1440,0)&lt;660,1,0),0),0))</f>
      </c>
      <c r="AC63" s="1">
        <f>IF(OR(AC$52=0,AB14="",AC14=""),0,IFERROR(IF(AND(INDEX(Arten,MATCH(AB14,Codes,0))="Arbeit",INDEX(Arten,MATCH(AC14,Codes,0))="Arbeit"),IF(ROUND((1+INDEX(Beginne,MATCH(AC14,Codes,0))-INDEX(EndeRel,MATCH(AB14,Codes,0)))*1440,0)&lt;660,1,0),0),0))</f>
      </c>
      <c r="AD63" s="1">
        <f>IF(OR(AD$52=0,AC14="",AD14=""),0,IFERROR(IF(AND(INDEX(Arten,MATCH(AC14,Codes,0))="Arbeit",INDEX(Arten,MATCH(AD14,Codes,0))="Arbeit"),IF(ROUND((1+INDEX(Beginne,MATCH(AD14,Codes,0))-INDEX(EndeRel,MATCH(AC14,Codes,0)))*1440,0)&lt;660,1,0),0),0))</f>
      </c>
      <c r="AE63" s="1">
        <f>IF(OR(AE$52=0,AD14="",AE14=""),0,IFERROR(IF(AND(INDEX(Arten,MATCH(AD14,Codes,0))="Arbeit",INDEX(Arten,MATCH(AE14,Codes,0))="Arbeit"),IF(ROUND((1+INDEX(Beginne,MATCH(AE14,Codes,0))-INDEX(EndeRel,MATCH(AD14,Codes,0)))*1440,0)&lt;660,1,0),0),0))</f>
      </c>
      <c r="AF63" s="1">
        <f>IF(OR(AF$52=0,AE14="",AF14=""),0,IFERROR(IF(AND(INDEX(Arten,MATCH(AE14,Codes,0))="Arbeit",INDEX(Arten,MATCH(AF14,Codes,0))="Arbeit"),IF(ROUND((1+INDEX(Beginne,MATCH(AF14,Codes,0))-INDEX(EndeRel,MATCH(AE14,Codes,0)))*1440,0)&lt;660,1,0),0),0))</f>
      </c>
    </row>
    <row r="64" hidden="1" spans="1:32" x14ac:dyDescent="0.25">
      <c r="A64" s="1"/>
      <c r="B64" s="1">
        <f>IF(OR(B$52=0,INDEX('Juli'!$B$15:$AF$15,DAY(DATE(Jahr,8,0)))="",B15=""),0,IFERROR(IF(AND(INDEX(Arten,MATCH(INDEX('Juli'!$B$15:$AF$15,DAY(DATE(Jahr,8,0))),Codes,0))="Arbeit",INDEX(Arten,MATCH(B15,Codes,0))="Arbeit"),IF(ROUND((1+INDEX(Beginne,MATCH(B15,Codes,0))-INDEX(EndeRel,MATCH(INDEX('Juli'!$B$15:$AF$15,DAY(DATE(Jahr,8,0))),Codes,0)))*1440,0)&lt;660,1,0),0),0))</f>
      </c>
      <c r="C64" s="1">
        <f>IF(OR(C$52=0,B15="",C15=""),0,IFERROR(IF(AND(INDEX(Arten,MATCH(B15,Codes,0))="Arbeit",INDEX(Arten,MATCH(C15,Codes,0))="Arbeit"),IF(ROUND((1+INDEX(Beginne,MATCH(C15,Codes,0))-INDEX(EndeRel,MATCH(B15,Codes,0)))*1440,0)&lt;660,1,0),0),0))</f>
      </c>
      <c r="D64" s="1">
        <f>IF(OR(D$52=0,C15="",D15=""),0,IFERROR(IF(AND(INDEX(Arten,MATCH(C15,Codes,0))="Arbeit",INDEX(Arten,MATCH(D15,Codes,0))="Arbeit"),IF(ROUND((1+INDEX(Beginne,MATCH(D15,Codes,0))-INDEX(EndeRel,MATCH(C15,Codes,0)))*1440,0)&lt;660,1,0),0),0))</f>
      </c>
      <c r="E64" s="1">
        <f>IF(OR(E$52=0,D15="",E15=""),0,IFERROR(IF(AND(INDEX(Arten,MATCH(D15,Codes,0))="Arbeit",INDEX(Arten,MATCH(E15,Codes,0))="Arbeit"),IF(ROUND((1+INDEX(Beginne,MATCH(E15,Codes,0))-INDEX(EndeRel,MATCH(D15,Codes,0)))*1440,0)&lt;660,1,0),0),0))</f>
      </c>
      <c r="F64" s="1">
        <f>IF(OR(F$52=0,E15="",F15=""),0,IFERROR(IF(AND(INDEX(Arten,MATCH(E15,Codes,0))="Arbeit",INDEX(Arten,MATCH(F15,Codes,0))="Arbeit"),IF(ROUND((1+INDEX(Beginne,MATCH(F15,Codes,0))-INDEX(EndeRel,MATCH(E15,Codes,0)))*1440,0)&lt;660,1,0),0),0))</f>
      </c>
      <c r="G64" s="1">
        <f>IF(OR(G$52=0,F15="",G15=""),0,IFERROR(IF(AND(INDEX(Arten,MATCH(F15,Codes,0))="Arbeit",INDEX(Arten,MATCH(G15,Codes,0))="Arbeit"),IF(ROUND((1+INDEX(Beginne,MATCH(G15,Codes,0))-INDEX(EndeRel,MATCH(F15,Codes,0)))*1440,0)&lt;660,1,0),0),0))</f>
      </c>
      <c r="H64" s="1">
        <f>IF(OR(H$52=0,G15="",H15=""),0,IFERROR(IF(AND(INDEX(Arten,MATCH(G15,Codes,0))="Arbeit",INDEX(Arten,MATCH(H15,Codes,0))="Arbeit"),IF(ROUND((1+INDEX(Beginne,MATCH(H15,Codes,0))-INDEX(EndeRel,MATCH(G15,Codes,0)))*1440,0)&lt;660,1,0),0),0))</f>
      </c>
      <c r="I64" s="1">
        <f>IF(OR(I$52=0,H15="",I15=""),0,IFERROR(IF(AND(INDEX(Arten,MATCH(H15,Codes,0))="Arbeit",INDEX(Arten,MATCH(I15,Codes,0))="Arbeit"),IF(ROUND((1+INDEX(Beginne,MATCH(I15,Codes,0))-INDEX(EndeRel,MATCH(H15,Codes,0)))*1440,0)&lt;660,1,0),0),0))</f>
      </c>
      <c r="J64" s="1">
        <f>IF(OR(J$52=0,I15="",J15=""),0,IFERROR(IF(AND(INDEX(Arten,MATCH(I15,Codes,0))="Arbeit",INDEX(Arten,MATCH(J15,Codes,0))="Arbeit"),IF(ROUND((1+INDEX(Beginne,MATCH(J15,Codes,0))-INDEX(EndeRel,MATCH(I15,Codes,0)))*1440,0)&lt;660,1,0),0),0))</f>
      </c>
      <c r="K64" s="1">
        <f>IF(OR(K$52=0,J15="",K15=""),0,IFERROR(IF(AND(INDEX(Arten,MATCH(J15,Codes,0))="Arbeit",INDEX(Arten,MATCH(K15,Codes,0))="Arbeit"),IF(ROUND((1+INDEX(Beginne,MATCH(K15,Codes,0))-INDEX(EndeRel,MATCH(J15,Codes,0)))*1440,0)&lt;660,1,0),0),0))</f>
      </c>
      <c r="L64" s="1">
        <f>IF(OR(L$52=0,K15="",L15=""),0,IFERROR(IF(AND(INDEX(Arten,MATCH(K15,Codes,0))="Arbeit",INDEX(Arten,MATCH(L15,Codes,0))="Arbeit"),IF(ROUND((1+INDEX(Beginne,MATCH(L15,Codes,0))-INDEX(EndeRel,MATCH(K15,Codes,0)))*1440,0)&lt;660,1,0),0),0))</f>
      </c>
      <c r="M64" s="1">
        <f>IF(OR(M$52=0,L15="",M15=""),0,IFERROR(IF(AND(INDEX(Arten,MATCH(L15,Codes,0))="Arbeit",INDEX(Arten,MATCH(M15,Codes,0))="Arbeit"),IF(ROUND((1+INDEX(Beginne,MATCH(M15,Codes,0))-INDEX(EndeRel,MATCH(L15,Codes,0)))*1440,0)&lt;660,1,0),0),0))</f>
      </c>
      <c r="N64" s="1">
        <f>IF(OR(N$52=0,M15="",N15=""),0,IFERROR(IF(AND(INDEX(Arten,MATCH(M15,Codes,0))="Arbeit",INDEX(Arten,MATCH(N15,Codes,0))="Arbeit"),IF(ROUND((1+INDEX(Beginne,MATCH(N15,Codes,0))-INDEX(EndeRel,MATCH(M15,Codes,0)))*1440,0)&lt;660,1,0),0),0))</f>
      </c>
      <c r="O64" s="1">
        <f>IF(OR(O$52=0,N15="",O15=""),0,IFERROR(IF(AND(INDEX(Arten,MATCH(N15,Codes,0))="Arbeit",INDEX(Arten,MATCH(O15,Codes,0))="Arbeit"),IF(ROUND((1+INDEX(Beginne,MATCH(O15,Codes,0))-INDEX(EndeRel,MATCH(N15,Codes,0)))*1440,0)&lt;660,1,0),0),0))</f>
      </c>
      <c r="P64" s="1">
        <f>IF(OR(P$52=0,O15="",P15=""),0,IFERROR(IF(AND(INDEX(Arten,MATCH(O15,Codes,0))="Arbeit",INDEX(Arten,MATCH(P15,Codes,0))="Arbeit"),IF(ROUND((1+INDEX(Beginne,MATCH(P15,Codes,0))-INDEX(EndeRel,MATCH(O15,Codes,0)))*1440,0)&lt;660,1,0),0),0))</f>
      </c>
      <c r="Q64" s="1">
        <f>IF(OR(Q$52=0,P15="",Q15=""),0,IFERROR(IF(AND(INDEX(Arten,MATCH(P15,Codes,0))="Arbeit",INDEX(Arten,MATCH(Q15,Codes,0))="Arbeit"),IF(ROUND((1+INDEX(Beginne,MATCH(Q15,Codes,0))-INDEX(EndeRel,MATCH(P15,Codes,0)))*1440,0)&lt;660,1,0),0),0))</f>
      </c>
      <c r="R64" s="1">
        <f>IF(OR(R$52=0,Q15="",R15=""),0,IFERROR(IF(AND(INDEX(Arten,MATCH(Q15,Codes,0))="Arbeit",INDEX(Arten,MATCH(R15,Codes,0))="Arbeit"),IF(ROUND((1+INDEX(Beginne,MATCH(R15,Codes,0))-INDEX(EndeRel,MATCH(Q15,Codes,0)))*1440,0)&lt;660,1,0),0),0))</f>
      </c>
      <c r="S64" s="1">
        <f>IF(OR(S$52=0,R15="",S15=""),0,IFERROR(IF(AND(INDEX(Arten,MATCH(R15,Codes,0))="Arbeit",INDEX(Arten,MATCH(S15,Codes,0))="Arbeit"),IF(ROUND((1+INDEX(Beginne,MATCH(S15,Codes,0))-INDEX(EndeRel,MATCH(R15,Codes,0)))*1440,0)&lt;660,1,0),0),0))</f>
      </c>
      <c r="T64" s="1">
        <f>IF(OR(T$52=0,S15="",T15=""),0,IFERROR(IF(AND(INDEX(Arten,MATCH(S15,Codes,0))="Arbeit",INDEX(Arten,MATCH(T15,Codes,0))="Arbeit"),IF(ROUND((1+INDEX(Beginne,MATCH(T15,Codes,0))-INDEX(EndeRel,MATCH(S15,Codes,0)))*1440,0)&lt;660,1,0),0),0))</f>
      </c>
      <c r="U64" s="1">
        <f>IF(OR(U$52=0,T15="",U15=""),0,IFERROR(IF(AND(INDEX(Arten,MATCH(T15,Codes,0))="Arbeit",INDEX(Arten,MATCH(U15,Codes,0))="Arbeit"),IF(ROUND((1+INDEX(Beginne,MATCH(U15,Codes,0))-INDEX(EndeRel,MATCH(T15,Codes,0)))*1440,0)&lt;660,1,0),0),0))</f>
      </c>
      <c r="V64" s="1">
        <f>IF(OR(V$52=0,U15="",V15=""),0,IFERROR(IF(AND(INDEX(Arten,MATCH(U15,Codes,0))="Arbeit",INDEX(Arten,MATCH(V15,Codes,0))="Arbeit"),IF(ROUND((1+INDEX(Beginne,MATCH(V15,Codes,0))-INDEX(EndeRel,MATCH(U15,Codes,0)))*1440,0)&lt;660,1,0),0),0))</f>
      </c>
      <c r="W64" s="1">
        <f>IF(OR(W$52=0,V15="",W15=""),0,IFERROR(IF(AND(INDEX(Arten,MATCH(V15,Codes,0))="Arbeit",INDEX(Arten,MATCH(W15,Codes,0))="Arbeit"),IF(ROUND((1+INDEX(Beginne,MATCH(W15,Codes,0))-INDEX(EndeRel,MATCH(V15,Codes,0)))*1440,0)&lt;660,1,0),0),0))</f>
      </c>
      <c r="X64" s="1">
        <f>IF(OR(X$52=0,W15="",X15=""),0,IFERROR(IF(AND(INDEX(Arten,MATCH(W15,Codes,0))="Arbeit",INDEX(Arten,MATCH(X15,Codes,0))="Arbeit"),IF(ROUND((1+INDEX(Beginne,MATCH(X15,Codes,0))-INDEX(EndeRel,MATCH(W15,Codes,0)))*1440,0)&lt;660,1,0),0),0))</f>
      </c>
      <c r="Y64" s="1">
        <f>IF(OR(Y$52=0,X15="",Y15=""),0,IFERROR(IF(AND(INDEX(Arten,MATCH(X15,Codes,0))="Arbeit",INDEX(Arten,MATCH(Y15,Codes,0))="Arbeit"),IF(ROUND((1+INDEX(Beginne,MATCH(Y15,Codes,0))-INDEX(EndeRel,MATCH(X15,Codes,0)))*1440,0)&lt;660,1,0),0),0))</f>
      </c>
      <c r="Z64" s="1">
        <f>IF(OR(Z$52=0,Y15="",Z15=""),0,IFERROR(IF(AND(INDEX(Arten,MATCH(Y15,Codes,0))="Arbeit",INDEX(Arten,MATCH(Z15,Codes,0))="Arbeit"),IF(ROUND((1+INDEX(Beginne,MATCH(Z15,Codes,0))-INDEX(EndeRel,MATCH(Y15,Codes,0)))*1440,0)&lt;660,1,0),0),0))</f>
      </c>
      <c r="AA64" s="1">
        <f>IF(OR(AA$52=0,Z15="",AA15=""),0,IFERROR(IF(AND(INDEX(Arten,MATCH(Z15,Codes,0))="Arbeit",INDEX(Arten,MATCH(AA15,Codes,0))="Arbeit"),IF(ROUND((1+INDEX(Beginne,MATCH(AA15,Codes,0))-INDEX(EndeRel,MATCH(Z15,Codes,0)))*1440,0)&lt;660,1,0),0),0))</f>
      </c>
      <c r="AB64" s="1">
        <f>IF(OR(AB$52=0,AA15="",AB15=""),0,IFERROR(IF(AND(INDEX(Arten,MATCH(AA15,Codes,0))="Arbeit",INDEX(Arten,MATCH(AB15,Codes,0))="Arbeit"),IF(ROUND((1+INDEX(Beginne,MATCH(AB15,Codes,0))-INDEX(EndeRel,MATCH(AA15,Codes,0)))*1440,0)&lt;660,1,0),0),0))</f>
      </c>
      <c r="AC64" s="1">
        <f>IF(OR(AC$52=0,AB15="",AC15=""),0,IFERROR(IF(AND(INDEX(Arten,MATCH(AB15,Codes,0))="Arbeit",INDEX(Arten,MATCH(AC15,Codes,0))="Arbeit"),IF(ROUND((1+INDEX(Beginne,MATCH(AC15,Codes,0))-INDEX(EndeRel,MATCH(AB15,Codes,0)))*1440,0)&lt;660,1,0),0),0))</f>
      </c>
      <c r="AD64" s="1">
        <f>IF(OR(AD$52=0,AC15="",AD15=""),0,IFERROR(IF(AND(INDEX(Arten,MATCH(AC15,Codes,0))="Arbeit",INDEX(Arten,MATCH(AD15,Codes,0))="Arbeit"),IF(ROUND((1+INDEX(Beginne,MATCH(AD15,Codes,0))-INDEX(EndeRel,MATCH(AC15,Codes,0)))*1440,0)&lt;660,1,0),0),0))</f>
      </c>
      <c r="AE64" s="1">
        <f>IF(OR(AE$52=0,AD15="",AE15=""),0,IFERROR(IF(AND(INDEX(Arten,MATCH(AD15,Codes,0))="Arbeit",INDEX(Arten,MATCH(AE15,Codes,0))="Arbeit"),IF(ROUND((1+INDEX(Beginne,MATCH(AE15,Codes,0))-INDEX(EndeRel,MATCH(AD15,Codes,0)))*1440,0)&lt;660,1,0),0),0))</f>
      </c>
      <c r="AF64" s="1">
        <f>IF(OR(AF$52=0,AE15="",AF15=""),0,IFERROR(IF(AND(INDEX(Arten,MATCH(AE15,Codes,0))="Arbeit",INDEX(Arten,MATCH(AF15,Codes,0))="Arbeit"),IF(ROUND((1+INDEX(Beginne,MATCH(AF15,Codes,0))-INDEX(EndeRel,MATCH(AE15,Codes,0)))*1440,0)&lt;660,1,0),0),0))</f>
      </c>
    </row>
    <row r="65" hidden="1" spans="1:32" x14ac:dyDescent="0.25">
      <c r="A65" s="1"/>
      <c r="B65" s="1">
        <f>IF(OR(B$52=0,INDEX('Juli'!$B$16:$AF$16,DAY(DATE(Jahr,8,0)))="",B16=""),0,IFERROR(IF(AND(INDEX(Arten,MATCH(INDEX('Juli'!$B$16:$AF$16,DAY(DATE(Jahr,8,0))),Codes,0))="Arbeit",INDEX(Arten,MATCH(B16,Codes,0))="Arbeit"),IF(ROUND((1+INDEX(Beginne,MATCH(B16,Codes,0))-INDEX(EndeRel,MATCH(INDEX('Juli'!$B$16:$AF$16,DAY(DATE(Jahr,8,0))),Codes,0)))*1440,0)&lt;660,1,0),0),0))</f>
      </c>
      <c r="C65" s="1">
        <f>IF(OR(C$52=0,B16="",C16=""),0,IFERROR(IF(AND(INDEX(Arten,MATCH(B16,Codes,0))="Arbeit",INDEX(Arten,MATCH(C16,Codes,0))="Arbeit"),IF(ROUND((1+INDEX(Beginne,MATCH(C16,Codes,0))-INDEX(EndeRel,MATCH(B16,Codes,0)))*1440,0)&lt;660,1,0),0),0))</f>
      </c>
      <c r="D65" s="1">
        <f>IF(OR(D$52=0,C16="",D16=""),0,IFERROR(IF(AND(INDEX(Arten,MATCH(C16,Codes,0))="Arbeit",INDEX(Arten,MATCH(D16,Codes,0))="Arbeit"),IF(ROUND((1+INDEX(Beginne,MATCH(D16,Codes,0))-INDEX(EndeRel,MATCH(C16,Codes,0)))*1440,0)&lt;660,1,0),0),0))</f>
      </c>
      <c r="E65" s="1">
        <f>IF(OR(E$52=0,D16="",E16=""),0,IFERROR(IF(AND(INDEX(Arten,MATCH(D16,Codes,0))="Arbeit",INDEX(Arten,MATCH(E16,Codes,0))="Arbeit"),IF(ROUND((1+INDEX(Beginne,MATCH(E16,Codes,0))-INDEX(EndeRel,MATCH(D16,Codes,0)))*1440,0)&lt;660,1,0),0),0))</f>
      </c>
      <c r="F65" s="1">
        <f>IF(OR(F$52=0,E16="",F16=""),0,IFERROR(IF(AND(INDEX(Arten,MATCH(E16,Codes,0))="Arbeit",INDEX(Arten,MATCH(F16,Codes,0))="Arbeit"),IF(ROUND((1+INDEX(Beginne,MATCH(F16,Codes,0))-INDEX(EndeRel,MATCH(E16,Codes,0)))*1440,0)&lt;660,1,0),0),0))</f>
      </c>
      <c r="G65" s="1">
        <f>IF(OR(G$52=0,F16="",G16=""),0,IFERROR(IF(AND(INDEX(Arten,MATCH(F16,Codes,0))="Arbeit",INDEX(Arten,MATCH(G16,Codes,0))="Arbeit"),IF(ROUND((1+INDEX(Beginne,MATCH(G16,Codes,0))-INDEX(EndeRel,MATCH(F16,Codes,0)))*1440,0)&lt;660,1,0),0),0))</f>
      </c>
      <c r="H65" s="1">
        <f>IF(OR(H$52=0,G16="",H16=""),0,IFERROR(IF(AND(INDEX(Arten,MATCH(G16,Codes,0))="Arbeit",INDEX(Arten,MATCH(H16,Codes,0))="Arbeit"),IF(ROUND((1+INDEX(Beginne,MATCH(H16,Codes,0))-INDEX(EndeRel,MATCH(G16,Codes,0)))*1440,0)&lt;660,1,0),0),0))</f>
      </c>
      <c r="I65" s="1">
        <f>IF(OR(I$52=0,H16="",I16=""),0,IFERROR(IF(AND(INDEX(Arten,MATCH(H16,Codes,0))="Arbeit",INDEX(Arten,MATCH(I16,Codes,0))="Arbeit"),IF(ROUND((1+INDEX(Beginne,MATCH(I16,Codes,0))-INDEX(EndeRel,MATCH(H16,Codes,0)))*1440,0)&lt;660,1,0),0),0))</f>
      </c>
      <c r="J65" s="1">
        <f>IF(OR(J$52=0,I16="",J16=""),0,IFERROR(IF(AND(INDEX(Arten,MATCH(I16,Codes,0))="Arbeit",INDEX(Arten,MATCH(J16,Codes,0))="Arbeit"),IF(ROUND((1+INDEX(Beginne,MATCH(J16,Codes,0))-INDEX(EndeRel,MATCH(I16,Codes,0)))*1440,0)&lt;660,1,0),0),0))</f>
      </c>
      <c r="K65" s="1">
        <f>IF(OR(K$52=0,J16="",K16=""),0,IFERROR(IF(AND(INDEX(Arten,MATCH(J16,Codes,0))="Arbeit",INDEX(Arten,MATCH(K16,Codes,0))="Arbeit"),IF(ROUND((1+INDEX(Beginne,MATCH(K16,Codes,0))-INDEX(EndeRel,MATCH(J16,Codes,0)))*1440,0)&lt;660,1,0),0),0))</f>
      </c>
      <c r="L65" s="1">
        <f>IF(OR(L$52=0,K16="",L16=""),0,IFERROR(IF(AND(INDEX(Arten,MATCH(K16,Codes,0))="Arbeit",INDEX(Arten,MATCH(L16,Codes,0))="Arbeit"),IF(ROUND((1+INDEX(Beginne,MATCH(L16,Codes,0))-INDEX(EndeRel,MATCH(K16,Codes,0)))*1440,0)&lt;660,1,0),0),0))</f>
      </c>
      <c r="M65" s="1">
        <f>IF(OR(M$52=0,L16="",M16=""),0,IFERROR(IF(AND(INDEX(Arten,MATCH(L16,Codes,0))="Arbeit",INDEX(Arten,MATCH(M16,Codes,0))="Arbeit"),IF(ROUND((1+INDEX(Beginne,MATCH(M16,Codes,0))-INDEX(EndeRel,MATCH(L16,Codes,0)))*1440,0)&lt;660,1,0),0),0))</f>
      </c>
      <c r="N65" s="1">
        <f>IF(OR(N$52=0,M16="",N16=""),0,IFERROR(IF(AND(INDEX(Arten,MATCH(M16,Codes,0))="Arbeit",INDEX(Arten,MATCH(N16,Codes,0))="Arbeit"),IF(ROUND((1+INDEX(Beginne,MATCH(N16,Codes,0))-INDEX(EndeRel,MATCH(M16,Codes,0)))*1440,0)&lt;660,1,0),0),0))</f>
      </c>
      <c r="O65" s="1">
        <f>IF(OR(O$52=0,N16="",O16=""),0,IFERROR(IF(AND(INDEX(Arten,MATCH(N16,Codes,0))="Arbeit",INDEX(Arten,MATCH(O16,Codes,0))="Arbeit"),IF(ROUND((1+INDEX(Beginne,MATCH(O16,Codes,0))-INDEX(EndeRel,MATCH(N16,Codes,0)))*1440,0)&lt;660,1,0),0),0))</f>
      </c>
      <c r="P65" s="1">
        <f>IF(OR(P$52=0,O16="",P16=""),0,IFERROR(IF(AND(INDEX(Arten,MATCH(O16,Codes,0))="Arbeit",INDEX(Arten,MATCH(P16,Codes,0))="Arbeit"),IF(ROUND((1+INDEX(Beginne,MATCH(P16,Codes,0))-INDEX(EndeRel,MATCH(O16,Codes,0)))*1440,0)&lt;660,1,0),0),0))</f>
      </c>
      <c r="Q65" s="1">
        <f>IF(OR(Q$52=0,P16="",Q16=""),0,IFERROR(IF(AND(INDEX(Arten,MATCH(P16,Codes,0))="Arbeit",INDEX(Arten,MATCH(Q16,Codes,0))="Arbeit"),IF(ROUND((1+INDEX(Beginne,MATCH(Q16,Codes,0))-INDEX(EndeRel,MATCH(P16,Codes,0)))*1440,0)&lt;660,1,0),0),0))</f>
      </c>
      <c r="R65" s="1">
        <f>IF(OR(R$52=0,Q16="",R16=""),0,IFERROR(IF(AND(INDEX(Arten,MATCH(Q16,Codes,0))="Arbeit",INDEX(Arten,MATCH(R16,Codes,0))="Arbeit"),IF(ROUND((1+INDEX(Beginne,MATCH(R16,Codes,0))-INDEX(EndeRel,MATCH(Q16,Codes,0)))*1440,0)&lt;660,1,0),0),0))</f>
      </c>
      <c r="S65" s="1">
        <f>IF(OR(S$52=0,R16="",S16=""),0,IFERROR(IF(AND(INDEX(Arten,MATCH(R16,Codes,0))="Arbeit",INDEX(Arten,MATCH(S16,Codes,0))="Arbeit"),IF(ROUND((1+INDEX(Beginne,MATCH(S16,Codes,0))-INDEX(EndeRel,MATCH(R16,Codes,0)))*1440,0)&lt;660,1,0),0),0))</f>
      </c>
      <c r="T65" s="1">
        <f>IF(OR(T$52=0,S16="",T16=""),0,IFERROR(IF(AND(INDEX(Arten,MATCH(S16,Codes,0))="Arbeit",INDEX(Arten,MATCH(T16,Codes,0))="Arbeit"),IF(ROUND((1+INDEX(Beginne,MATCH(T16,Codes,0))-INDEX(EndeRel,MATCH(S16,Codes,0)))*1440,0)&lt;660,1,0),0),0))</f>
      </c>
      <c r="U65" s="1">
        <f>IF(OR(U$52=0,T16="",U16=""),0,IFERROR(IF(AND(INDEX(Arten,MATCH(T16,Codes,0))="Arbeit",INDEX(Arten,MATCH(U16,Codes,0))="Arbeit"),IF(ROUND((1+INDEX(Beginne,MATCH(U16,Codes,0))-INDEX(EndeRel,MATCH(T16,Codes,0)))*1440,0)&lt;660,1,0),0),0))</f>
      </c>
      <c r="V65" s="1">
        <f>IF(OR(V$52=0,U16="",V16=""),0,IFERROR(IF(AND(INDEX(Arten,MATCH(U16,Codes,0))="Arbeit",INDEX(Arten,MATCH(V16,Codes,0))="Arbeit"),IF(ROUND((1+INDEX(Beginne,MATCH(V16,Codes,0))-INDEX(EndeRel,MATCH(U16,Codes,0)))*1440,0)&lt;660,1,0),0),0))</f>
      </c>
      <c r="W65" s="1">
        <f>IF(OR(W$52=0,V16="",W16=""),0,IFERROR(IF(AND(INDEX(Arten,MATCH(V16,Codes,0))="Arbeit",INDEX(Arten,MATCH(W16,Codes,0))="Arbeit"),IF(ROUND((1+INDEX(Beginne,MATCH(W16,Codes,0))-INDEX(EndeRel,MATCH(V16,Codes,0)))*1440,0)&lt;660,1,0),0),0))</f>
      </c>
      <c r="X65" s="1">
        <f>IF(OR(X$52=0,W16="",X16=""),0,IFERROR(IF(AND(INDEX(Arten,MATCH(W16,Codes,0))="Arbeit",INDEX(Arten,MATCH(X16,Codes,0))="Arbeit"),IF(ROUND((1+INDEX(Beginne,MATCH(X16,Codes,0))-INDEX(EndeRel,MATCH(W16,Codes,0)))*1440,0)&lt;660,1,0),0),0))</f>
      </c>
      <c r="Y65" s="1">
        <f>IF(OR(Y$52=0,X16="",Y16=""),0,IFERROR(IF(AND(INDEX(Arten,MATCH(X16,Codes,0))="Arbeit",INDEX(Arten,MATCH(Y16,Codes,0))="Arbeit"),IF(ROUND((1+INDEX(Beginne,MATCH(Y16,Codes,0))-INDEX(EndeRel,MATCH(X16,Codes,0)))*1440,0)&lt;660,1,0),0),0))</f>
      </c>
      <c r="Z65" s="1">
        <f>IF(OR(Z$52=0,Y16="",Z16=""),0,IFERROR(IF(AND(INDEX(Arten,MATCH(Y16,Codes,0))="Arbeit",INDEX(Arten,MATCH(Z16,Codes,0))="Arbeit"),IF(ROUND((1+INDEX(Beginne,MATCH(Z16,Codes,0))-INDEX(EndeRel,MATCH(Y16,Codes,0)))*1440,0)&lt;660,1,0),0),0))</f>
      </c>
      <c r="AA65" s="1">
        <f>IF(OR(AA$52=0,Z16="",AA16=""),0,IFERROR(IF(AND(INDEX(Arten,MATCH(Z16,Codes,0))="Arbeit",INDEX(Arten,MATCH(AA16,Codes,0))="Arbeit"),IF(ROUND((1+INDEX(Beginne,MATCH(AA16,Codes,0))-INDEX(EndeRel,MATCH(Z16,Codes,0)))*1440,0)&lt;660,1,0),0),0))</f>
      </c>
      <c r="AB65" s="1">
        <f>IF(OR(AB$52=0,AA16="",AB16=""),0,IFERROR(IF(AND(INDEX(Arten,MATCH(AA16,Codes,0))="Arbeit",INDEX(Arten,MATCH(AB16,Codes,0))="Arbeit"),IF(ROUND((1+INDEX(Beginne,MATCH(AB16,Codes,0))-INDEX(EndeRel,MATCH(AA16,Codes,0)))*1440,0)&lt;660,1,0),0),0))</f>
      </c>
      <c r="AC65" s="1">
        <f>IF(OR(AC$52=0,AB16="",AC16=""),0,IFERROR(IF(AND(INDEX(Arten,MATCH(AB16,Codes,0))="Arbeit",INDEX(Arten,MATCH(AC16,Codes,0))="Arbeit"),IF(ROUND((1+INDEX(Beginne,MATCH(AC16,Codes,0))-INDEX(EndeRel,MATCH(AB16,Codes,0)))*1440,0)&lt;660,1,0),0),0))</f>
      </c>
      <c r="AD65" s="1">
        <f>IF(OR(AD$52=0,AC16="",AD16=""),0,IFERROR(IF(AND(INDEX(Arten,MATCH(AC16,Codes,0))="Arbeit",INDEX(Arten,MATCH(AD16,Codes,0))="Arbeit"),IF(ROUND((1+INDEX(Beginne,MATCH(AD16,Codes,0))-INDEX(EndeRel,MATCH(AC16,Codes,0)))*1440,0)&lt;660,1,0),0),0))</f>
      </c>
      <c r="AE65" s="1">
        <f>IF(OR(AE$52=0,AD16="",AE16=""),0,IFERROR(IF(AND(INDEX(Arten,MATCH(AD16,Codes,0))="Arbeit",INDEX(Arten,MATCH(AE16,Codes,0))="Arbeit"),IF(ROUND((1+INDEX(Beginne,MATCH(AE16,Codes,0))-INDEX(EndeRel,MATCH(AD16,Codes,0)))*1440,0)&lt;660,1,0),0),0))</f>
      </c>
      <c r="AF65" s="1">
        <f>IF(OR(AF$52=0,AE16="",AF16=""),0,IFERROR(IF(AND(INDEX(Arten,MATCH(AE16,Codes,0))="Arbeit",INDEX(Arten,MATCH(AF16,Codes,0))="Arbeit"),IF(ROUND((1+INDEX(Beginne,MATCH(AF16,Codes,0))-INDEX(EndeRel,MATCH(AE16,Codes,0)))*1440,0)&lt;660,1,0),0),0))</f>
      </c>
    </row>
    <row r="66" hidden="1" spans="1:32" x14ac:dyDescent="0.25">
      <c r="A66" s="1"/>
      <c r="B66" s="1">
        <f>IF(OR(B$52=0,INDEX('Juli'!$B$17:$AF$17,DAY(DATE(Jahr,8,0)))="",B17=""),0,IFERROR(IF(AND(INDEX(Arten,MATCH(INDEX('Juli'!$B$17:$AF$17,DAY(DATE(Jahr,8,0))),Codes,0))="Arbeit",INDEX(Arten,MATCH(B17,Codes,0))="Arbeit"),IF(ROUND((1+INDEX(Beginne,MATCH(B17,Codes,0))-INDEX(EndeRel,MATCH(INDEX('Juli'!$B$17:$AF$17,DAY(DATE(Jahr,8,0))),Codes,0)))*1440,0)&lt;660,1,0),0),0))</f>
      </c>
      <c r="C66" s="1">
        <f>IF(OR(C$52=0,B17="",C17=""),0,IFERROR(IF(AND(INDEX(Arten,MATCH(B17,Codes,0))="Arbeit",INDEX(Arten,MATCH(C17,Codes,0))="Arbeit"),IF(ROUND((1+INDEX(Beginne,MATCH(C17,Codes,0))-INDEX(EndeRel,MATCH(B17,Codes,0)))*1440,0)&lt;660,1,0),0),0))</f>
      </c>
      <c r="D66" s="1">
        <f>IF(OR(D$52=0,C17="",D17=""),0,IFERROR(IF(AND(INDEX(Arten,MATCH(C17,Codes,0))="Arbeit",INDEX(Arten,MATCH(D17,Codes,0))="Arbeit"),IF(ROUND((1+INDEX(Beginne,MATCH(D17,Codes,0))-INDEX(EndeRel,MATCH(C17,Codes,0)))*1440,0)&lt;660,1,0),0),0))</f>
      </c>
      <c r="E66" s="1">
        <f>IF(OR(E$52=0,D17="",E17=""),0,IFERROR(IF(AND(INDEX(Arten,MATCH(D17,Codes,0))="Arbeit",INDEX(Arten,MATCH(E17,Codes,0))="Arbeit"),IF(ROUND((1+INDEX(Beginne,MATCH(E17,Codes,0))-INDEX(EndeRel,MATCH(D17,Codes,0)))*1440,0)&lt;660,1,0),0),0))</f>
      </c>
      <c r="F66" s="1">
        <f>IF(OR(F$52=0,E17="",F17=""),0,IFERROR(IF(AND(INDEX(Arten,MATCH(E17,Codes,0))="Arbeit",INDEX(Arten,MATCH(F17,Codes,0))="Arbeit"),IF(ROUND((1+INDEX(Beginne,MATCH(F17,Codes,0))-INDEX(EndeRel,MATCH(E17,Codes,0)))*1440,0)&lt;660,1,0),0),0))</f>
      </c>
      <c r="G66" s="1">
        <f>IF(OR(G$52=0,F17="",G17=""),0,IFERROR(IF(AND(INDEX(Arten,MATCH(F17,Codes,0))="Arbeit",INDEX(Arten,MATCH(G17,Codes,0))="Arbeit"),IF(ROUND((1+INDEX(Beginne,MATCH(G17,Codes,0))-INDEX(EndeRel,MATCH(F17,Codes,0)))*1440,0)&lt;660,1,0),0),0))</f>
      </c>
      <c r="H66" s="1">
        <f>IF(OR(H$52=0,G17="",H17=""),0,IFERROR(IF(AND(INDEX(Arten,MATCH(G17,Codes,0))="Arbeit",INDEX(Arten,MATCH(H17,Codes,0))="Arbeit"),IF(ROUND((1+INDEX(Beginne,MATCH(H17,Codes,0))-INDEX(EndeRel,MATCH(G17,Codes,0)))*1440,0)&lt;660,1,0),0),0))</f>
      </c>
      <c r="I66" s="1">
        <f>IF(OR(I$52=0,H17="",I17=""),0,IFERROR(IF(AND(INDEX(Arten,MATCH(H17,Codes,0))="Arbeit",INDEX(Arten,MATCH(I17,Codes,0))="Arbeit"),IF(ROUND((1+INDEX(Beginne,MATCH(I17,Codes,0))-INDEX(EndeRel,MATCH(H17,Codes,0)))*1440,0)&lt;660,1,0),0),0))</f>
      </c>
      <c r="J66" s="1">
        <f>IF(OR(J$52=0,I17="",J17=""),0,IFERROR(IF(AND(INDEX(Arten,MATCH(I17,Codes,0))="Arbeit",INDEX(Arten,MATCH(J17,Codes,0))="Arbeit"),IF(ROUND((1+INDEX(Beginne,MATCH(J17,Codes,0))-INDEX(EndeRel,MATCH(I17,Codes,0)))*1440,0)&lt;660,1,0),0),0))</f>
      </c>
      <c r="K66" s="1">
        <f>IF(OR(K$52=0,J17="",K17=""),0,IFERROR(IF(AND(INDEX(Arten,MATCH(J17,Codes,0))="Arbeit",INDEX(Arten,MATCH(K17,Codes,0))="Arbeit"),IF(ROUND((1+INDEX(Beginne,MATCH(K17,Codes,0))-INDEX(EndeRel,MATCH(J17,Codes,0)))*1440,0)&lt;660,1,0),0),0))</f>
      </c>
      <c r="L66" s="1">
        <f>IF(OR(L$52=0,K17="",L17=""),0,IFERROR(IF(AND(INDEX(Arten,MATCH(K17,Codes,0))="Arbeit",INDEX(Arten,MATCH(L17,Codes,0))="Arbeit"),IF(ROUND((1+INDEX(Beginne,MATCH(L17,Codes,0))-INDEX(EndeRel,MATCH(K17,Codes,0)))*1440,0)&lt;660,1,0),0),0))</f>
      </c>
      <c r="M66" s="1">
        <f>IF(OR(M$52=0,L17="",M17=""),0,IFERROR(IF(AND(INDEX(Arten,MATCH(L17,Codes,0))="Arbeit",INDEX(Arten,MATCH(M17,Codes,0))="Arbeit"),IF(ROUND((1+INDEX(Beginne,MATCH(M17,Codes,0))-INDEX(EndeRel,MATCH(L17,Codes,0)))*1440,0)&lt;660,1,0),0),0))</f>
      </c>
      <c r="N66" s="1">
        <f>IF(OR(N$52=0,M17="",N17=""),0,IFERROR(IF(AND(INDEX(Arten,MATCH(M17,Codes,0))="Arbeit",INDEX(Arten,MATCH(N17,Codes,0))="Arbeit"),IF(ROUND((1+INDEX(Beginne,MATCH(N17,Codes,0))-INDEX(EndeRel,MATCH(M17,Codes,0)))*1440,0)&lt;660,1,0),0),0))</f>
      </c>
      <c r="O66" s="1">
        <f>IF(OR(O$52=0,N17="",O17=""),0,IFERROR(IF(AND(INDEX(Arten,MATCH(N17,Codes,0))="Arbeit",INDEX(Arten,MATCH(O17,Codes,0))="Arbeit"),IF(ROUND((1+INDEX(Beginne,MATCH(O17,Codes,0))-INDEX(EndeRel,MATCH(N17,Codes,0)))*1440,0)&lt;660,1,0),0),0))</f>
      </c>
      <c r="P66" s="1">
        <f>IF(OR(P$52=0,O17="",P17=""),0,IFERROR(IF(AND(INDEX(Arten,MATCH(O17,Codes,0))="Arbeit",INDEX(Arten,MATCH(P17,Codes,0))="Arbeit"),IF(ROUND((1+INDEX(Beginne,MATCH(P17,Codes,0))-INDEX(EndeRel,MATCH(O17,Codes,0)))*1440,0)&lt;660,1,0),0),0))</f>
      </c>
      <c r="Q66" s="1">
        <f>IF(OR(Q$52=0,P17="",Q17=""),0,IFERROR(IF(AND(INDEX(Arten,MATCH(P17,Codes,0))="Arbeit",INDEX(Arten,MATCH(Q17,Codes,0))="Arbeit"),IF(ROUND((1+INDEX(Beginne,MATCH(Q17,Codes,0))-INDEX(EndeRel,MATCH(P17,Codes,0)))*1440,0)&lt;660,1,0),0),0))</f>
      </c>
      <c r="R66" s="1">
        <f>IF(OR(R$52=0,Q17="",R17=""),0,IFERROR(IF(AND(INDEX(Arten,MATCH(Q17,Codes,0))="Arbeit",INDEX(Arten,MATCH(R17,Codes,0))="Arbeit"),IF(ROUND((1+INDEX(Beginne,MATCH(R17,Codes,0))-INDEX(EndeRel,MATCH(Q17,Codes,0)))*1440,0)&lt;660,1,0),0),0))</f>
      </c>
      <c r="S66" s="1">
        <f>IF(OR(S$52=0,R17="",S17=""),0,IFERROR(IF(AND(INDEX(Arten,MATCH(R17,Codes,0))="Arbeit",INDEX(Arten,MATCH(S17,Codes,0))="Arbeit"),IF(ROUND((1+INDEX(Beginne,MATCH(S17,Codes,0))-INDEX(EndeRel,MATCH(R17,Codes,0)))*1440,0)&lt;660,1,0),0),0))</f>
      </c>
      <c r="T66" s="1">
        <f>IF(OR(T$52=0,S17="",T17=""),0,IFERROR(IF(AND(INDEX(Arten,MATCH(S17,Codes,0))="Arbeit",INDEX(Arten,MATCH(T17,Codes,0))="Arbeit"),IF(ROUND((1+INDEX(Beginne,MATCH(T17,Codes,0))-INDEX(EndeRel,MATCH(S17,Codes,0)))*1440,0)&lt;660,1,0),0),0))</f>
      </c>
      <c r="U66" s="1">
        <f>IF(OR(U$52=0,T17="",U17=""),0,IFERROR(IF(AND(INDEX(Arten,MATCH(T17,Codes,0))="Arbeit",INDEX(Arten,MATCH(U17,Codes,0))="Arbeit"),IF(ROUND((1+INDEX(Beginne,MATCH(U17,Codes,0))-INDEX(EndeRel,MATCH(T17,Codes,0)))*1440,0)&lt;660,1,0),0),0))</f>
      </c>
      <c r="V66" s="1">
        <f>IF(OR(V$52=0,U17="",V17=""),0,IFERROR(IF(AND(INDEX(Arten,MATCH(U17,Codes,0))="Arbeit",INDEX(Arten,MATCH(V17,Codes,0))="Arbeit"),IF(ROUND((1+INDEX(Beginne,MATCH(V17,Codes,0))-INDEX(EndeRel,MATCH(U17,Codes,0)))*1440,0)&lt;660,1,0),0),0))</f>
      </c>
      <c r="W66" s="1">
        <f>IF(OR(W$52=0,V17="",W17=""),0,IFERROR(IF(AND(INDEX(Arten,MATCH(V17,Codes,0))="Arbeit",INDEX(Arten,MATCH(W17,Codes,0))="Arbeit"),IF(ROUND((1+INDEX(Beginne,MATCH(W17,Codes,0))-INDEX(EndeRel,MATCH(V17,Codes,0)))*1440,0)&lt;660,1,0),0),0))</f>
      </c>
      <c r="X66" s="1">
        <f>IF(OR(X$52=0,W17="",X17=""),0,IFERROR(IF(AND(INDEX(Arten,MATCH(W17,Codes,0))="Arbeit",INDEX(Arten,MATCH(X17,Codes,0))="Arbeit"),IF(ROUND((1+INDEX(Beginne,MATCH(X17,Codes,0))-INDEX(EndeRel,MATCH(W17,Codes,0)))*1440,0)&lt;660,1,0),0),0))</f>
      </c>
      <c r="Y66" s="1">
        <f>IF(OR(Y$52=0,X17="",Y17=""),0,IFERROR(IF(AND(INDEX(Arten,MATCH(X17,Codes,0))="Arbeit",INDEX(Arten,MATCH(Y17,Codes,0))="Arbeit"),IF(ROUND((1+INDEX(Beginne,MATCH(Y17,Codes,0))-INDEX(EndeRel,MATCH(X17,Codes,0)))*1440,0)&lt;660,1,0),0),0))</f>
      </c>
      <c r="Z66" s="1">
        <f>IF(OR(Z$52=0,Y17="",Z17=""),0,IFERROR(IF(AND(INDEX(Arten,MATCH(Y17,Codes,0))="Arbeit",INDEX(Arten,MATCH(Z17,Codes,0))="Arbeit"),IF(ROUND((1+INDEX(Beginne,MATCH(Z17,Codes,0))-INDEX(EndeRel,MATCH(Y17,Codes,0)))*1440,0)&lt;660,1,0),0),0))</f>
      </c>
      <c r="AA66" s="1">
        <f>IF(OR(AA$52=0,Z17="",AA17=""),0,IFERROR(IF(AND(INDEX(Arten,MATCH(Z17,Codes,0))="Arbeit",INDEX(Arten,MATCH(AA17,Codes,0))="Arbeit"),IF(ROUND((1+INDEX(Beginne,MATCH(AA17,Codes,0))-INDEX(EndeRel,MATCH(Z17,Codes,0)))*1440,0)&lt;660,1,0),0),0))</f>
      </c>
      <c r="AB66" s="1">
        <f>IF(OR(AB$52=0,AA17="",AB17=""),0,IFERROR(IF(AND(INDEX(Arten,MATCH(AA17,Codes,0))="Arbeit",INDEX(Arten,MATCH(AB17,Codes,0))="Arbeit"),IF(ROUND((1+INDEX(Beginne,MATCH(AB17,Codes,0))-INDEX(EndeRel,MATCH(AA17,Codes,0)))*1440,0)&lt;660,1,0),0),0))</f>
      </c>
      <c r="AC66" s="1">
        <f>IF(OR(AC$52=0,AB17="",AC17=""),0,IFERROR(IF(AND(INDEX(Arten,MATCH(AB17,Codes,0))="Arbeit",INDEX(Arten,MATCH(AC17,Codes,0))="Arbeit"),IF(ROUND((1+INDEX(Beginne,MATCH(AC17,Codes,0))-INDEX(EndeRel,MATCH(AB17,Codes,0)))*1440,0)&lt;660,1,0),0),0))</f>
      </c>
      <c r="AD66" s="1">
        <f>IF(OR(AD$52=0,AC17="",AD17=""),0,IFERROR(IF(AND(INDEX(Arten,MATCH(AC17,Codes,0))="Arbeit",INDEX(Arten,MATCH(AD17,Codes,0))="Arbeit"),IF(ROUND((1+INDEX(Beginne,MATCH(AD17,Codes,0))-INDEX(EndeRel,MATCH(AC17,Codes,0)))*1440,0)&lt;660,1,0),0),0))</f>
      </c>
      <c r="AE66" s="1">
        <f>IF(OR(AE$52=0,AD17="",AE17=""),0,IFERROR(IF(AND(INDEX(Arten,MATCH(AD17,Codes,0))="Arbeit",INDEX(Arten,MATCH(AE17,Codes,0))="Arbeit"),IF(ROUND((1+INDEX(Beginne,MATCH(AE17,Codes,0))-INDEX(EndeRel,MATCH(AD17,Codes,0)))*1440,0)&lt;660,1,0),0),0))</f>
      </c>
      <c r="AF66" s="1">
        <f>IF(OR(AF$52=0,AE17="",AF17=""),0,IFERROR(IF(AND(INDEX(Arten,MATCH(AE17,Codes,0))="Arbeit",INDEX(Arten,MATCH(AF17,Codes,0))="Arbeit"),IF(ROUND((1+INDEX(Beginne,MATCH(AF17,Codes,0))-INDEX(EndeRel,MATCH(AE17,Codes,0)))*1440,0)&lt;660,1,0),0),0))</f>
      </c>
    </row>
    <row r="67" hidden="1" spans="1:32" x14ac:dyDescent="0.25">
      <c r="A67" s="1"/>
      <c r="B67" s="1">
        <f>IF(OR(B$52=0,INDEX('Juli'!$B$18:$AF$18,DAY(DATE(Jahr,8,0)))="",B18=""),0,IFERROR(IF(AND(INDEX(Arten,MATCH(INDEX('Juli'!$B$18:$AF$18,DAY(DATE(Jahr,8,0))),Codes,0))="Arbeit",INDEX(Arten,MATCH(B18,Codes,0))="Arbeit"),IF(ROUND((1+INDEX(Beginne,MATCH(B18,Codes,0))-INDEX(EndeRel,MATCH(INDEX('Juli'!$B$18:$AF$18,DAY(DATE(Jahr,8,0))),Codes,0)))*1440,0)&lt;660,1,0),0),0))</f>
      </c>
      <c r="C67" s="1">
        <f>IF(OR(C$52=0,B18="",C18=""),0,IFERROR(IF(AND(INDEX(Arten,MATCH(B18,Codes,0))="Arbeit",INDEX(Arten,MATCH(C18,Codes,0))="Arbeit"),IF(ROUND((1+INDEX(Beginne,MATCH(C18,Codes,0))-INDEX(EndeRel,MATCH(B18,Codes,0)))*1440,0)&lt;660,1,0),0),0))</f>
      </c>
      <c r="D67" s="1">
        <f>IF(OR(D$52=0,C18="",D18=""),0,IFERROR(IF(AND(INDEX(Arten,MATCH(C18,Codes,0))="Arbeit",INDEX(Arten,MATCH(D18,Codes,0))="Arbeit"),IF(ROUND((1+INDEX(Beginne,MATCH(D18,Codes,0))-INDEX(EndeRel,MATCH(C18,Codes,0)))*1440,0)&lt;660,1,0),0),0))</f>
      </c>
      <c r="E67" s="1">
        <f>IF(OR(E$52=0,D18="",E18=""),0,IFERROR(IF(AND(INDEX(Arten,MATCH(D18,Codes,0))="Arbeit",INDEX(Arten,MATCH(E18,Codes,0))="Arbeit"),IF(ROUND((1+INDEX(Beginne,MATCH(E18,Codes,0))-INDEX(EndeRel,MATCH(D18,Codes,0)))*1440,0)&lt;660,1,0),0),0))</f>
      </c>
      <c r="F67" s="1">
        <f>IF(OR(F$52=0,E18="",F18=""),0,IFERROR(IF(AND(INDEX(Arten,MATCH(E18,Codes,0))="Arbeit",INDEX(Arten,MATCH(F18,Codes,0))="Arbeit"),IF(ROUND((1+INDEX(Beginne,MATCH(F18,Codes,0))-INDEX(EndeRel,MATCH(E18,Codes,0)))*1440,0)&lt;660,1,0),0),0))</f>
      </c>
      <c r="G67" s="1">
        <f>IF(OR(G$52=0,F18="",G18=""),0,IFERROR(IF(AND(INDEX(Arten,MATCH(F18,Codes,0))="Arbeit",INDEX(Arten,MATCH(G18,Codes,0))="Arbeit"),IF(ROUND((1+INDEX(Beginne,MATCH(G18,Codes,0))-INDEX(EndeRel,MATCH(F18,Codes,0)))*1440,0)&lt;660,1,0),0),0))</f>
      </c>
      <c r="H67" s="1">
        <f>IF(OR(H$52=0,G18="",H18=""),0,IFERROR(IF(AND(INDEX(Arten,MATCH(G18,Codes,0))="Arbeit",INDEX(Arten,MATCH(H18,Codes,0))="Arbeit"),IF(ROUND((1+INDEX(Beginne,MATCH(H18,Codes,0))-INDEX(EndeRel,MATCH(G18,Codes,0)))*1440,0)&lt;660,1,0),0),0))</f>
      </c>
      <c r="I67" s="1">
        <f>IF(OR(I$52=0,H18="",I18=""),0,IFERROR(IF(AND(INDEX(Arten,MATCH(H18,Codes,0))="Arbeit",INDEX(Arten,MATCH(I18,Codes,0))="Arbeit"),IF(ROUND((1+INDEX(Beginne,MATCH(I18,Codes,0))-INDEX(EndeRel,MATCH(H18,Codes,0)))*1440,0)&lt;660,1,0),0),0))</f>
      </c>
      <c r="J67" s="1">
        <f>IF(OR(J$52=0,I18="",J18=""),0,IFERROR(IF(AND(INDEX(Arten,MATCH(I18,Codes,0))="Arbeit",INDEX(Arten,MATCH(J18,Codes,0))="Arbeit"),IF(ROUND((1+INDEX(Beginne,MATCH(J18,Codes,0))-INDEX(EndeRel,MATCH(I18,Codes,0)))*1440,0)&lt;660,1,0),0),0))</f>
      </c>
      <c r="K67" s="1">
        <f>IF(OR(K$52=0,J18="",K18=""),0,IFERROR(IF(AND(INDEX(Arten,MATCH(J18,Codes,0))="Arbeit",INDEX(Arten,MATCH(K18,Codes,0))="Arbeit"),IF(ROUND((1+INDEX(Beginne,MATCH(K18,Codes,0))-INDEX(EndeRel,MATCH(J18,Codes,0)))*1440,0)&lt;660,1,0),0),0))</f>
      </c>
      <c r="L67" s="1">
        <f>IF(OR(L$52=0,K18="",L18=""),0,IFERROR(IF(AND(INDEX(Arten,MATCH(K18,Codes,0))="Arbeit",INDEX(Arten,MATCH(L18,Codes,0))="Arbeit"),IF(ROUND((1+INDEX(Beginne,MATCH(L18,Codes,0))-INDEX(EndeRel,MATCH(K18,Codes,0)))*1440,0)&lt;660,1,0),0),0))</f>
      </c>
      <c r="M67" s="1">
        <f>IF(OR(M$52=0,L18="",M18=""),0,IFERROR(IF(AND(INDEX(Arten,MATCH(L18,Codes,0))="Arbeit",INDEX(Arten,MATCH(M18,Codes,0))="Arbeit"),IF(ROUND((1+INDEX(Beginne,MATCH(M18,Codes,0))-INDEX(EndeRel,MATCH(L18,Codes,0)))*1440,0)&lt;660,1,0),0),0))</f>
      </c>
      <c r="N67" s="1">
        <f>IF(OR(N$52=0,M18="",N18=""),0,IFERROR(IF(AND(INDEX(Arten,MATCH(M18,Codes,0))="Arbeit",INDEX(Arten,MATCH(N18,Codes,0))="Arbeit"),IF(ROUND((1+INDEX(Beginne,MATCH(N18,Codes,0))-INDEX(EndeRel,MATCH(M18,Codes,0)))*1440,0)&lt;660,1,0),0),0))</f>
      </c>
      <c r="O67" s="1">
        <f>IF(OR(O$52=0,N18="",O18=""),0,IFERROR(IF(AND(INDEX(Arten,MATCH(N18,Codes,0))="Arbeit",INDEX(Arten,MATCH(O18,Codes,0))="Arbeit"),IF(ROUND((1+INDEX(Beginne,MATCH(O18,Codes,0))-INDEX(EndeRel,MATCH(N18,Codes,0)))*1440,0)&lt;660,1,0),0),0))</f>
      </c>
      <c r="P67" s="1">
        <f>IF(OR(P$52=0,O18="",P18=""),0,IFERROR(IF(AND(INDEX(Arten,MATCH(O18,Codes,0))="Arbeit",INDEX(Arten,MATCH(P18,Codes,0))="Arbeit"),IF(ROUND((1+INDEX(Beginne,MATCH(P18,Codes,0))-INDEX(EndeRel,MATCH(O18,Codes,0)))*1440,0)&lt;660,1,0),0),0))</f>
      </c>
      <c r="Q67" s="1">
        <f>IF(OR(Q$52=0,P18="",Q18=""),0,IFERROR(IF(AND(INDEX(Arten,MATCH(P18,Codes,0))="Arbeit",INDEX(Arten,MATCH(Q18,Codes,0))="Arbeit"),IF(ROUND((1+INDEX(Beginne,MATCH(Q18,Codes,0))-INDEX(EndeRel,MATCH(P18,Codes,0)))*1440,0)&lt;660,1,0),0),0))</f>
      </c>
      <c r="R67" s="1">
        <f>IF(OR(R$52=0,Q18="",R18=""),0,IFERROR(IF(AND(INDEX(Arten,MATCH(Q18,Codes,0))="Arbeit",INDEX(Arten,MATCH(R18,Codes,0))="Arbeit"),IF(ROUND((1+INDEX(Beginne,MATCH(R18,Codes,0))-INDEX(EndeRel,MATCH(Q18,Codes,0)))*1440,0)&lt;660,1,0),0),0))</f>
      </c>
      <c r="S67" s="1">
        <f>IF(OR(S$52=0,R18="",S18=""),0,IFERROR(IF(AND(INDEX(Arten,MATCH(R18,Codes,0))="Arbeit",INDEX(Arten,MATCH(S18,Codes,0))="Arbeit"),IF(ROUND((1+INDEX(Beginne,MATCH(S18,Codes,0))-INDEX(EndeRel,MATCH(R18,Codes,0)))*1440,0)&lt;660,1,0),0),0))</f>
      </c>
      <c r="T67" s="1">
        <f>IF(OR(T$52=0,S18="",T18=""),0,IFERROR(IF(AND(INDEX(Arten,MATCH(S18,Codes,0))="Arbeit",INDEX(Arten,MATCH(T18,Codes,0))="Arbeit"),IF(ROUND((1+INDEX(Beginne,MATCH(T18,Codes,0))-INDEX(EndeRel,MATCH(S18,Codes,0)))*1440,0)&lt;660,1,0),0),0))</f>
      </c>
      <c r="U67" s="1">
        <f>IF(OR(U$52=0,T18="",U18=""),0,IFERROR(IF(AND(INDEX(Arten,MATCH(T18,Codes,0))="Arbeit",INDEX(Arten,MATCH(U18,Codes,0))="Arbeit"),IF(ROUND((1+INDEX(Beginne,MATCH(U18,Codes,0))-INDEX(EndeRel,MATCH(T18,Codes,0)))*1440,0)&lt;660,1,0),0),0))</f>
      </c>
      <c r="V67" s="1">
        <f>IF(OR(V$52=0,U18="",V18=""),0,IFERROR(IF(AND(INDEX(Arten,MATCH(U18,Codes,0))="Arbeit",INDEX(Arten,MATCH(V18,Codes,0))="Arbeit"),IF(ROUND((1+INDEX(Beginne,MATCH(V18,Codes,0))-INDEX(EndeRel,MATCH(U18,Codes,0)))*1440,0)&lt;660,1,0),0),0))</f>
      </c>
      <c r="W67" s="1">
        <f>IF(OR(W$52=0,V18="",W18=""),0,IFERROR(IF(AND(INDEX(Arten,MATCH(V18,Codes,0))="Arbeit",INDEX(Arten,MATCH(W18,Codes,0))="Arbeit"),IF(ROUND((1+INDEX(Beginne,MATCH(W18,Codes,0))-INDEX(EndeRel,MATCH(V18,Codes,0)))*1440,0)&lt;660,1,0),0),0))</f>
      </c>
      <c r="X67" s="1">
        <f>IF(OR(X$52=0,W18="",X18=""),0,IFERROR(IF(AND(INDEX(Arten,MATCH(W18,Codes,0))="Arbeit",INDEX(Arten,MATCH(X18,Codes,0))="Arbeit"),IF(ROUND((1+INDEX(Beginne,MATCH(X18,Codes,0))-INDEX(EndeRel,MATCH(W18,Codes,0)))*1440,0)&lt;660,1,0),0),0))</f>
      </c>
      <c r="Y67" s="1">
        <f>IF(OR(Y$52=0,X18="",Y18=""),0,IFERROR(IF(AND(INDEX(Arten,MATCH(X18,Codes,0))="Arbeit",INDEX(Arten,MATCH(Y18,Codes,0))="Arbeit"),IF(ROUND((1+INDEX(Beginne,MATCH(Y18,Codes,0))-INDEX(EndeRel,MATCH(X18,Codes,0)))*1440,0)&lt;660,1,0),0),0))</f>
      </c>
      <c r="Z67" s="1">
        <f>IF(OR(Z$52=0,Y18="",Z18=""),0,IFERROR(IF(AND(INDEX(Arten,MATCH(Y18,Codes,0))="Arbeit",INDEX(Arten,MATCH(Z18,Codes,0))="Arbeit"),IF(ROUND((1+INDEX(Beginne,MATCH(Z18,Codes,0))-INDEX(EndeRel,MATCH(Y18,Codes,0)))*1440,0)&lt;660,1,0),0),0))</f>
      </c>
      <c r="AA67" s="1">
        <f>IF(OR(AA$52=0,Z18="",AA18=""),0,IFERROR(IF(AND(INDEX(Arten,MATCH(Z18,Codes,0))="Arbeit",INDEX(Arten,MATCH(AA18,Codes,0))="Arbeit"),IF(ROUND((1+INDEX(Beginne,MATCH(AA18,Codes,0))-INDEX(EndeRel,MATCH(Z18,Codes,0)))*1440,0)&lt;660,1,0),0),0))</f>
      </c>
      <c r="AB67" s="1">
        <f>IF(OR(AB$52=0,AA18="",AB18=""),0,IFERROR(IF(AND(INDEX(Arten,MATCH(AA18,Codes,0))="Arbeit",INDEX(Arten,MATCH(AB18,Codes,0))="Arbeit"),IF(ROUND((1+INDEX(Beginne,MATCH(AB18,Codes,0))-INDEX(EndeRel,MATCH(AA18,Codes,0)))*1440,0)&lt;660,1,0),0),0))</f>
      </c>
      <c r="AC67" s="1">
        <f>IF(OR(AC$52=0,AB18="",AC18=""),0,IFERROR(IF(AND(INDEX(Arten,MATCH(AB18,Codes,0))="Arbeit",INDEX(Arten,MATCH(AC18,Codes,0))="Arbeit"),IF(ROUND((1+INDEX(Beginne,MATCH(AC18,Codes,0))-INDEX(EndeRel,MATCH(AB18,Codes,0)))*1440,0)&lt;660,1,0),0),0))</f>
      </c>
      <c r="AD67" s="1">
        <f>IF(OR(AD$52=0,AC18="",AD18=""),0,IFERROR(IF(AND(INDEX(Arten,MATCH(AC18,Codes,0))="Arbeit",INDEX(Arten,MATCH(AD18,Codes,0))="Arbeit"),IF(ROUND((1+INDEX(Beginne,MATCH(AD18,Codes,0))-INDEX(EndeRel,MATCH(AC18,Codes,0)))*1440,0)&lt;660,1,0),0),0))</f>
      </c>
      <c r="AE67" s="1">
        <f>IF(OR(AE$52=0,AD18="",AE18=""),0,IFERROR(IF(AND(INDEX(Arten,MATCH(AD18,Codes,0))="Arbeit",INDEX(Arten,MATCH(AE18,Codes,0))="Arbeit"),IF(ROUND((1+INDEX(Beginne,MATCH(AE18,Codes,0))-INDEX(EndeRel,MATCH(AD18,Codes,0)))*1440,0)&lt;660,1,0),0),0))</f>
      </c>
      <c r="AF67" s="1">
        <f>IF(OR(AF$52=0,AE18="",AF18=""),0,IFERROR(IF(AND(INDEX(Arten,MATCH(AE18,Codes,0))="Arbeit",INDEX(Arten,MATCH(AF18,Codes,0))="Arbeit"),IF(ROUND((1+INDEX(Beginne,MATCH(AF18,Codes,0))-INDEX(EndeRel,MATCH(AE18,Codes,0)))*1440,0)&lt;660,1,0),0),0))</f>
      </c>
    </row>
    <row r="68" hidden="1" spans="1:32" x14ac:dyDescent="0.25">
      <c r="A68" s="1"/>
      <c r="B68" s="1">
        <f>IF(OR(B$52=0,INDEX('Juli'!$B$19:$AF$19,DAY(DATE(Jahr,8,0)))="",B19=""),0,IFERROR(IF(AND(INDEX(Arten,MATCH(INDEX('Juli'!$B$19:$AF$19,DAY(DATE(Jahr,8,0))),Codes,0))="Arbeit",INDEX(Arten,MATCH(B19,Codes,0))="Arbeit"),IF(ROUND((1+INDEX(Beginne,MATCH(B19,Codes,0))-INDEX(EndeRel,MATCH(INDEX('Juli'!$B$19:$AF$19,DAY(DATE(Jahr,8,0))),Codes,0)))*1440,0)&lt;660,1,0),0),0))</f>
      </c>
      <c r="C68" s="1">
        <f>IF(OR(C$52=0,B19="",C19=""),0,IFERROR(IF(AND(INDEX(Arten,MATCH(B19,Codes,0))="Arbeit",INDEX(Arten,MATCH(C19,Codes,0))="Arbeit"),IF(ROUND((1+INDEX(Beginne,MATCH(C19,Codes,0))-INDEX(EndeRel,MATCH(B19,Codes,0)))*1440,0)&lt;660,1,0),0),0))</f>
      </c>
      <c r="D68" s="1">
        <f>IF(OR(D$52=0,C19="",D19=""),0,IFERROR(IF(AND(INDEX(Arten,MATCH(C19,Codes,0))="Arbeit",INDEX(Arten,MATCH(D19,Codes,0))="Arbeit"),IF(ROUND((1+INDEX(Beginne,MATCH(D19,Codes,0))-INDEX(EndeRel,MATCH(C19,Codes,0)))*1440,0)&lt;660,1,0),0),0))</f>
      </c>
      <c r="E68" s="1">
        <f>IF(OR(E$52=0,D19="",E19=""),0,IFERROR(IF(AND(INDEX(Arten,MATCH(D19,Codes,0))="Arbeit",INDEX(Arten,MATCH(E19,Codes,0))="Arbeit"),IF(ROUND((1+INDEX(Beginne,MATCH(E19,Codes,0))-INDEX(EndeRel,MATCH(D19,Codes,0)))*1440,0)&lt;660,1,0),0),0))</f>
      </c>
      <c r="F68" s="1">
        <f>IF(OR(F$52=0,E19="",F19=""),0,IFERROR(IF(AND(INDEX(Arten,MATCH(E19,Codes,0))="Arbeit",INDEX(Arten,MATCH(F19,Codes,0))="Arbeit"),IF(ROUND((1+INDEX(Beginne,MATCH(F19,Codes,0))-INDEX(EndeRel,MATCH(E19,Codes,0)))*1440,0)&lt;660,1,0),0),0))</f>
      </c>
      <c r="G68" s="1">
        <f>IF(OR(G$52=0,F19="",G19=""),0,IFERROR(IF(AND(INDEX(Arten,MATCH(F19,Codes,0))="Arbeit",INDEX(Arten,MATCH(G19,Codes,0))="Arbeit"),IF(ROUND((1+INDEX(Beginne,MATCH(G19,Codes,0))-INDEX(EndeRel,MATCH(F19,Codes,0)))*1440,0)&lt;660,1,0),0),0))</f>
      </c>
      <c r="H68" s="1">
        <f>IF(OR(H$52=0,G19="",H19=""),0,IFERROR(IF(AND(INDEX(Arten,MATCH(G19,Codes,0))="Arbeit",INDEX(Arten,MATCH(H19,Codes,0))="Arbeit"),IF(ROUND((1+INDEX(Beginne,MATCH(H19,Codes,0))-INDEX(EndeRel,MATCH(G19,Codes,0)))*1440,0)&lt;660,1,0),0),0))</f>
      </c>
      <c r="I68" s="1">
        <f>IF(OR(I$52=0,H19="",I19=""),0,IFERROR(IF(AND(INDEX(Arten,MATCH(H19,Codes,0))="Arbeit",INDEX(Arten,MATCH(I19,Codes,0))="Arbeit"),IF(ROUND((1+INDEX(Beginne,MATCH(I19,Codes,0))-INDEX(EndeRel,MATCH(H19,Codes,0)))*1440,0)&lt;660,1,0),0),0))</f>
      </c>
      <c r="J68" s="1">
        <f>IF(OR(J$52=0,I19="",J19=""),0,IFERROR(IF(AND(INDEX(Arten,MATCH(I19,Codes,0))="Arbeit",INDEX(Arten,MATCH(J19,Codes,0))="Arbeit"),IF(ROUND((1+INDEX(Beginne,MATCH(J19,Codes,0))-INDEX(EndeRel,MATCH(I19,Codes,0)))*1440,0)&lt;660,1,0),0),0))</f>
      </c>
      <c r="K68" s="1">
        <f>IF(OR(K$52=0,J19="",K19=""),0,IFERROR(IF(AND(INDEX(Arten,MATCH(J19,Codes,0))="Arbeit",INDEX(Arten,MATCH(K19,Codes,0))="Arbeit"),IF(ROUND((1+INDEX(Beginne,MATCH(K19,Codes,0))-INDEX(EndeRel,MATCH(J19,Codes,0)))*1440,0)&lt;660,1,0),0),0))</f>
      </c>
      <c r="L68" s="1">
        <f>IF(OR(L$52=0,K19="",L19=""),0,IFERROR(IF(AND(INDEX(Arten,MATCH(K19,Codes,0))="Arbeit",INDEX(Arten,MATCH(L19,Codes,0))="Arbeit"),IF(ROUND((1+INDEX(Beginne,MATCH(L19,Codes,0))-INDEX(EndeRel,MATCH(K19,Codes,0)))*1440,0)&lt;660,1,0),0),0))</f>
      </c>
      <c r="M68" s="1">
        <f>IF(OR(M$52=0,L19="",M19=""),0,IFERROR(IF(AND(INDEX(Arten,MATCH(L19,Codes,0))="Arbeit",INDEX(Arten,MATCH(M19,Codes,0))="Arbeit"),IF(ROUND((1+INDEX(Beginne,MATCH(M19,Codes,0))-INDEX(EndeRel,MATCH(L19,Codes,0)))*1440,0)&lt;660,1,0),0),0))</f>
      </c>
      <c r="N68" s="1">
        <f>IF(OR(N$52=0,M19="",N19=""),0,IFERROR(IF(AND(INDEX(Arten,MATCH(M19,Codes,0))="Arbeit",INDEX(Arten,MATCH(N19,Codes,0))="Arbeit"),IF(ROUND((1+INDEX(Beginne,MATCH(N19,Codes,0))-INDEX(EndeRel,MATCH(M19,Codes,0)))*1440,0)&lt;660,1,0),0),0))</f>
      </c>
      <c r="O68" s="1">
        <f>IF(OR(O$52=0,N19="",O19=""),0,IFERROR(IF(AND(INDEX(Arten,MATCH(N19,Codes,0))="Arbeit",INDEX(Arten,MATCH(O19,Codes,0))="Arbeit"),IF(ROUND((1+INDEX(Beginne,MATCH(O19,Codes,0))-INDEX(EndeRel,MATCH(N19,Codes,0)))*1440,0)&lt;660,1,0),0),0))</f>
      </c>
      <c r="P68" s="1">
        <f>IF(OR(P$52=0,O19="",P19=""),0,IFERROR(IF(AND(INDEX(Arten,MATCH(O19,Codes,0))="Arbeit",INDEX(Arten,MATCH(P19,Codes,0))="Arbeit"),IF(ROUND((1+INDEX(Beginne,MATCH(P19,Codes,0))-INDEX(EndeRel,MATCH(O19,Codes,0)))*1440,0)&lt;660,1,0),0),0))</f>
      </c>
      <c r="Q68" s="1">
        <f>IF(OR(Q$52=0,P19="",Q19=""),0,IFERROR(IF(AND(INDEX(Arten,MATCH(P19,Codes,0))="Arbeit",INDEX(Arten,MATCH(Q19,Codes,0))="Arbeit"),IF(ROUND((1+INDEX(Beginne,MATCH(Q19,Codes,0))-INDEX(EndeRel,MATCH(P19,Codes,0)))*1440,0)&lt;660,1,0),0),0))</f>
      </c>
      <c r="R68" s="1">
        <f>IF(OR(R$52=0,Q19="",R19=""),0,IFERROR(IF(AND(INDEX(Arten,MATCH(Q19,Codes,0))="Arbeit",INDEX(Arten,MATCH(R19,Codes,0))="Arbeit"),IF(ROUND((1+INDEX(Beginne,MATCH(R19,Codes,0))-INDEX(EndeRel,MATCH(Q19,Codes,0)))*1440,0)&lt;660,1,0),0),0))</f>
      </c>
      <c r="S68" s="1">
        <f>IF(OR(S$52=0,R19="",S19=""),0,IFERROR(IF(AND(INDEX(Arten,MATCH(R19,Codes,0))="Arbeit",INDEX(Arten,MATCH(S19,Codes,0))="Arbeit"),IF(ROUND((1+INDEX(Beginne,MATCH(S19,Codes,0))-INDEX(EndeRel,MATCH(R19,Codes,0)))*1440,0)&lt;660,1,0),0),0))</f>
      </c>
      <c r="T68" s="1">
        <f>IF(OR(T$52=0,S19="",T19=""),0,IFERROR(IF(AND(INDEX(Arten,MATCH(S19,Codes,0))="Arbeit",INDEX(Arten,MATCH(T19,Codes,0))="Arbeit"),IF(ROUND((1+INDEX(Beginne,MATCH(T19,Codes,0))-INDEX(EndeRel,MATCH(S19,Codes,0)))*1440,0)&lt;660,1,0),0),0))</f>
      </c>
      <c r="U68" s="1">
        <f>IF(OR(U$52=0,T19="",U19=""),0,IFERROR(IF(AND(INDEX(Arten,MATCH(T19,Codes,0))="Arbeit",INDEX(Arten,MATCH(U19,Codes,0))="Arbeit"),IF(ROUND((1+INDEX(Beginne,MATCH(U19,Codes,0))-INDEX(EndeRel,MATCH(T19,Codes,0)))*1440,0)&lt;660,1,0),0),0))</f>
      </c>
      <c r="V68" s="1">
        <f>IF(OR(V$52=0,U19="",V19=""),0,IFERROR(IF(AND(INDEX(Arten,MATCH(U19,Codes,0))="Arbeit",INDEX(Arten,MATCH(V19,Codes,0))="Arbeit"),IF(ROUND((1+INDEX(Beginne,MATCH(V19,Codes,0))-INDEX(EndeRel,MATCH(U19,Codes,0)))*1440,0)&lt;660,1,0),0),0))</f>
      </c>
      <c r="W68" s="1">
        <f>IF(OR(W$52=0,V19="",W19=""),0,IFERROR(IF(AND(INDEX(Arten,MATCH(V19,Codes,0))="Arbeit",INDEX(Arten,MATCH(W19,Codes,0))="Arbeit"),IF(ROUND((1+INDEX(Beginne,MATCH(W19,Codes,0))-INDEX(EndeRel,MATCH(V19,Codes,0)))*1440,0)&lt;660,1,0),0),0))</f>
      </c>
      <c r="X68" s="1">
        <f>IF(OR(X$52=0,W19="",X19=""),0,IFERROR(IF(AND(INDEX(Arten,MATCH(W19,Codes,0))="Arbeit",INDEX(Arten,MATCH(X19,Codes,0))="Arbeit"),IF(ROUND((1+INDEX(Beginne,MATCH(X19,Codes,0))-INDEX(EndeRel,MATCH(W19,Codes,0)))*1440,0)&lt;660,1,0),0),0))</f>
      </c>
      <c r="Y68" s="1">
        <f>IF(OR(Y$52=0,X19="",Y19=""),0,IFERROR(IF(AND(INDEX(Arten,MATCH(X19,Codes,0))="Arbeit",INDEX(Arten,MATCH(Y19,Codes,0))="Arbeit"),IF(ROUND((1+INDEX(Beginne,MATCH(Y19,Codes,0))-INDEX(EndeRel,MATCH(X19,Codes,0)))*1440,0)&lt;660,1,0),0),0))</f>
      </c>
      <c r="Z68" s="1">
        <f>IF(OR(Z$52=0,Y19="",Z19=""),0,IFERROR(IF(AND(INDEX(Arten,MATCH(Y19,Codes,0))="Arbeit",INDEX(Arten,MATCH(Z19,Codes,0))="Arbeit"),IF(ROUND((1+INDEX(Beginne,MATCH(Z19,Codes,0))-INDEX(EndeRel,MATCH(Y19,Codes,0)))*1440,0)&lt;660,1,0),0),0))</f>
      </c>
      <c r="AA68" s="1">
        <f>IF(OR(AA$52=0,Z19="",AA19=""),0,IFERROR(IF(AND(INDEX(Arten,MATCH(Z19,Codes,0))="Arbeit",INDEX(Arten,MATCH(AA19,Codes,0))="Arbeit"),IF(ROUND((1+INDEX(Beginne,MATCH(AA19,Codes,0))-INDEX(EndeRel,MATCH(Z19,Codes,0)))*1440,0)&lt;660,1,0),0),0))</f>
      </c>
      <c r="AB68" s="1">
        <f>IF(OR(AB$52=0,AA19="",AB19=""),0,IFERROR(IF(AND(INDEX(Arten,MATCH(AA19,Codes,0))="Arbeit",INDEX(Arten,MATCH(AB19,Codes,0))="Arbeit"),IF(ROUND((1+INDEX(Beginne,MATCH(AB19,Codes,0))-INDEX(EndeRel,MATCH(AA19,Codes,0)))*1440,0)&lt;660,1,0),0),0))</f>
      </c>
      <c r="AC68" s="1">
        <f>IF(OR(AC$52=0,AB19="",AC19=""),0,IFERROR(IF(AND(INDEX(Arten,MATCH(AB19,Codes,0))="Arbeit",INDEX(Arten,MATCH(AC19,Codes,0))="Arbeit"),IF(ROUND((1+INDEX(Beginne,MATCH(AC19,Codes,0))-INDEX(EndeRel,MATCH(AB19,Codes,0)))*1440,0)&lt;660,1,0),0),0))</f>
      </c>
      <c r="AD68" s="1">
        <f>IF(OR(AD$52=0,AC19="",AD19=""),0,IFERROR(IF(AND(INDEX(Arten,MATCH(AC19,Codes,0))="Arbeit",INDEX(Arten,MATCH(AD19,Codes,0))="Arbeit"),IF(ROUND((1+INDEX(Beginne,MATCH(AD19,Codes,0))-INDEX(EndeRel,MATCH(AC19,Codes,0)))*1440,0)&lt;660,1,0),0),0))</f>
      </c>
      <c r="AE68" s="1">
        <f>IF(OR(AE$52=0,AD19="",AE19=""),0,IFERROR(IF(AND(INDEX(Arten,MATCH(AD19,Codes,0))="Arbeit",INDEX(Arten,MATCH(AE19,Codes,0))="Arbeit"),IF(ROUND((1+INDEX(Beginne,MATCH(AE19,Codes,0))-INDEX(EndeRel,MATCH(AD19,Codes,0)))*1440,0)&lt;660,1,0),0),0))</f>
      </c>
      <c r="AF68" s="1">
        <f>IF(OR(AF$52=0,AE19="",AF19=""),0,IFERROR(IF(AND(INDEX(Arten,MATCH(AE19,Codes,0))="Arbeit",INDEX(Arten,MATCH(AF19,Codes,0))="Arbeit"),IF(ROUND((1+INDEX(Beginne,MATCH(AF19,Codes,0))-INDEX(EndeRel,MATCH(AE19,Codes,0)))*1440,0)&lt;660,1,0),0),0))</f>
      </c>
    </row>
    <row r="69" hidden="1" spans="1:32" x14ac:dyDescent="0.25">
      <c r="A69" s="1"/>
      <c r="B69" s="1">
        <f>IF(OR(B$52=0,INDEX('Juli'!$B$20:$AF$20,DAY(DATE(Jahr,8,0)))="",B20=""),0,IFERROR(IF(AND(INDEX(Arten,MATCH(INDEX('Juli'!$B$20:$AF$20,DAY(DATE(Jahr,8,0))),Codes,0))="Arbeit",INDEX(Arten,MATCH(B20,Codes,0))="Arbeit"),IF(ROUND((1+INDEX(Beginne,MATCH(B20,Codes,0))-INDEX(EndeRel,MATCH(INDEX('Juli'!$B$20:$AF$20,DAY(DATE(Jahr,8,0))),Codes,0)))*1440,0)&lt;660,1,0),0),0))</f>
      </c>
      <c r="C69" s="1">
        <f>IF(OR(C$52=0,B20="",C20=""),0,IFERROR(IF(AND(INDEX(Arten,MATCH(B20,Codes,0))="Arbeit",INDEX(Arten,MATCH(C20,Codes,0))="Arbeit"),IF(ROUND((1+INDEX(Beginne,MATCH(C20,Codes,0))-INDEX(EndeRel,MATCH(B20,Codes,0)))*1440,0)&lt;660,1,0),0),0))</f>
      </c>
      <c r="D69" s="1">
        <f>IF(OR(D$52=0,C20="",D20=""),0,IFERROR(IF(AND(INDEX(Arten,MATCH(C20,Codes,0))="Arbeit",INDEX(Arten,MATCH(D20,Codes,0))="Arbeit"),IF(ROUND((1+INDEX(Beginne,MATCH(D20,Codes,0))-INDEX(EndeRel,MATCH(C20,Codes,0)))*1440,0)&lt;660,1,0),0),0))</f>
      </c>
      <c r="E69" s="1">
        <f>IF(OR(E$52=0,D20="",E20=""),0,IFERROR(IF(AND(INDEX(Arten,MATCH(D20,Codes,0))="Arbeit",INDEX(Arten,MATCH(E20,Codes,0))="Arbeit"),IF(ROUND((1+INDEX(Beginne,MATCH(E20,Codes,0))-INDEX(EndeRel,MATCH(D20,Codes,0)))*1440,0)&lt;660,1,0),0),0))</f>
      </c>
      <c r="F69" s="1">
        <f>IF(OR(F$52=0,E20="",F20=""),0,IFERROR(IF(AND(INDEX(Arten,MATCH(E20,Codes,0))="Arbeit",INDEX(Arten,MATCH(F20,Codes,0))="Arbeit"),IF(ROUND((1+INDEX(Beginne,MATCH(F20,Codes,0))-INDEX(EndeRel,MATCH(E20,Codes,0)))*1440,0)&lt;660,1,0),0),0))</f>
      </c>
      <c r="G69" s="1">
        <f>IF(OR(G$52=0,F20="",G20=""),0,IFERROR(IF(AND(INDEX(Arten,MATCH(F20,Codes,0))="Arbeit",INDEX(Arten,MATCH(G20,Codes,0))="Arbeit"),IF(ROUND((1+INDEX(Beginne,MATCH(G20,Codes,0))-INDEX(EndeRel,MATCH(F20,Codes,0)))*1440,0)&lt;660,1,0),0),0))</f>
      </c>
      <c r="H69" s="1">
        <f>IF(OR(H$52=0,G20="",H20=""),0,IFERROR(IF(AND(INDEX(Arten,MATCH(G20,Codes,0))="Arbeit",INDEX(Arten,MATCH(H20,Codes,0))="Arbeit"),IF(ROUND((1+INDEX(Beginne,MATCH(H20,Codes,0))-INDEX(EndeRel,MATCH(G20,Codes,0)))*1440,0)&lt;660,1,0),0),0))</f>
      </c>
      <c r="I69" s="1">
        <f>IF(OR(I$52=0,H20="",I20=""),0,IFERROR(IF(AND(INDEX(Arten,MATCH(H20,Codes,0))="Arbeit",INDEX(Arten,MATCH(I20,Codes,0))="Arbeit"),IF(ROUND((1+INDEX(Beginne,MATCH(I20,Codes,0))-INDEX(EndeRel,MATCH(H20,Codes,0)))*1440,0)&lt;660,1,0),0),0))</f>
      </c>
      <c r="J69" s="1">
        <f>IF(OR(J$52=0,I20="",J20=""),0,IFERROR(IF(AND(INDEX(Arten,MATCH(I20,Codes,0))="Arbeit",INDEX(Arten,MATCH(J20,Codes,0))="Arbeit"),IF(ROUND((1+INDEX(Beginne,MATCH(J20,Codes,0))-INDEX(EndeRel,MATCH(I20,Codes,0)))*1440,0)&lt;660,1,0),0),0))</f>
      </c>
      <c r="K69" s="1">
        <f>IF(OR(K$52=0,J20="",K20=""),0,IFERROR(IF(AND(INDEX(Arten,MATCH(J20,Codes,0))="Arbeit",INDEX(Arten,MATCH(K20,Codes,0))="Arbeit"),IF(ROUND((1+INDEX(Beginne,MATCH(K20,Codes,0))-INDEX(EndeRel,MATCH(J20,Codes,0)))*1440,0)&lt;660,1,0),0),0))</f>
      </c>
      <c r="L69" s="1">
        <f>IF(OR(L$52=0,K20="",L20=""),0,IFERROR(IF(AND(INDEX(Arten,MATCH(K20,Codes,0))="Arbeit",INDEX(Arten,MATCH(L20,Codes,0))="Arbeit"),IF(ROUND((1+INDEX(Beginne,MATCH(L20,Codes,0))-INDEX(EndeRel,MATCH(K20,Codes,0)))*1440,0)&lt;660,1,0),0),0))</f>
      </c>
      <c r="M69" s="1">
        <f>IF(OR(M$52=0,L20="",M20=""),0,IFERROR(IF(AND(INDEX(Arten,MATCH(L20,Codes,0))="Arbeit",INDEX(Arten,MATCH(M20,Codes,0))="Arbeit"),IF(ROUND((1+INDEX(Beginne,MATCH(M20,Codes,0))-INDEX(EndeRel,MATCH(L20,Codes,0)))*1440,0)&lt;660,1,0),0),0))</f>
      </c>
      <c r="N69" s="1">
        <f>IF(OR(N$52=0,M20="",N20=""),0,IFERROR(IF(AND(INDEX(Arten,MATCH(M20,Codes,0))="Arbeit",INDEX(Arten,MATCH(N20,Codes,0))="Arbeit"),IF(ROUND((1+INDEX(Beginne,MATCH(N20,Codes,0))-INDEX(EndeRel,MATCH(M20,Codes,0)))*1440,0)&lt;660,1,0),0),0))</f>
      </c>
      <c r="O69" s="1">
        <f>IF(OR(O$52=0,N20="",O20=""),0,IFERROR(IF(AND(INDEX(Arten,MATCH(N20,Codes,0))="Arbeit",INDEX(Arten,MATCH(O20,Codes,0))="Arbeit"),IF(ROUND((1+INDEX(Beginne,MATCH(O20,Codes,0))-INDEX(EndeRel,MATCH(N20,Codes,0)))*1440,0)&lt;660,1,0),0),0))</f>
      </c>
      <c r="P69" s="1">
        <f>IF(OR(P$52=0,O20="",P20=""),0,IFERROR(IF(AND(INDEX(Arten,MATCH(O20,Codes,0))="Arbeit",INDEX(Arten,MATCH(P20,Codes,0))="Arbeit"),IF(ROUND((1+INDEX(Beginne,MATCH(P20,Codes,0))-INDEX(EndeRel,MATCH(O20,Codes,0)))*1440,0)&lt;660,1,0),0),0))</f>
      </c>
      <c r="Q69" s="1">
        <f>IF(OR(Q$52=0,P20="",Q20=""),0,IFERROR(IF(AND(INDEX(Arten,MATCH(P20,Codes,0))="Arbeit",INDEX(Arten,MATCH(Q20,Codes,0))="Arbeit"),IF(ROUND((1+INDEX(Beginne,MATCH(Q20,Codes,0))-INDEX(EndeRel,MATCH(P20,Codes,0)))*1440,0)&lt;660,1,0),0),0))</f>
      </c>
      <c r="R69" s="1">
        <f>IF(OR(R$52=0,Q20="",R20=""),0,IFERROR(IF(AND(INDEX(Arten,MATCH(Q20,Codes,0))="Arbeit",INDEX(Arten,MATCH(R20,Codes,0))="Arbeit"),IF(ROUND((1+INDEX(Beginne,MATCH(R20,Codes,0))-INDEX(EndeRel,MATCH(Q20,Codes,0)))*1440,0)&lt;660,1,0),0),0))</f>
      </c>
      <c r="S69" s="1">
        <f>IF(OR(S$52=0,R20="",S20=""),0,IFERROR(IF(AND(INDEX(Arten,MATCH(R20,Codes,0))="Arbeit",INDEX(Arten,MATCH(S20,Codes,0))="Arbeit"),IF(ROUND((1+INDEX(Beginne,MATCH(S20,Codes,0))-INDEX(EndeRel,MATCH(R20,Codes,0)))*1440,0)&lt;660,1,0),0),0))</f>
      </c>
      <c r="T69" s="1">
        <f>IF(OR(T$52=0,S20="",T20=""),0,IFERROR(IF(AND(INDEX(Arten,MATCH(S20,Codes,0))="Arbeit",INDEX(Arten,MATCH(T20,Codes,0))="Arbeit"),IF(ROUND((1+INDEX(Beginne,MATCH(T20,Codes,0))-INDEX(EndeRel,MATCH(S20,Codes,0)))*1440,0)&lt;660,1,0),0),0))</f>
      </c>
      <c r="U69" s="1">
        <f>IF(OR(U$52=0,T20="",U20=""),0,IFERROR(IF(AND(INDEX(Arten,MATCH(T20,Codes,0))="Arbeit",INDEX(Arten,MATCH(U20,Codes,0))="Arbeit"),IF(ROUND((1+INDEX(Beginne,MATCH(U20,Codes,0))-INDEX(EndeRel,MATCH(T20,Codes,0)))*1440,0)&lt;660,1,0),0),0))</f>
      </c>
      <c r="V69" s="1">
        <f>IF(OR(V$52=0,U20="",V20=""),0,IFERROR(IF(AND(INDEX(Arten,MATCH(U20,Codes,0))="Arbeit",INDEX(Arten,MATCH(V20,Codes,0))="Arbeit"),IF(ROUND((1+INDEX(Beginne,MATCH(V20,Codes,0))-INDEX(EndeRel,MATCH(U20,Codes,0)))*1440,0)&lt;660,1,0),0),0))</f>
      </c>
      <c r="W69" s="1">
        <f>IF(OR(W$52=0,V20="",W20=""),0,IFERROR(IF(AND(INDEX(Arten,MATCH(V20,Codes,0))="Arbeit",INDEX(Arten,MATCH(W20,Codes,0))="Arbeit"),IF(ROUND((1+INDEX(Beginne,MATCH(W20,Codes,0))-INDEX(EndeRel,MATCH(V20,Codes,0)))*1440,0)&lt;660,1,0),0),0))</f>
      </c>
      <c r="X69" s="1">
        <f>IF(OR(X$52=0,W20="",X20=""),0,IFERROR(IF(AND(INDEX(Arten,MATCH(W20,Codes,0))="Arbeit",INDEX(Arten,MATCH(X20,Codes,0))="Arbeit"),IF(ROUND((1+INDEX(Beginne,MATCH(X20,Codes,0))-INDEX(EndeRel,MATCH(W20,Codes,0)))*1440,0)&lt;660,1,0),0),0))</f>
      </c>
      <c r="Y69" s="1">
        <f>IF(OR(Y$52=0,X20="",Y20=""),0,IFERROR(IF(AND(INDEX(Arten,MATCH(X20,Codes,0))="Arbeit",INDEX(Arten,MATCH(Y20,Codes,0))="Arbeit"),IF(ROUND((1+INDEX(Beginne,MATCH(Y20,Codes,0))-INDEX(EndeRel,MATCH(X20,Codes,0)))*1440,0)&lt;660,1,0),0),0))</f>
      </c>
      <c r="Z69" s="1">
        <f>IF(OR(Z$52=0,Y20="",Z20=""),0,IFERROR(IF(AND(INDEX(Arten,MATCH(Y20,Codes,0))="Arbeit",INDEX(Arten,MATCH(Z20,Codes,0))="Arbeit"),IF(ROUND((1+INDEX(Beginne,MATCH(Z20,Codes,0))-INDEX(EndeRel,MATCH(Y20,Codes,0)))*1440,0)&lt;660,1,0),0),0))</f>
      </c>
      <c r="AA69" s="1">
        <f>IF(OR(AA$52=0,Z20="",AA20=""),0,IFERROR(IF(AND(INDEX(Arten,MATCH(Z20,Codes,0))="Arbeit",INDEX(Arten,MATCH(AA20,Codes,0))="Arbeit"),IF(ROUND((1+INDEX(Beginne,MATCH(AA20,Codes,0))-INDEX(EndeRel,MATCH(Z20,Codes,0)))*1440,0)&lt;660,1,0),0),0))</f>
      </c>
      <c r="AB69" s="1">
        <f>IF(OR(AB$52=0,AA20="",AB20=""),0,IFERROR(IF(AND(INDEX(Arten,MATCH(AA20,Codes,0))="Arbeit",INDEX(Arten,MATCH(AB20,Codes,0))="Arbeit"),IF(ROUND((1+INDEX(Beginne,MATCH(AB20,Codes,0))-INDEX(EndeRel,MATCH(AA20,Codes,0)))*1440,0)&lt;660,1,0),0),0))</f>
      </c>
      <c r="AC69" s="1">
        <f>IF(OR(AC$52=0,AB20="",AC20=""),0,IFERROR(IF(AND(INDEX(Arten,MATCH(AB20,Codes,0))="Arbeit",INDEX(Arten,MATCH(AC20,Codes,0))="Arbeit"),IF(ROUND((1+INDEX(Beginne,MATCH(AC20,Codes,0))-INDEX(EndeRel,MATCH(AB20,Codes,0)))*1440,0)&lt;660,1,0),0),0))</f>
      </c>
      <c r="AD69" s="1">
        <f>IF(OR(AD$52=0,AC20="",AD20=""),0,IFERROR(IF(AND(INDEX(Arten,MATCH(AC20,Codes,0))="Arbeit",INDEX(Arten,MATCH(AD20,Codes,0))="Arbeit"),IF(ROUND((1+INDEX(Beginne,MATCH(AD20,Codes,0))-INDEX(EndeRel,MATCH(AC20,Codes,0)))*1440,0)&lt;660,1,0),0),0))</f>
      </c>
      <c r="AE69" s="1">
        <f>IF(OR(AE$52=0,AD20="",AE20=""),0,IFERROR(IF(AND(INDEX(Arten,MATCH(AD20,Codes,0))="Arbeit",INDEX(Arten,MATCH(AE20,Codes,0))="Arbeit"),IF(ROUND((1+INDEX(Beginne,MATCH(AE20,Codes,0))-INDEX(EndeRel,MATCH(AD20,Codes,0)))*1440,0)&lt;660,1,0),0),0))</f>
      </c>
      <c r="AF69" s="1">
        <f>IF(OR(AF$52=0,AE20="",AF20=""),0,IFERROR(IF(AND(INDEX(Arten,MATCH(AE20,Codes,0))="Arbeit",INDEX(Arten,MATCH(AF20,Codes,0))="Arbeit"),IF(ROUND((1+INDEX(Beginne,MATCH(AF20,Codes,0))-INDEX(EndeRel,MATCH(AE20,Codes,0)))*1440,0)&lt;660,1,0),0),0))</f>
      </c>
    </row>
    <row r="70" hidden="1" spans="1:32" x14ac:dyDescent="0.25">
      <c r="A70" s="1"/>
      <c r="B70" s="1">
        <f>IF(OR(B$52=0,INDEX('Juli'!$B$21:$AF$21,DAY(DATE(Jahr,8,0)))="",B21=""),0,IFERROR(IF(AND(INDEX(Arten,MATCH(INDEX('Juli'!$B$21:$AF$21,DAY(DATE(Jahr,8,0))),Codes,0))="Arbeit",INDEX(Arten,MATCH(B21,Codes,0))="Arbeit"),IF(ROUND((1+INDEX(Beginne,MATCH(B21,Codes,0))-INDEX(EndeRel,MATCH(INDEX('Juli'!$B$21:$AF$21,DAY(DATE(Jahr,8,0))),Codes,0)))*1440,0)&lt;660,1,0),0),0))</f>
      </c>
      <c r="C70" s="1">
        <f>IF(OR(C$52=0,B21="",C21=""),0,IFERROR(IF(AND(INDEX(Arten,MATCH(B21,Codes,0))="Arbeit",INDEX(Arten,MATCH(C21,Codes,0))="Arbeit"),IF(ROUND((1+INDEX(Beginne,MATCH(C21,Codes,0))-INDEX(EndeRel,MATCH(B21,Codes,0)))*1440,0)&lt;660,1,0),0),0))</f>
      </c>
      <c r="D70" s="1">
        <f>IF(OR(D$52=0,C21="",D21=""),0,IFERROR(IF(AND(INDEX(Arten,MATCH(C21,Codes,0))="Arbeit",INDEX(Arten,MATCH(D21,Codes,0))="Arbeit"),IF(ROUND((1+INDEX(Beginne,MATCH(D21,Codes,0))-INDEX(EndeRel,MATCH(C21,Codes,0)))*1440,0)&lt;660,1,0),0),0))</f>
      </c>
      <c r="E70" s="1">
        <f>IF(OR(E$52=0,D21="",E21=""),0,IFERROR(IF(AND(INDEX(Arten,MATCH(D21,Codes,0))="Arbeit",INDEX(Arten,MATCH(E21,Codes,0))="Arbeit"),IF(ROUND((1+INDEX(Beginne,MATCH(E21,Codes,0))-INDEX(EndeRel,MATCH(D21,Codes,0)))*1440,0)&lt;660,1,0),0),0))</f>
      </c>
      <c r="F70" s="1">
        <f>IF(OR(F$52=0,E21="",F21=""),0,IFERROR(IF(AND(INDEX(Arten,MATCH(E21,Codes,0))="Arbeit",INDEX(Arten,MATCH(F21,Codes,0))="Arbeit"),IF(ROUND((1+INDEX(Beginne,MATCH(F21,Codes,0))-INDEX(EndeRel,MATCH(E21,Codes,0)))*1440,0)&lt;660,1,0),0),0))</f>
      </c>
      <c r="G70" s="1">
        <f>IF(OR(G$52=0,F21="",G21=""),0,IFERROR(IF(AND(INDEX(Arten,MATCH(F21,Codes,0))="Arbeit",INDEX(Arten,MATCH(G21,Codes,0))="Arbeit"),IF(ROUND((1+INDEX(Beginne,MATCH(G21,Codes,0))-INDEX(EndeRel,MATCH(F21,Codes,0)))*1440,0)&lt;660,1,0),0),0))</f>
      </c>
      <c r="H70" s="1">
        <f>IF(OR(H$52=0,G21="",H21=""),0,IFERROR(IF(AND(INDEX(Arten,MATCH(G21,Codes,0))="Arbeit",INDEX(Arten,MATCH(H21,Codes,0))="Arbeit"),IF(ROUND((1+INDEX(Beginne,MATCH(H21,Codes,0))-INDEX(EndeRel,MATCH(G21,Codes,0)))*1440,0)&lt;660,1,0),0),0))</f>
      </c>
      <c r="I70" s="1">
        <f>IF(OR(I$52=0,H21="",I21=""),0,IFERROR(IF(AND(INDEX(Arten,MATCH(H21,Codes,0))="Arbeit",INDEX(Arten,MATCH(I21,Codes,0))="Arbeit"),IF(ROUND((1+INDEX(Beginne,MATCH(I21,Codes,0))-INDEX(EndeRel,MATCH(H21,Codes,0)))*1440,0)&lt;660,1,0),0),0))</f>
      </c>
      <c r="J70" s="1">
        <f>IF(OR(J$52=0,I21="",J21=""),0,IFERROR(IF(AND(INDEX(Arten,MATCH(I21,Codes,0))="Arbeit",INDEX(Arten,MATCH(J21,Codes,0))="Arbeit"),IF(ROUND((1+INDEX(Beginne,MATCH(J21,Codes,0))-INDEX(EndeRel,MATCH(I21,Codes,0)))*1440,0)&lt;660,1,0),0),0))</f>
      </c>
      <c r="K70" s="1">
        <f>IF(OR(K$52=0,J21="",K21=""),0,IFERROR(IF(AND(INDEX(Arten,MATCH(J21,Codes,0))="Arbeit",INDEX(Arten,MATCH(K21,Codes,0))="Arbeit"),IF(ROUND((1+INDEX(Beginne,MATCH(K21,Codes,0))-INDEX(EndeRel,MATCH(J21,Codes,0)))*1440,0)&lt;660,1,0),0),0))</f>
      </c>
      <c r="L70" s="1">
        <f>IF(OR(L$52=0,K21="",L21=""),0,IFERROR(IF(AND(INDEX(Arten,MATCH(K21,Codes,0))="Arbeit",INDEX(Arten,MATCH(L21,Codes,0))="Arbeit"),IF(ROUND((1+INDEX(Beginne,MATCH(L21,Codes,0))-INDEX(EndeRel,MATCH(K21,Codes,0)))*1440,0)&lt;660,1,0),0),0))</f>
      </c>
      <c r="M70" s="1">
        <f>IF(OR(M$52=0,L21="",M21=""),0,IFERROR(IF(AND(INDEX(Arten,MATCH(L21,Codes,0))="Arbeit",INDEX(Arten,MATCH(M21,Codes,0))="Arbeit"),IF(ROUND((1+INDEX(Beginne,MATCH(M21,Codes,0))-INDEX(EndeRel,MATCH(L21,Codes,0)))*1440,0)&lt;660,1,0),0),0))</f>
      </c>
      <c r="N70" s="1">
        <f>IF(OR(N$52=0,M21="",N21=""),0,IFERROR(IF(AND(INDEX(Arten,MATCH(M21,Codes,0))="Arbeit",INDEX(Arten,MATCH(N21,Codes,0))="Arbeit"),IF(ROUND((1+INDEX(Beginne,MATCH(N21,Codes,0))-INDEX(EndeRel,MATCH(M21,Codes,0)))*1440,0)&lt;660,1,0),0),0))</f>
      </c>
      <c r="O70" s="1">
        <f>IF(OR(O$52=0,N21="",O21=""),0,IFERROR(IF(AND(INDEX(Arten,MATCH(N21,Codes,0))="Arbeit",INDEX(Arten,MATCH(O21,Codes,0))="Arbeit"),IF(ROUND((1+INDEX(Beginne,MATCH(O21,Codes,0))-INDEX(EndeRel,MATCH(N21,Codes,0)))*1440,0)&lt;660,1,0),0),0))</f>
      </c>
      <c r="P70" s="1">
        <f>IF(OR(P$52=0,O21="",P21=""),0,IFERROR(IF(AND(INDEX(Arten,MATCH(O21,Codes,0))="Arbeit",INDEX(Arten,MATCH(P21,Codes,0))="Arbeit"),IF(ROUND((1+INDEX(Beginne,MATCH(P21,Codes,0))-INDEX(EndeRel,MATCH(O21,Codes,0)))*1440,0)&lt;660,1,0),0),0))</f>
      </c>
      <c r="Q70" s="1">
        <f>IF(OR(Q$52=0,P21="",Q21=""),0,IFERROR(IF(AND(INDEX(Arten,MATCH(P21,Codes,0))="Arbeit",INDEX(Arten,MATCH(Q21,Codes,0))="Arbeit"),IF(ROUND((1+INDEX(Beginne,MATCH(Q21,Codes,0))-INDEX(EndeRel,MATCH(P21,Codes,0)))*1440,0)&lt;660,1,0),0),0))</f>
      </c>
      <c r="R70" s="1">
        <f>IF(OR(R$52=0,Q21="",R21=""),0,IFERROR(IF(AND(INDEX(Arten,MATCH(Q21,Codes,0))="Arbeit",INDEX(Arten,MATCH(R21,Codes,0))="Arbeit"),IF(ROUND((1+INDEX(Beginne,MATCH(R21,Codes,0))-INDEX(EndeRel,MATCH(Q21,Codes,0)))*1440,0)&lt;660,1,0),0),0))</f>
      </c>
      <c r="S70" s="1">
        <f>IF(OR(S$52=0,R21="",S21=""),0,IFERROR(IF(AND(INDEX(Arten,MATCH(R21,Codes,0))="Arbeit",INDEX(Arten,MATCH(S21,Codes,0))="Arbeit"),IF(ROUND((1+INDEX(Beginne,MATCH(S21,Codes,0))-INDEX(EndeRel,MATCH(R21,Codes,0)))*1440,0)&lt;660,1,0),0),0))</f>
      </c>
      <c r="T70" s="1">
        <f>IF(OR(T$52=0,S21="",T21=""),0,IFERROR(IF(AND(INDEX(Arten,MATCH(S21,Codes,0))="Arbeit",INDEX(Arten,MATCH(T21,Codes,0))="Arbeit"),IF(ROUND((1+INDEX(Beginne,MATCH(T21,Codes,0))-INDEX(EndeRel,MATCH(S21,Codes,0)))*1440,0)&lt;660,1,0),0),0))</f>
      </c>
      <c r="U70" s="1">
        <f>IF(OR(U$52=0,T21="",U21=""),0,IFERROR(IF(AND(INDEX(Arten,MATCH(T21,Codes,0))="Arbeit",INDEX(Arten,MATCH(U21,Codes,0))="Arbeit"),IF(ROUND((1+INDEX(Beginne,MATCH(U21,Codes,0))-INDEX(EndeRel,MATCH(T21,Codes,0)))*1440,0)&lt;660,1,0),0),0))</f>
      </c>
      <c r="V70" s="1">
        <f>IF(OR(V$52=0,U21="",V21=""),0,IFERROR(IF(AND(INDEX(Arten,MATCH(U21,Codes,0))="Arbeit",INDEX(Arten,MATCH(V21,Codes,0))="Arbeit"),IF(ROUND((1+INDEX(Beginne,MATCH(V21,Codes,0))-INDEX(EndeRel,MATCH(U21,Codes,0)))*1440,0)&lt;660,1,0),0),0))</f>
      </c>
      <c r="W70" s="1">
        <f>IF(OR(W$52=0,V21="",W21=""),0,IFERROR(IF(AND(INDEX(Arten,MATCH(V21,Codes,0))="Arbeit",INDEX(Arten,MATCH(W21,Codes,0))="Arbeit"),IF(ROUND((1+INDEX(Beginne,MATCH(W21,Codes,0))-INDEX(EndeRel,MATCH(V21,Codes,0)))*1440,0)&lt;660,1,0),0),0))</f>
      </c>
      <c r="X70" s="1">
        <f>IF(OR(X$52=0,W21="",X21=""),0,IFERROR(IF(AND(INDEX(Arten,MATCH(W21,Codes,0))="Arbeit",INDEX(Arten,MATCH(X21,Codes,0))="Arbeit"),IF(ROUND((1+INDEX(Beginne,MATCH(X21,Codes,0))-INDEX(EndeRel,MATCH(W21,Codes,0)))*1440,0)&lt;660,1,0),0),0))</f>
      </c>
      <c r="Y70" s="1">
        <f>IF(OR(Y$52=0,X21="",Y21=""),0,IFERROR(IF(AND(INDEX(Arten,MATCH(X21,Codes,0))="Arbeit",INDEX(Arten,MATCH(Y21,Codes,0))="Arbeit"),IF(ROUND((1+INDEX(Beginne,MATCH(Y21,Codes,0))-INDEX(EndeRel,MATCH(X21,Codes,0)))*1440,0)&lt;660,1,0),0),0))</f>
      </c>
      <c r="Z70" s="1">
        <f>IF(OR(Z$52=0,Y21="",Z21=""),0,IFERROR(IF(AND(INDEX(Arten,MATCH(Y21,Codes,0))="Arbeit",INDEX(Arten,MATCH(Z21,Codes,0))="Arbeit"),IF(ROUND((1+INDEX(Beginne,MATCH(Z21,Codes,0))-INDEX(EndeRel,MATCH(Y21,Codes,0)))*1440,0)&lt;660,1,0),0),0))</f>
      </c>
      <c r="AA70" s="1">
        <f>IF(OR(AA$52=0,Z21="",AA21=""),0,IFERROR(IF(AND(INDEX(Arten,MATCH(Z21,Codes,0))="Arbeit",INDEX(Arten,MATCH(AA21,Codes,0))="Arbeit"),IF(ROUND((1+INDEX(Beginne,MATCH(AA21,Codes,0))-INDEX(EndeRel,MATCH(Z21,Codes,0)))*1440,0)&lt;660,1,0),0),0))</f>
      </c>
      <c r="AB70" s="1">
        <f>IF(OR(AB$52=0,AA21="",AB21=""),0,IFERROR(IF(AND(INDEX(Arten,MATCH(AA21,Codes,0))="Arbeit",INDEX(Arten,MATCH(AB21,Codes,0))="Arbeit"),IF(ROUND((1+INDEX(Beginne,MATCH(AB21,Codes,0))-INDEX(EndeRel,MATCH(AA21,Codes,0)))*1440,0)&lt;660,1,0),0),0))</f>
      </c>
      <c r="AC70" s="1">
        <f>IF(OR(AC$52=0,AB21="",AC21=""),0,IFERROR(IF(AND(INDEX(Arten,MATCH(AB21,Codes,0))="Arbeit",INDEX(Arten,MATCH(AC21,Codes,0))="Arbeit"),IF(ROUND((1+INDEX(Beginne,MATCH(AC21,Codes,0))-INDEX(EndeRel,MATCH(AB21,Codes,0)))*1440,0)&lt;660,1,0),0),0))</f>
      </c>
      <c r="AD70" s="1">
        <f>IF(OR(AD$52=0,AC21="",AD21=""),0,IFERROR(IF(AND(INDEX(Arten,MATCH(AC21,Codes,0))="Arbeit",INDEX(Arten,MATCH(AD21,Codes,0))="Arbeit"),IF(ROUND((1+INDEX(Beginne,MATCH(AD21,Codes,0))-INDEX(EndeRel,MATCH(AC21,Codes,0)))*1440,0)&lt;660,1,0),0),0))</f>
      </c>
      <c r="AE70" s="1">
        <f>IF(OR(AE$52=0,AD21="",AE21=""),0,IFERROR(IF(AND(INDEX(Arten,MATCH(AD21,Codes,0))="Arbeit",INDEX(Arten,MATCH(AE21,Codes,0))="Arbeit"),IF(ROUND((1+INDEX(Beginne,MATCH(AE21,Codes,0))-INDEX(EndeRel,MATCH(AD21,Codes,0)))*1440,0)&lt;660,1,0),0),0))</f>
      </c>
      <c r="AF70" s="1">
        <f>IF(OR(AF$52=0,AE21="",AF21=""),0,IFERROR(IF(AND(INDEX(Arten,MATCH(AE21,Codes,0))="Arbeit",INDEX(Arten,MATCH(AF21,Codes,0))="Arbeit"),IF(ROUND((1+INDEX(Beginne,MATCH(AF21,Codes,0))-INDEX(EndeRel,MATCH(AE21,Codes,0)))*1440,0)&lt;660,1,0),0),0))</f>
      </c>
    </row>
    <row r="71" hidden="1" spans="1:32" x14ac:dyDescent="0.25">
      <c r="A71" s="1"/>
      <c r="B71" s="1">
        <f>IF(OR(B$52=0,INDEX('Juli'!$B$22:$AF$22,DAY(DATE(Jahr,8,0)))="",B22=""),0,IFERROR(IF(AND(INDEX(Arten,MATCH(INDEX('Juli'!$B$22:$AF$22,DAY(DATE(Jahr,8,0))),Codes,0))="Arbeit",INDEX(Arten,MATCH(B22,Codes,0))="Arbeit"),IF(ROUND((1+INDEX(Beginne,MATCH(B22,Codes,0))-INDEX(EndeRel,MATCH(INDEX('Juli'!$B$22:$AF$22,DAY(DATE(Jahr,8,0))),Codes,0)))*1440,0)&lt;660,1,0),0),0))</f>
      </c>
      <c r="C71" s="1">
        <f>IF(OR(C$52=0,B22="",C22=""),0,IFERROR(IF(AND(INDEX(Arten,MATCH(B22,Codes,0))="Arbeit",INDEX(Arten,MATCH(C22,Codes,0))="Arbeit"),IF(ROUND((1+INDEX(Beginne,MATCH(C22,Codes,0))-INDEX(EndeRel,MATCH(B22,Codes,0)))*1440,0)&lt;660,1,0),0),0))</f>
      </c>
      <c r="D71" s="1">
        <f>IF(OR(D$52=0,C22="",D22=""),0,IFERROR(IF(AND(INDEX(Arten,MATCH(C22,Codes,0))="Arbeit",INDEX(Arten,MATCH(D22,Codes,0))="Arbeit"),IF(ROUND((1+INDEX(Beginne,MATCH(D22,Codes,0))-INDEX(EndeRel,MATCH(C22,Codes,0)))*1440,0)&lt;660,1,0),0),0))</f>
      </c>
      <c r="E71" s="1">
        <f>IF(OR(E$52=0,D22="",E22=""),0,IFERROR(IF(AND(INDEX(Arten,MATCH(D22,Codes,0))="Arbeit",INDEX(Arten,MATCH(E22,Codes,0))="Arbeit"),IF(ROUND((1+INDEX(Beginne,MATCH(E22,Codes,0))-INDEX(EndeRel,MATCH(D22,Codes,0)))*1440,0)&lt;660,1,0),0),0))</f>
      </c>
      <c r="F71" s="1">
        <f>IF(OR(F$52=0,E22="",F22=""),0,IFERROR(IF(AND(INDEX(Arten,MATCH(E22,Codes,0))="Arbeit",INDEX(Arten,MATCH(F22,Codes,0))="Arbeit"),IF(ROUND((1+INDEX(Beginne,MATCH(F22,Codes,0))-INDEX(EndeRel,MATCH(E22,Codes,0)))*1440,0)&lt;660,1,0),0),0))</f>
      </c>
      <c r="G71" s="1">
        <f>IF(OR(G$52=0,F22="",G22=""),0,IFERROR(IF(AND(INDEX(Arten,MATCH(F22,Codes,0))="Arbeit",INDEX(Arten,MATCH(G22,Codes,0))="Arbeit"),IF(ROUND((1+INDEX(Beginne,MATCH(G22,Codes,0))-INDEX(EndeRel,MATCH(F22,Codes,0)))*1440,0)&lt;660,1,0),0),0))</f>
      </c>
      <c r="H71" s="1">
        <f>IF(OR(H$52=0,G22="",H22=""),0,IFERROR(IF(AND(INDEX(Arten,MATCH(G22,Codes,0))="Arbeit",INDEX(Arten,MATCH(H22,Codes,0))="Arbeit"),IF(ROUND((1+INDEX(Beginne,MATCH(H22,Codes,0))-INDEX(EndeRel,MATCH(G22,Codes,0)))*1440,0)&lt;660,1,0),0),0))</f>
      </c>
      <c r="I71" s="1">
        <f>IF(OR(I$52=0,H22="",I22=""),0,IFERROR(IF(AND(INDEX(Arten,MATCH(H22,Codes,0))="Arbeit",INDEX(Arten,MATCH(I22,Codes,0))="Arbeit"),IF(ROUND((1+INDEX(Beginne,MATCH(I22,Codes,0))-INDEX(EndeRel,MATCH(H22,Codes,0)))*1440,0)&lt;660,1,0),0),0))</f>
      </c>
      <c r="J71" s="1">
        <f>IF(OR(J$52=0,I22="",J22=""),0,IFERROR(IF(AND(INDEX(Arten,MATCH(I22,Codes,0))="Arbeit",INDEX(Arten,MATCH(J22,Codes,0))="Arbeit"),IF(ROUND((1+INDEX(Beginne,MATCH(J22,Codes,0))-INDEX(EndeRel,MATCH(I22,Codes,0)))*1440,0)&lt;660,1,0),0),0))</f>
      </c>
      <c r="K71" s="1">
        <f>IF(OR(K$52=0,J22="",K22=""),0,IFERROR(IF(AND(INDEX(Arten,MATCH(J22,Codes,0))="Arbeit",INDEX(Arten,MATCH(K22,Codes,0))="Arbeit"),IF(ROUND((1+INDEX(Beginne,MATCH(K22,Codes,0))-INDEX(EndeRel,MATCH(J22,Codes,0)))*1440,0)&lt;660,1,0),0),0))</f>
      </c>
      <c r="L71" s="1">
        <f>IF(OR(L$52=0,K22="",L22=""),0,IFERROR(IF(AND(INDEX(Arten,MATCH(K22,Codes,0))="Arbeit",INDEX(Arten,MATCH(L22,Codes,0))="Arbeit"),IF(ROUND((1+INDEX(Beginne,MATCH(L22,Codes,0))-INDEX(EndeRel,MATCH(K22,Codes,0)))*1440,0)&lt;660,1,0),0),0))</f>
      </c>
      <c r="M71" s="1">
        <f>IF(OR(M$52=0,L22="",M22=""),0,IFERROR(IF(AND(INDEX(Arten,MATCH(L22,Codes,0))="Arbeit",INDEX(Arten,MATCH(M22,Codes,0))="Arbeit"),IF(ROUND((1+INDEX(Beginne,MATCH(M22,Codes,0))-INDEX(EndeRel,MATCH(L22,Codes,0)))*1440,0)&lt;660,1,0),0),0))</f>
      </c>
      <c r="N71" s="1">
        <f>IF(OR(N$52=0,M22="",N22=""),0,IFERROR(IF(AND(INDEX(Arten,MATCH(M22,Codes,0))="Arbeit",INDEX(Arten,MATCH(N22,Codes,0))="Arbeit"),IF(ROUND((1+INDEX(Beginne,MATCH(N22,Codes,0))-INDEX(EndeRel,MATCH(M22,Codes,0)))*1440,0)&lt;660,1,0),0),0))</f>
      </c>
      <c r="O71" s="1">
        <f>IF(OR(O$52=0,N22="",O22=""),0,IFERROR(IF(AND(INDEX(Arten,MATCH(N22,Codes,0))="Arbeit",INDEX(Arten,MATCH(O22,Codes,0))="Arbeit"),IF(ROUND((1+INDEX(Beginne,MATCH(O22,Codes,0))-INDEX(EndeRel,MATCH(N22,Codes,0)))*1440,0)&lt;660,1,0),0),0))</f>
      </c>
      <c r="P71" s="1">
        <f>IF(OR(P$52=0,O22="",P22=""),0,IFERROR(IF(AND(INDEX(Arten,MATCH(O22,Codes,0))="Arbeit",INDEX(Arten,MATCH(P22,Codes,0))="Arbeit"),IF(ROUND((1+INDEX(Beginne,MATCH(P22,Codes,0))-INDEX(EndeRel,MATCH(O22,Codes,0)))*1440,0)&lt;660,1,0),0),0))</f>
      </c>
      <c r="Q71" s="1">
        <f>IF(OR(Q$52=0,P22="",Q22=""),0,IFERROR(IF(AND(INDEX(Arten,MATCH(P22,Codes,0))="Arbeit",INDEX(Arten,MATCH(Q22,Codes,0))="Arbeit"),IF(ROUND((1+INDEX(Beginne,MATCH(Q22,Codes,0))-INDEX(EndeRel,MATCH(P22,Codes,0)))*1440,0)&lt;660,1,0),0),0))</f>
      </c>
      <c r="R71" s="1">
        <f>IF(OR(R$52=0,Q22="",R22=""),0,IFERROR(IF(AND(INDEX(Arten,MATCH(Q22,Codes,0))="Arbeit",INDEX(Arten,MATCH(R22,Codes,0))="Arbeit"),IF(ROUND((1+INDEX(Beginne,MATCH(R22,Codes,0))-INDEX(EndeRel,MATCH(Q22,Codes,0)))*1440,0)&lt;660,1,0),0),0))</f>
      </c>
      <c r="S71" s="1">
        <f>IF(OR(S$52=0,R22="",S22=""),0,IFERROR(IF(AND(INDEX(Arten,MATCH(R22,Codes,0))="Arbeit",INDEX(Arten,MATCH(S22,Codes,0))="Arbeit"),IF(ROUND((1+INDEX(Beginne,MATCH(S22,Codes,0))-INDEX(EndeRel,MATCH(R22,Codes,0)))*1440,0)&lt;660,1,0),0),0))</f>
      </c>
      <c r="T71" s="1">
        <f>IF(OR(T$52=0,S22="",T22=""),0,IFERROR(IF(AND(INDEX(Arten,MATCH(S22,Codes,0))="Arbeit",INDEX(Arten,MATCH(T22,Codes,0))="Arbeit"),IF(ROUND((1+INDEX(Beginne,MATCH(T22,Codes,0))-INDEX(EndeRel,MATCH(S22,Codes,0)))*1440,0)&lt;660,1,0),0),0))</f>
      </c>
      <c r="U71" s="1">
        <f>IF(OR(U$52=0,T22="",U22=""),0,IFERROR(IF(AND(INDEX(Arten,MATCH(T22,Codes,0))="Arbeit",INDEX(Arten,MATCH(U22,Codes,0))="Arbeit"),IF(ROUND((1+INDEX(Beginne,MATCH(U22,Codes,0))-INDEX(EndeRel,MATCH(T22,Codes,0)))*1440,0)&lt;660,1,0),0),0))</f>
      </c>
      <c r="V71" s="1">
        <f>IF(OR(V$52=0,U22="",V22=""),0,IFERROR(IF(AND(INDEX(Arten,MATCH(U22,Codes,0))="Arbeit",INDEX(Arten,MATCH(V22,Codes,0))="Arbeit"),IF(ROUND((1+INDEX(Beginne,MATCH(V22,Codes,0))-INDEX(EndeRel,MATCH(U22,Codes,0)))*1440,0)&lt;660,1,0),0),0))</f>
      </c>
      <c r="W71" s="1">
        <f>IF(OR(W$52=0,V22="",W22=""),0,IFERROR(IF(AND(INDEX(Arten,MATCH(V22,Codes,0))="Arbeit",INDEX(Arten,MATCH(W22,Codes,0))="Arbeit"),IF(ROUND((1+INDEX(Beginne,MATCH(W22,Codes,0))-INDEX(EndeRel,MATCH(V22,Codes,0)))*1440,0)&lt;660,1,0),0),0))</f>
      </c>
      <c r="X71" s="1">
        <f>IF(OR(X$52=0,W22="",X22=""),0,IFERROR(IF(AND(INDEX(Arten,MATCH(W22,Codes,0))="Arbeit",INDEX(Arten,MATCH(X22,Codes,0))="Arbeit"),IF(ROUND((1+INDEX(Beginne,MATCH(X22,Codes,0))-INDEX(EndeRel,MATCH(W22,Codes,0)))*1440,0)&lt;660,1,0),0),0))</f>
      </c>
      <c r="Y71" s="1">
        <f>IF(OR(Y$52=0,X22="",Y22=""),0,IFERROR(IF(AND(INDEX(Arten,MATCH(X22,Codes,0))="Arbeit",INDEX(Arten,MATCH(Y22,Codes,0))="Arbeit"),IF(ROUND((1+INDEX(Beginne,MATCH(Y22,Codes,0))-INDEX(EndeRel,MATCH(X22,Codes,0)))*1440,0)&lt;660,1,0),0),0))</f>
      </c>
      <c r="Z71" s="1">
        <f>IF(OR(Z$52=0,Y22="",Z22=""),0,IFERROR(IF(AND(INDEX(Arten,MATCH(Y22,Codes,0))="Arbeit",INDEX(Arten,MATCH(Z22,Codes,0))="Arbeit"),IF(ROUND((1+INDEX(Beginne,MATCH(Z22,Codes,0))-INDEX(EndeRel,MATCH(Y22,Codes,0)))*1440,0)&lt;660,1,0),0),0))</f>
      </c>
      <c r="AA71" s="1">
        <f>IF(OR(AA$52=0,Z22="",AA22=""),0,IFERROR(IF(AND(INDEX(Arten,MATCH(Z22,Codes,0))="Arbeit",INDEX(Arten,MATCH(AA22,Codes,0))="Arbeit"),IF(ROUND((1+INDEX(Beginne,MATCH(AA22,Codes,0))-INDEX(EndeRel,MATCH(Z22,Codes,0)))*1440,0)&lt;660,1,0),0),0))</f>
      </c>
      <c r="AB71" s="1">
        <f>IF(OR(AB$52=0,AA22="",AB22=""),0,IFERROR(IF(AND(INDEX(Arten,MATCH(AA22,Codes,0))="Arbeit",INDEX(Arten,MATCH(AB22,Codes,0))="Arbeit"),IF(ROUND((1+INDEX(Beginne,MATCH(AB22,Codes,0))-INDEX(EndeRel,MATCH(AA22,Codes,0)))*1440,0)&lt;660,1,0),0),0))</f>
      </c>
      <c r="AC71" s="1">
        <f>IF(OR(AC$52=0,AB22="",AC22=""),0,IFERROR(IF(AND(INDEX(Arten,MATCH(AB22,Codes,0))="Arbeit",INDEX(Arten,MATCH(AC22,Codes,0))="Arbeit"),IF(ROUND((1+INDEX(Beginne,MATCH(AC22,Codes,0))-INDEX(EndeRel,MATCH(AB22,Codes,0)))*1440,0)&lt;660,1,0),0),0))</f>
      </c>
      <c r="AD71" s="1">
        <f>IF(OR(AD$52=0,AC22="",AD22=""),0,IFERROR(IF(AND(INDEX(Arten,MATCH(AC22,Codes,0))="Arbeit",INDEX(Arten,MATCH(AD22,Codes,0))="Arbeit"),IF(ROUND((1+INDEX(Beginne,MATCH(AD22,Codes,0))-INDEX(EndeRel,MATCH(AC22,Codes,0)))*1440,0)&lt;660,1,0),0),0))</f>
      </c>
      <c r="AE71" s="1">
        <f>IF(OR(AE$52=0,AD22="",AE22=""),0,IFERROR(IF(AND(INDEX(Arten,MATCH(AD22,Codes,0))="Arbeit",INDEX(Arten,MATCH(AE22,Codes,0))="Arbeit"),IF(ROUND((1+INDEX(Beginne,MATCH(AE22,Codes,0))-INDEX(EndeRel,MATCH(AD22,Codes,0)))*1440,0)&lt;660,1,0),0),0))</f>
      </c>
      <c r="AF71" s="1">
        <f>IF(OR(AF$52=0,AE22="",AF22=""),0,IFERROR(IF(AND(INDEX(Arten,MATCH(AE22,Codes,0))="Arbeit",INDEX(Arten,MATCH(AF22,Codes,0))="Arbeit"),IF(ROUND((1+INDEX(Beginne,MATCH(AF22,Codes,0))-INDEX(EndeRel,MATCH(AE22,Codes,0)))*1440,0)&lt;660,1,0),0),0))</f>
      </c>
    </row>
    <row r="72" hidden="1" spans="1:32" x14ac:dyDescent="0.25">
      <c r="A72" s="1"/>
      <c r="B72" s="1">
        <f>IF(OR(B$52=0,INDEX('Juli'!$B$23:$AF$23,DAY(DATE(Jahr,8,0)))="",B23=""),0,IFERROR(IF(AND(INDEX(Arten,MATCH(INDEX('Juli'!$B$23:$AF$23,DAY(DATE(Jahr,8,0))),Codes,0))="Arbeit",INDEX(Arten,MATCH(B23,Codes,0))="Arbeit"),IF(ROUND((1+INDEX(Beginne,MATCH(B23,Codes,0))-INDEX(EndeRel,MATCH(INDEX('Juli'!$B$23:$AF$23,DAY(DATE(Jahr,8,0))),Codes,0)))*1440,0)&lt;660,1,0),0),0))</f>
      </c>
      <c r="C72" s="1">
        <f>IF(OR(C$52=0,B23="",C23=""),0,IFERROR(IF(AND(INDEX(Arten,MATCH(B23,Codes,0))="Arbeit",INDEX(Arten,MATCH(C23,Codes,0))="Arbeit"),IF(ROUND((1+INDEX(Beginne,MATCH(C23,Codes,0))-INDEX(EndeRel,MATCH(B23,Codes,0)))*1440,0)&lt;660,1,0),0),0))</f>
      </c>
      <c r="D72" s="1">
        <f>IF(OR(D$52=0,C23="",D23=""),0,IFERROR(IF(AND(INDEX(Arten,MATCH(C23,Codes,0))="Arbeit",INDEX(Arten,MATCH(D23,Codes,0))="Arbeit"),IF(ROUND((1+INDEX(Beginne,MATCH(D23,Codes,0))-INDEX(EndeRel,MATCH(C23,Codes,0)))*1440,0)&lt;660,1,0),0),0))</f>
      </c>
      <c r="E72" s="1">
        <f>IF(OR(E$52=0,D23="",E23=""),0,IFERROR(IF(AND(INDEX(Arten,MATCH(D23,Codes,0))="Arbeit",INDEX(Arten,MATCH(E23,Codes,0))="Arbeit"),IF(ROUND((1+INDEX(Beginne,MATCH(E23,Codes,0))-INDEX(EndeRel,MATCH(D23,Codes,0)))*1440,0)&lt;660,1,0),0),0))</f>
      </c>
      <c r="F72" s="1">
        <f>IF(OR(F$52=0,E23="",F23=""),0,IFERROR(IF(AND(INDEX(Arten,MATCH(E23,Codes,0))="Arbeit",INDEX(Arten,MATCH(F23,Codes,0))="Arbeit"),IF(ROUND((1+INDEX(Beginne,MATCH(F23,Codes,0))-INDEX(EndeRel,MATCH(E23,Codes,0)))*1440,0)&lt;660,1,0),0),0))</f>
      </c>
      <c r="G72" s="1">
        <f>IF(OR(G$52=0,F23="",G23=""),0,IFERROR(IF(AND(INDEX(Arten,MATCH(F23,Codes,0))="Arbeit",INDEX(Arten,MATCH(G23,Codes,0))="Arbeit"),IF(ROUND((1+INDEX(Beginne,MATCH(G23,Codes,0))-INDEX(EndeRel,MATCH(F23,Codes,0)))*1440,0)&lt;660,1,0),0),0))</f>
      </c>
      <c r="H72" s="1">
        <f>IF(OR(H$52=0,G23="",H23=""),0,IFERROR(IF(AND(INDEX(Arten,MATCH(G23,Codes,0))="Arbeit",INDEX(Arten,MATCH(H23,Codes,0))="Arbeit"),IF(ROUND((1+INDEX(Beginne,MATCH(H23,Codes,0))-INDEX(EndeRel,MATCH(G23,Codes,0)))*1440,0)&lt;660,1,0),0),0))</f>
      </c>
      <c r="I72" s="1">
        <f>IF(OR(I$52=0,H23="",I23=""),0,IFERROR(IF(AND(INDEX(Arten,MATCH(H23,Codes,0))="Arbeit",INDEX(Arten,MATCH(I23,Codes,0))="Arbeit"),IF(ROUND((1+INDEX(Beginne,MATCH(I23,Codes,0))-INDEX(EndeRel,MATCH(H23,Codes,0)))*1440,0)&lt;660,1,0),0),0))</f>
      </c>
      <c r="J72" s="1">
        <f>IF(OR(J$52=0,I23="",J23=""),0,IFERROR(IF(AND(INDEX(Arten,MATCH(I23,Codes,0))="Arbeit",INDEX(Arten,MATCH(J23,Codes,0))="Arbeit"),IF(ROUND((1+INDEX(Beginne,MATCH(J23,Codes,0))-INDEX(EndeRel,MATCH(I23,Codes,0)))*1440,0)&lt;660,1,0),0),0))</f>
      </c>
      <c r="K72" s="1">
        <f>IF(OR(K$52=0,J23="",K23=""),0,IFERROR(IF(AND(INDEX(Arten,MATCH(J23,Codes,0))="Arbeit",INDEX(Arten,MATCH(K23,Codes,0))="Arbeit"),IF(ROUND((1+INDEX(Beginne,MATCH(K23,Codes,0))-INDEX(EndeRel,MATCH(J23,Codes,0)))*1440,0)&lt;660,1,0),0),0))</f>
      </c>
      <c r="L72" s="1">
        <f>IF(OR(L$52=0,K23="",L23=""),0,IFERROR(IF(AND(INDEX(Arten,MATCH(K23,Codes,0))="Arbeit",INDEX(Arten,MATCH(L23,Codes,0))="Arbeit"),IF(ROUND((1+INDEX(Beginne,MATCH(L23,Codes,0))-INDEX(EndeRel,MATCH(K23,Codes,0)))*1440,0)&lt;660,1,0),0),0))</f>
      </c>
      <c r="M72" s="1">
        <f>IF(OR(M$52=0,L23="",M23=""),0,IFERROR(IF(AND(INDEX(Arten,MATCH(L23,Codes,0))="Arbeit",INDEX(Arten,MATCH(M23,Codes,0))="Arbeit"),IF(ROUND((1+INDEX(Beginne,MATCH(M23,Codes,0))-INDEX(EndeRel,MATCH(L23,Codes,0)))*1440,0)&lt;660,1,0),0),0))</f>
      </c>
      <c r="N72" s="1">
        <f>IF(OR(N$52=0,M23="",N23=""),0,IFERROR(IF(AND(INDEX(Arten,MATCH(M23,Codes,0))="Arbeit",INDEX(Arten,MATCH(N23,Codes,0))="Arbeit"),IF(ROUND((1+INDEX(Beginne,MATCH(N23,Codes,0))-INDEX(EndeRel,MATCH(M23,Codes,0)))*1440,0)&lt;660,1,0),0),0))</f>
      </c>
      <c r="O72" s="1">
        <f>IF(OR(O$52=0,N23="",O23=""),0,IFERROR(IF(AND(INDEX(Arten,MATCH(N23,Codes,0))="Arbeit",INDEX(Arten,MATCH(O23,Codes,0))="Arbeit"),IF(ROUND((1+INDEX(Beginne,MATCH(O23,Codes,0))-INDEX(EndeRel,MATCH(N23,Codes,0)))*1440,0)&lt;660,1,0),0),0))</f>
      </c>
      <c r="P72" s="1">
        <f>IF(OR(P$52=0,O23="",P23=""),0,IFERROR(IF(AND(INDEX(Arten,MATCH(O23,Codes,0))="Arbeit",INDEX(Arten,MATCH(P23,Codes,0))="Arbeit"),IF(ROUND((1+INDEX(Beginne,MATCH(P23,Codes,0))-INDEX(EndeRel,MATCH(O23,Codes,0)))*1440,0)&lt;660,1,0),0),0))</f>
      </c>
      <c r="Q72" s="1">
        <f>IF(OR(Q$52=0,P23="",Q23=""),0,IFERROR(IF(AND(INDEX(Arten,MATCH(P23,Codes,0))="Arbeit",INDEX(Arten,MATCH(Q23,Codes,0))="Arbeit"),IF(ROUND((1+INDEX(Beginne,MATCH(Q23,Codes,0))-INDEX(EndeRel,MATCH(P23,Codes,0)))*1440,0)&lt;660,1,0),0),0))</f>
      </c>
      <c r="R72" s="1">
        <f>IF(OR(R$52=0,Q23="",R23=""),0,IFERROR(IF(AND(INDEX(Arten,MATCH(Q23,Codes,0))="Arbeit",INDEX(Arten,MATCH(R23,Codes,0))="Arbeit"),IF(ROUND((1+INDEX(Beginne,MATCH(R23,Codes,0))-INDEX(EndeRel,MATCH(Q23,Codes,0)))*1440,0)&lt;660,1,0),0),0))</f>
      </c>
      <c r="S72" s="1">
        <f>IF(OR(S$52=0,R23="",S23=""),0,IFERROR(IF(AND(INDEX(Arten,MATCH(R23,Codes,0))="Arbeit",INDEX(Arten,MATCH(S23,Codes,0))="Arbeit"),IF(ROUND((1+INDEX(Beginne,MATCH(S23,Codes,0))-INDEX(EndeRel,MATCH(R23,Codes,0)))*1440,0)&lt;660,1,0),0),0))</f>
      </c>
      <c r="T72" s="1">
        <f>IF(OR(T$52=0,S23="",T23=""),0,IFERROR(IF(AND(INDEX(Arten,MATCH(S23,Codes,0))="Arbeit",INDEX(Arten,MATCH(T23,Codes,0))="Arbeit"),IF(ROUND((1+INDEX(Beginne,MATCH(T23,Codes,0))-INDEX(EndeRel,MATCH(S23,Codes,0)))*1440,0)&lt;660,1,0),0),0))</f>
      </c>
      <c r="U72" s="1">
        <f>IF(OR(U$52=0,T23="",U23=""),0,IFERROR(IF(AND(INDEX(Arten,MATCH(T23,Codes,0))="Arbeit",INDEX(Arten,MATCH(U23,Codes,0))="Arbeit"),IF(ROUND((1+INDEX(Beginne,MATCH(U23,Codes,0))-INDEX(EndeRel,MATCH(T23,Codes,0)))*1440,0)&lt;660,1,0),0),0))</f>
      </c>
      <c r="V72" s="1">
        <f>IF(OR(V$52=0,U23="",V23=""),0,IFERROR(IF(AND(INDEX(Arten,MATCH(U23,Codes,0))="Arbeit",INDEX(Arten,MATCH(V23,Codes,0))="Arbeit"),IF(ROUND((1+INDEX(Beginne,MATCH(V23,Codes,0))-INDEX(EndeRel,MATCH(U23,Codes,0)))*1440,0)&lt;660,1,0),0),0))</f>
      </c>
      <c r="W72" s="1">
        <f>IF(OR(W$52=0,V23="",W23=""),0,IFERROR(IF(AND(INDEX(Arten,MATCH(V23,Codes,0))="Arbeit",INDEX(Arten,MATCH(W23,Codes,0))="Arbeit"),IF(ROUND((1+INDEX(Beginne,MATCH(W23,Codes,0))-INDEX(EndeRel,MATCH(V23,Codes,0)))*1440,0)&lt;660,1,0),0),0))</f>
      </c>
      <c r="X72" s="1">
        <f>IF(OR(X$52=0,W23="",X23=""),0,IFERROR(IF(AND(INDEX(Arten,MATCH(W23,Codes,0))="Arbeit",INDEX(Arten,MATCH(X23,Codes,0))="Arbeit"),IF(ROUND((1+INDEX(Beginne,MATCH(X23,Codes,0))-INDEX(EndeRel,MATCH(W23,Codes,0)))*1440,0)&lt;660,1,0),0),0))</f>
      </c>
      <c r="Y72" s="1">
        <f>IF(OR(Y$52=0,X23="",Y23=""),0,IFERROR(IF(AND(INDEX(Arten,MATCH(X23,Codes,0))="Arbeit",INDEX(Arten,MATCH(Y23,Codes,0))="Arbeit"),IF(ROUND((1+INDEX(Beginne,MATCH(Y23,Codes,0))-INDEX(EndeRel,MATCH(X23,Codes,0)))*1440,0)&lt;660,1,0),0),0))</f>
      </c>
      <c r="Z72" s="1">
        <f>IF(OR(Z$52=0,Y23="",Z23=""),0,IFERROR(IF(AND(INDEX(Arten,MATCH(Y23,Codes,0))="Arbeit",INDEX(Arten,MATCH(Z23,Codes,0))="Arbeit"),IF(ROUND((1+INDEX(Beginne,MATCH(Z23,Codes,0))-INDEX(EndeRel,MATCH(Y23,Codes,0)))*1440,0)&lt;660,1,0),0),0))</f>
      </c>
      <c r="AA72" s="1">
        <f>IF(OR(AA$52=0,Z23="",AA23=""),0,IFERROR(IF(AND(INDEX(Arten,MATCH(Z23,Codes,0))="Arbeit",INDEX(Arten,MATCH(AA23,Codes,0))="Arbeit"),IF(ROUND((1+INDEX(Beginne,MATCH(AA23,Codes,0))-INDEX(EndeRel,MATCH(Z23,Codes,0)))*1440,0)&lt;660,1,0),0),0))</f>
      </c>
      <c r="AB72" s="1">
        <f>IF(OR(AB$52=0,AA23="",AB23=""),0,IFERROR(IF(AND(INDEX(Arten,MATCH(AA23,Codes,0))="Arbeit",INDEX(Arten,MATCH(AB23,Codes,0))="Arbeit"),IF(ROUND((1+INDEX(Beginne,MATCH(AB23,Codes,0))-INDEX(EndeRel,MATCH(AA23,Codes,0)))*1440,0)&lt;660,1,0),0),0))</f>
      </c>
      <c r="AC72" s="1">
        <f>IF(OR(AC$52=0,AB23="",AC23=""),0,IFERROR(IF(AND(INDEX(Arten,MATCH(AB23,Codes,0))="Arbeit",INDEX(Arten,MATCH(AC23,Codes,0))="Arbeit"),IF(ROUND((1+INDEX(Beginne,MATCH(AC23,Codes,0))-INDEX(EndeRel,MATCH(AB23,Codes,0)))*1440,0)&lt;660,1,0),0),0))</f>
      </c>
      <c r="AD72" s="1">
        <f>IF(OR(AD$52=0,AC23="",AD23=""),0,IFERROR(IF(AND(INDEX(Arten,MATCH(AC23,Codes,0))="Arbeit",INDEX(Arten,MATCH(AD23,Codes,0))="Arbeit"),IF(ROUND((1+INDEX(Beginne,MATCH(AD23,Codes,0))-INDEX(EndeRel,MATCH(AC23,Codes,0)))*1440,0)&lt;660,1,0),0),0))</f>
      </c>
      <c r="AE72" s="1">
        <f>IF(OR(AE$52=0,AD23="",AE23=""),0,IFERROR(IF(AND(INDEX(Arten,MATCH(AD23,Codes,0))="Arbeit",INDEX(Arten,MATCH(AE23,Codes,0))="Arbeit"),IF(ROUND((1+INDEX(Beginne,MATCH(AE23,Codes,0))-INDEX(EndeRel,MATCH(AD23,Codes,0)))*1440,0)&lt;660,1,0),0),0))</f>
      </c>
      <c r="AF72" s="1">
        <f>IF(OR(AF$52=0,AE23="",AF23=""),0,IFERROR(IF(AND(INDEX(Arten,MATCH(AE23,Codes,0))="Arbeit",INDEX(Arten,MATCH(AF23,Codes,0))="Arbeit"),IF(ROUND((1+INDEX(Beginne,MATCH(AF23,Codes,0))-INDEX(EndeRel,MATCH(AE23,Codes,0)))*1440,0)&lt;660,1,0),0),0))</f>
      </c>
    </row>
    <row r="73" hidden="1" spans="1:32" x14ac:dyDescent="0.25">
      <c r="A73" s="1"/>
      <c r="B73" s="1">
        <f>IF(OR(B$52=0,INDEX('Juli'!$B$24:$AF$24,DAY(DATE(Jahr,8,0)))="",B24=""),0,IFERROR(IF(AND(INDEX(Arten,MATCH(INDEX('Juli'!$B$24:$AF$24,DAY(DATE(Jahr,8,0))),Codes,0))="Arbeit",INDEX(Arten,MATCH(B24,Codes,0))="Arbeit"),IF(ROUND((1+INDEX(Beginne,MATCH(B24,Codes,0))-INDEX(EndeRel,MATCH(INDEX('Juli'!$B$24:$AF$24,DAY(DATE(Jahr,8,0))),Codes,0)))*1440,0)&lt;660,1,0),0),0))</f>
      </c>
      <c r="C73" s="1">
        <f>IF(OR(C$52=0,B24="",C24=""),0,IFERROR(IF(AND(INDEX(Arten,MATCH(B24,Codes,0))="Arbeit",INDEX(Arten,MATCH(C24,Codes,0))="Arbeit"),IF(ROUND((1+INDEX(Beginne,MATCH(C24,Codes,0))-INDEX(EndeRel,MATCH(B24,Codes,0)))*1440,0)&lt;660,1,0),0),0))</f>
      </c>
      <c r="D73" s="1">
        <f>IF(OR(D$52=0,C24="",D24=""),0,IFERROR(IF(AND(INDEX(Arten,MATCH(C24,Codes,0))="Arbeit",INDEX(Arten,MATCH(D24,Codes,0))="Arbeit"),IF(ROUND((1+INDEX(Beginne,MATCH(D24,Codes,0))-INDEX(EndeRel,MATCH(C24,Codes,0)))*1440,0)&lt;660,1,0),0),0))</f>
      </c>
      <c r="E73" s="1">
        <f>IF(OR(E$52=0,D24="",E24=""),0,IFERROR(IF(AND(INDEX(Arten,MATCH(D24,Codes,0))="Arbeit",INDEX(Arten,MATCH(E24,Codes,0))="Arbeit"),IF(ROUND((1+INDEX(Beginne,MATCH(E24,Codes,0))-INDEX(EndeRel,MATCH(D24,Codes,0)))*1440,0)&lt;660,1,0),0),0))</f>
      </c>
      <c r="F73" s="1">
        <f>IF(OR(F$52=0,E24="",F24=""),0,IFERROR(IF(AND(INDEX(Arten,MATCH(E24,Codes,0))="Arbeit",INDEX(Arten,MATCH(F24,Codes,0))="Arbeit"),IF(ROUND((1+INDEX(Beginne,MATCH(F24,Codes,0))-INDEX(EndeRel,MATCH(E24,Codes,0)))*1440,0)&lt;660,1,0),0),0))</f>
      </c>
      <c r="G73" s="1">
        <f>IF(OR(G$52=0,F24="",G24=""),0,IFERROR(IF(AND(INDEX(Arten,MATCH(F24,Codes,0))="Arbeit",INDEX(Arten,MATCH(G24,Codes,0))="Arbeit"),IF(ROUND((1+INDEX(Beginne,MATCH(G24,Codes,0))-INDEX(EndeRel,MATCH(F24,Codes,0)))*1440,0)&lt;660,1,0),0),0))</f>
      </c>
      <c r="H73" s="1">
        <f>IF(OR(H$52=0,G24="",H24=""),0,IFERROR(IF(AND(INDEX(Arten,MATCH(G24,Codes,0))="Arbeit",INDEX(Arten,MATCH(H24,Codes,0))="Arbeit"),IF(ROUND((1+INDEX(Beginne,MATCH(H24,Codes,0))-INDEX(EndeRel,MATCH(G24,Codes,0)))*1440,0)&lt;660,1,0),0),0))</f>
      </c>
      <c r="I73" s="1">
        <f>IF(OR(I$52=0,H24="",I24=""),0,IFERROR(IF(AND(INDEX(Arten,MATCH(H24,Codes,0))="Arbeit",INDEX(Arten,MATCH(I24,Codes,0))="Arbeit"),IF(ROUND((1+INDEX(Beginne,MATCH(I24,Codes,0))-INDEX(EndeRel,MATCH(H24,Codes,0)))*1440,0)&lt;660,1,0),0),0))</f>
      </c>
      <c r="J73" s="1">
        <f>IF(OR(J$52=0,I24="",J24=""),0,IFERROR(IF(AND(INDEX(Arten,MATCH(I24,Codes,0))="Arbeit",INDEX(Arten,MATCH(J24,Codes,0))="Arbeit"),IF(ROUND((1+INDEX(Beginne,MATCH(J24,Codes,0))-INDEX(EndeRel,MATCH(I24,Codes,0)))*1440,0)&lt;660,1,0),0),0))</f>
      </c>
      <c r="K73" s="1">
        <f>IF(OR(K$52=0,J24="",K24=""),0,IFERROR(IF(AND(INDEX(Arten,MATCH(J24,Codes,0))="Arbeit",INDEX(Arten,MATCH(K24,Codes,0))="Arbeit"),IF(ROUND((1+INDEX(Beginne,MATCH(K24,Codes,0))-INDEX(EndeRel,MATCH(J24,Codes,0)))*1440,0)&lt;660,1,0),0),0))</f>
      </c>
      <c r="L73" s="1">
        <f>IF(OR(L$52=0,K24="",L24=""),0,IFERROR(IF(AND(INDEX(Arten,MATCH(K24,Codes,0))="Arbeit",INDEX(Arten,MATCH(L24,Codes,0))="Arbeit"),IF(ROUND((1+INDEX(Beginne,MATCH(L24,Codes,0))-INDEX(EndeRel,MATCH(K24,Codes,0)))*1440,0)&lt;660,1,0),0),0))</f>
      </c>
      <c r="M73" s="1">
        <f>IF(OR(M$52=0,L24="",M24=""),0,IFERROR(IF(AND(INDEX(Arten,MATCH(L24,Codes,0))="Arbeit",INDEX(Arten,MATCH(M24,Codes,0))="Arbeit"),IF(ROUND((1+INDEX(Beginne,MATCH(M24,Codes,0))-INDEX(EndeRel,MATCH(L24,Codes,0)))*1440,0)&lt;660,1,0),0),0))</f>
      </c>
      <c r="N73" s="1">
        <f>IF(OR(N$52=0,M24="",N24=""),0,IFERROR(IF(AND(INDEX(Arten,MATCH(M24,Codes,0))="Arbeit",INDEX(Arten,MATCH(N24,Codes,0))="Arbeit"),IF(ROUND((1+INDEX(Beginne,MATCH(N24,Codes,0))-INDEX(EndeRel,MATCH(M24,Codes,0)))*1440,0)&lt;660,1,0),0),0))</f>
      </c>
      <c r="O73" s="1">
        <f>IF(OR(O$52=0,N24="",O24=""),0,IFERROR(IF(AND(INDEX(Arten,MATCH(N24,Codes,0))="Arbeit",INDEX(Arten,MATCH(O24,Codes,0))="Arbeit"),IF(ROUND((1+INDEX(Beginne,MATCH(O24,Codes,0))-INDEX(EndeRel,MATCH(N24,Codes,0)))*1440,0)&lt;660,1,0),0),0))</f>
      </c>
      <c r="P73" s="1">
        <f>IF(OR(P$52=0,O24="",P24=""),0,IFERROR(IF(AND(INDEX(Arten,MATCH(O24,Codes,0))="Arbeit",INDEX(Arten,MATCH(P24,Codes,0))="Arbeit"),IF(ROUND((1+INDEX(Beginne,MATCH(P24,Codes,0))-INDEX(EndeRel,MATCH(O24,Codes,0)))*1440,0)&lt;660,1,0),0),0))</f>
      </c>
      <c r="Q73" s="1">
        <f>IF(OR(Q$52=0,P24="",Q24=""),0,IFERROR(IF(AND(INDEX(Arten,MATCH(P24,Codes,0))="Arbeit",INDEX(Arten,MATCH(Q24,Codes,0))="Arbeit"),IF(ROUND((1+INDEX(Beginne,MATCH(Q24,Codes,0))-INDEX(EndeRel,MATCH(P24,Codes,0)))*1440,0)&lt;660,1,0),0),0))</f>
      </c>
      <c r="R73" s="1">
        <f>IF(OR(R$52=0,Q24="",R24=""),0,IFERROR(IF(AND(INDEX(Arten,MATCH(Q24,Codes,0))="Arbeit",INDEX(Arten,MATCH(R24,Codes,0))="Arbeit"),IF(ROUND((1+INDEX(Beginne,MATCH(R24,Codes,0))-INDEX(EndeRel,MATCH(Q24,Codes,0)))*1440,0)&lt;660,1,0),0),0))</f>
      </c>
      <c r="S73" s="1">
        <f>IF(OR(S$52=0,R24="",S24=""),0,IFERROR(IF(AND(INDEX(Arten,MATCH(R24,Codes,0))="Arbeit",INDEX(Arten,MATCH(S24,Codes,0))="Arbeit"),IF(ROUND((1+INDEX(Beginne,MATCH(S24,Codes,0))-INDEX(EndeRel,MATCH(R24,Codes,0)))*1440,0)&lt;660,1,0),0),0))</f>
      </c>
      <c r="T73" s="1">
        <f>IF(OR(T$52=0,S24="",T24=""),0,IFERROR(IF(AND(INDEX(Arten,MATCH(S24,Codes,0))="Arbeit",INDEX(Arten,MATCH(T24,Codes,0))="Arbeit"),IF(ROUND((1+INDEX(Beginne,MATCH(T24,Codes,0))-INDEX(EndeRel,MATCH(S24,Codes,0)))*1440,0)&lt;660,1,0),0),0))</f>
      </c>
      <c r="U73" s="1">
        <f>IF(OR(U$52=0,T24="",U24=""),0,IFERROR(IF(AND(INDEX(Arten,MATCH(T24,Codes,0))="Arbeit",INDEX(Arten,MATCH(U24,Codes,0))="Arbeit"),IF(ROUND((1+INDEX(Beginne,MATCH(U24,Codes,0))-INDEX(EndeRel,MATCH(T24,Codes,0)))*1440,0)&lt;660,1,0),0),0))</f>
      </c>
      <c r="V73" s="1">
        <f>IF(OR(V$52=0,U24="",V24=""),0,IFERROR(IF(AND(INDEX(Arten,MATCH(U24,Codes,0))="Arbeit",INDEX(Arten,MATCH(V24,Codes,0))="Arbeit"),IF(ROUND((1+INDEX(Beginne,MATCH(V24,Codes,0))-INDEX(EndeRel,MATCH(U24,Codes,0)))*1440,0)&lt;660,1,0),0),0))</f>
      </c>
      <c r="W73" s="1">
        <f>IF(OR(W$52=0,V24="",W24=""),0,IFERROR(IF(AND(INDEX(Arten,MATCH(V24,Codes,0))="Arbeit",INDEX(Arten,MATCH(W24,Codes,0))="Arbeit"),IF(ROUND((1+INDEX(Beginne,MATCH(W24,Codes,0))-INDEX(EndeRel,MATCH(V24,Codes,0)))*1440,0)&lt;660,1,0),0),0))</f>
      </c>
      <c r="X73" s="1">
        <f>IF(OR(X$52=0,W24="",X24=""),0,IFERROR(IF(AND(INDEX(Arten,MATCH(W24,Codes,0))="Arbeit",INDEX(Arten,MATCH(X24,Codes,0))="Arbeit"),IF(ROUND((1+INDEX(Beginne,MATCH(X24,Codes,0))-INDEX(EndeRel,MATCH(W24,Codes,0)))*1440,0)&lt;660,1,0),0),0))</f>
      </c>
      <c r="Y73" s="1">
        <f>IF(OR(Y$52=0,X24="",Y24=""),0,IFERROR(IF(AND(INDEX(Arten,MATCH(X24,Codes,0))="Arbeit",INDEX(Arten,MATCH(Y24,Codes,0))="Arbeit"),IF(ROUND((1+INDEX(Beginne,MATCH(Y24,Codes,0))-INDEX(EndeRel,MATCH(X24,Codes,0)))*1440,0)&lt;660,1,0),0),0))</f>
      </c>
      <c r="Z73" s="1">
        <f>IF(OR(Z$52=0,Y24="",Z24=""),0,IFERROR(IF(AND(INDEX(Arten,MATCH(Y24,Codes,0))="Arbeit",INDEX(Arten,MATCH(Z24,Codes,0))="Arbeit"),IF(ROUND((1+INDEX(Beginne,MATCH(Z24,Codes,0))-INDEX(EndeRel,MATCH(Y24,Codes,0)))*1440,0)&lt;660,1,0),0),0))</f>
      </c>
      <c r="AA73" s="1">
        <f>IF(OR(AA$52=0,Z24="",AA24=""),0,IFERROR(IF(AND(INDEX(Arten,MATCH(Z24,Codes,0))="Arbeit",INDEX(Arten,MATCH(AA24,Codes,0))="Arbeit"),IF(ROUND((1+INDEX(Beginne,MATCH(AA24,Codes,0))-INDEX(EndeRel,MATCH(Z24,Codes,0)))*1440,0)&lt;660,1,0),0),0))</f>
      </c>
      <c r="AB73" s="1">
        <f>IF(OR(AB$52=0,AA24="",AB24=""),0,IFERROR(IF(AND(INDEX(Arten,MATCH(AA24,Codes,0))="Arbeit",INDEX(Arten,MATCH(AB24,Codes,0))="Arbeit"),IF(ROUND((1+INDEX(Beginne,MATCH(AB24,Codes,0))-INDEX(EndeRel,MATCH(AA24,Codes,0)))*1440,0)&lt;660,1,0),0),0))</f>
      </c>
      <c r="AC73" s="1">
        <f>IF(OR(AC$52=0,AB24="",AC24=""),0,IFERROR(IF(AND(INDEX(Arten,MATCH(AB24,Codes,0))="Arbeit",INDEX(Arten,MATCH(AC24,Codes,0))="Arbeit"),IF(ROUND((1+INDEX(Beginne,MATCH(AC24,Codes,0))-INDEX(EndeRel,MATCH(AB24,Codes,0)))*1440,0)&lt;660,1,0),0),0))</f>
      </c>
      <c r="AD73" s="1">
        <f>IF(OR(AD$52=0,AC24="",AD24=""),0,IFERROR(IF(AND(INDEX(Arten,MATCH(AC24,Codes,0))="Arbeit",INDEX(Arten,MATCH(AD24,Codes,0))="Arbeit"),IF(ROUND((1+INDEX(Beginne,MATCH(AD24,Codes,0))-INDEX(EndeRel,MATCH(AC24,Codes,0)))*1440,0)&lt;660,1,0),0),0))</f>
      </c>
      <c r="AE73" s="1">
        <f>IF(OR(AE$52=0,AD24="",AE24=""),0,IFERROR(IF(AND(INDEX(Arten,MATCH(AD24,Codes,0))="Arbeit",INDEX(Arten,MATCH(AE24,Codes,0))="Arbeit"),IF(ROUND((1+INDEX(Beginne,MATCH(AE24,Codes,0))-INDEX(EndeRel,MATCH(AD24,Codes,0)))*1440,0)&lt;660,1,0),0),0))</f>
      </c>
      <c r="AF73" s="1">
        <f>IF(OR(AF$52=0,AE24="",AF24=""),0,IFERROR(IF(AND(INDEX(Arten,MATCH(AE24,Codes,0))="Arbeit",INDEX(Arten,MATCH(AF24,Codes,0))="Arbeit"),IF(ROUND((1+INDEX(Beginne,MATCH(AF24,Codes,0))-INDEX(EndeRel,MATCH(AE24,Codes,0)))*1440,0)&lt;660,1,0),0),0))</f>
      </c>
    </row>
    <row r="74" hidden="1" spans="1:32" x14ac:dyDescent="0.25">
      <c r="A74" s="1"/>
      <c r="B74" s="1">
        <f>IF(OR(B$52=0,INDEX('Juli'!$B$25:$AF$25,DAY(DATE(Jahr,8,0)))="",B25=""),0,IFERROR(IF(AND(INDEX(Arten,MATCH(INDEX('Juli'!$B$25:$AF$25,DAY(DATE(Jahr,8,0))),Codes,0))="Arbeit",INDEX(Arten,MATCH(B25,Codes,0))="Arbeit"),IF(ROUND((1+INDEX(Beginne,MATCH(B25,Codes,0))-INDEX(EndeRel,MATCH(INDEX('Juli'!$B$25:$AF$25,DAY(DATE(Jahr,8,0))),Codes,0)))*1440,0)&lt;660,1,0),0),0))</f>
      </c>
      <c r="C74" s="1">
        <f>IF(OR(C$52=0,B25="",C25=""),0,IFERROR(IF(AND(INDEX(Arten,MATCH(B25,Codes,0))="Arbeit",INDEX(Arten,MATCH(C25,Codes,0))="Arbeit"),IF(ROUND((1+INDEX(Beginne,MATCH(C25,Codes,0))-INDEX(EndeRel,MATCH(B25,Codes,0)))*1440,0)&lt;660,1,0),0),0))</f>
      </c>
      <c r="D74" s="1">
        <f>IF(OR(D$52=0,C25="",D25=""),0,IFERROR(IF(AND(INDEX(Arten,MATCH(C25,Codes,0))="Arbeit",INDEX(Arten,MATCH(D25,Codes,0))="Arbeit"),IF(ROUND((1+INDEX(Beginne,MATCH(D25,Codes,0))-INDEX(EndeRel,MATCH(C25,Codes,0)))*1440,0)&lt;660,1,0),0),0))</f>
      </c>
      <c r="E74" s="1">
        <f>IF(OR(E$52=0,D25="",E25=""),0,IFERROR(IF(AND(INDEX(Arten,MATCH(D25,Codes,0))="Arbeit",INDEX(Arten,MATCH(E25,Codes,0))="Arbeit"),IF(ROUND((1+INDEX(Beginne,MATCH(E25,Codes,0))-INDEX(EndeRel,MATCH(D25,Codes,0)))*1440,0)&lt;660,1,0),0),0))</f>
      </c>
      <c r="F74" s="1">
        <f>IF(OR(F$52=0,E25="",F25=""),0,IFERROR(IF(AND(INDEX(Arten,MATCH(E25,Codes,0))="Arbeit",INDEX(Arten,MATCH(F25,Codes,0))="Arbeit"),IF(ROUND((1+INDEX(Beginne,MATCH(F25,Codes,0))-INDEX(EndeRel,MATCH(E25,Codes,0)))*1440,0)&lt;660,1,0),0),0))</f>
      </c>
      <c r="G74" s="1">
        <f>IF(OR(G$52=0,F25="",G25=""),0,IFERROR(IF(AND(INDEX(Arten,MATCH(F25,Codes,0))="Arbeit",INDEX(Arten,MATCH(G25,Codes,0))="Arbeit"),IF(ROUND((1+INDEX(Beginne,MATCH(G25,Codes,0))-INDEX(EndeRel,MATCH(F25,Codes,0)))*1440,0)&lt;660,1,0),0),0))</f>
      </c>
      <c r="H74" s="1">
        <f>IF(OR(H$52=0,G25="",H25=""),0,IFERROR(IF(AND(INDEX(Arten,MATCH(G25,Codes,0))="Arbeit",INDEX(Arten,MATCH(H25,Codes,0))="Arbeit"),IF(ROUND((1+INDEX(Beginne,MATCH(H25,Codes,0))-INDEX(EndeRel,MATCH(G25,Codes,0)))*1440,0)&lt;660,1,0),0),0))</f>
      </c>
      <c r="I74" s="1">
        <f>IF(OR(I$52=0,H25="",I25=""),0,IFERROR(IF(AND(INDEX(Arten,MATCH(H25,Codes,0))="Arbeit",INDEX(Arten,MATCH(I25,Codes,0))="Arbeit"),IF(ROUND((1+INDEX(Beginne,MATCH(I25,Codes,0))-INDEX(EndeRel,MATCH(H25,Codes,0)))*1440,0)&lt;660,1,0),0),0))</f>
      </c>
      <c r="J74" s="1">
        <f>IF(OR(J$52=0,I25="",J25=""),0,IFERROR(IF(AND(INDEX(Arten,MATCH(I25,Codes,0))="Arbeit",INDEX(Arten,MATCH(J25,Codes,0))="Arbeit"),IF(ROUND((1+INDEX(Beginne,MATCH(J25,Codes,0))-INDEX(EndeRel,MATCH(I25,Codes,0)))*1440,0)&lt;660,1,0),0),0))</f>
      </c>
      <c r="K74" s="1">
        <f>IF(OR(K$52=0,J25="",K25=""),0,IFERROR(IF(AND(INDEX(Arten,MATCH(J25,Codes,0))="Arbeit",INDEX(Arten,MATCH(K25,Codes,0))="Arbeit"),IF(ROUND((1+INDEX(Beginne,MATCH(K25,Codes,0))-INDEX(EndeRel,MATCH(J25,Codes,0)))*1440,0)&lt;660,1,0),0),0))</f>
      </c>
      <c r="L74" s="1">
        <f>IF(OR(L$52=0,K25="",L25=""),0,IFERROR(IF(AND(INDEX(Arten,MATCH(K25,Codes,0))="Arbeit",INDEX(Arten,MATCH(L25,Codes,0))="Arbeit"),IF(ROUND((1+INDEX(Beginne,MATCH(L25,Codes,0))-INDEX(EndeRel,MATCH(K25,Codes,0)))*1440,0)&lt;660,1,0),0),0))</f>
      </c>
      <c r="M74" s="1">
        <f>IF(OR(M$52=0,L25="",M25=""),0,IFERROR(IF(AND(INDEX(Arten,MATCH(L25,Codes,0))="Arbeit",INDEX(Arten,MATCH(M25,Codes,0))="Arbeit"),IF(ROUND((1+INDEX(Beginne,MATCH(M25,Codes,0))-INDEX(EndeRel,MATCH(L25,Codes,0)))*1440,0)&lt;660,1,0),0),0))</f>
      </c>
      <c r="N74" s="1">
        <f>IF(OR(N$52=0,M25="",N25=""),0,IFERROR(IF(AND(INDEX(Arten,MATCH(M25,Codes,0))="Arbeit",INDEX(Arten,MATCH(N25,Codes,0))="Arbeit"),IF(ROUND((1+INDEX(Beginne,MATCH(N25,Codes,0))-INDEX(EndeRel,MATCH(M25,Codes,0)))*1440,0)&lt;660,1,0),0),0))</f>
      </c>
      <c r="O74" s="1">
        <f>IF(OR(O$52=0,N25="",O25=""),0,IFERROR(IF(AND(INDEX(Arten,MATCH(N25,Codes,0))="Arbeit",INDEX(Arten,MATCH(O25,Codes,0))="Arbeit"),IF(ROUND((1+INDEX(Beginne,MATCH(O25,Codes,0))-INDEX(EndeRel,MATCH(N25,Codes,0)))*1440,0)&lt;660,1,0),0),0))</f>
      </c>
      <c r="P74" s="1">
        <f>IF(OR(P$52=0,O25="",P25=""),0,IFERROR(IF(AND(INDEX(Arten,MATCH(O25,Codes,0))="Arbeit",INDEX(Arten,MATCH(P25,Codes,0))="Arbeit"),IF(ROUND((1+INDEX(Beginne,MATCH(P25,Codes,0))-INDEX(EndeRel,MATCH(O25,Codes,0)))*1440,0)&lt;660,1,0),0),0))</f>
      </c>
      <c r="Q74" s="1">
        <f>IF(OR(Q$52=0,P25="",Q25=""),0,IFERROR(IF(AND(INDEX(Arten,MATCH(P25,Codes,0))="Arbeit",INDEX(Arten,MATCH(Q25,Codes,0))="Arbeit"),IF(ROUND((1+INDEX(Beginne,MATCH(Q25,Codes,0))-INDEX(EndeRel,MATCH(P25,Codes,0)))*1440,0)&lt;660,1,0),0),0))</f>
      </c>
      <c r="R74" s="1">
        <f>IF(OR(R$52=0,Q25="",R25=""),0,IFERROR(IF(AND(INDEX(Arten,MATCH(Q25,Codes,0))="Arbeit",INDEX(Arten,MATCH(R25,Codes,0))="Arbeit"),IF(ROUND((1+INDEX(Beginne,MATCH(R25,Codes,0))-INDEX(EndeRel,MATCH(Q25,Codes,0)))*1440,0)&lt;660,1,0),0),0))</f>
      </c>
      <c r="S74" s="1">
        <f>IF(OR(S$52=0,R25="",S25=""),0,IFERROR(IF(AND(INDEX(Arten,MATCH(R25,Codes,0))="Arbeit",INDEX(Arten,MATCH(S25,Codes,0))="Arbeit"),IF(ROUND((1+INDEX(Beginne,MATCH(S25,Codes,0))-INDEX(EndeRel,MATCH(R25,Codes,0)))*1440,0)&lt;660,1,0),0),0))</f>
      </c>
      <c r="T74" s="1">
        <f>IF(OR(T$52=0,S25="",T25=""),0,IFERROR(IF(AND(INDEX(Arten,MATCH(S25,Codes,0))="Arbeit",INDEX(Arten,MATCH(T25,Codes,0))="Arbeit"),IF(ROUND((1+INDEX(Beginne,MATCH(T25,Codes,0))-INDEX(EndeRel,MATCH(S25,Codes,0)))*1440,0)&lt;660,1,0),0),0))</f>
      </c>
      <c r="U74" s="1">
        <f>IF(OR(U$52=0,T25="",U25=""),0,IFERROR(IF(AND(INDEX(Arten,MATCH(T25,Codes,0))="Arbeit",INDEX(Arten,MATCH(U25,Codes,0))="Arbeit"),IF(ROUND((1+INDEX(Beginne,MATCH(U25,Codes,0))-INDEX(EndeRel,MATCH(T25,Codes,0)))*1440,0)&lt;660,1,0),0),0))</f>
      </c>
      <c r="V74" s="1">
        <f>IF(OR(V$52=0,U25="",V25=""),0,IFERROR(IF(AND(INDEX(Arten,MATCH(U25,Codes,0))="Arbeit",INDEX(Arten,MATCH(V25,Codes,0))="Arbeit"),IF(ROUND((1+INDEX(Beginne,MATCH(V25,Codes,0))-INDEX(EndeRel,MATCH(U25,Codes,0)))*1440,0)&lt;660,1,0),0),0))</f>
      </c>
      <c r="W74" s="1">
        <f>IF(OR(W$52=0,V25="",W25=""),0,IFERROR(IF(AND(INDEX(Arten,MATCH(V25,Codes,0))="Arbeit",INDEX(Arten,MATCH(W25,Codes,0))="Arbeit"),IF(ROUND((1+INDEX(Beginne,MATCH(W25,Codes,0))-INDEX(EndeRel,MATCH(V25,Codes,0)))*1440,0)&lt;660,1,0),0),0))</f>
      </c>
      <c r="X74" s="1">
        <f>IF(OR(X$52=0,W25="",X25=""),0,IFERROR(IF(AND(INDEX(Arten,MATCH(W25,Codes,0))="Arbeit",INDEX(Arten,MATCH(X25,Codes,0))="Arbeit"),IF(ROUND((1+INDEX(Beginne,MATCH(X25,Codes,0))-INDEX(EndeRel,MATCH(W25,Codes,0)))*1440,0)&lt;660,1,0),0),0))</f>
      </c>
      <c r="Y74" s="1">
        <f>IF(OR(Y$52=0,X25="",Y25=""),0,IFERROR(IF(AND(INDEX(Arten,MATCH(X25,Codes,0))="Arbeit",INDEX(Arten,MATCH(Y25,Codes,0))="Arbeit"),IF(ROUND((1+INDEX(Beginne,MATCH(Y25,Codes,0))-INDEX(EndeRel,MATCH(X25,Codes,0)))*1440,0)&lt;660,1,0),0),0))</f>
      </c>
      <c r="Z74" s="1">
        <f>IF(OR(Z$52=0,Y25="",Z25=""),0,IFERROR(IF(AND(INDEX(Arten,MATCH(Y25,Codes,0))="Arbeit",INDEX(Arten,MATCH(Z25,Codes,0))="Arbeit"),IF(ROUND((1+INDEX(Beginne,MATCH(Z25,Codes,0))-INDEX(EndeRel,MATCH(Y25,Codes,0)))*1440,0)&lt;660,1,0),0),0))</f>
      </c>
      <c r="AA74" s="1">
        <f>IF(OR(AA$52=0,Z25="",AA25=""),0,IFERROR(IF(AND(INDEX(Arten,MATCH(Z25,Codes,0))="Arbeit",INDEX(Arten,MATCH(AA25,Codes,0))="Arbeit"),IF(ROUND((1+INDEX(Beginne,MATCH(AA25,Codes,0))-INDEX(EndeRel,MATCH(Z25,Codes,0)))*1440,0)&lt;660,1,0),0),0))</f>
      </c>
      <c r="AB74" s="1">
        <f>IF(OR(AB$52=0,AA25="",AB25=""),0,IFERROR(IF(AND(INDEX(Arten,MATCH(AA25,Codes,0))="Arbeit",INDEX(Arten,MATCH(AB25,Codes,0))="Arbeit"),IF(ROUND((1+INDEX(Beginne,MATCH(AB25,Codes,0))-INDEX(EndeRel,MATCH(AA25,Codes,0)))*1440,0)&lt;660,1,0),0),0))</f>
      </c>
      <c r="AC74" s="1">
        <f>IF(OR(AC$52=0,AB25="",AC25=""),0,IFERROR(IF(AND(INDEX(Arten,MATCH(AB25,Codes,0))="Arbeit",INDEX(Arten,MATCH(AC25,Codes,0))="Arbeit"),IF(ROUND((1+INDEX(Beginne,MATCH(AC25,Codes,0))-INDEX(EndeRel,MATCH(AB25,Codes,0)))*1440,0)&lt;660,1,0),0),0))</f>
      </c>
      <c r="AD74" s="1">
        <f>IF(OR(AD$52=0,AC25="",AD25=""),0,IFERROR(IF(AND(INDEX(Arten,MATCH(AC25,Codes,0))="Arbeit",INDEX(Arten,MATCH(AD25,Codes,0))="Arbeit"),IF(ROUND((1+INDEX(Beginne,MATCH(AD25,Codes,0))-INDEX(EndeRel,MATCH(AC25,Codes,0)))*1440,0)&lt;660,1,0),0),0))</f>
      </c>
      <c r="AE74" s="1">
        <f>IF(OR(AE$52=0,AD25="",AE25=""),0,IFERROR(IF(AND(INDEX(Arten,MATCH(AD25,Codes,0))="Arbeit",INDEX(Arten,MATCH(AE25,Codes,0))="Arbeit"),IF(ROUND((1+INDEX(Beginne,MATCH(AE25,Codes,0))-INDEX(EndeRel,MATCH(AD25,Codes,0)))*1440,0)&lt;660,1,0),0),0))</f>
      </c>
      <c r="AF74" s="1">
        <f>IF(OR(AF$52=0,AE25="",AF25=""),0,IFERROR(IF(AND(INDEX(Arten,MATCH(AE25,Codes,0))="Arbeit",INDEX(Arten,MATCH(AF25,Codes,0))="Arbeit"),IF(ROUND((1+INDEX(Beginne,MATCH(AF25,Codes,0))-INDEX(EndeRel,MATCH(AE25,Codes,0)))*1440,0)&lt;660,1,0),0),0))</f>
      </c>
    </row>
    <row r="75" hidden="1" spans="1:32" x14ac:dyDescent="0.25">
      <c r="A75" s="1"/>
      <c r="B75" s="1">
        <f>IF(OR(B$52=0,INDEX('Juli'!$B$26:$AF$26,DAY(DATE(Jahr,8,0)))="",B26=""),0,IFERROR(IF(AND(INDEX(Arten,MATCH(INDEX('Juli'!$B$26:$AF$26,DAY(DATE(Jahr,8,0))),Codes,0))="Arbeit",INDEX(Arten,MATCH(B26,Codes,0))="Arbeit"),IF(ROUND((1+INDEX(Beginne,MATCH(B26,Codes,0))-INDEX(EndeRel,MATCH(INDEX('Juli'!$B$26:$AF$26,DAY(DATE(Jahr,8,0))),Codes,0)))*1440,0)&lt;660,1,0),0),0))</f>
      </c>
      <c r="C75" s="1">
        <f>IF(OR(C$52=0,B26="",C26=""),0,IFERROR(IF(AND(INDEX(Arten,MATCH(B26,Codes,0))="Arbeit",INDEX(Arten,MATCH(C26,Codes,0))="Arbeit"),IF(ROUND((1+INDEX(Beginne,MATCH(C26,Codes,0))-INDEX(EndeRel,MATCH(B26,Codes,0)))*1440,0)&lt;660,1,0),0),0))</f>
      </c>
      <c r="D75" s="1">
        <f>IF(OR(D$52=0,C26="",D26=""),0,IFERROR(IF(AND(INDEX(Arten,MATCH(C26,Codes,0))="Arbeit",INDEX(Arten,MATCH(D26,Codes,0))="Arbeit"),IF(ROUND((1+INDEX(Beginne,MATCH(D26,Codes,0))-INDEX(EndeRel,MATCH(C26,Codes,0)))*1440,0)&lt;660,1,0),0),0))</f>
      </c>
      <c r="E75" s="1">
        <f>IF(OR(E$52=0,D26="",E26=""),0,IFERROR(IF(AND(INDEX(Arten,MATCH(D26,Codes,0))="Arbeit",INDEX(Arten,MATCH(E26,Codes,0))="Arbeit"),IF(ROUND((1+INDEX(Beginne,MATCH(E26,Codes,0))-INDEX(EndeRel,MATCH(D26,Codes,0)))*1440,0)&lt;660,1,0),0),0))</f>
      </c>
      <c r="F75" s="1">
        <f>IF(OR(F$52=0,E26="",F26=""),0,IFERROR(IF(AND(INDEX(Arten,MATCH(E26,Codes,0))="Arbeit",INDEX(Arten,MATCH(F26,Codes,0))="Arbeit"),IF(ROUND((1+INDEX(Beginne,MATCH(F26,Codes,0))-INDEX(EndeRel,MATCH(E26,Codes,0)))*1440,0)&lt;660,1,0),0),0))</f>
      </c>
      <c r="G75" s="1">
        <f>IF(OR(G$52=0,F26="",G26=""),0,IFERROR(IF(AND(INDEX(Arten,MATCH(F26,Codes,0))="Arbeit",INDEX(Arten,MATCH(G26,Codes,0))="Arbeit"),IF(ROUND((1+INDEX(Beginne,MATCH(G26,Codes,0))-INDEX(EndeRel,MATCH(F26,Codes,0)))*1440,0)&lt;660,1,0),0),0))</f>
      </c>
      <c r="H75" s="1">
        <f>IF(OR(H$52=0,G26="",H26=""),0,IFERROR(IF(AND(INDEX(Arten,MATCH(G26,Codes,0))="Arbeit",INDEX(Arten,MATCH(H26,Codes,0))="Arbeit"),IF(ROUND((1+INDEX(Beginne,MATCH(H26,Codes,0))-INDEX(EndeRel,MATCH(G26,Codes,0)))*1440,0)&lt;660,1,0),0),0))</f>
      </c>
      <c r="I75" s="1">
        <f>IF(OR(I$52=0,H26="",I26=""),0,IFERROR(IF(AND(INDEX(Arten,MATCH(H26,Codes,0))="Arbeit",INDEX(Arten,MATCH(I26,Codes,0))="Arbeit"),IF(ROUND((1+INDEX(Beginne,MATCH(I26,Codes,0))-INDEX(EndeRel,MATCH(H26,Codes,0)))*1440,0)&lt;660,1,0),0),0))</f>
      </c>
      <c r="J75" s="1">
        <f>IF(OR(J$52=0,I26="",J26=""),0,IFERROR(IF(AND(INDEX(Arten,MATCH(I26,Codes,0))="Arbeit",INDEX(Arten,MATCH(J26,Codes,0))="Arbeit"),IF(ROUND((1+INDEX(Beginne,MATCH(J26,Codes,0))-INDEX(EndeRel,MATCH(I26,Codes,0)))*1440,0)&lt;660,1,0),0),0))</f>
      </c>
      <c r="K75" s="1">
        <f>IF(OR(K$52=0,J26="",K26=""),0,IFERROR(IF(AND(INDEX(Arten,MATCH(J26,Codes,0))="Arbeit",INDEX(Arten,MATCH(K26,Codes,0))="Arbeit"),IF(ROUND((1+INDEX(Beginne,MATCH(K26,Codes,0))-INDEX(EndeRel,MATCH(J26,Codes,0)))*1440,0)&lt;660,1,0),0),0))</f>
      </c>
      <c r="L75" s="1">
        <f>IF(OR(L$52=0,K26="",L26=""),0,IFERROR(IF(AND(INDEX(Arten,MATCH(K26,Codes,0))="Arbeit",INDEX(Arten,MATCH(L26,Codes,0))="Arbeit"),IF(ROUND((1+INDEX(Beginne,MATCH(L26,Codes,0))-INDEX(EndeRel,MATCH(K26,Codes,0)))*1440,0)&lt;660,1,0),0),0))</f>
      </c>
      <c r="M75" s="1">
        <f>IF(OR(M$52=0,L26="",M26=""),0,IFERROR(IF(AND(INDEX(Arten,MATCH(L26,Codes,0))="Arbeit",INDEX(Arten,MATCH(M26,Codes,0))="Arbeit"),IF(ROUND((1+INDEX(Beginne,MATCH(M26,Codes,0))-INDEX(EndeRel,MATCH(L26,Codes,0)))*1440,0)&lt;660,1,0),0),0))</f>
      </c>
      <c r="N75" s="1">
        <f>IF(OR(N$52=0,M26="",N26=""),0,IFERROR(IF(AND(INDEX(Arten,MATCH(M26,Codes,0))="Arbeit",INDEX(Arten,MATCH(N26,Codes,0))="Arbeit"),IF(ROUND((1+INDEX(Beginne,MATCH(N26,Codes,0))-INDEX(EndeRel,MATCH(M26,Codes,0)))*1440,0)&lt;660,1,0),0),0))</f>
      </c>
      <c r="O75" s="1">
        <f>IF(OR(O$52=0,N26="",O26=""),0,IFERROR(IF(AND(INDEX(Arten,MATCH(N26,Codes,0))="Arbeit",INDEX(Arten,MATCH(O26,Codes,0))="Arbeit"),IF(ROUND((1+INDEX(Beginne,MATCH(O26,Codes,0))-INDEX(EndeRel,MATCH(N26,Codes,0)))*1440,0)&lt;660,1,0),0),0))</f>
      </c>
      <c r="P75" s="1">
        <f>IF(OR(P$52=0,O26="",P26=""),0,IFERROR(IF(AND(INDEX(Arten,MATCH(O26,Codes,0))="Arbeit",INDEX(Arten,MATCH(P26,Codes,0))="Arbeit"),IF(ROUND((1+INDEX(Beginne,MATCH(P26,Codes,0))-INDEX(EndeRel,MATCH(O26,Codes,0)))*1440,0)&lt;660,1,0),0),0))</f>
      </c>
      <c r="Q75" s="1">
        <f>IF(OR(Q$52=0,P26="",Q26=""),0,IFERROR(IF(AND(INDEX(Arten,MATCH(P26,Codes,0))="Arbeit",INDEX(Arten,MATCH(Q26,Codes,0))="Arbeit"),IF(ROUND((1+INDEX(Beginne,MATCH(Q26,Codes,0))-INDEX(EndeRel,MATCH(P26,Codes,0)))*1440,0)&lt;660,1,0),0),0))</f>
      </c>
      <c r="R75" s="1">
        <f>IF(OR(R$52=0,Q26="",R26=""),0,IFERROR(IF(AND(INDEX(Arten,MATCH(Q26,Codes,0))="Arbeit",INDEX(Arten,MATCH(R26,Codes,0))="Arbeit"),IF(ROUND((1+INDEX(Beginne,MATCH(R26,Codes,0))-INDEX(EndeRel,MATCH(Q26,Codes,0)))*1440,0)&lt;660,1,0),0),0))</f>
      </c>
      <c r="S75" s="1">
        <f>IF(OR(S$52=0,R26="",S26=""),0,IFERROR(IF(AND(INDEX(Arten,MATCH(R26,Codes,0))="Arbeit",INDEX(Arten,MATCH(S26,Codes,0))="Arbeit"),IF(ROUND((1+INDEX(Beginne,MATCH(S26,Codes,0))-INDEX(EndeRel,MATCH(R26,Codes,0)))*1440,0)&lt;660,1,0),0),0))</f>
      </c>
      <c r="T75" s="1">
        <f>IF(OR(T$52=0,S26="",T26=""),0,IFERROR(IF(AND(INDEX(Arten,MATCH(S26,Codes,0))="Arbeit",INDEX(Arten,MATCH(T26,Codes,0))="Arbeit"),IF(ROUND((1+INDEX(Beginne,MATCH(T26,Codes,0))-INDEX(EndeRel,MATCH(S26,Codes,0)))*1440,0)&lt;660,1,0),0),0))</f>
      </c>
      <c r="U75" s="1">
        <f>IF(OR(U$52=0,T26="",U26=""),0,IFERROR(IF(AND(INDEX(Arten,MATCH(T26,Codes,0))="Arbeit",INDEX(Arten,MATCH(U26,Codes,0))="Arbeit"),IF(ROUND((1+INDEX(Beginne,MATCH(U26,Codes,0))-INDEX(EndeRel,MATCH(T26,Codes,0)))*1440,0)&lt;660,1,0),0),0))</f>
      </c>
      <c r="V75" s="1">
        <f>IF(OR(V$52=0,U26="",V26=""),0,IFERROR(IF(AND(INDEX(Arten,MATCH(U26,Codes,0))="Arbeit",INDEX(Arten,MATCH(V26,Codes,0))="Arbeit"),IF(ROUND((1+INDEX(Beginne,MATCH(V26,Codes,0))-INDEX(EndeRel,MATCH(U26,Codes,0)))*1440,0)&lt;660,1,0),0),0))</f>
      </c>
      <c r="W75" s="1">
        <f>IF(OR(W$52=0,V26="",W26=""),0,IFERROR(IF(AND(INDEX(Arten,MATCH(V26,Codes,0))="Arbeit",INDEX(Arten,MATCH(W26,Codes,0))="Arbeit"),IF(ROUND((1+INDEX(Beginne,MATCH(W26,Codes,0))-INDEX(EndeRel,MATCH(V26,Codes,0)))*1440,0)&lt;660,1,0),0),0))</f>
      </c>
      <c r="X75" s="1">
        <f>IF(OR(X$52=0,W26="",X26=""),0,IFERROR(IF(AND(INDEX(Arten,MATCH(W26,Codes,0))="Arbeit",INDEX(Arten,MATCH(X26,Codes,0))="Arbeit"),IF(ROUND((1+INDEX(Beginne,MATCH(X26,Codes,0))-INDEX(EndeRel,MATCH(W26,Codes,0)))*1440,0)&lt;660,1,0),0),0))</f>
      </c>
      <c r="Y75" s="1">
        <f>IF(OR(Y$52=0,X26="",Y26=""),0,IFERROR(IF(AND(INDEX(Arten,MATCH(X26,Codes,0))="Arbeit",INDEX(Arten,MATCH(Y26,Codes,0))="Arbeit"),IF(ROUND((1+INDEX(Beginne,MATCH(Y26,Codes,0))-INDEX(EndeRel,MATCH(X26,Codes,0)))*1440,0)&lt;660,1,0),0),0))</f>
      </c>
      <c r="Z75" s="1">
        <f>IF(OR(Z$52=0,Y26="",Z26=""),0,IFERROR(IF(AND(INDEX(Arten,MATCH(Y26,Codes,0))="Arbeit",INDEX(Arten,MATCH(Z26,Codes,0))="Arbeit"),IF(ROUND((1+INDEX(Beginne,MATCH(Z26,Codes,0))-INDEX(EndeRel,MATCH(Y26,Codes,0)))*1440,0)&lt;660,1,0),0),0))</f>
      </c>
      <c r="AA75" s="1">
        <f>IF(OR(AA$52=0,Z26="",AA26=""),0,IFERROR(IF(AND(INDEX(Arten,MATCH(Z26,Codes,0))="Arbeit",INDEX(Arten,MATCH(AA26,Codes,0))="Arbeit"),IF(ROUND((1+INDEX(Beginne,MATCH(AA26,Codes,0))-INDEX(EndeRel,MATCH(Z26,Codes,0)))*1440,0)&lt;660,1,0),0),0))</f>
      </c>
      <c r="AB75" s="1">
        <f>IF(OR(AB$52=0,AA26="",AB26=""),0,IFERROR(IF(AND(INDEX(Arten,MATCH(AA26,Codes,0))="Arbeit",INDEX(Arten,MATCH(AB26,Codes,0))="Arbeit"),IF(ROUND((1+INDEX(Beginne,MATCH(AB26,Codes,0))-INDEX(EndeRel,MATCH(AA26,Codes,0)))*1440,0)&lt;660,1,0),0),0))</f>
      </c>
      <c r="AC75" s="1">
        <f>IF(OR(AC$52=0,AB26="",AC26=""),0,IFERROR(IF(AND(INDEX(Arten,MATCH(AB26,Codes,0))="Arbeit",INDEX(Arten,MATCH(AC26,Codes,0))="Arbeit"),IF(ROUND((1+INDEX(Beginne,MATCH(AC26,Codes,0))-INDEX(EndeRel,MATCH(AB26,Codes,0)))*1440,0)&lt;660,1,0),0),0))</f>
      </c>
      <c r="AD75" s="1">
        <f>IF(OR(AD$52=0,AC26="",AD26=""),0,IFERROR(IF(AND(INDEX(Arten,MATCH(AC26,Codes,0))="Arbeit",INDEX(Arten,MATCH(AD26,Codes,0))="Arbeit"),IF(ROUND((1+INDEX(Beginne,MATCH(AD26,Codes,0))-INDEX(EndeRel,MATCH(AC26,Codes,0)))*1440,0)&lt;660,1,0),0),0))</f>
      </c>
      <c r="AE75" s="1">
        <f>IF(OR(AE$52=0,AD26="",AE26=""),0,IFERROR(IF(AND(INDEX(Arten,MATCH(AD26,Codes,0))="Arbeit",INDEX(Arten,MATCH(AE26,Codes,0))="Arbeit"),IF(ROUND((1+INDEX(Beginne,MATCH(AE26,Codes,0))-INDEX(EndeRel,MATCH(AD26,Codes,0)))*1440,0)&lt;660,1,0),0),0))</f>
      </c>
      <c r="AF75" s="1">
        <f>IF(OR(AF$52=0,AE26="",AF26=""),0,IFERROR(IF(AND(INDEX(Arten,MATCH(AE26,Codes,0))="Arbeit",INDEX(Arten,MATCH(AF26,Codes,0))="Arbeit"),IF(ROUND((1+INDEX(Beginne,MATCH(AF26,Codes,0))-INDEX(EndeRel,MATCH(AE26,Codes,0)))*1440,0)&lt;660,1,0),0),0))</f>
      </c>
    </row>
    <row r="76" hidden="1" spans="1:32" x14ac:dyDescent="0.25">
      <c r="A76" s="1"/>
      <c r="B76" s="1">
        <f>IF(OR(B$52=0,INDEX('Juli'!$B$27:$AF$27,DAY(DATE(Jahr,8,0)))="",B27=""),0,IFERROR(IF(AND(INDEX(Arten,MATCH(INDEX('Juli'!$B$27:$AF$27,DAY(DATE(Jahr,8,0))),Codes,0))="Arbeit",INDEX(Arten,MATCH(B27,Codes,0))="Arbeit"),IF(ROUND((1+INDEX(Beginne,MATCH(B27,Codes,0))-INDEX(EndeRel,MATCH(INDEX('Juli'!$B$27:$AF$27,DAY(DATE(Jahr,8,0))),Codes,0)))*1440,0)&lt;660,1,0),0),0))</f>
      </c>
      <c r="C76" s="1">
        <f>IF(OR(C$52=0,B27="",C27=""),0,IFERROR(IF(AND(INDEX(Arten,MATCH(B27,Codes,0))="Arbeit",INDEX(Arten,MATCH(C27,Codes,0))="Arbeit"),IF(ROUND((1+INDEX(Beginne,MATCH(C27,Codes,0))-INDEX(EndeRel,MATCH(B27,Codes,0)))*1440,0)&lt;660,1,0),0),0))</f>
      </c>
      <c r="D76" s="1">
        <f>IF(OR(D$52=0,C27="",D27=""),0,IFERROR(IF(AND(INDEX(Arten,MATCH(C27,Codes,0))="Arbeit",INDEX(Arten,MATCH(D27,Codes,0))="Arbeit"),IF(ROUND((1+INDEX(Beginne,MATCH(D27,Codes,0))-INDEX(EndeRel,MATCH(C27,Codes,0)))*1440,0)&lt;660,1,0),0),0))</f>
      </c>
      <c r="E76" s="1">
        <f>IF(OR(E$52=0,D27="",E27=""),0,IFERROR(IF(AND(INDEX(Arten,MATCH(D27,Codes,0))="Arbeit",INDEX(Arten,MATCH(E27,Codes,0))="Arbeit"),IF(ROUND((1+INDEX(Beginne,MATCH(E27,Codes,0))-INDEX(EndeRel,MATCH(D27,Codes,0)))*1440,0)&lt;660,1,0),0),0))</f>
      </c>
      <c r="F76" s="1">
        <f>IF(OR(F$52=0,E27="",F27=""),0,IFERROR(IF(AND(INDEX(Arten,MATCH(E27,Codes,0))="Arbeit",INDEX(Arten,MATCH(F27,Codes,0))="Arbeit"),IF(ROUND((1+INDEX(Beginne,MATCH(F27,Codes,0))-INDEX(EndeRel,MATCH(E27,Codes,0)))*1440,0)&lt;660,1,0),0),0))</f>
      </c>
      <c r="G76" s="1">
        <f>IF(OR(G$52=0,F27="",G27=""),0,IFERROR(IF(AND(INDEX(Arten,MATCH(F27,Codes,0))="Arbeit",INDEX(Arten,MATCH(G27,Codes,0))="Arbeit"),IF(ROUND((1+INDEX(Beginne,MATCH(G27,Codes,0))-INDEX(EndeRel,MATCH(F27,Codes,0)))*1440,0)&lt;660,1,0),0),0))</f>
      </c>
      <c r="H76" s="1">
        <f>IF(OR(H$52=0,G27="",H27=""),0,IFERROR(IF(AND(INDEX(Arten,MATCH(G27,Codes,0))="Arbeit",INDEX(Arten,MATCH(H27,Codes,0))="Arbeit"),IF(ROUND((1+INDEX(Beginne,MATCH(H27,Codes,0))-INDEX(EndeRel,MATCH(G27,Codes,0)))*1440,0)&lt;660,1,0),0),0))</f>
      </c>
      <c r="I76" s="1">
        <f>IF(OR(I$52=0,H27="",I27=""),0,IFERROR(IF(AND(INDEX(Arten,MATCH(H27,Codes,0))="Arbeit",INDEX(Arten,MATCH(I27,Codes,0))="Arbeit"),IF(ROUND((1+INDEX(Beginne,MATCH(I27,Codes,0))-INDEX(EndeRel,MATCH(H27,Codes,0)))*1440,0)&lt;660,1,0),0),0))</f>
      </c>
      <c r="J76" s="1">
        <f>IF(OR(J$52=0,I27="",J27=""),0,IFERROR(IF(AND(INDEX(Arten,MATCH(I27,Codes,0))="Arbeit",INDEX(Arten,MATCH(J27,Codes,0))="Arbeit"),IF(ROUND((1+INDEX(Beginne,MATCH(J27,Codes,0))-INDEX(EndeRel,MATCH(I27,Codes,0)))*1440,0)&lt;660,1,0),0),0))</f>
      </c>
      <c r="K76" s="1">
        <f>IF(OR(K$52=0,J27="",K27=""),0,IFERROR(IF(AND(INDEX(Arten,MATCH(J27,Codes,0))="Arbeit",INDEX(Arten,MATCH(K27,Codes,0))="Arbeit"),IF(ROUND((1+INDEX(Beginne,MATCH(K27,Codes,0))-INDEX(EndeRel,MATCH(J27,Codes,0)))*1440,0)&lt;660,1,0),0),0))</f>
      </c>
      <c r="L76" s="1">
        <f>IF(OR(L$52=0,K27="",L27=""),0,IFERROR(IF(AND(INDEX(Arten,MATCH(K27,Codes,0))="Arbeit",INDEX(Arten,MATCH(L27,Codes,0))="Arbeit"),IF(ROUND((1+INDEX(Beginne,MATCH(L27,Codes,0))-INDEX(EndeRel,MATCH(K27,Codes,0)))*1440,0)&lt;660,1,0),0),0))</f>
      </c>
      <c r="M76" s="1">
        <f>IF(OR(M$52=0,L27="",M27=""),0,IFERROR(IF(AND(INDEX(Arten,MATCH(L27,Codes,0))="Arbeit",INDEX(Arten,MATCH(M27,Codes,0))="Arbeit"),IF(ROUND((1+INDEX(Beginne,MATCH(M27,Codes,0))-INDEX(EndeRel,MATCH(L27,Codes,0)))*1440,0)&lt;660,1,0),0),0))</f>
      </c>
      <c r="N76" s="1">
        <f>IF(OR(N$52=0,M27="",N27=""),0,IFERROR(IF(AND(INDEX(Arten,MATCH(M27,Codes,0))="Arbeit",INDEX(Arten,MATCH(N27,Codes,0))="Arbeit"),IF(ROUND((1+INDEX(Beginne,MATCH(N27,Codes,0))-INDEX(EndeRel,MATCH(M27,Codes,0)))*1440,0)&lt;660,1,0),0),0))</f>
      </c>
      <c r="O76" s="1">
        <f>IF(OR(O$52=0,N27="",O27=""),0,IFERROR(IF(AND(INDEX(Arten,MATCH(N27,Codes,0))="Arbeit",INDEX(Arten,MATCH(O27,Codes,0))="Arbeit"),IF(ROUND((1+INDEX(Beginne,MATCH(O27,Codes,0))-INDEX(EndeRel,MATCH(N27,Codes,0)))*1440,0)&lt;660,1,0),0),0))</f>
      </c>
      <c r="P76" s="1">
        <f>IF(OR(P$52=0,O27="",P27=""),0,IFERROR(IF(AND(INDEX(Arten,MATCH(O27,Codes,0))="Arbeit",INDEX(Arten,MATCH(P27,Codes,0))="Arbeit"),IF(ROUND((1+INDEX(Beginne,MATCH(P27,Codes,0))-INDEX(EndeRel,MATCH(O27,Codes,0)))*1440,0)&lt;660,1,0),0),0))</f>
      </c>
      <c r="Q76" s="1">
        <f>IF(OR(Q$52=0,P27="",Q27=""),0,IFERROR(IF(AND(INDEX(Arten,MATCH(P27,Codes,0))="Arbeit",INDEX(Arten,MATCH(Q27,Codes,0))="Arbeit"),IF(ROUND((1+INDEX(Beginne,MATCH(Q27,Codes,0))-INDEX(EndeRel,MATCH(P27,Codes,0)))*1440,0)&lt;660,1,0),0),0))</f>
      </c>
      <c r="R76" s="1">
        <f>IF(OR(R$52=0,Q27="",R27=""),0,IFERROR(IF(AND(INDEX(Arten,MATCH(Q27,Codes,0))="Arbeit",INDEX(Arten,MATCH(R27,Codes,0))="Arbeit"),IF(ROUND((1+INDEX(Beginne,MATCH(R27,Codes,0))-INDEX(EndeRel,MATCH(Q27,Codes,0)))*1440,0)&lt;660,1,0),0),0))</f>
      </c>
      <c r="S76" s="1">
        <f>IF(OR(S$52=0,R27="",S27=""),0,IFERROR(IF(AND(INDEX(Arten,MATCH(R27,Codes,0))="Arbeit",INDEX(Arten,MATCH(S27,Codes,0))="Arbeit"),IF(ROUND((1+INDEX(Beginne,MATCH(S27,Codes,0))-INDEX(EndeRel,MATCH(R27,Codes,0)))*1440,0)&lt;660,1,0),0),0))</f>
      </c>
      <c r="T76" s="1">
        <f>IF(OR(T$52=0,S27="",T27=""),0,IFERROR(IF(AND(INDEX(Arten,MATCH(S27,Codes,0))="Arbeit",INDEX(Arten,MATCH(T27,Codes,0))="Arbeit"),IF(ROUND((1+INDEX(Beginne,MATCH(T27,Codes,0))-INDEX(EndeRel,MATCH(S27,Codes,0)))*1440,0)&lt;660,1,0),0),0))</f>
      </c>
      <c r="U76" s="1">
        <f>IF(OR(U$52=0,T27="",U27=""),0,IFERROR(IF(AND(INDEX(Arten,MATCH(T27,Codes,0))="Arbeit",INDEX(Arten,MATCH(U27,Codes,0))="Arbeit"),IF(ROUND((1+INDEX(Beginne,MATCH(U27,Codes,0))-INDEX(EndeRel,MATCH(T27,Codes,0)))*1440,0)&lt;660,1,0),0),0))</f>
      </c>
      <c r="V76" s="1">
        <f>IF(OR(V$52=0,U27="",V27=""),0,IFERROR(IF(AND(INDEX(Arten,MATCH(U27,Codes,0))="Arbeit",INDEX(Arten,MATCH(V27,Codes,0))="Arbeit"),IF(ROUND((1+INDEX(Beginne,MATCH(V27,Codes,0))-INDEX(EndeRel,MATCH(U27,Codes,0)))*1440,0)&lt;660,1,0),0),0))</f>
      </c>
      <c r="W76" s="1">
        <f>IF(OR(W$52=0,V27="",W27=""),0,IFERROR(IF(AND(INDEX(Arten,MATCH(V27,Codes,0))="Arbeit",INDEX(Arten,MATCH(W27,Codes,0))="Arbeit"),IF(ROUND((1+INDEX(Beginne,MATCH(W27,Codes,0))-INDEX(EndeRel,MATCH(V27,Codes,0)))*1440,0)&lt;660,1,0),0),0))</f>
      </c>
      <c r="X76" s="1">
        <f>IF(OR(X$52=0,W27="",X27=""),0,IFERROR(IF(AND(INDEX(Arten,MATCH(W27,Codes,0))="Arbeit",INDEX(Arten,MATCH(X27,Codes,0))="Arbeit"),IF(ROUND((1+INDEX(Beginne,MATCH(X27,Codes,0))-INDEX(EndeRel,MATCH(W27,Codes,0)))*1440,0)&lt;660,1,0),0),0))</f>
      </c>
      <c r="Y76" s="1">
        <f>IF(OR(Y$52=0,X27="",Y27=""),0,IFERROR(IF(AND(INDEX(Arten,MATCH(X27,Codes,0))="Arbeit",INDEX(Arten,MATCH(Y27,Codes,0))="Arbeit"),IF(ROUND((1+INDEX(Beginne,MATCH(Y27,Codes,0))-INDEX(EndeRel,MATCH(X27,Codes,0)))*1440,0)&lt;660,1,0),0),0))</f>
      </c>
      <c r="Z76" s="1">
        <f>IF(OR(Z$52=0,Y27="",Z27=""),0,IFERROR(IF(AND(INDEX(Arten,MATCH(Y27,Codes,0))="Arbeit",INDEX(Arten,MATCH(Z27,Codes,0))="Arbeit"),IF(ROUND((1+INDEX(Beginne,MATCH(Z27,Codes,0))-INDEX(EndeRel,MATCH(Y27,Codes,0)))*1440,0)&lt;660,1,0),0),0))</f>
      </c>
      <c r="AA76" s="1">
        <f>IF(OR(AA$52=0,Z27="",AA27=""),0,IFERROR(IF(AND(INDEX(Arten,MATCH(Z27,Codes,0))="Arbeit",INDEX(Arten,MATCH(AA27,Codes,0))="Arbeit"),IF(ROUND((1+INDEX(Beginne,MATCH(AA27,Codes,0))-INDEX(EndeRel,MATCH(Z27,Codes,0)))*1440,0)&lt;660,1,0),0),0))</f>
      </c>
      <c r="AB76" s="1">
        <f>IF(OR(AB$52=0,AA27="",AB27=""),0,IFERROR(IF(AND(INDEX(Arten,MATCH(AA27,Codes,0))="Arbeit",INDEX(Arten,MATCH(AB27,Codes,0))="Arbeit"),IF(ROUND((1+INDEX(Beginne,MATCH(AB27,Codes,0))-INDEX(EndeRel,MATCH(AA27,Codes,0)))*1440,0)&lt;660,1,0),0),0))</f>
      </c>
      <c r="AC76" s="1">
        <f>IF(OR(AC$52=0,AB27="",AC27=""),0,IFERROR(IF(AND(INDEX(Arten,MATCH(AB27,Codes,0))="Arbeit",INDEX(Arten,MATCH(AC27,Codes,0))="Arbeit"),IF(ROUND((1+INDEX(Beginne,MATCH(AC27,Codes,0))-INDEX(EndeRel,MATCH(AB27,Codes,0)))*1440,0)&lt;660,1,0),0),0))</f>
      </c>
      <c r="AD76" s="1">
        <f>IF(OR(AD$52=0,AC27="",AD27=""),0,IFERROR(IF(AND(INDEX(Arten,MATCH(AC27,Codes,0))="Arbeit",INDEX(Arten,MATCH(AD27,Codes,0))="Arbeit"),IF(ROUND((1+INDEX(Beginne,MATCH(AD27,Codes,0))-INDEX(EndeRel,MATCH(AC27,Codes,0)))*1440,0)&lt;660,1,0),0),0))</f>
      </c>
      <c r="AE76" s="1">
        <f>IF(OR(AE$52=0,AD27="",AE27=""),0,IFERROR(IF(AND(INDEX(Arten,MATCH(AD27,Codes,0))="Arbeit",INDEX(Arten,MATCH(AE27,Codes,0))="Arbeit"),IF(ROUND((1+INDEX(Beginne,MATCH(AE27,Codes,0))-INDEX(EndeRel,MATCH(AD27,Codes,0)))*1440,0)&lt;660,1,0),0),0))</f>
      </c>
      <c r="AF76" s="1">
        <f>IF(OR(AF$52=0,AE27="",AF27=""),0,IFERROR(IF(AND(INDEX(Arten,MATCH(AE27,Codes,0))="Arbeit",INDEX(Arten,MATCH(AF27,Codes,0))="Arbeit"),IF(ROUND((1+INDEX(Beginne,MATCH(AF27,Codes,0))-INDEX(EndeRel,MATCH(AE27,Codes,0)))*1440,0)&lt;660,1,0),0),0))</f>
      </c>
    </row>
    <row r="77" hidden="1" spans="1:32" x14ac:dyDescent="0.25">
      <c r="A77" s="1"/>
      <c r="B77" s="1">
        <f>IF(OR(B$52=0,INDEX('Juli'!$B$28:$AF$28,DAY(DATE(Jahr,8,0)))="",B28=""),0,IFERROR(IF(AND(INDEX(Arten,MATCH(INDEX('Juli'!$B$28:$AF$28,DAY(DATE(Jahr,8,0))),Codes,0))="Arbeit",INDEX(Arten,MATCH(B28,Codes,0))="Arbeit"),IF(ROUND((1+INDEX(Beginne,MATCH(B28,Codes,0))-INDEX(EndeRel,MATCH(INDEX('Juli'!$B$28:$AF$28,DAY(DATE(Jahr,8,0))),Codes,0)))*1440,0)&lt;660,1,0),0),0))</f>
      </c>
      <c r="C77" s="1">
        <f>IF(OR(C$52=0,B28="",C28=""),0,IFERROR(IF(AND(INDEX(Arten,MATCH(B28,Codes,0))="Arbeit",INDEX(Arten,MATCH(C28,Codes,0))="Arbeit"),IF(ROUND((1+INDEX(Beginne,MATCH(C28,Codes,0))-INDEX(EndeRel,MATCH(B28,Codes,0)))*1440,0)&lt;660,1,0),0),0))</f>
      </c>
      <c r="D77" s="1">
        <f>IF(OR(D$52=0,C28="",D28=""),0,IFERROR(IF(AND(INDEX(Arten,MATCH(C28,Codes,0))="Arbeit",INDEX(Arten,MATCH(D28,Codes,0))="Arbeit"),IF(ROUND((1+INDEX(Beginne,MATCH(D28,Codes,0))-INDEX(EndeRel,MATCH(C28,Codes,0)))*1440,0)&lt;660,1,0),0),0))</f>
      </c>
      <c r="E77" s="1">
        <f>IF(OR(E$52=0,D28="",E28=""),0,IFERROR(IF(AND(INDEX(Arten,MATCH(D28,Codes,0))="Arbeit",INDEX(Arten,MATCH(E28,Codes,0))="Arbeit"),IF(ROUND((1+INDEX(Beginne,MATCH(E28,Codes,0))-INDEX(EndeRel,MATCH(D28,Codes,0)))*1440,0)&lt;660,1,0),0),0))</f>
      </c>
      <c r="F77" s="1">
        <f>IF(OR(F$52=0,E28="",F28=""),0,IFERROR(IF(AND(INDEX(Arten,MATCH(E28,Codes,0))="Arbeit",INDEX(Arten,MATCH(F28,Codes,0))="Arbeit"),IF(ROUND((1+INDEX(Beginne,MATCH(F28,Codes,0))-INDEX(EndeRel,MATCH(E28,Codes,0)))*1440,0)&lt;660,1,0),0),0))</f>
      </c>
      <c r="G77" s="1">
        <f>IF(OR(G$52=0,F28="",G28=""),0,IFERROR(IF(AND(INDEX(Arten,MATCH(F28,Codes,0))="Arbeit",INDEX(Arten,MATCH(G28,Codes,0))="Arbeit"),IF(ROUND((1+INDEX(Beginne,MATCH(G28,Codes,0))-INDEX(EndeRel,MATCH(F28,Codes,0)))*1440,0)&lt;660,1,0),0),0))</f>
      </c>
      <c r="H77" s="1">
        <f>IF(OR(H$52=0,G28="",H28=""),0,IFERROR(IF(AND(INDEX(Arten,MATCH(G28,Codes,0))="Arbeit",INDEX(Arten,MATCH(H28,Codes,0))="Arbeit"),IF(ROUND((1+INDEX(Beginne,MATCH(H28,Codes,0))-INDEX(EndeRel,MATCH(G28,Codes,0)))*1440,0)&lt;660,1,0),0),0))</f>
      </c>
      <c r="I77" s="1">
        <f>IF(OR(I$52=0,H28="",I28=""),0,IFERROR(IF(AND(INDEX(Arten,MATCH(H28,Codes,0))="Arbeit",INDEX(Arten,MATCH(I28,Codes,0))="Arbeit"),IF(ROUND((1+INDEX(Beginne,MATCH(I28,Codes,0))-INDEX(EndeRel,MATCH(H28,Codes,0)))*1440,0)&lt;660,1,0),0),0))</f>
      </c>
      <c r="J77" s="1">
        <f>IF(OR(J$52=0,I28="",J28=""),0,IFERROR(IF(AND(INDEX(Arten,MATCH(I28,Codes,0))="Arbeit",INDEX(Arten,MATCH(J28,Codes,0))="Arbeit"),IF(ROUND((1+INDEX(Beginne,MATCH(J28,Codes,0))-INDEX(EndeRel,MATCH(I28,Codes,0)))*1440,0)&lt;660,1,0),0),0))</f>
      </c>
      <c r="K77" s="1">
        <f>IF(OR(K$52=0,J28="",K28=""),0,IFERROR(IF(AND(INDEX(Arten,MATCH(J28,Codes,0))="Arbeit",INDEX(Arten,MATCH(K28,Codes,0))="Arbeit"),IF(ROUND((1+INDEX(Beginne,MATCH(K28,Codes,0))-INDEX(EndeRel,MATCH(J28,Codes,0)))*1440,0)&lt;660,1,0),0),0))</f>
      </c>
      <c r="L77" s="1">
        <f>IF(OR(L$52=0,K28="",L28=""),0,IFERROR(IF(AND(INDEX(Arten,MATCH(K28,Codes,0))="Arbeit",INDEX(Arten,MATCH(L28,Codes,0))="Arbeit"),IF(ROUND((1+INDEX(Beginne,MATCH(L28,Codes,0))-INDEX(EndeRel,MATCH(K28,Codes,0)))*1440,0)&lt;660,1,0),0),0))</f>
      </c>
      <c r="M77" s="1">
        <f>IF(OR(M$52=0,L28="",M28=""),0,IFERROR(IF(AND(INDEX(Arten,MATCH(L28,Codes,0))="Arbeit",INDEX(Arten,MATCH(M28,Codes,0))="Arbeit"),IF(ROUND((1+INDEX(Beginne,MATCH(M28,Codes,0))-INDEX(EndeRel,MATCH(L28,Codes,0)))*1440,0)&lt;660,1,0),0),0))</f>
      </c>
      <c r="N77" s="1">
        <f>IF(OR(N$52=0,M28="",N28=""),0,IFERROR(IF(AND(INDEX(Arten,MATCH(M28,Codes,0))="Arbeit",INDEX(Arten,MATCH(N28,Codes,0))="Arbeit"),IF(ROUND((1+INDEX(Beginne,MATCH(N28,Codes,0))-INDEX(EndeRel,MATCH(M28,Codes,0)))*1440,0)&lt;660,1,0),0),0))</f>
      </c>
      <c r="O77" s="1">
        <f>IF(OR(O$52=0,N28="",O28=""),0,IFERROR(IF(AND(INDEX(Arten,MATCH(N28,Codes,0))="Arbeit",INDEX(Arten,MATCH(O28,Codes,0))="Arbeit"),IF(ROUND((1+INDEX(Beginne,MATCH(O28,Codes,0))-INDEX(EndeRel,MATCH(N28,Codes,0)))*1440,0)&lt;660,1,0),0),0))</f>
      </c>
      <c r="P77" s="1">
        <f>IF(OR(P$52=0,O28="",P28=""),0,IFERROR(IF(AND(INDEX(Arten,MATCH(O28,Codes,0))="Arbeit",INDEX(Arten,MATCH(P28,Codes,0))="Arbeit"),IF(ROUND((1+INDEX(Beginne,MATCH(P28,Codes,0))-INDEX(EndeRel,MATCH(O28,Codes,0)))*1440,0)&lt;660,1,0),0),0))</f>
      </c>
      <c r="Q77" s="1">
        <f>IF(OR(Q$52=0,P28="",Q28=""),0,IFERROR(IF(AND(INDEX(Arten,MATCH(P28,Codes,0))="Arbeit",INDEX(Arten,MATCH(Q28,Codes,0))="Arbeit"),IF(ROUND((1+INDEX(Beginne,MATCH(Q28,Codes,0))-INDEX(EndeRel,MATCH(P28,Codes,0)))*1440,0)&lt;660,1,0),0),0))</f>
      </c>
      <c r="R77" s="1">
        <f>IF(OR(R$52=0,Q28="",R28=""),0,IFERROR(IF(AND(INDEX(Arten,MATCH(Q28,Codes,0))="Arbeit",INDEX(Arten,MATCH(R28,Codes,0))="Arbeit"),IF(ROUND((1+INDEX(Beginne,MATCH(R28,Codes,0))-INDEX(EndeRel,MATCH(Q28,Codes,0)))*1440,0)&lt;660,1,0),0),0))</f>
      </c>
      <c r="S77" s="1">
        <f>IF(OR(S$52=0,R28="",S28=""),0,IFERROR(IF(AND(INDEX(Arten,MATCH(R28,Codes,0))="Arbeit",INDEX(Arten,MATCH(S28,Codes,0))="Arbeit"),IF(ROUND((1+INDEX(Beginne,MATCH(S28,Codes,0))-INDEX(EndeRel,MATCH(R28,Codes,0)))*1440,0)&lt;660,1,0),0),0))</f>
      </c>
      <c r="T77" s="1">
        <f>IF(OR(T$52=0,S28="",T28=""),0,IFERROR(IF(AND(INDEX(Arten,MATCH(S28,Codes,0))="Arbeit",INDEX(Arten,MATCH(T28,Codes,0))="Arbeit"),IF(ROUND((1+INDEX(Beginne,MATCH(T28,Codes,0))-INDEX(EndeRel,MATCH(S28,Codes,0)))*1440,0)&lt;660,1,0),0),0))</f>
      </c>
      <c r="U77" s="1">
        <f>IF(OR(U$52=0,T28="",U28=""),0,IFERROR(IF(AND(INDEX(Arten,MATCH(T28,Codes,0))="Arbeit",INDEX(Arten,MATCH(U28,Codes,0))="Arbeit"),IF(ROUND((1+INDEX(Beginne,MATCH(U28,Codes,0))-INDEX(EndeRel,MATCH(T28,Codes,0)))*1440,0)&lt;660,1,0),0),0))</f>
      </c>
      <c r="V77" s="1">
        <f>IF(OR(V$52=0,U28="",V28=""),0,IFERROR(IF(AND(INDEX(Arten,MATCH(U28,Codes,0))="Arbeit",INDEX(Arten,MATCH(V28,Codes,0))="Arbeit"),IF(ROUND((1+INDEX(Beginne,MATCH(V28,Codes,0))-INDEX(EndeRel,MATCH(U28,Codes,0)))*1440,0)&lt;660,1,0),0),0))</f>
      </c>
      <c r="W77" s="1">
        <f>IF(OR(W$52=0,V28="",W28=""),0,IFERROR(IF(AND(INDEX(Arten,MATCH(V28,Codes,0))="Arbeit",INDEX(Arten,MATCH(W28,Codes,0))="Arbeit"),IF(ROUND((1+INDEX(Beginne,MATCH(W28,Codes,0))-INDEX(EndeRel,MATCH(V28,Codes,0)))*1440,0)&lt;660,1,0),0),0))</f>
      </c>
      <c r="X77" s="1">
        <f>IF(OR(X$52=0,W28="",X28=""),0,IFERROR(IF(AND(INDEX(Arten,MATCH(W28,Codes,0))="Arbeit",INDEX(Arten,MATCH(X28,Codes,0))="Arbeit"),IF(ROUND((1+INDEX(Beginne,MATCH(X28,Codes,0))-INDEX(EndeRel,MATCH(W28,Codes,0)))*1440,0)&lt;660,1,0),0),0))</f>
      </c>
      <c r="Y77" s="1">
        <f>IF(OR(Y$52=0,X28="",Y28=""),0,IFERROR(IF(AND(INDEX(Arten,MATCH(X28,Codes,0))="Arbeit",INDEX(Arten,MATCH(Y28,Codes,0))="Arbeit"),IF(ROUND((1+INDEX(Beginne,MATCH(Y28,Codes,0))-INDEX(EndeRel,MATCH(X28,Codes,0)))*1440,0)&lt;660,1,0),0),0))</f>
      </c>
      <c r="Z77" s="1">
        <f>IF(OR(Z$52=0,Y28="",Z28=""),0,IFERROR(IF(AND(INDEX(Arten,MATCH(Y28,Codes,0))="Arbeit",INDEX(Arten,MATCH(Z28,Codes,0))="Arbeit"),IF(ROUND((1+INDEX(Beginne,MATCH(Z28,Codes,0))-INDEX(EndeRel,MATCH(Y28,Codes,0)))*1440,0)&lt;660,1,0),0),0))</f>
      </c>
      <c r="AA77" s="1">
        <f>IF(OR(AA$52=0,Z28="",AA28=""),0,IFERROR(IF(AND(INDEX(Arten,MATCH(Z28,Codes,0))="Arbeit",INDEX(Arten,MATCH(AA28,Codes,0))="Arbeit"),IF(ROUND((1+INDEX(Beginne,MATCH(AA28,Codes,0))-INDEX(EndeRel,MATCH(Z28,Codes,0)))*1440,0)&lt;660,1,0),0),0))</f>
      </c>
      <c r="AB77" s="1">
        <f>IF(OR(AB$52=0,AA28="",AB28=""),0,IFERROR(IF(AND(INDEX(Arten,MATCH(AA28,Codes,0))="Arbeit",INDEX(Arten,MATCH(AB28,Codes,0))="Arbeit"),IF(ROUND((1+INDEX(Beginne,MATCH(AB28,Codes,0))-INDEX(EndeRel,MATCH(AA28,Codes,0)))*1440,0)&lt;660,1,0),0),0))</f>
      </c>
      <c r="AC77" s="1">
        <f>IF(OR(AC$52=0,AB28="",AC28=""),0,IFERROR(IF(AND(INDEX(Arten,MATCH(AB28,Codes,0))="Arbeit",INDEX(Arten,MATCH(AC28,Codes,0))="Arbeit"),IF(ROUND((1+INDEX(Beginne,MATCH(AC28,Codes,0))-INDEX(EndeRel,MATCH(AB28,Codes,0)))*1440,0)&lt;660,1,0),0),0))</f>
      </c>
      <c r="AD77" s="1">
        <f>IF(OR(AD$52=0,AC28="",AD28=""),0,IFERROR(IF(AND(INDEX(Arten,MATCH(AC28,Codes,0))="Arbeit",INDEX(Arten,MATCH(AD28,Codes,0))="Arbeit"),IF(ROUND((1+INDEX(Beginne,MATCH(AD28,Codes,0))-INDEX(EndeRel,MATCH(AC28,Codes,0)))*1440,0)&lt;660,1,0),0),0))</f>
      </c>
      <c r="AE77" s="1">
        <f>IF(OR(AE$52=0,AD28="",AE28=""),0,IFERROR(IF(AND(INDEX(Arten,MATCH(AD28,Codes,0))="Arbeit",INDEX(Arten,MATCH(AE28,Codes,0))="Arbeit"),IF(ROUND((1+INDEX(Beginne,MATCH(AE28,Codes,0))-INDEX(EndeRel,MATCH(AD28,Codes,0)))*1440,0)&lt;660,1,0),0),0))</f>
      </c>
      <c r="AF77" s="1">
        <f>IF(OR(AF$52=0,AE28="",AF28=""),0,IFERROR(IF(AND(INDEX(Arten,MATCH(AE28,Codes,0))="Arbeit",INDEX(Arten,MATCH(AF28,Codes,0))="Arbeit"),IF(ROUND((1+INDEX(Beginne,MATCH(AF28,Codes,0))-INDEX(EndeRel,MATCH(AE28,Codes,0)))*1440,0)&lt;660,1,0),0),0))</f>
      </c>
    </row>
    <row r="78" hidden="1" spans="1:32" x14ac:dyDescent="0.25">
      <c r="A78" s="1"/>
      <c r="B78" s="1">
        <f>IF(OR(B$52=0,INDEX('Juli'!$B$29:$AF$29,DAY(DATE(Jahr,8,0)))="",B29=""),0,IFERROR(IF(AND(INDEX(Arten,MATCH(INDEX('Juli'!$B$29:$AF$29,DAY(DATE(Jahr,8,0))),Codes,0))="Arbeit",INDEX(Arten,MATCH(B29,Codes,0))="Arbeit"),IF(ROUND((1+INDEX(Beginne,MATCH(B29,Codes,0))-INDEX(EndeRel,MATCH(INDEX('Juli'!$B$29:$AF$29,DAY(DATE(Jahr,8,0))),Codes,0)))*1440,0)&lt;660,1,0),0),0))</f>
      </c>
      <c r="C78" s="1">
        <f>IF(OR(C$52=0,B29="",C29=""),0,IFERROR(IF(AND(INDEX(Arten,MATCH(B29,Codes,0))="Arbeit",INDEX(Arten,MATCH(C29,Codes,0))="Arbeit"),IF(ROUND((1+INDEX(Beginne,MATCH(C29,Codes,0))-INDEX(EndeRel,MATCH(B29,Codes,0)))*1440,0)&lt;660,1,0),0),0))</f>
      </c>
      <c r="D78" s="1">
        <f>IF(OR(D$52=0,C29="",D29=""),0,IFERROR(IF(AND(INDEX(Arten,MATCH(C29,Codes,0))="Arbeit",INDEX(Arten,MATCH(D29,Codes,0))="Arbeit"),IF(ROUND((1+INDEX(Beginne,MATCH(D29,Codes,0))-INDEX(EndeRel,MATCH(C29,Codes,0)))*1440,0)&lt;660,1,0),0),0))</f>
      </c>
      <c r="E78" s="1">
        <f>IF(OR(E$52=0,D29="",E29=""),0,IFERROR(IF(AND(INDEX(Arten,MATCH(D29,Codes,0))="Arbeit",INDEX(Arten,MATCH(E29,Codes,0))="Arbeit"),IF(ROUND((1+INDEX(Beginne,MATCH(E29,Codes,0))-INDEX(EndeRel,MATCH(D29,Codes,0)))*1440,0)&lt;660,1,0),0),0))</f>
      </c>
      <c r="F78" s="1">
        <f>IF(OR(F$52=0,E29="",F29=""),0,IFERROR(IF(AND(INDEX(Arten,MATCH(E29,Codes,0))="Arbeit",INDEX(Arten,MATCH(F29,Codes,0))="Arbeit"),IF(ROUND((1+INDEX(Beginne,MATCH(F29,Codes,0))-INDEX(EndeRel,MATCH(E29,Codes,0)))*1440,0)&lt;660,1,0),0),0))</f>
      </c>
      <c r="G78" s="1">
        <f>IF(OR(G$52=0,F29="",G29=""),0,IFERROR(IF(AND(INDEX(Arten,MATCH(F29,Codes,0))="Arbeit",INDEX(Arten,MATCH(G29,Codes,0))="Arbeit"),IF(ROUND((1+INDEX(Beginne,MATCH(G29,Codes,0))-INDEX(EndeRel,MATCH(F29,Codes,0)))*1440,0)&lt;660,1,0),0),0))</f>
      </c>
      <c r="H78" s="1">
        <f>IF(OR(H$52=0,G29="",H29=""),0,IFERROR(IF(AND(INDEX(Arten,MATCH(G29,Codes,0))="Arbeit",INDEX(Arten,MATCH(H29,Codes,0))="Arbeit"),IF(ROUND((1+INDEX(Beginne,MATCH(H29,Codes,0))-INDEX(EndeRel,MATCH(G29,Codes,0)))*1440,0)&lt;660,1,0),0),0))</f>
      </c>
      <c r="I78" s="1">
        <f>IF(OR(I$52=0,H29="",I29=""),0,IFERROR(IF(AND(INDEX(Arten,MATCH(H29,Codes,0))="Arbeit",INDEX(Arten,MATCH(I29,Codes,0))="Arbeit"),IF(ROUND((1+INDEX(Beginne,MATCH(I29,Codes,0))-INDEX(EndeRel,MATCH(H29,Codes,0)))*1440,0)&lt;660,1,0),0),0))</f>
      </c>
      <c r="J78" s="1">
        <f>IF(OR(J$52=0,I29="",J29=""),0,IFERROR(IF(AND(INDEX(Arten,MATCH(I29,Codes,0))="Arbeit",INDEX(Arten,MATCH(J29,Codes,0))="Arbeit"),IF(ROUND((1+INDEX(Beginne,MATCH(J29,Codes,0))-INDEX(EndeRel,MATCH(I29,Codes,0)))*1440,0)&lt;660,1,0),0),0))</f>
      </c>
      <c r="K78" s="1">
        <f>IF(OR(K$52=0,J29="",K29=""),0,IFERROR(IF(AND(INDEX(Arten,MATCH(J29,Codes,0))="Arbeit",INDEX(Arten,MATCH(K29,Codes,0))="Arbeit"),IF(ROUND((1+INDEX(Beginne,MATCH(K29,Codes,0))-INDEX(EndeRel,MATCH(J29,Codes,0)))*1440,0)&lt;660,1,0),0),0))</f>
      </c>
      <c r="L78" s="1">
        <f>IF(OR(L$52=0,K29="",L29=""),0,IFERROR(IF(AND(INDEX(Arten,MATCH(K29,Codes,0))="Arbeit",INDEX(Arten,MATCH(L29,Codes,0))="Arbeit"),IF(ROUND((1+INDEX(Beginne,MATCH(L29,Codes,0))-INDEX(EndeRel,MATCH(K29,Codes,0)))*1440,0)&lt;660,1,0),0),0))</f>
      </c>
      <c r="M78" s="1">
        <f>IF(OR(M$52=0,L29="",M29=""),0,IFERROR(IF(AND(INDEX(Arten,MATCH(L29,Codes,0))="Arbeit",INDEX(Arten,MATCH(M29,Codes,0))="Arbeit"),IF(ROUND((1+INDEX(Beginne,MATCH(M29,Codes,0))-INDEX(EndeRel,MATCH(L29,Codes,0)))*1440,0)&lt;660,1,0),0),0))</f>
      </c>
      <c r="N78" s="1">
        <f>IF(OR(N$52=0,M29="",N29=""),0,IFERROR(IF(AND(INDEX(Arten,MATCH(M29,Codes,0))="Arbeit",INDEX(Arten,MATCH(N29,Codes,0))="Arbeit"),IF(ROUND((1+INDEX(Beginne,MATCH(N29,Codes,0))-INDEX(EndeRel,MATCH(M29,Codes,0)))*1440,0)&lt;660,1,0),0),0))</f>
      </c>
      <c r="O78" s="1">
        <f>IF(OR(O$52=0,N29="",O29=""),0,IFERROR(IF(AND(INDEX(Arten,MATCH(N29,Codes,0))="Arbeit",INDEX(Arten,MATCH(O29,Codes,0))="Arbeit"),IF(ROUND((1+INDEX(Beginne,MATCH(O29,Codes,0))-INDEX(EndeRel,MATCH(N29,Codes,0)))*1440,0)&lt;660,1,0),0),0))</f>
      </c>
      <c r="P78" s="1">
        <f>IF(OR(P$52=0,O29="",P29=""),0,IFERROR(IF(AND(INDEX(Arten,MATCH(O29,Codes,0))="Arbeit",INDEX(Arten,MATCH(P29,Codes,0))="Arbeit"),IF(ROUND((1+INDEX(Beginne,MATCH(P29,Codes,0))-INDEX(EndeRel,MATCH(O29,Codes,0)))*1440,0)&lt;660,1,0),0),0))</f>
      </c>
      <c r="Q78" s="1">
        <f>IF(OR(Q$52=0,P29="",Q29=""),0,IFERROR(IF(AND(INDEX(Arten,MATCH(P29,Codes,0))="Arbeit",INDEX(Arten,MATCH(Q29,Codes,0))="Arbeit"),IF(ROUND((1+INDEX(Beginne,MATCH(Q29,Codes,0))-INDEX(EndeRel,MATCH(P29,Codes,0)))*1440,0)&lt;660,1,0),0),0))</f>
      </c>
      <c r="R78" s="1">
        <f>IF(OR(R$52=0,Q29="",R29=""),0,IFERROR(IF(AND(INDEX(Arten,MATCH(Q29,Codes,0))="Arbeit",INDEX(Arten,MATCH(R29,Codes,0))="Arbeit"),IF(ROUND((1+INDEX(Beginne,MATCH(R29,Codes,0))-INDEX(EndeRel,MATCH(Q29,Codes,0)))*1440,0)&lt;660,1,0),0),0))</f>
      </c>
      <c r="S78" s="1">
        <f>IF(OR(S$52=0,R29="",S29=""),0,IFERROR(IF(AND(INDEX(Arten,MATCH(R29,Codes,0))="Arbeit",INDEX(Arten,MATCH(S29,Codes,0))="Arbeit"),IF(ROUND((1+INDEX(Beginne,MATCH(S29,Codes,0))-INDEX(EndeRel,MATCH(R29,Codes,0)))*1440,0)&lt;660,1,0),0),0))</f>
      </c>
      <c r="T78" s="1">
        <f>IF(OR(T$52=0,S29="",T29=""),0,IFERROR(IF(AND(INDEX(Arten,MATCH(S29,Codes,0))="Arbeit",INDEX(Arten,MATCH(T29,Codes,0))="Arbeit"),IF(ROUND((1+INDEX(Beginne,MATCH(T29,Codes,0))-INDEX(EndeRel,MATCH(S29,Codes,0)))*1440,0)&lt;660,1,0),0),0))</f>
      </c>
      <c r="U78" s="1">
        <f>IF(OR(U$52=0,T29="",U29=""),0,IFERROR(IF(AND(INDEX(Arten,MATCH(T29,Codes,0))="Arbeit",INDEX(Arten,MATCH(U29,Codes,0))="Arbeit"),IF(ROUND((1+INDEX(Beginne,MATCH(U29,Codes,0))-INDEX(EndeRel,MATCH(T29,Codes,0)))*1440,0)&lt;660,1,0),0),0))</f>
      </c>
      <c r="V78" s="1">
        <f>IF(OR(V$52=0,U29="",V29=""),0,IFERROR(IF(AND(INDEX(Arten,MATCH(U29,Codes,0))="Arbeit",INDEX(Arten,MATCH(V29,Codes,0))="Arbeit"),IF(ROUND((1+INDEX(Beginne,MATCH(V29,Codes,0))-INDEX(EndeRel,MATCH(U29,Codes,0)))*1440,0)&lt;660,1,0),0),0))</f>
      </c>
      <c r="W78" s="1">
        <f>IF(OR(W$52=0,V29="",W29=""),0,IFERROR(IF(AND(INDEX(Arten,MATCH(V29,Codes,0))="Arbeit",INDEX(Arten,MATCH(W29,Codes,0))="Arbeit"),IF(ROUND((1+INDEX(Beginne,MATCH(W29,Codes,0))-INDEX(EndeRel,MATCH(V29,Codes,0)))*1440,0)&lt;660,1,0),0),0))</f>
      </c>
      <c r="X78" s="1">
        <f>IF(OR(X$52=0,W29="",X29=""),0,IFERROR(IF(AND(INDEX(Arten,MATCH(W29,Codes,0))="Arbeit",INDEX(Arten,MATCH(X29,Codes,0))="Arbeit"),IF(ROUND((1+INDEX(Beginne,MATCH(X29,Codes,0))-INDEX(EndeRel,MATCH(W29,Codes,0)))*1440,0)&lt;660,1,0),0),0))</f>
      </c>
      <c r="Y78" s="1">
        <f>IF(OR(Y$52=0,X29="",Y29=""),0,IFERROR(IF(AND(INDEX(Arten,MATCH(X29,Codes,0))="Arbeit",INDEX(Arten,MATCH(Y29,Codes,0))="Arbeit"),IF(ROUND((1+INDEX(Beginne,MATCH(Y29,Codes,0))-INDEX(EndeRel,MATCH(X29,Codes,0)))*1440,0)&lt;660,1,0),0),0))</f>
      </c>
      <c r="Z78" s="1">
        <f>IF(OR(Z$52=0,Y29="",Z29=""),0,IFERROR(IF(AND(INDEX(Arten,MATCH(Y29,Codes,0))="Arbeit",INDEX(Arten,MATCH(Z29,Codes,0))="Arbeit"),IF(ROUND((1+INDEX(Beginne,MATCH(Z29,Codes,0))-INDEX(EndeRel,MATCH(Y29,Codes,0)))*1440,0)&lt;660,1,0),0),0))</f>
      </c>
      <c r="AA78" s="1">
        <f>IF(OR(AA$52=0,Z29="",AA29=""),0,IFERROR(IF(AND(INDEX(Arten,MATCH(Z29,Codes,0))="Arbeit",INDEX(Arten,MATCH(AA29,Codes,0))="Arbeit"),IF(ROUND((1+INDEX(Beginne,MATCH(AA29,Codes,0))-INDEX(EndeRel,MATCH(Z29,Codes,0)))*1440,0)&lt;660,1,0),0),0))</f>
      </c>
      <c r="AB78" s="1">
        <f>IF(OR(AB$52=0,AA29="",AB29=""),0,IFERROR(IF(AND(INDEX(Arten,MATCH(AA29,Codes,0))="Arbeit",INDEX(Arten,MATCH(AB29,Codes,0))="Arbeit"),IF(ROUND((1+INDEX(Beginne,MATCH(AB29,Codes,0))-INDEX(EndeRel,MATCH(AA29,Codes,0)))*1440,0)&lt;660,1,0),0),0))</f>
      </c>
      <c r="AC78" s="1">
        <f>IF(OR(AC$52=0,AB29="",AC29=""),0,IFERROR(IF(AND(INDEX(Arten,MATCH(AB29,Codes,0))="Arbeit",INDEX(Arten,MATCH(AC29,Codes,0))="Arbeit"),IF(ROUND((1+INDEX(Beginne,MATCH(AC29,Codes,0))-INDEX(EndeRel,MATCH(AB29,Codes,0)))*1440,0)&lt;660,1,0),0),0))</f>
      </c>
      <c r="AD78" s="1">
        <f>IF(OR(AD$52=0,AC29="",AD29=""),0,IFERROR(IF(AND(INDEX(Arten,MATCH(AC29,Codes,0))="Arbeit",INDEX(Arten,MATCH(AD29,Codes,0))="Arbeit"),IF(ROUND((1+INDEX(Beginne,MATCH(AD29,Codes,0))-INDEX(EndeRel,MATCH(AC29,Codes,0)))*1440,0)&lt;660,1,0),0),0))</f>
      </c>
      <c r="AE78" s="1">
        <f>IF(OR(AE$52=0,AD29="",AE29=""),0,IFERROR(IF(AND(INDEX(Arten,MATCH(AD29,Codes,0))="Arbeit",INDEX(Arten,MATCH(AE29,Codes,0))="Arbeit"),IF(ROUND((1+INDEX(Beginne,MATCH(AE29,Codes,0))-INDEX(EndeRel,MATCH(AD29,Codes,0)))*1440,0)&lt;660,1,0),0),0))</f>
      </c>
      <c r="AF78" s="1">
        <f>IF(OR(AF$52=0,AE29="",AF29=""),0,IFERROR(IF(AND(INDEX(Arten,MATCH(AE29,Codes,0))="Arbeit",INDEX(Arten,MATCH(AF29,Codes,0))="Arbeit"),IF(ROUND((1+INDEX(Beginne,MATCH(AF29,Codes,0))-INDEX(EndeRel,MATCH(AE29,Codes,0)))*1440,0)&lt;660,1,0),0),0))</f>
      </c>
    </row>
    <row r="79" hidden="1" spans="1:32" x14ac:dyDescent="0.25">
      <c r="A79" s="1"/>
      <c r="B79" s="1">
        <f>IF(OR(B$52=0,INDEX('Juli'!$B$30:$AF$30,DAY(DATE(Jahr,8,0)))="",B30=""),0,IFERROR(IF(AND(INDEX(Arten,MATCH(INDEX('Juli'!$B$30:$AF$30,DAY(DATE(Jahr,8,0))),Codes,0))="Arbeit",INDEX(Arten,MATCH(B30,Codes,0))="Arbeit"),IF(ROUND((1+INDEX(Beginne,MATCH(B30,Codes,0))-INDEX(EndeRel,MATCH(INDEX('Juli'!$B$30:$AF$30,DAY(DATE(Jahr,8,0))),Codes,0)))*1440,0)&lt;660,1,0),0),0))</f>
      </c>
      <c r="C79" s="1">
        <f>IF(OR(C$52=0,B30="",C30=""),0,IFERROR(IF(AND(INDEX(Arten,MATCH(B30,Codes,0))="Arbeit",INDEX(Arten,MATCH(C30,Codes,0))="Arbeit"),IF(ROUND((1+INDEX(Beginne,MATCH(C30,Codes,0))-INDEX(EndeRel,MATCH(B30,Codes,0)))*1440,0)&lt;660,1,0),0),0))</f>
      </c>
      <c r="D79" s="1">
        <f>IF(OR(D$52=0,C30="",D30=""),0,IFERROR(IF(AND(INDEX(Arten,MATCH(C30,Codes,0))="Arbeit",INDEX(Arten,MATCH(D30,Codes,0))="Arbeit"),IF(ROUND((1+INDEX(Beginne,MATCH(D30,Codes,0))-INDEX(EndeRel,MATCH(C30,Codes,0)))*1440,0)&lt;660,1,0),0),0))</f>
      </c>
      <c r="E79" s="1">
        <f>IF(OR(E$52=0,D30="",E30=""),0,IFERROR(IF(AND(INDEX(Arten,MATCH(D30,Codes,0))="Arbeit",INDEX(Arten,MATCH(E30,Codes,0))="Arbeit"),IF(ROUND((1+INDEX(Beginne,MATCH(E30,Codes,0))-INDEX(EndeRel,MATCH(D30,Codes,0)))*1440,0)&lt;660,1,0),0),0))</f>
      </c>
      <c r="F79" s="1">
        <f>IF(OR(F$52=0,E30="",F30=""),0,IFERROR(IF(AND(INDEX(Arten,MATCH(E30,Codes,0))="Arbeit",INDEX(Arten,MATCH(F30,Codes,0))="Arbeit"),IF(ROUND((1+INDEX(Beginne,MATCH(F30,Codes,0))-INDEX(EndeRel,MATCH(E30,Codes,0)))*1440,0)&lt;660,1,0),0),0))</f>
      </c>
      <c r="G79" s="1">
        <f>IF(OR(G$52=0,F30="",G30=""),0,IFERROR(IF(AND(INDEX(Arten,MATCH(F30,Codes,0))="Arbeit",INDEX(Arten,MATCH(G30,Codes,0))="Arbeit"),IF(ROUND((1+INDEX(Beginne,MATCH(G30,Codes,0))-INDEX(EndeRel,MATCH(F30,Codes,0)))*1440,0)&lt;660,1,0),0),0))</f>
      </c>
      <c r="H79" s="1">
        <f>IF(OR(H$52=0,G30="",H30=""),0,IFERROR(IF(AND(INDEX(Arten,MATCH(G30,Codes,0))="Arbeit",INDEX(Arten,MATCH(H30,Codes,0))="Arbeit"),IF(ROUND((1+INDEX(Beginne,MATCH(H30,Codes,0))-INDEX(EndeRel,MATCH(G30,Codes,0)))*1440,0)&lt;660,1,0),0),0))</f>
      </c>
      <c r="I79" s="1">
        <f>IF(OR(I$52=0,H30="",I30=""),0,IFERROR(IF(AND(INDEX(Arten,MATCH(H30,Codes,0))="Arbeit",INDEX(Arten,MATCH(I30,Codes,0))="Arbeit"),IF(ROUND((1+INDEX(Beginne,MATCH(I30,Codes,0))-INDEX(EndeRel,MATCH(H30,Codes,0)))*1440,0)&lt;660,1,0),0),0))</f>
      </c>
      <c r="J79" s="1">
        <f>IF(OR(J$52=0,I30="",J30=""),0,IFERROR(IF(AND(INDEX(Arten,MATCH(I30,Codes,0))="Arbeit",INDEX(Arten,MATCH(J30,Codes,0))="Arbeit"),IF(ROUND((1+INDEX(Beginne,MATCH(J30,Codes,0))-INDEX(EndeRel,MATCH(I30,Codes,0)))*1440,0)&lt;660,1,0),0),0))</f>
      </c>
      <c r="K79" s="1">
        <f>IF(OR(K$52=0,J30="",K30=""),0,IFERROR(IF(AND(INDEX(Arten,MATCH(J30,Codes,0))="Arbeit",INDEX(Arten,MATCH(K30,Codes,0))="Arbeit"),IF(ROUND((1+INDEX(Beginne,MATCH(K30,Codes,0))-INDEX(EndeRel,MATCH(J30,Codes,0)))*1440,0)&lt;660,1,0),0),0))</f>
      </c>
      <c r="L79" s="1">
        <f>IF(OR(L$52=0,K30="",L30=""),0,IFERROR(IF(AND(INDEX(Arten,MATCH(K30,Codes,0))="Arbeit",INDEX(Arten,MATCH(L30,Codes,0))="Arbeit"),IF(ROUND((1+INDEX(Beginne,MATCH(L30,Codes,0))-INDEX(EndeRel,MATCH(K30,Codes,0)))*1440,0)&lt;660,1,0),0),0))</f>
      </c>
      <c r="M79" s="1">
        <f>IF(OR(M$52=0,L30="",M30=""),0,IFERROR(IF(AND(INDEX(Arten,MATCH(L30,Codes,0))="Arbeit",INDEX(Arten,MATCH(M30,Codes,0))="Arbeit"),IF(ROUND((1+INDEX(Beginne,MATCH(M30,Codes,0))-INDEX(EndeRel,MATCH(L30,Codes,0)))*1440,0)&lt;660,1,0),0),0))</f>
      </c>
      <c r="N79" s="1">
        <f>IF(OR(N$52=0,M30="",N30=""),0,IFERROR(IF(AND(INDEX(Arten,MATCH(M30,Codes,0))="Arbeit",INDEX(Arten,MATCH(N30,Codes,0))="Arbeit"),IF(ROUND((1+INDEX(Beginne,MATCH(N30,Codes,0))-INDEX(EndeRel,MATCH(M30,Codes,0)))*1440,0)&lt;660,1,0),0),0))</f>
      </c>
      <c r="O79" s="1">
        <f>IF(OR(O$52=0,N30="",O30=""),0,IFERROR(IF(AND(INDEX(Arten,MATCH(N30,Codes,0))="Arbeit",INDEX(Arten,MATCH(O30,Codes,0))="Arbeit"),IF(ROUND((1+INDEX(Beginne,MATCH(O30,Codes,0))-INDEX(EndeRel,MATCH(N30,Codes,0)))*1440,0)&lt;660,1,0),0),0))</f>
      </c>
      <c r="P79" s="1">
        <f>IF(OR(P$52=0,O30="",P30=""),0,IFERROR(IF(AND(INDEX(Arten,MATCH(O30,Codes,0))="Arbeit",INDEX(Arten,MATCH(P30,Codes,0))="Arbeit"),IF(ROUND((1+INDEX(Beginne,MATCH(P30,Codes,0))-INDEX(EndeRel,MATCH(O30,Codes,0)))*1440,0)&lt;660,1,0),0),0))</f>
      </c>
      <c r="Q79" s="1">
        <f>IF(OR(Q$52=0,P30="",Q30=""),0,IFERROR(IF(AND(INDEX(Arten,MATCH(P30,Codes,0))="Arbeit",INDEX(Arten,MATCH(Q30,Codes,0))="Arbeit"),IF(ROUND((1+INDEX(Beginne,MATCH(Q30,Codes,0))-INDEX(EndeRel,MATCH(P30,Codes,0)))*1440,0)&lt;660,1,0),0),0))</f>
      </c>
      <c r="R79" s="1">
        <f>IF(OR(R$52=0,Q30="",R30=""),0,IFERROR(IF(AND(INDEX(Arten,MATCH(Q30,Codes,0))="Arbeit",INDEX(Arten,MATCH(R30,Codes,0))="Arbeit"),IF(ROUND((1+INDEX(Beginne,MATCH(R30,Codes,0))-INDEX(EndeRel,MATCH(Q30,Codes,0)))*1440,0)&lt;660,1,0),0),0))</f>
      </c>
      <c r="S79" s="1">
        <f>IF(OR(S$52=0,R30="",S30=""),0,IFERROR(IF(AND(INDEX(Arten,MATCH(R30,Codes,0))="Arbeit",INDEX(Arten,MATCH(S30,Codes,0))="Arbeit"),IF(ROUND((1+INDEX(Beginne,MATCH(S30,Codes,0))-INDEX(EndeRel,MATCH(R30,Codes,0)))*1440,0)&lt;660,1,0),0),0))</f>
      </c>
      <c r="T79" s="1">
        <f>IF(OR(T$52=0,S30="",T30=""),0,IFERROR(IF(AND(INDEX(Arten,MATCH(S30,Codes,0))="Arbeit",INDEX(Arten,MATCH(T30,Codes,0))="Arbeit"),IF(ROUND((1+INDEX(Beginne,MATCH(T30,Codes,0))-INDEX(EndeRel,MATCH(S30,Codes,0)))*1440,0)&lt;660,1,0),0),0))</f>
      </c>
      <c r="U79" s="1">
        <f>IF(OR(U$52=0,T30="",U30=""),0,IFERROR(IF(AND(INDEX(Arten,MATCH(T30,Codes,0))="Arbeit",INDEX(Arten,MATCH(U30,Codes,0))="Arbeit"),IF(ROUND((1+INDEX(Beginne,MATCH(U30,Codes,0))-INDEX(EndeRel,MATCH(T30,Codes,0)))*1440,0)&lt;660,1,0),0),0))</f>
      </c>
      <c r="V79" s="1">
        <f>IF(OR(V$52=0,U30="",V30=""),0,IFERROR(IF(AND(INDEX(Arten,MATCH(U30,Codes,0))="Arbeit",INDEX(Arten,MATCH(V30,Codes,0))="Arbeit"),IF(ROUND((1+INDEX(Beginne,MATCH(V30,Codes,0))-INDEX(EndeRel,MATCH(U30,Codes,0)))*1440,0)&lt;660,1,0),0),0))</f>
      </c>
      <c r="W79" s="1">
        <f>IF(OR(W$52=0,V30="",W30=""),0,IFERROR(IF(AND(INDEX(Arten,MATCH(V30,Codes,0))="Arbeit",INDEX(Arten,MATCH(W30,Codes,0))="Arbeit"),IF(ROUND((1+INDEX(Beginne,MATCH(W30,Codes,0))-INDEX(EndeRel,MATCH(V30,Codes,0)))*1440,0)&lt;660,1,0),0),0))</f>
      </c>
      <c r="X79" s="1">
        <f>IF(OR(X$52=0,W30="",X30=""),0,IFERROR(IF(AND(INDEX(Arten,MATCH(W30,Codes,0))="Arbeit",INDEX(Arten,MATCH(X30,Codes,0))="Arbeit"),IF(ROUND((1+INDEX(Beginne,MATCH(X30,Codes,0))-INDEX(EndeRel,MATCH(W30,Codes,0)))*1440,0)&lt;660,1,0),0),0))</f>
      </c>
      <c r="Y79" s="1">
        <f>IF(OR(Y$52=0,X30="",Y30=""),0,IFERROR(IF(AND(INDEX(Arten,MATCH(X30,Codes,0))="Arbeit",INDEX(Arten,MATCH(Y30,Codes,0))="Arbeit"),IF(ROUND((1+INDEX(Beginne,MATCH(Y30,Codes,0))-INDEX(EndeRel,MATCH(X30,Codes,0)))*1440,0)&lt;660,1,0),0),0))</f>
      </c>
      <c r="Z79" s="1">
        <f>IF(OR(Z$52=0,Y30="",Z30=""),0,IFERROR(IF(AND(INDEX(Arten,MATCH(Y30,Codes,0))="Arbeit",INDEX(Arten,MATCH(Z30,Codes,0))="Arbeit"),IF(ROUND((1+INDEX(Beginne,MATCH(Z30,Codes,0))-INDEX(EndeRel,MATCH(Y30,Codes,0)))*1440,0)&lt;660,1,0),0),0))</f>
      </c>
      <c r="AA79" s="1">
        <f>IF(OR(AA$52=0,Z30="",AA30=""),0,IFERROR(IF(AND(INDEX(Arten,MATCH(Z30,Codes,0))="Arbeit",INDEX(Arten,MATCH(AA30,Codes,0))="Arbeit"),IF(ROUND((1+INDEX(Beginne,MATCH(AA30,Codes,0))-INDEX(EndeRel,MATCH(Z30,Codes,0)))*1440,0)&lt;660,1,0),0),0))</f>
      </c>
      <c r="AB79" s="1">
        <f>IF(OR(AB$52=0,AA30="",AB30=""),0,IFERROR(IF(AND(INDEX(Arten,MATCH(AA30,Codes,0))="Arbeit",INDEX(Arten,MATCH(AB30,Codes,0))="Arbeit"),IF(ROUND((1+INDEX(Beginne,MATCH(AB30,Codes,0))-INDEX(EndeRel,MATCH(AA30,Codes,0)))*1440,0)&lt;660,1,0),0),0))</f>
      </c>
      <c r="AC79" s="1">
        <f>IF(OR(AC$52=0,AB30="",AC30=""),0,IFERROR(IF(AND(INDEX(Arten,MATCH(AB30,Codes,0))="Arbeit",INDEX(Arten,MATCH(AC30,Codes,0))="Arbeit"),IF(ROUND((1+INDEX(Beginne,MATCH(AC30,Codes,0))-INDEX(EndeRel,MATCH(AB30,Codes,0)))*1440,0)&lt;660,1,0),0),0))</f>
      </c>
      <c r="AD79" s="1">
        <f>IF(OR(AD$52=0,AC30="",AD30=""),0,IFERROR(IF(AND(INDEX(Arten,MATCH(AC30,Codes,0))="Arbeit",INDEX(Arten,MATCH(AD30,Codes,0))="Arbeit"),IF(ROUND((1+INDEX(Beginne,MATCH(AD30,Codes,0))-INDEX(EndeRel,MATCH(AC30,Codes,0)))*1440,0)&lt;660,1,0),0),0))</f>
      </c>
      <c r="AE79" s="1">
        <f>IF(OR(AE$52=0,AD30="",AE30=""),0,IFERROR(IF(AND(INDEX(Arten,MATCH(AD30,Codes,0))="Arbeit",INDEX(Arten,MATCH(AE30,Codes,0))="Arbeit"),IF(ROUND((1+INDEX(Beginne,MATCH(AE30,Codes,0))-INDEX(EndeRel,MATCH(AD30,Codes,0)))*1440,0)&lt;660,1,0),0),0))</f>
      </c>
      <c r="AF79" s="1">
        <f>IF(OR(AF$52=0,AE30="",AF30=""),0,IFERROR(IF(AND(INDEX(Arten,MATCH(AE30,Codes,0))="Arbeit",INDEX(Arten,MATCH(AF30,Codes,0))="Arbeit"),IF(ROUND((1+INDEX(Beginne,MATCH(AF30,Codes,0))-INDEX(EndeRel,MATCH(AE30,Codes,0)))*1440,0)&lt;660,1,0),0),0))</f>
      </c>
    </row>
    <row r="80" hidden="1" spans="1:32" x14ac:dyDescent="0.25">
      <c r="A80" s="1"/>
      <c r="B80" s="1">
        <f>IF(OR(B$52=0,INDEX('Juli'!$B$31:$AF$31,DAY(DATE(Jahr,8,0)))="",B31=""),0,IFERROR(IF(AND(INDEX(Arten,MATCH(INDEX('Juli'!$B$31:$AF$31,DAY(DATE(Jahr,8,0))),Codes,0))="Arbeit",INDEX(Arten,MATCH(B31,Codes,0))="Arbeit"),IF(ROUND((1+INDEX(Beginne,MATCH(B31,Codes,0))-INDEX(EndeRel,MATCH(INDEX('Juli'!$B$31:$AF$31,DAY(DATE(Jahr,8,0))),Codes,0)))*1440,0)&lt;660,1,0),0),0))</f>
      </c>
      <c r="C80" s="1">
        <f>IF(OR(C$52=0,B31="",C31=""),0,IFERROR(IF(AND(INDEX(Arten,MATCH(B31,Codes,0))="Arbeit",INDEX(Arten,MATCH(C31,Codes,0))="Arbeit"),IF(ROUND((1+INDEX(Beginne,MATCH(C31,Codes,0))-INDEX(EndeRel,MATCH(B31,Codes,0)))*1440,0)&lt;660,1,0),0),0))</f>
      </c>
      <c r="D80" s="1">
        <f>IF(OR(D$52=0,C31="",D31=""),0,IFERROR(IF(AND(INDEX(Arten,MATCH(C31,Codes,0))="Arbeit",INDEX(Arten,MATCH(D31,Codes,0))="Arbeit"),IF(ROUND((1+INDEX(Beginne,MATCH(D31,Codes,0))-INDEX(EndeRel,MATCH(C31,Codes,0)))*1440,0)&lt;660,1,0),0),0))</f>
      </c>
      <c r="E80" s="1">
        <f>IF(OR(E$52=0,D31="",E31=""),0,IFERROR(IF(AND(INDEX(Arten,MATCH(D31,Codes,0))="Arbeit",INDEX(Arten,MATCH(E31,Codes,0))="Arbeit"),IF(ROUND((1+INDEX(Beginne,MATCH(E31,Codes,0))-INDEX(EndeRel,MATCH(D31,Codes,0)))*1440,0)&lt;660,1,0),0),0))</f>
      </c>
      <c r="F80" s="1">
        <f>IF(OR(F$52=0,E31="",F31=""),0,IFERROR(IF(AND(INDEX(Arten,MATCH(E31,Codes,0))="Arbeit",INDEX(Arten,MATCH(F31,Codes,0))="Arbeit"),IF(ROUND((1+INDEX(Beginne,MATCH(F31,Codes,0))-INDEX(EndeRel,MATCH(E31,Codes,0)))*1440,0)&lt;660,1,0),0),0))</f>
      </c>
      <c r="G80" s="1">
        <f>IF(OR(G$52=0,F31="",G31=""),0,IFERROR(IF(AND(INDEX(Arten,MATCH(F31,Codes,0))="Arbeit",INDEX(Arten,MATCH(G31,Codes,0))="Arbeit"),IF(ROUND((1+INDEX(Beginne,MATCH(G31,Codes,0))-INDEX(EndeRel,MATCH(F31,Codes,0)))*1440,0)&lt;660,1,0),0),0))</f>
      </c>
      <c r="H80" s="1">
        <f>IF(OR(H$52=0,G31="",H31=""),0,IFERROR(IF(AND(INDEX(Arten,MATCH(G31,Codes,0))="Arbeit",INDEX(Arten,MATCH(H31,Codes,0))="Arbeit"),IF(ROUND((1+INDEX(Beginne,MATCH(H31,Codes,0))-INDEX(EndeRel,MATCH(G31,Codes,0)))*1440,0)&lt;660,1,0),0),0))</f>
      </c>
      <c r="I80" s="1">
        <f>IF(OR(I$52=0,H31="",I31=""),0,IFERROR(IF(AND(INDEX(Arten,MATCH(H31,Codes,0))="Arbeit",INDEX(Arten,MATCH(I31,Codes,0))="Arbeit"),IF(ROUND((1+INDEX(Beginne,MATCH(I31,Codes,0))-INDEX(EndeRel,MATCH(H31,Codes,0)))*1440,0)&lt;660,1,0),0),0))</f>
      </c>
      <c r="J80" s="1">
        <f>IF(OR(J$52=0,I31="",J31=""),0,IFERROR(IF(AND(INDEX(Arten,MATCH(I31,Codes,0))="Arbeit",INDEX(Arten,MATCH(J31,Codes,0))="Arbeit"),IF(ROUND((1+INDEX(Beginne,MATCH(J31,Codes,0))-INDEX(EndeRel,MATCH(I31,Codes,0)))*1440,0)&lt;660,1,0),0),0))</f>
      </c>
      <c r="K80" s="1">
        <f>IF(OR(K$52=0,J31="",K31=""),0,IFERROR(IF(AND(INDEX(Arten,MATCH(J31,Codes,0))="Arbeit",INDEX(Arten,MATCH(K31,Codes,0))="Arbeit"),IF(ROUND((1+INDEX(Beginne,MATCH(K31,Codes,0))-INDEX(EndeRel,MATCH(J31,Codes,0)))*1440,0)&lt;660,1,0),0),0))</f>
      </c>
      <c r="L80" s="1">
        <f>IF(OR(L$52=0,K31="",L31=""),0,IFERROR(IF(AND(INDEX(Arten,MATCH(K31,Codes,0))="Arbeit",INDEX(Arten,MATCH(L31,Codes,0))="Arbeit"),IF(ROUND((1+INDEX(Beginne,MATCH(L31,Codes,0))-INDEX(EndeRel,MATCH(K31,Codes,0)))*1440,0)&lt;660,1,0),0),0))</f>
      </c>
      <c r="M80" s="1">
        <f>IF(OR(M$52=0,L31="",M31=""),0,IFERROR(IF(AND(INDEX(Arten,MATCH(L31,Codes,0))="Arbeit",INDEX(Arten,MATCH(M31,Codes,0))="Arbeit"),IF(ROUND((1+INDEX(Beginne,MATCH(M31,Codes,0))-INDEX(EndeRel,MATCH(L31,Codes,0)))*1440,0)&lt;660,1,0),0),0))</f>
      </c>
      <c r="N80" s="1">
        <f>IF(OR(N$52=0,M31="",N31=""),0,IFERROR(IF(AND(INDEX(Arten,MATCH(M31,Codes,0))="Arbeit",INDEX(Arten,MATCH(N31,Codes,0))="Arbeit"),IF(ROUND((1+INDEX(Beginne,MATCH(N31,Codes,0))-INDEX(EndeRel,MATCH(M31,Codes,0)))*1440,0)&lt;660,1,0),0),0))</f>
      </c>
      <c r="O80" s="1">
        <f>IF(OR(O$52=0,N31="",O31=""),0,IFERROR(IF(AND(INDEX(Arten,MATCH(N31,Codes,0))="Arbeit",INDEX(Arten,MATCH(O31,Codes,0))="Arbeit"),IF(ROUND((1+INDEX(Beginne,MATCH(O31,Codes,0))-INDEX(EndeRel,MATCH(N31,Codes,0)))*1440,0)&lt;660,1,0),0),0))</f>
      </c>
      <c r="P80" s="1">
        <f>IF(OR(P$52=0,O31="",P31=""),0,IFERROR(IF(AND(INDEX(Arten,MATCH(O31,Codes,0))="Arbeit",INDEX(Arten,MATCH(P31,Codes,0))="Arbeit"),IF(ROUND((1+INDEX(Beginne,MATCH(P31,Codes,0))-INDEX(EndeRel,MATCH(O31,Codes,0)))*1440,0)&lt;660,1,0),0),0))</f>
      </c>
      <c r="Q80" s="1">
        <f>IF(OR(Q$52=0,P31="",Q31=""),0,IFERROR(IF(AND(INDEX(Arten,MATCH(P31,Codes,0))="Arbeit",INDEX(Arten,MATCH(Q31,Codes,0))="Arbeit"),IF(ROUND((1+INDEX(Beginne,MATCH(Q31,Codes,0))-INDEX(EndeRel,MATCH(P31,Codes,0)))*1440,0)&lt;660,1,0),0),0))</f>
      </c>
      <c r="R80" s="1">
        <f>IF(OR(R$52=0,Q31="",R31=""),0,IFERROR(IF(AND(INDEX(Arten,MATCH(Q31,Codes,0))="Arbeit",INDEX(Arten,MATCH(R31,Codes,0))="Arbeit"),IF(ROUND((1+INDEX(Beginne,MATCH(R31,Codes,0))-INDEX(EndeRel,MATCH(Q31,Codes,0)))*1440,0)&lt;660,1,0),0),0))</f>
      </c>
      <c r="S80" s="1">
        <f>IF(OR(S$52=0,R31="",S31=""),0,IFERROR(IF(AND(INDEX(Arten,MATCH(R31,Codes,0))="Arbeit",INDEX(Arten,MATCH(S31,Codes,0))="Arbeit"),IF(ROUND((1+INDEX(Beginne,MATCH(S31,Codes,0))-INDEX(EndeRel,MATCH(R31,Codes,0)))*1440,0)&lt;660,1,0),0),0))</f>
      </c>
      <c r="T80" s="1">
        <f>IF(OR(T$52=0,S31="",T31=""),0,IFERROR(IF(AND(INDEX(Arten,MATCH(S31,Codes,0))="Arbeit",INDEX(Arten,MATCH(T31,Codes,0))="Arbeit"),IF(ROUND((1+INDEX(Beginne,MATCH(T31,Codes,0))-INDEX(EndeRel,MATCH(S31,Codes,0)))*1440,0)&lt;660,1,0),0),0))</f>
      </c>
      <c r="U80" s="1">
        <f>IF(OR(U$52=0,T31="",U31=""),0,IFERROR(IF(AND(INDEX(Arten,MATCH(T31,Codes,0))="Arbeit",INDEX(Arten,MATCH(U31,Codes,0))="Arbeit"),IF(ROUND((1+INDEX(Beginne,MATCH(U31,Codes,0))-INDEX(EndeRel,MATCH(T31,Codes,0)))*1440,0)&lt;660,1,0),0),0))</f>
      </c>
      <c r="V80" s="1">
        <f>IF(OR(V$52=0,U31="",V31=""),0,IFERROR(IF(AND(INDEX(Arten,MATCH(U31,Codes,0))="Arbeit",INDEX(Arten,MATCH(V31,Codes,0))="Arbeit"),IF(ROUND((1+INDEX(Beginne,MATCH(V31,Codes,0))-INDEX(EndeRel,MATCH(U31,Codes,0)))*1440,0)&lt;660,1,0),0),0))</f>
      </c>
      <c r="W80" s="1">
        <f>IF(OR(W$52=0,V31="",W31=""),0,IFERROR(IF(AND(INDEX(Arten,MATCH(V31,Codes,0))="Arbeit",INDEX(Arten,MATCH(W31,Codes,0))="Arbeit"),IF(ROUND((1+INDEX(Beginne,MATCH(W31,Codes,0))-INDEX(EndeRel,MATCH(V31,Codes,0)))*1440,0)&lt;660,1,0),0),0))</f>
      </c>
      <c r="X80" s="1">
        <f>IF(OR(X$52=0,W31="",X31=""),0,IFERROR(IF(AND(INDEX(Arten,MATCH(W31,Codes,0))="Arbeit",INDEX(Arten,MATCH(X31,Codes,0))="Arbeit"),IF(ROUND((1+INDEX(Beginne,MATCH(X31,Codes,0))-INDEX(EndeRel,MATCH(W31,Codes,0)))*1440,0)&lt;660,1,0),0),0))</f>
      </c>
      <c r="Y80" s="1">
        <f>IF(OR(Y$52=0,X31="",Y31=""),0,IFERROR(IF(AND(INDEX(Arten,MATCH(X31,Codes,0))="Arbeit",INDEX(Arten,MATCH(Y31,Codes,0))="Arbeit"),IF(ROUND((1+INDEX(Beginne,MATCH(Y31,Codes,0))-INDEX(EndeRel,MATCH(X31,Codes,0)))*1440,0)&lt;660,1,0),0),0))</f>
      </c>
      <c r="Z80" s="1">
        <f>IF(OR(Z$52=0,Y31="",Z31=""),0,IFERROR(IF(AND(INDEX(Arten,MATCH(Y31,Codes,0))="Arbeit",INDEX(Arten,MATCH(Z31,Codes,0))="Arbeit"),IF(ROUND((1+INDEX(Beginne,MATCH(Z31,Codes,0))-INDEX(EndeRel,MATCH(Y31,Codes,0)))*1440,0)&lt;660,1,0),0),0))</f>
      </c>
      <c r="AA80" s="1">
        <f>IF(OR(AA$52=0,Z31="",AA31=""),0,IFERROR(IF(AND(INDEX(Arten,MATCH(Z31,Codes,0))="Arbeit",INDEX(Arten,MATCH(AA31,Codes,0))="Arbeit"),IF(ROUND((1+INDEX(Beginne,MATCH(AA31,Codes,0))-INDEX(EndeRel,MATCH(Z31,Codes,0)))*1440,0)&lt;660,1,0),0),0))</f>
      </c>
      <c r="AB80" s="1">
        <f>IF(OR(AB$52=0,AA31="",AB31=""),0,IFERROR(IF(AND(INDEX(Arten,MATCH(AA31,Codes,0))="Arbeit",INDEX(Arten,MATCH(AB31,Codes,0))="Arbeit"),IF(ROUND((1+INDEX(Beginne,MATCH(AB31,Codes,0))-INDEX(EndeRel,MATCH(AA31,Codes,0)))*1440,0)&lt;660,1,0),0),0))</f>
      </c>
      <c r="AC80" s="1">
        <f>IF(OR(AC$52=0,AB31="",AC31=""),0,IFERROR(IF(AND(INDEX(Arten,MATCH(AB31,Codes,0))="Arbeit",INDEX(Arten,MATCH(AC31,Codes,0))="Arbeit"),IF(ROUND((1+INDEX(Beginne,MATCH(AC31,Codes,0))-INDEX(EndeRel,MATCH(AB31,Codes,0)))*1440,0)&lt;660,1,0),0),0))</f>
      </c>
      <c r="AD80" s="1">
        <f>IF(OR(AD$52=0,AC31="",AD31=""),0,IFERROR(IF(AND(INDEX(Arten,MATCH(AC31,Codes,0))="Arbeit",INDEX(Arten,MATCH(AD31,Codes,0))="Arbeit"),IF(ROUND((1+INDEX(Beginne,MATCH(AD31,Codes,0))-INDEX(EndeRel,MATCH(AC31,Codes,0)))*1440,0)&lt;660,1,0),0),0))</f>
      </c>
      <c r="AE80" s="1">
        <f>IF(OR(AE$52=0,AD31="",AE31=""),0,IFERROR(IF(AND(INDEX(Arten,MATCH(AD31,Codes,0))="Arbeit",INDEX(Arten,MATCH(AE31,Codes,0))="Arbeit"),IF(ROUND((1+INDEX(Beginne,MATCH(AE31,Codes,0))-INDEX(EndeRel,MATCH(AD31,Codes,0)))*1440,0)&lt;660,1,0),0),0))</f>
      </c>
      <c r="AF80" s="1">
        <f>IF(OR(AF$52=0,AE31="",AF31=""),0,IFERROR(IF(AND(INDEX(Arten,MATCH(AE31,Codes,0))="Arbeit",INDEX(Arten,MATCH(AF31,Codes,0))="Arbeit"),IF(ROUND((1+INDEX(Beginne,MATCH(AF31,Codes,0))-INDEX(EndeRel,MATCH(AE31,Codes,0)))*1440,0)&lt;660,1,0),0),0))</f>
      </c>
    </row>
    <row r="81" hidden="1" spans="1:32" x14ac:dyDescent="0.25">
      <c r="A81" s="1"/>
      <c r="B81" s="1">
        <f>IF(OR(B$52=0,INDEX('Juli'!$B$32:$AF$32,DAY(DATE(Jahr,8,0)))="",B32=""),0,IFERROR(IF(AND(INDEX(Arten,MATCH(INDEX('Juli'!$B$32:$AF$32,DAY(DATE(Jahr,8,0))),Codes,0))="Arbeit",INDEX(Arten,MATCH(B32,Codes,0))="Arbeit"),IF(ROUND((1+INDEX(Beginne,MATCH(B32,Codes,0))-INDEX(EndeRel,MATCH(INDEX('Juli'!$B$32:$AF$32,DAY(DATE(Jahr,8,0))),Codes,0)))*1440,0)&lt;660,1,0),0),0))</f>
      </c>
      <c r="C81" s="1">
        <f>IF(OR(C$52=0,B32="",C32=""),0,IFERROR(IF(AND(INDEX(Arten,MATCH(B32,Codes,0))="Arbeit",INDEX(Arten,MATCH(C32,Codes,0))="Arbeit"),IF(ROUND((1+INDEX(Beginne,MATCH(C32,Codes,0))-INDEX(EndeRel,MATCH(B32,Codes,0)))*1440,0)&lt;660,1,0),0),0))</f>
      </c>
      <c r="D81" s="1">
        <f>IF(OR(D$52=0,C32="",D32=""),0,IFERROR(IF(AND(INDEX(Arten,MATCH(C32,Codes,0))="Arbeit",INDEX(Arten,MATCH(D32,Codes,0))="Arbeit"),IF(ROUND((1+INDEX(Beginne,MATCH(D32,Codes,0))-INDEX(EndeRel,MATCH(C32,Codes,0)))*1440,0)&lt;660,1,0),0),0))</f>
      </c>
      <c r="E81" s="1">
        <f>IF(OR(E$52=0,D32="",E32=""),0,IFERROR(IF(AND(INDEX(Arten,MATCH(D32,Codes,0))="Arbeit",INDEX(Arten,MATCH(E32,Codes,0))="Arbeit"),IF(ROUND((1+INDEX(Beginne,MATCH(E32,Codes,0))-INDEX(EndeRel,MATCH(D32,Codes,0)))*1440,0)&lt;660,1,0),0),0))</f>
      </c>
      <c r="F81" s="1">
        <f>IF(OR(F$52=0,E32="",F32=""),0,IFERROR(IF(AND(INDEX(Arten,MATCH(E32,Codes,0))="Arbeit",INDEX(Arten,MATCH(F32,Codes,0))="Arbeit"),IF(ROUND((1+INDEX(Beginne,MATCH(F32,Codes,0))-INDEX(EndeRel,MATCH(E32,Codes,0)))*1440,0)&lt;660,1,0),0),0))</f>
      </c>
      <c r="G81" s="1">
        <f>IF(OR(G$52=0,F32="",G32=""),0,IFERROR(IF(AND(INDEX(Arten,MATCH(F32,Codes,0))="Arbeit",INDEX(Arten,MATCH(G32,Codes,0))="Arbeit"),IF(ROUND((1+INDEX(Beginne,MATCH(G32,Codes,0))-INDEX(EndeRel,MATCH(F32,Codes,0)))*1440,0)&lt;660,1,0),0),0))</f>
      </c>
      <c r="H81" s="1">
        <f>IF(OR(H$52=0,G32="",H32=""),0,IFERROR(IF(AND(INDEX(Arten,MATCH(G32,Codes,0))="Arbeit",INDEX(Arten,MATCH(H32,Codes,0))="Arbeit"),IF(ROUND((1+INDEX(Beginne,MATCH(H32,Codes,0))-INDEX(EndeRel,MATCH(G32,Codes,0)))*1440,0)&lt;660,1,0),0),0))</f>
      </c>
      <c r="I81" s="1">
        <f>IF(OR(I$52=0,H32="",I32=""),0,IFERROR(IF(AND(INDEX(Arten,MATCH(H32,Codes,0))="Arbeit",INDEX(Arten,MATCH(I32,Codes,0))="Arbeit"),IF(ROUND((1+INDEX(Beginne,MATCH(I32,Codes,0))-INDEX(EndeRel,MATCH(H32,Codes,0)))*1440,0)&lt;660,1,0),0),0))</f>
      </c>
      <c r="J81" s="1">
        <f>IF(OR(J$52=0,I32="",J32=""),0,IFERROR(IF(AND(INDEX(Arten,MATCH(I32,Codes,0))="Arbeit",INDEX(Arten,MATCH(J32,Codes,0))="Arbeit"),IF(ROUND((1+INDEX(Beginne,MATCH(J32,Codes,0))-INDEX(EndeRel,MATCH(I32,Codes,0)))*1440,0)&lt;660,1,0),0),0))</f>
      </c>
      <c r="K81" s="1">
        <f>IF(OR(K$52=0,J32="",K32=""),0,IFERROR(IF(AND(INDEX(Arten,MATCH(J32,Codes,0))="Arbeit",INDEX(Arten,MATCH(K32,Codes,0))="Arbeit"),IF(ROUND((1+INDEX(Beginne,MATCH(K32,Codes,0))-INDEX(EndeRel,MATCH(J32,Codes,0)))*1440,0)&lt;660,1,0),0),0))</f>
      </c>
      <c r="L81" s="1">
        <f>IF(OR(L$52=0,K32="",L32=""),0,IFERROR(IF(AND(INDEX(Arten,MATCH(K32,Codes,0))="Arbeit",INDEX(Arten,MATCH(L32,Codes,0))="Arbeit"),IF(ROUND((1+INDEX(Beginne,MATCH(L32,Codes,0))-INDEX(EndeRel,MATCH(K32,Codes,0)))*1440,0)&lt;660,1,0),0),0))</f>
      </c>
      <c r="M81" s="1">
        <f>IF(OR(M$52=0,L32="",M32=""),0,IFERROR(IF(AND(INDEX(Arten,MATCH(L32,Codes,0))="Arbeit",INDEX(Arten,MATCH(M32,Codes,0))="Arbeit"),IF(ROUND((1+INDEX(Beginne,MATCH(M32,Codes,0))-INDEX(EndeRel,MATCH(L32,Codes,0)))*1440,0)&lt;660,1,0),0),0))</f>
      </c>
      <c r="N81" s="1">
        <f>IF(OR(N$52=0,M32="",N32=""),0,IFERROR(IF(AND(INDEX(Arten,MATCH(M32,Codes,0))="Arbeit",INDEX(Arten,MATCH(N32,Codes,0))="Arbeit"),IF(ROUND((1+INDEX(Beginne,MATCH(N32,Codes,0))-INDEX(EndeRel,MATCH(M32,Codes,0)))*1440,0)&lt;660,1,0),0),0))</f>
      </c>
      <c r="O81" s="1">
        <f>IF(OR(O$52=0,N32="",O32=""),0,IFERROR(IF(AND(INDEX(Arten,MATCH(N32,Codes,0))="Arbeit",INDEX(Arten,MATCH(O32,Codes,0))="Arbeit"),IF(ROUND((1+INDEX(Beginne,MATCH(O32,Codes,0))-INDEX(EndeRel,MATCH(N32,Codes,0)))*1440,0)&lt;660,1,0),0),0))</f>
      </c>
      <c r="P81" s="1">
        <f>IF(OR(P$52=0,O32="",P32=""),0,IFERROR(IF(AND(INDEX(Arten,MATCH(O32,Codes,0))="Arbeit",INDEX(Arten,MATCH(P32,Codes,0))="Arbeit"),IF(ROUND((1+INDEX(Beginne,MATCH(P32,Codes,0))-INDEX(EndeRel,MATCH(O32,Codes,0)))*1440,0)&lt;660,1,0),0),0))</f>
      </c>
      <c r="Q81" s="1">
        <f>IF(OR(Q$52=0,P32="",Q32=""),0,IFERROR(IF(AND(INDEX(Arten,MATCH(P32,Codes,0))="Arbeit",INDEX(Arten,MATCH(Q32,Codes,0))="Arbeit"),IF(ROUND((1+INDEX(Beginne,MATCH(Q32,Codes,0))-INDEX(EndeRel,MATCH(P32,Codes,0)))*1440,0)&lt;660,1,0),0),0))</f>
      </c>
      <c r="R81" s="1">
        <f>IF(OR(R$52=0,Q32="",R32=""),0,IFERROR(IF(AND(INDEX(Arten,MATCH(Q32,Codes,0))="Arbeit",INDEX(Arten,MATCH(R32,Codes,0))="Arbeit"),IF(ROUND((1+INDEX(Beginne,MATCH(R32,Codes,0))-INDEX(EndeRel,MATCH(Q32,Codes,0)))*1440,0)&lt;660,1,0),0),0))</f>
      </c>
      <c r="S81" s="1">
        <f>IF(OR(S$52=0,R32="",S32=""),0,IFERROR(IF(AND(INDEX(Arten,MATCH(R32,Codes,0))="Arbeit",INDEX(Arten,MATCH(S32,Codes,0))="Arbeit"),IF(ROUND((1+INDEX(Beginne,MATCH(S32,Codes,0))-INDEX(EndeRel,MATCH(R32,Codes,0)))*1440,0)&lt;660,1,0),0),0))</f>
      </c>
      <c r="T81" s="1">
        <f>IF(OR(T$52=0,S32="",T32=""),0,IFERROR(IF(AND(INDEX(Arten,MATCH(S32,Codes,0))="Arbeit",INDEX(Arten,MATCH(T32,Codes,0))="Arbeit"),IF(ROUND((1+INDEX(Beginne,MATCH(T32,Codes,0))-INDEX(EndeRel,MATCH(S32,Codes,0)))*1440,0)&lt;660,1,0),0),0))</f>
      </c>
      <c r="U81" s="1">
        <f>IF(OR(U$52=0,T32="",U32=""),0,IFERROR(IF(AND(INDEX(Arten,MATCH(T32,Codes,0))="Arbeit",INDEX(Arten,MATCH(U32,Codes,0))="Arbeit"),IF(ROUND((1+INDEX(Beginne,MATCH(U32,Codes,0))-INDEX(EndeRel,MATCH(T32,Codes,0)))*1440,0)&lt;660,1,0),0),0))</f>
      </c>
      <c r="V81" s="1">
        <f>IF(OR(V$52=0,U32="",V32=""),0,IFERROR(IF(AND(INDEX(Arten,MATCH(U32,Codes,0))="Arbeit",INDEX(Arten,MATCH(V32,Codes,0))="Arbeit"),IF(ROUND((1+INDEX(Beginne,MATCH(V32,Codes,0))-INDEX(EndeRel,MATCH(U32,Codes,0)))*1440,0)&lt;660,1,0),0),0))</f>
      </c>
      <c r="W81" s="1">
        <f>IF(OR(W$52=0,V32="",W32=""),0,IFERROR(IF(AND(INDEX(Arten,MATCH(V32,Codes,0))="Arbeit",INDEX(Arten,MATCH(W32,Codes,0))="Arbeit"),IF(ROUND((1+INDEX(Beginne,MATCH(W32,Codes,0))-INDEX(EndeRel,MATCH(V32,Codes,0)))*1440,0)&lt;660,1,0),0),0))</f>
      </c>
      <c r="X81" s="1">
        <f>IF(OR(X$52=0,W32="",X32=""),0,IFERROR(IF(AND(INDEX(Arten,MATCH(W32,Codes,0))="Arbeit",INDEX(Arten,MATCH(X32,Codes,0))="Arbeit"),IF(ROUND((1+INDEX(Beginne,MATCH(X32,Codes,0))-INDEX(EndeRel,MATCH(W32,Codes,0)))*1440,0)&lt;660,1,0),0),0))</f>
      </c>
      <c r="Y81" s="1">
        <f>IF(OR(Y$52=0,X32="",Y32=""),0,IFERROR(IF(AND(INDEX(Arten,MATCH(X32,Codes,0))="Arbeit",INDEX(Arten,MATCH(Y32,Codes,0))="Arbeit"),IF(ROUND((1+INDEX(Beginne,MATCH(Y32,Codes,0))-INDEX(EndeRel,MATCH(X32,Codes,0)))*1440,0)&lt;660,1,0),0),0))</f>
      </c>
      <c r="Z81" s="1">
        <f>IF(OR(Z$52=0,Y32="",Z32=""),0,IFERROR(IF(AND(INDEX(Arten,MATCH(Y32,Codes,0))="Arbeit",INDEX(Arten,MATCH(Z32,Codes,0))="Arbeit"),IF(ROUND((1+INDEX(Beginne,MATCH(Z32,Codes,0))-INDEX(EndeRel,MATCH(Y32,Codes,0)))*1440,0)&lt;660,1,0),0),0))</f>
      </c>
      <c r="AA81" s="1">
        <f>IF(OR(AA$52=0,Z32="",AA32=""),0,IFERROR(IF(AND(INDEX(Arten,MATCH(Z32,Codes,0))="Arbeit",INDEX(Arten,MATCH(AA32,Codes,0))="Arbeit"),IF(ROUND((1+INDEX(Beginne,MATCH(AA32,Codes,0))-INDEX(EndeRel,MATCH(Z32,Codes,0)))*1440,0)&lt;660,1,0),0),0))</f>
      </c>
      <c r="AB81" s="1">
        <f>IF(OR(AB$52=0,AA32="",AB32=""),0,IFERROR(IF(AND(INDEX(Arten,MATCH(AA32,Codes,0))="Arbeit",INDEX(Arten,MATCH(AB32,Codes,0))="Arbeit"),IF(ROUND((1+INDEX(Beginne,MATCH(AB32,Codes,0))-INDEX(EndeRel,MATCH(AA32,Codes,0)))*1440,0)&lt;660,1,0),0),0))</f>
      </c>
      <c r="AC81" s="1">
        <f>IF(OR(AC$52=0,AB32="",AC32=""),0,IFERROR(IF(AND(INDEX(Arten,MATCH(AB32,Codes,0))="Arbeit",INDEX(Arten,MATCH(AC32,Codes,0))="Arbeit"),IF(ROUND((1+INDEX(Beginne,MATCH(AC32,Codes,0))-INDEX(EndeRel,MATCH(AB32,Codes,0)))*1440,0)&lt;660,1,0),0),0))</f>
      </c>
      <c r="AD81" s="1">
        <f>IF(OR(AD$52=0,AC32="",AD32=""),0,IFERROR(IF(AND(INDEX(Arten,MATCH(AC32,Codes,0))="Arbeit",INDEX(Arten,MATCH(AD32,Codes,0))="Arbeit"),IF(ROUND((1+INDEX(Beginne,MATCH(AD32,Codes,0))-INDEX(EndeRel,MATCH(AC32,Codes,0)))*1440,0)&lt;660,1,0),0),0))</f>
      </c>
      <c r="AE81" s="1">
        <f>IF(OR(AE$52=0,AD32="",AE32=""),0,IFERROR(IF(AND(INDEX(Arten,MATCH(AD32,Codes,0))="Arbeit",INDEX(Arten,MATCH(AE32,Codes,0))="Arbeit"),IF(ROUND((1+INDEX(Beginne,MATCH(AE32,Codes,0))-INDEX(EndeRel,MATCH(AD32,Codes,0)))*1440,0)&lt;660,1,0),0),0))</f>
      </c>
      <c r="AF81" s="1">
        <f>IF(OR(AF$52=0,AE32="",AF32=""),0,IFERROR(IF(AND(INDEX(Arten,MATCH(AE32,Codes,0))="Arbeit",INDEX(Arten,MATCH(AF32,Codes,0))="Arbeit"),IF(ROUND((1+INDEX(Beginne,MATCH(AF32,Codes,0))-INDEX(EndeRel,MATCH(AE32,Codes,0)))*1440,0)&lt;660,1,0),0),0))</f>
      </c>
    </row>
    <row r="82" hidden="1" spans="1:32" x14ac:dyDescent="0.25">
      <c r="A82" s="1"/>
      <c r="B82" s="1">
        <f>IF(OR(B$52=0,INDEX('Juli'!$B$33:$AF$33,DAY(DATE(Jahr,8,0)))="",B33=""),0,IFERROR(IF(AND(INDEX(Arten,MATCH(INDEX('Juli'!$B$33:$AF$33,DAY(DATE(Jahr,8,0))),Codes,0))="Arbeit",INDEX(Arten,MATCH(B33,Codes,0))="Arbeit"),IF(ROUND((1+INDEX(Beginne,MATCH(B33,Codes,0))-INDEX(EndeRel,MATCH(INDEX('Juli'!$B$33:$AF$33,DAY(DATE(Jahr,8,0))),Codes,0)))*1440,0)&lt;660,1,0),0),0))</f>
      </c>
      <c r="C82" s="1">
        <f>IF(OR(C$52=0,B33="",C33=""),0,IFERROR(IF(AND(INDEX(Arten,MATCH(B33,Codes,0))="Arbeit",INDEX(Arten,MATCH(C33,Codes,0))="Arbeit"),IF(ROUND((1+INDEX(Beginne,MATCH(C33,Codes,0))-INDEX(EndeRel,MATCH(B33,Codes,0)))*1440,0)&lt;660,1,0),0),0))</f>
      </c>
      <c r="D82" s="1">
        <f>IF(OR(D$52=0,C33="",D33=""),0,IFERROR(IF(AND(INDEX(Arten,MATCH(C33,Codes,0))="Arbeit",INDEX(Arten,MATCH(D33,Codes,0))="Arbeit"),IF(ROUND((1+INDEX(Beginne,MATCH(D33,Codes,0))-INDEX(EndeRel,MATCH(C33,Codes,0)))*1440,0)&lt;660,1,0),0),0))</f>
      </c>
      <c r="E82" s="1">
        <f>IF(OR(E$52=0,D33="",E33=""),0,IFERROR(IF(AND(INDEX(Arten,MATCH(D33,Codes,0))="Arbeit",INDEX(Arten,MATCH(E33,Codes,0))="Arbeit"),IF(ROUND((1+INDEX(Beginne,MATCH(E33,Codes,0))-INDEX(EndeRel,MATCH(D33,Codes,0)))*1440,0)&lt;660,1,0),0),0))</f>
      </c>
      <c r="F82" s="1">
        <f>IF(OR(F$52=0,E33="",F33=""),0,IFERROR(IF(AND(INDEX(Arten,MATCH(E33,Codes,0))="Arbeit",INDEX(Arten,MATCH(F33,Codes,0))="Arbeit"),IF(ROUND((1+INDEX(Beginne,MATCH(F33,Codes,0))-INDEX(EndeRel,MATCH(E33,Codes,0)))*1440,0)&lt;660,1,0),0),0))</f>
      </c>
      <c r="G82" s="1">
        <f>IF(OR(G$52=0,F33="",G33=""),0,IFERROR(IF(AND(INDEX(Arten,MATCH(F33,Codes,0))="Arbeit",INDEX(Arten,MATCH(G33,Codes,0))="Arbeit"),IF(ROUND((1+INDEX(Beginne,MATCH(G33,Codes,0))-INDEX(EndeRel,MATCH(F33,Codes,0)))*1440,0)&lt;660,1,0),0),0))</f>
      </c>
      <c r="H82" s="1">
        <f>IF(OR(H$52=0,G33="",H33=""),0,IFERROR(IF(AND(INDEX(Arten,MATCH(G33,Codes,0))="Arbeit",INDEX(Arten,MATCH(H33,Codes,0))="Arbeit"),IF(ROUND((1+INDEX(Beginne,MATCH(H33,Codes,0))-INDEX(EndeRel,MATCH(G33,Codes,0)))*1440,0)&lt;660,1,0),0),0))</f>
      </c>
      <c r="I82" s="1">
        <f>IF(OR(I$52=0,H33="",I33=""),0,IFERROR(IF(AND(INDEX(Arten,MATCH(H33,Codes,0))="Arbeit",INDEX(Arten,MATCH(I33,Codes,0))="Arbeit"),IF(ROUND((1+INDEX(Beginne,MATCH(I33,Codes,0))-INDEX(EndeRel,MATCH(H33,Codes,0)))*1440,0)&lt;660,1,0),0),0))</f>
      </c>
      <c r="J82" s="1">
        <f>IF(OR(J$52=0,I33="",J33=""),0,IFERROR(IF(AND(INDEX(Arten,MATCH(I33,Codes,0))="Arbeit",INDEX(Arten,MATCH(J33,Codes,0))="Arbeit"),IF(ROUND((1+INDEX(Beginne,MATCH(J33,Codes,0))-INDEX(EndeRel,MATCH(I33,Codes,0)))*1440,0)&lt;660,1,0),0),0))</f>
      </c>
      <c r="K82" s="1">
        <f>IF(OR(K$52=0,J33="",K33=""),0,IFERROR(IF(AND(INDEX(Arten,MATCH(J33,Codes,0))="Arbeit",INDEX(Arten,MATCH(K33,Codes,0))="Arbeit"),IF(ROUND((1+INDEX(Beginne,MATCH(K33,Codes,0))-INDEX(EndeRel,MATCH(J33,Codes,0)))*1440,0)&lt;660,1,0),0),0))</f>
      </c>
      <c r="L82" s="1">
        <f>IF(OR(L$52=0,K33="",L33=""),0,IFERROR(IF(AND(INDEX(Arten,MATCH(K33,Codes,0))="Arbeit",INDEX(Arten,MATCH(L33,Codes,0))="Arbeit"),IF(ROUND((1+INDEX(Beginne,MATCH(L33,Codes,0))-INDEX(EndeRel,MATCH(K33,Codes,0)))*1440,0)&lt;660,1,0),0),0))</f>
      </c>
      <c r="M82" s="1">
        <f>IF(OR(M$52=0,L33="",M33=""),0,IFERROR(IF(AND(INDEX(Arten,MATCH(L33,Codes,0))="Arbeit",INDEX(Arten,MATCH(M33,Codes,0))="Arbeit"),IF(ROUND((1+INDEX(Beginne,MATCH(M33,Codes,0))-INDEX(EndeRel,MATCH(L33,Codes,0)))*1440,0)&lt;660,1,0),0),0))</f>
      </c>
      <c r="N82" s="1">
        <f>IF(OR(N$52=0,M33="",N33=""),0,IFERROR(IF(AND(INDEX(Arten,MATCH(M33,Codes,0))="Arbeit",INDEX(Arten,MATCH(N33,Codes,0))="Arbeit"),IF(ROUND((1+INDEX(Beginne,MATCH(N33,Codes,0))-INDEX(EndeRel,MATCH(M33,Codes,0)))*1440,0)&lt;660,1,0),0),0))</f>
      </c>
      <c r="O82" s="1">
        <f>IF(OR(O$52=0,N33="",O33=""),0,IFERROR(IF(AND(INDEX(Arten,MATCH(N33,Codes,0))="Arbeit",INDEX(Arten,MATCH(O33,Codes,0))="Arbeit"),IF(ROUND((1+INDEX(Beginne,MATCH(O33,Codes,0))-INDEX(EndeRel,MATCH(N33,Codes,0)))*1440,0)&lt;660,1,0),0),0))</f>
      </c>
      <c r="P82" s="1">
        <f>IF(OR(P$52=0,O33="",P33=""),0,IFERROR(IF(AND(INDEX(Arten,MATCH(O33,Codes,0))="Arbeit",INDEX(Arten,MATCH(P33,Codes,0))="Arbeit"),IF(ROUND((1+INDEX(Beginne,MATCH(P33,Codes,0))-INDEX(EndeRel,MATCH(O33,Codes,0)))*1440,0)&lt;660,1,0),0),0))</f>
      </c>
      <c r="Q82" s="1">
        <f>IF(OR(Q$52=0,P33="",Q33=""),0,IFERROR(IF(AND(INDEX(Arten,MATCH(P33,Codes,0))="Arbeit",INDEX(Arten,MATCH(Q33,Codes,0))="Arbeit"),IF(ROUND((1+INDEX(Beginne,MATCH(Q33,Codes,0))-INDEX(EndeRel,MATCH(P33,Codes,0)))*1440,0)&lt;660,1,0),0),0))</f>
      </c>
      <c r="R82" s="1">
        <f>IF(OR(R$52=0,Q33="",R33=""),0,IFERROR(IF(AND(INDEX(Arten,MATCH(Q33,Codes,0))="Arbeit",INDEX(Arten,MATCH(R33,Codes,0))="Arbeit"),IF(ROUND((1+INDEX(Beginne,MATCH(R33,Codes,0))-INDEX(EndeRel,MATCH(Q33,Codes,0)))*1440,0)&lt;660,1,0),0),0))</f>
      </c>
      <c r="S82" s="1">
        <f>IF(OR(S$52=0,R33="",S33=""),0,IFERROR(IF(AND(INDEX(Arten,MATCH(R33,Codes,0))="Arbeit",INDEX(Arten,MATCH(S33,Codes,0))="Arbeit"),IF(ROUND((1+INDEX(Beginne,MATCH(S33,Codes,0))-INDEX(EndeRel,MATCH(R33,Codes,0)))*1440,0)&lt;660,1,0),0),0))</f>
      </c>
      <c r="T82" s="1">
        <f>IF(OR(T$52=0,S33="",T33=""),0,IFERROR(IF(AND(INDEX(Arten,MATCH(S33,Codes,0))="Arbeit",INDEX(Arten,MATCH(T33,Codes,0))="Arbeit"),IF(ROUND((1+INDEX(Beginne,MATCH(T33,Codes,0))-INDEX(EndeRel,MATCH(S33,Codes,0)))*1440,0)&lt;660,1,0),0),0))</f>
      </c>
      <c r="U82" s="1">
        <f>IF(OR(U$52=0,T33="",U33=""),0,IFERROR(IF(AND(INDEX(Arten,MATCH(T33,Codes,0))="Arbeit",INDEX(Arten,MATCH(U33,Codes,0))="Arbeit"),IF(ROUND((1+INDEX(Beginne,MATCH(U33,Codes,0))-INDEX(EndeRel,MATCH(T33,Codes,0)))*1440,0)&lt;660,1,0),0),0))</f>
      </c>
      <c r="V82" s="1">
        <f>IF(OR(V$52=0,U33="",V33=""),0,IFERROR(IF(AND(INDEX(Arten,MATCH(U33,Codes,0))="Arbeit",INDEX(Arten,MATCH(V33,Codes,0))="Arbeit"),IF(ROUND((1+INDEX(Beginne,MATCH(V33,Codes,0))-INDEX(EndeRel,MATCH(U33,Codes,0)))*1440,0)&lt;660,1,0),0),0))</f>
      </c>
      <c r="W82" s="1">
        <f>IF(OR(W$52=0,V33="",W33=""),0,IFERROR(IF(AND(INDEX(Arten,MATCH(V33,Codes,0))="Arbeit",INDEX(Arten,MATCH(W33,Codes,0))="Arbeit"),IF(ROUND((1+INDEX(Beginne,MATCH(W33,Codes,0))-INDEX(EndeRel,MATCH(V33,Codes,0)))*1440,0)&lt;660,1,0),0),0))</f>
      </c>
      <c r="X82" s="1">
        <f>IF(OR(X$52=0,W33="",X33=""),0,IFERROR(IF(AND(INDEX(Arten,MATCH(W33,Codes,0))="Arbeit",INDEX(Arten,MATCH(X33,Codes,0))="Arbeit"),IF(ROUND((1+INDEX(Beginne,MATCH(X33,Codes,0))-INDEX(EndeRel,MATCH(W33,Codes,0)))*1440,0)&lt;660,1,0),0),0))</f>
      </c>
      <c r="Y82" s="1">
        <f>IF(OR(Y$52=0,X33="",Y33=""),0,IFERROR(IF(AND(INDEX(Arten,MATCH(X33,Codes,0))="Arbeit",INDEX(Arten,MATCH(Y33,Codes,0))="Arbeit"),IF(ROUND((1+INDEX(Beginne,MATCH(Y33,Codes,0))-INDEX(EndeRel,MATCH(X33,Codes,0)))*1440,0)&lt;660,1,0),0),0))</f>
      </c>
      <c r="Z82" s="1">
        <f>IF(OR(Z$52=0,Y33="",Z33=""),0,IFERROR(IF(AND(INDEX(Arten,MATCH(Y33,Codes,0))="Arbeit",INDEX(Arten,MATCH(Z33,Codes,0))="Arbeit"),IF(ROUND((1+INDEX(Beginne,MATCH(Z33,Codes,0))-INDEX(EndeRel,MATCH(Y33,Codes,0)))*1440,0)&lt;660,1,0),0),0))</f>
      </c>
      <c r="AA82" s="1">
        <f>IF(OR(AA$52=0,Z33="",AA33=""),0,IFERROR(IF(AND(INDEX(Arten,MATCH(Z33,Codes,0))="Arbeit",INDEX(Arten,MATCH(AA33,Codes,0))="Arbeit"),IF(ROUND((1+INDEX(Beginne,MATCH(AA33,Codes,0))-INDEX(EndeRel,MATCH(Z33,Codes,0)))*1440,0)&lt;660,1,0),0),0))</f>
      </c>
      <c r="AB82" s="1">
        <f>IF(OR(AB$52=0,AA33="",AB33=""),0,IFERROR(IF(AND(INDEX(Arten,MATCH(AA33,Codes,0))="Arbeit",INDEX(Arten,MATCH(AB33,Codes,0))="Arbeit"),IF(ROUND((1+INDEX(Beginne,MATCH(AB33,Codes,0))-INDEX(EndeRel,MATCH(AA33,Codes,0)))*1440,0)&lt;660,1,0),0),0))</f>
      </c>
      <c r="AC82" s="1">
        <f>IF(OR(AC$52=0,AB33="",AC33=""),0,IFERROR(IF(AND(INDEX(Arten,MATCH(AB33,Codes,0))="Arbeit",INDEX(Arten,MATCH(AC33,Codes,0))="Arbeit"),IF(ROUND((1+INDEX(Beginne,MATCH(AC33,Codes,0))-INDEX(EndeRel,MATCH(AB33,Codes,0)))*1440,0)&lt;660,1,0),0),0))</f>
      </c>
      <c r="AD82" s="1">
        <f>IF(OR(AD$52=0,AC33="",AD33=""),0,IFERROR(IF(AND(INDEX(Arten,MATCH(AC33,Codes,0))="Arbeit",INDEX(Arten,MATCH(AD33,Codes,0))="Arbeit"),IF(ROUND((1+INDEX(Beginne,MATCH(AD33,Codes,0))-INDEX(EndeRel,MATCH(AC33,Codes,0)))*1440,0)&lt;660,1,0),0),0))</f>
      </c>
      <c r="AE82" s="1">
        <f>IF(OR(AE$52=0,AD33="",AE33=""),0,IFERROR(IF(AND(INDEX(Arten,MATCH(AD33,Codes,0))="Arbeit",INDEX(Arten,MATCH(AE33,Codes,0))="Arbeit"),IF(ROUND((1+INDEX(Beginne,MATCH(AE33,Codes,0))-INDEX(EndeRel,MATCH(AD33,Codes,0)))*1440,0)&lt;660,1,0),0),0))</f>
      </c>
      <c r="AF82" s="1">
        <f>IF(OR(AF$52=0,AE33="",AF33=""),0,IFERROR(IF(AND(INDEX(Arten,MATCH(AE33,Codes,0))="Arbeit",INDEX(Arten,MATCH(AF33,Codes,0))="Arbeit"),IF(ROUND((1+INDEX(Beginne,MATCH(AF33,Codes,0))-INDEX(EndeRel,MATCH(AE33,Codes,0)))*1440,0)&lt;660,1,0),0),0))</f>
      </c>
    </row>
    <row r="83" hidden="1" spans="1:32" x14ac:dyDescent="0.25">
      <c r="A83" s="1"/>
      <c r="B83" s="1">
        <f>IF(OR(B$52=0,INDEX('Juli'!$B$34:$AF$34,DAY(DATE(Jahr,8,0)))="",B34=""),0,IFERROR(IF(AND(INDEX(Arten,MATCH(INDEX('Juli'!$B$34:$AF$34,DAY(DATE(Jahr,8,0))),Codes,0))="Arbeit",INDEX(Arten,MATCH(B34,Codes,0))="Arbeit"),IF(ROUND((1+INDEX(Beginne,MATCH(B34,Codes,0))-INDEX(EndeRel,MATCH(INDEX('Juli'!$B$34:$AF$34,DAY(DATE(Jahr,8,0))),Codes,0)))*1440,0)&lt;660,1,0),0),0))</f>
      </c>
      <c r="C83" s="1">
        <f>IF(OR(C$52=0,B34="",C34=""),0,IFERROR(IF(AND(INDEX(Arten,MATCH(B34,Codes,0))="Arbeit",INDEX(Arten,MATCH(C34,Codes,0))="Arbeit"),IF(ROUND((1+INDEX(Beginne,MATCH(C34,Codes,0))-INDEX(EndeRel,MATCH(B34,Codes,0)))*1440,0)&lt;660,1,0),0),0))</f>
      </c>
      <c r="D83" s="1">
        <f>IF(OR(D$52=0,C34="",D34=""),0,IFERROR(IF(AND(INDEX(Arten,MATCH(C34,Codes,0))="Arbeit",INDEX(Arten,MATCH(D34,Codes,0))="Arbeit"),IF(ROUND((1+INDEX(Beginne,MATCH(D34,Codes,0))-INDEX(EndeRel,MATCH(C34,Codes,0)))*1440,0)&lt;660,1,0),0),0))</f>
      </c>
      <c r="E83" s="1">
        <f>IF(OR(E$52=0,D34="",E34=""),0,IFERROR(IF(AND(INDEX(Arten,MATCH(D34,Codes,0))="Arbeit",INDEX(Arten,MATCH(E34,Codes,0))="Arbeit"),IF(ROUND((1+INDEX(Beginne,MATCH(E34,Codes,0))-INDEX(EndeRel,MATCH(D34,Codes,0)))*1440,0)&lt;660,1,0),0),0))</f>
      </c>
      <c r="F83" s="1">
        <f>IF(OR(F$52=0,E34="",F34=""),0,IFERROR(IF(AND(INDEX(Arten,MATCH(E34,Codes,0))="Arbeit",INDEX(Arten,MATCH(F34,Codes,0))="Arbeit"),IF(ROUND((1+INDEX(Beginne,MATCH(F34,Codes,0))-INDEX(EndeRel,MATCH(E34,Codes,0)))*1440,0)&lt;660,1,0),0),0))</f>
      </c>
      <c r="G83" s="1">
        <f>IF(OR(G$52=0,F34="",G34=""),0,IFERROR(IF(AND(INDEX(Arten,MATCH(F34,Codes,0))="Arbeit",INDEX(Arten,MATCH(G34,Codes,0))="Arbeit"),IF(ROUND((1+INDEX(Beginne,MATCH(G34,Codes,0))-INDEX(EndeRel,MATCH(F34,Codes,0)))*1440,0)&lt;660,1,0),0),0))</f>
      </c>
      <c r="H83" s="1">
        <f>IF(OR(H$52=0,G34="",H34=""),0,IFERROR(IF(AND(INDEX(Arten,MATCH(G34,Codes,0))="Arbeit",INDEX(Arten,MATCH(H34,Codes,0))="Arbeit"),IF(ROUND((1+INDEX(Beginne,MATCH(H34,Codes,0))-INDEX(EndeRel,MATCH(G34,Codes,0)))*1440,0)&lt;660,1,0),0),0))</f>
      </c>
      <c r="I83" s="1">
        <f>IF(OR(I$52=0,H34="",I34=""),0,IFERROR(IF(AND(INDEX(Arten,MATCH(H34,Codes,0))="Arbeit",INDEX(Arten,MATCH(I34,Codes,0))="Arbeit"),IF(ROUND((1+INDEX(Beginne,MATCH(I34,Codes,0))-INDEX(EndeRel,MATCH(H34,Codes,0)))*1440,0)&lt;660,1,0),0),0))</f>
      </c>
      <c r="J83" s="1">
        <f>IF(OR(J$52=0,I34="",J34=""),0,IFERROR(IF(AND(INDEX(Arten,MATCH(I34,Codes,0))="Arbeit",INDEX(Arten,MATCH(J34,Codes,0))="Arbeit"),IF(ROUND((1+INDEX(Beginne,MATCH(J34,Codes,0))-INDEX(EndeRel,MATCH(I34,Codes,0)))*1440,0)&lt;660,1,0),0),0))</f>
      </c>
      <c r="K83" s="1">
        <f>IF(OR(K$52=0,J34="",K34=""),0,IFERROR(IF(AND(INDEX(Arten,MATCH(J34,Codes,0))="Arbeit",INDEX(Arten,MATCH(K34,Codes,0))="Arbeit"),IF(ROUND((1+INDEX(Beginne,MATCH(K34,Codes,0))-INDEX(EndeRel,MATCH(J34,Codes,0)))*1440,0)&lt;660,1,0),0),0))</f>
      </c>
      <c r="L83" s="1">
        <f>IF(OR(L$52=0,K34="",L34=""),0,IFERROR(IF(AND(INDEX(Arten,MATCH(K34,Codes,0))="Arbeit",INDEX(Arten,MATCH(L34,Codes,0))="Arbeit"),IF(ROUND((1+INDEX(Beginne,MATCH(L34,Codes,0))-INDEX(EndeRel,MATCH(K34,Codes,0)))*1440,0)&lt;660,1,0),0),0))</f>
      </c>
      <c r="M83" s="1">
        <f>IF(OR(M$52=0,L34="",M34=""),0,IFERROR(IF(AND(INDEX(Arten,MATCH(L34,Codes,0))="Arbeit",INDEX(Arten,MATCH(M34,Codes,0))="Arbeit"),IF(ROUND((1+INDEX(Beginne,MATCH(M34,Codes,0))-INDEX(EndeRel,MATCH(L34,Codes,0)))*1440,0)&lt;660,1,0),0),0))</f>
      </c>
      <c r="N83" s="1">
        <f>IF(OR(N$52=0,M34="",N34=""),0,IFERROR(IF(AND(INDEX(Arten,MATCH(M34,Codes,0))="Arbeit",INDEX(Arten,MATCH(N34,Codes,0))="Arbeit"),IF(ROUND((1+INDEX(Beginne,MATCH(N34,Codes,0))-INDEX(EndeRel,MATCH(M34,Codes,0)))*1440,0)&lt;660,1,0),0),0))</f>
      </c>
      <c r="O83" s="1">
        <f>IF(OR(O$52=0,N34="",O34=""),0,IFERROR(IF(AND(INDEX(Arten,MATCH(N34,Codes,0))="Arbeit",INDEX(Arten,MATCH(O34,Codes,0))="Arbeit"),IF(ROUND((1+INDEX(Beginne,MATCH(O34,Codes,0))-INDEX(EndeRel,MATCH(N34,Codes,0)))*1440,0)&lt;660,1,0),0),0))</f>
      </c>
      <c r="P83" s="1">
        <f>IF(OR(P$52=0,O34="",P34=""),0,IFERROR(IF(AND(INDEX(Arten,MATCH(O34,Codes,0))="Arbeit",INDEX(Arten,MATCH(P34,Codes,0))="Arbeit"),IF(ROUND((1+INDEX(Beginne,MATCH(P34,Codes,0))-INDEX(EndeRel,MATCH(O34,Codes,0)))*1440,0)&lt;660,1,0),0),0))</f>
      </c>
      <c r="Q83" s="1">
        <f>IF(OR(Q$52=0,P34="",Q34=""),0,IFERROR(IF(AND(INDEX(Arten,MATCH(P34,Codes,0))="Arbeit",INDEX(Arten,MATCH(Q34,Codes,0))="Arbeit"),IF(ROUND((1+INDEX(Beginne,MATCH(Q34,Codes,0))-INDEX(EndeRel,MATCH(P34,Codes,0)))*1440,0)&lt;660,1,0),0),0))</f>
      </c>
      <c r="R83" s="1">
        <f>IF(OR(R$52=0,Q34="",R34=""),0,IFERROR(IF(AND(INDEX(Arten,MATCH(Q34,Codes,0))="Arbeit",INDEX(Arten,MATCH(R34,Codes,0))="Arbeit"),IF(ROUND((1+INDEX(Beginne,MATCH(R34,Codes,0))-INDEX(EndeRel,MATCH(Q34,Codes,0)))*1440,0)&lt;660,1,0),0),0))</f>
      </c>
      <c r="S83" s="1">
        <f>IF(OR(S$52=0,R34="",S34=""),0,IFERROR(IF(AND(INDEX(Arten,MATCH(R34,Codes,0))="Arbeit",INDEX(Arten,MATCH(S34,Codes,0))="Arbeit"),IF(ROUND((1+INDEX(Beginne,MATCH(S34,Codes,0))-INDEX(EndeRel,MATCH(R34,Codes,0)))*1440,0)&lt;660,1,0),0),0))</f>
      </c>
      <c r="T83" s="1">
        <f>IF(OR(T$52=0,S34="",T34=""),0,IFERROR(IF(AND(INDEX(Arten,MATCH(S34,Codes,0))="Arbeit",INDEX(Arten,MATCH(T34,Codes,0))="Arbeit"),IF(ROUND((1+INDEX(Beginne,MATCH(T34,Codes,0))-INDEX(EndeRel,MATCH(S34,Codes,0)))*1440,0)&lt;660,1,0),0),0))</f>
      </c>
      <c r="U83" s="1">
        <f>IF(OR(U$52=0,T34="",U34=""),0,IFERROR(IF(AND(INDEX(Arten,MATCH(T34,Codes,0))="Arbeit",INDEX(Arten,MATCH(U34,Codes,0))="Arbeit"),IF(ROUND((1+INDEX(Beginne,MATCH(U34,Codes,0))-INDEX(EndeRel,MATCH(T34,Codes,0)))*1440,0)&lt;660,1,0),0),0))</f>
      </c>
      <c r="V83" s="1">
        <f>IF(OR(V$52=0,U34="",V34=""),0,IFERROR(IF(AND(INDEX(Arten,MATCH(U34,Codes,0))="Arbeit",INDEX(Arten,MATCH(V34,Codes,0))="Arbeit"),IF(ROUND((1+INDEX(Beginne,MATCH(V34,Codes,0))-INDEX(EndeRel,MATCH(U34,Codes,0)))*1440,0)&lt;660,1,0),0),0))</f>
      </c>
      <c r="W83" s="1">
        <f>IF(OR(W$52=0,V34="",W34=""),0,IFERROR(IF(AND(INDEX(Arten,MATCH(V34,Codes,0))="Arbeit",INDEX(Arten,MATCH(W34,Codes,0))="Arbeit"),IF(ROUND((1+INDEX(Beginne,MATCH(W34,Codes,0))-INDEX(EndeRel,MATCH(V34,Codes,0)))*1440,0)&lt;660,1,0),0),0))</f>
      </c>
      <c r="X83" s="1">
        <f>IF(OR(X$52=0,W34="",X34=""),0,IFERROR(IF(AND(INDEX(Arten,MATCH(W34,Codes,0))="Arbeit",INDEX(Arten,MATCH(X34,Codes,0))="Arbeit"),IF(ROUND((1+INDEX(Beginne,MATCH(X34,Codes,0))-INDEX(EndeRel,MATCH(W34,Codes,0)))*1440,0)&lt;660,1,0),0),0))</f>
      </c>
      <c r="Y83" s="1">
        <f>IF(OR(Y$52=0,X34="",Y34=""),0,IFERROR(IF(AND(INDEX(Arten,MATCH(X34,Codes,0))="Arbeit",INDEX(Arten,MATCH(Y34,Codes,0))="Arbeit"),IF(ROUND((1+INDEX(Beginne,MATCH(Y34,Codes,0))-INDEX(EndeRel,MATCH(X34,Codes,0)))*1440,0)&lt;660,1,0),0),0))</f>
      </c>
      <c r="Z83" s="1">
        <f>IF(OR(Z$52=0,Y34="",Z34=""),0,IFERROR(IF(AND(INDEX(Arten,MATCH(Y34,Codes,0))="Arbeit",INDEX(Arten,MATCH(Z34,Codes,0))="Arbeit"),IF(ROUND((1+INDEX(Beginne,MATCH(Z34,Codes,0))-INDEX(EndeRel,MATCH(Y34,Codes,0)))*1440,0)&lt;660,1,0),0),0))</f>
      </c>
      <c r="AA83" s="1">
        <f>IF(OR(AA$52=0,Z34="",AA34=""),0,IFERROR(IF(AND(INDEX(Arten,MATCH(Z34,Codes,0))="Arbeit",INDEX(Arten,MATCH(AA34,Codes,0))="Arbeit"),IF(ROUND((1+INDEX(Beginne,MATCH(AA34,Codes,0))-INDEX(EndeRel,MATCH(Z34,Codes,0)))*1440,0)&lt;660,1,0),0),0))</f>
      </c>
      <c r="AB83" s="1">
        <f>IF(OR(AB$52=0,AA34="",AB34=""),0,IFERROR(IF(AND(INDEX(Arten,MATCH(AA34,Codes,0))="Arbeit",INDEX(Arten,MATCH(AB34,Codes,0))="Arbeit"),IF(ROUND((1+INDEX(Beginne,MATCH(AB34,Codes,0))-INDEX(EndeRel,MATCH(AA34,Codes,0)))*1440,0)&lt;660,1,0),0),0))</f>
      </c>
      <c r="AC83" s="1">
        <f>IF(OR(AC$52=0,AB34="",AC34=""),0,IFERROR(IF(AND(INDEX(Arten,MATCH(AB34,Codes,0))="Arbeit",INDEX(Arten,MATCH(AC34,Codes,0))="Arbeit"),IF(ROUND((1+INDEX(Beginne,MATCH(AC34,Codes,0))-INDEX(EndeRel,MATCH(AB34,Codes,0)))*1440,0)&lt;660,1,0),0),0))</f>
      </c>
      <c r="AD83" s="1">
        <f>IF(OR(AD$52=0,AC34="",AD34=""),0,IFERROR(IF(AND(INDEX(Arten,MATCH(AC34,Codes,0))="Arbeit",INDEX(Arten,MATCH(AD34,Codes,0))="Arbeit"),IF(ROUND((1+INDEX(Beginne,MATCH(AD34,Codes,0))-INDEX(EndeRel,MATCH(AC34,Codes,0)))*1440,0)&lt;660,1,0),0),0))</f>
      </c>
      <c r="AE83" s="1">
        <f>IF(OR(AE$52=0,AD34="",AE34=""),0,IFERROR(IF(AND(INDEX(Arten,MATCH(AD34,Codes,0))="Arbeit",INDEX(Arten,MATCH(AE34,Codes,0))="Arbeit"),IF(ROUND((1+INDEX(Beginne,MATCH(AE34,Codes,0))-INDEX(EndeRel,MATCH(AD34,Codes,0)))*1440,0)&lt;660,1,0),0),0))</f>
      </c>
      <c r="AF83" s="1">
        <f>IF(OR(AF$52=0,AE34="",AF34=""),0,IFERROR(IF(AND(INDEX(Arten,MATCH(AE34,Codes,0))="Arbeit",INDEX(Arten,MATCH(AF34,Codes,0))="Arbeit"),IF(ROUND((1+INDEX(Beginne,MATCH(AF34,Codes,0))-INDEX(EndeRel,MATCH(AE34,Codes,0)))*1440,0)&lt;660,1,0),0),0))</f>
      </c>
    </row>
    <row r="84" hidden="1" spans="1:32" x14ac:dyDescent="0.25">
      <c r="A84" s="1"/>
      <c r="B84" s="1">
        <f>IF(OR(B$52=0,INDEX('Juli'!$B$35:$AF$35,DAY(DATE(Jahr,8,0)))="",B35=""),0,IFERROR(IF(AND(INDEX(Arten,MATCH(INDEX('Juli'!$B$35:$AF$35,DAY(DATE(Jahr,8,0))),Codes,0))="Arbeit",INDEX(Arten,MATCH(B35,Codes,0))="Arbeit"),IF(ROUND((1+INDEX(Beginne,MATCH(B35,Codes,0))-INDEX(EndeRel,MATCH(INDEX('Juli'!$B$35:$AF$35,DAY(DATE(Jahr,8,0))),Codes,0)))*1440,0)&lt;660,1,0),0),0))</f>
      </c>
      <c r="C84" s="1">
        <f>IF(OR(C$52=0,B35="",C35=""),0,IFERROR(IF(AND(INDEX(Arten,MATCH(B35,Codes,0))="Arbeit",INDEX(Arten,MATCH(C35,Codes,0))="Arbeit"),IF(ROUND((1+INDEX(Beginne,MATCH(C35,Codes,0))-INDEX(EndeRel,MATCH(B35,Codes,0)))*1440,0)&lt;660,1,0),0),0))</f>
      </c>
      <c r="D84" s="1">
        <f>IF(OR(D$52=0,C35="",D35=""),0,IFERROR(IF(AND(INDEX(Arten,MATCH(C35,Codes,0))="Arbeit",INDEX(Arten,MATCH(D35,Codes,0))="Arbeit"),IF(ROUND((1+INDEX(Beginne,MATCH(D35,Codes,0))-INDEX(EndeRel,MATCH(C35,Codes,0)))*1440,0)&lt;660,1,0),0),0))</f>
      </c>
      <c r="E84" s="1">
        <f>IF(OR(E$52=0,D35="",E35=""),0,IFERROR(IF(AND(INDEX(Arten,MATCH(D35,Codes,0))="Arbeit",INDEX(Arten,MATCH(E35,Codes,0))="Arbeit"),IF(ROUND((1+INDEX(Beginne,MATCH(E35,Codes,0))-INDEX(EndeRel,MATCH(D35,Codes,0)))*1440,0)&lt;660,1,0),0),0))</f>
      </c>
      <c r="F84" s="1">
        <f>IF(OR(F$52=0,E35="",F35=""),0,IFERROR(IF(AND(INDEX(Arten,MATCH(E35,Codes,0))="Arbeit",INDEX(Arten,MATCH(F35,Codes,0))="Arbeit"),IF(ROUND((1+INDEX(Beginne,MATCH(F35,Codes,0))-INDEX(EndeRel,MATCH(E35,Codes,0)))*1440,0)&lt;660,1,0),0),0))</f>
      </c>
      <c r="G84" s="1">
        <f>IF(OR(G$52=0,F35="",G35=""),0,IFERROR(IF(AND(INDEX(Arten,MATCH(F35,Codes,0))="Arbeit",INDEX(Arten,MATCH(G35,Codes,0))="Arbeit"),IF(ROUND((1+INDEX(Beginne,MATCH(G35,Codes,0))-INDEX(EndeRel,MATCH(F35,Codes,0)))*1440,0)&lt;660,1,0),0),0))</f>
      </c>
      <c r="H84" s="1">
        <f>IF(OR(H$52=0,G35="",H35=""),0,IFERROR(IF(AND(INDEX(Arten,MATCH(G35,Codes,0))="Arbeit",INDEX(Arten,MATCH(H35,Codes,0))="Arbeit"),IF(ROUND((1+INDEX(Beginne,MATCH(H35,Codes,0))-INDEX(EndeRel,MATCH(G35,Codes,0)))*1440,0)&lt;660,1,0),0),0))</f>
      </c>
      <c r="I84" s="1">
        <f>IF(OR(I$52=0,H35="",I35=""),0,IFERROR(IF(AND(INDEX(Arten,MATCH(H35,Codes,0))="Arbeit",INDEX(Arten,MATCH(I35,Codes,0))="Arbeit"),IF(ROUND((1+INDEX(Beginne,MATCH(I35,Codes,0))-INDEX(EndeRel,MATCH(H35,Codes,0)))*1440,0)&lt;660,1,0),0),0))</f>
      </c>
      <c r="J84" s="1">
        <f>IF(OR(J$52=0,I35="",J35=""),0,IFERROR(IF(AND(INDEX(Arten,MATCH(I35,Codes,0))="Arbeit",INDEX(Arten,MATCH(J35,Codes,0))="Arbeit"),IF(ROUND((1+INDEX(Beginne,MATCH(J35,Codes,0))-INDEX(EndeRel,MATCH(I35,Codes,0)))*1440,0)&lt;660,1,0),0),0))</f>
      </c>
      <c r="K84" s="1">
        <f>IF(OR(K$52=0,J35="",K35=""),0,IFERROR(IF(AND(INDEX(Arten,MATCH(J35,Codes,0))="Arbeit",INDEX(Arten,MATCH(K35,Codes,0))="Arbeit"),IF(ROUND((1+INDEX(Beginne,MATCH(K35,Codes,0))-INDEX(EndeRel,MATCH(J35,Codes,0)))*1440,0)&lt;660,1,0),0),0))</f>
      </c>
      <c r="L84" s="1">
        <f>IF(OR(L$52=0,K35="",L35=""),0,IFERROR(IF(AND(INDEX(Arten,MATCH(K35,Codes,0))="Arbeit",INDEX(Arten,MATCH(L35,Codes,0))="Arbeit"),IF(ROUND((1+INDEX(Beginne,MATCH(L35,Codes,0))-INDEX(EndeRel,MATCH(K35,Codes,0)))*1440,0)&lt;660,1,0),0),0))</f>
      </c>
      <c r="M84" s="1">
        <f>IF(OR(M$52=0,L35="",M35=""),0,IFERROR(IF(AND(INDEX(Arten,MATCH(L35,Codes,0))="Arbeit",INDEX(Arten,MATCH(M35,Codes,0))="Arbeit"),IF(ROUND((1+INDEX(Beginne,MATCH(M35,Codes,0))-INDEX(EndeRel,MATCH(L35,Codes,0)))*1440,0)&lt;660,1,0),0),0))</f>
      </c>
      <c r="N84" s="1">
        <f>IF(OR(N$52=0,M35="",N35=""),0,IFERROR(IF(AND(INDEX(Arten,MATCH(M35,Codes,0))="Arbeit",INDEX(Arten,MATCH(N35,Codes,0))="Arbeit"),IF(ROUND((1+INDEX(Beginne,MATCH(N35,Codes,0))-INDEX(EndeRel,MATCH(M35,Codes,0)))*1440,0)&lt;660,1,0),0),0))</f>
      </c>
      <c r="O84" s="1">
        <f>IF(OR(O$52=0,N35="",O35=""),0,IFERROR(IF(AND(INDEX(Arten,MATCH(N35,Codes,0))="Arbeit",INDEX(Arten,MATCH(O35,Codes,0))="Arbeit"),IF(ROUND((1+INDEX(Beginne,MATCH(O35,Codes,0))-INDEX(EndeRel,MATCH(N35,Codes,0)))*1440,0)&lt;660,1,0),0),0))</f>
      </c>
      <c r="P84" s="1">
        <f>IF(OR(P$52=0,O35="",P35=""),0,IFERROR(IF(AND(INDEX(Arten,MATCH(O35,Codes,0))="Arbeit",INDEX(Arten,MATCH(P35,Codes,0))="Arbeit"),IF(ROUND((1+INDEX(Beginne,MATCH(P35,Codes,0))-INDEX(EndeRel,MATCH(O35,Codes,0)))*1440,0)&lt;660,1,0),0),0))</f>
      </c>
      <c r="Q84" s="1">
        <f>IF(OR(Q$52=0,P35="",Q35=""),0,IFERROR(IF(AND(INDEX(Arten,MATCH(P35,Codes,0))="Arbeit",INDEX(Arten,MATCH(Q35,Codes,0))="Arbeit"),IF(ROUND((1+INDEX(Beginne,MATCH(Q35,Codes,0))-INDEX(EndeRel,MATCH(P35,Codes,0)))*1440,0)&lt;660,1,0),0),0))</f>
      </c>
      <c r="R84" s="1">
        <f>IF(OR(R$52=0,Q35="",R35=""),0,IFERROR(IF(AND(INDEX(Arten,MATCH(Q35,Codes,0))="Arbeit",INDEX(Arten,MATCH(R35,Codes,0))="Arbeit"),IF(ROUND((1+INDEX(Beginne,MATCH(R35,Codes,0))-INDEX(EndeRel,MATCH(Q35,Codes,0)))*1440,0)&lt;660,1,0),0),0))</f>
      </c>
      <c r="S84" s="1">
        <f>IF(OR(S$52=0,R35="",S35=""),0,IFERROR(IF(AND(INDEX(Arten,MATCH(R35,Codes,0))="Arbeit",INDEX(Arten,MATCH(S35,Codes,0))="Arbeit"),IF(ROUND((1+INDEX(Beginne,MATCH(S35,Codes,0))-INDEX(EndeRel,MATCH(R35,Codes,0)))*1440,0)&lt;660,1,0),0),0))</f>
      </c>
      <c r="T84" s="1">
        <f>IF(OR(T$52=0,S35="",T35=""),0,IFERROR(IF(AND(INDEX(Arten,MATCH(S35,Codes,0))="Arbeit",INDEX(Arten,MATCH(T35,Codes,0))="Arbeit"),IF(ROUND((1+INDEX(Beginne,MATCH(T35,Codes,0))-INDEX(EndeRel,MATCH(S35,Codes,0)))*1440,0)&lt;660,1,0),0),0))</f>
      </c>
      <c r="U84" s="1">
        <f>IF(OR(U$52=0,T35="",U35=""),0,IFERROR(IF(AND(INDEX(Arten,MATCH(T35,Codes,0))="Arbeit",INDEX(Arten,MATCH(U35,Codes,0))="Arbeit"),IF(ROUND((1+INDEX(Beginne,MATCH(U35,Codes,0))-INDEX(EndeRel,MATCH(T35,Codes,0)))*1440,0)&lt;660,1,0),0),0))</f>
      </c>
      <c r="V84" s="1">
        <f>IF(OR(V$52=0,U35="",V35=""),0,IFERROR(IF(AND(INDEX(Arten,MATCH(U35,Codes,0))="Arbeit",INDEX(Arten,MATCH(V35,Codes,0))="Arbeit"),IF(ROUND((1+INDEX(Beginne,MATCH(V35,Codes,0))-INDEX(EndeRel,MATCH(U35,Codes,0)))*1440,0)&lt;660,1,0),0),0))</f>
      </c>
      <c r="W84" s="1">
        <f>IF(OR(W$52=0,V35="",W35=""),0,IFERROR(IF(AND(INDEX(Arten,MATCH(V35,Codes,0))="Arbeit",INDEX(Arten,MATCH(W35,Codes,0))="Arbeit"),IF(ROUND((1+INDEX(Beginne,MATCH(W35,Codes,0))-INDEX(EndeRel,MATCH(V35,Codes,0)))*1440,0)&lt;660,1,0),0),0))</f>
      </c>
      <c r="X84" s="1">
        <f>IF(OR(X$52=0,W35="",X35=""),0,IFERROR(IF(AND(INDEX(Arten,MATCH(W35,Codes,0))="Arbeit",INDEX(Arten,MATCH(X35,Codes,0))="Arbeit"),IF(ROUND((1+INDEX(Beginne,MATCH(X35,Codes,0))-INDEX(EndeRel,MATCH(W35,Codes,0)))*1440,0)&lt;660,1,0),0),0))</f>
      </c>
      <c r="Y84" s="1">
        <f>IF(OR(Y$52=0,X35="",Y35=""),0,IFERROR(IF(AND(INDEX(Arten,MATCH(X35,Codes,0))="Arbeit",INDEX(Arten,MATCH(Y35,Codes,0))="Arbeit"),IF(ROUND((1+INDEX(Beginne,MATCH(Y35,Codes,0))-INDEX(EndeRel,MATCH(X35,Codes,0)))*1440,0)&lt;660,1,0),0),0))</f>
      </c>
      <c r="Z84" s="1">
        <f>IF(OR(Z$52=0,Y35="",Z35=""),0,IFERROR(IF(AND(INDEX(Arten,MATCH(Y35,Codes,0))="Arbeit",INDEX(Arten,MATCH(Z35,Codes,0))="Arbeit"),IF(ROUND((1+INDEX(Beginne,MATCH(Z35,Codes,0))-INDEX(EndeRel,MATCH(Y35,Codes,0)))*1440,0)&lt;660,1,0),0),0))</f>
      </c>
      <c r="AA84" s="1">
        <f>IF(OR(AA$52=0,Z35="",AA35=""),0,IFERROR(IF(AND(INDEX(Arten,MATCH(Z35,Codes,0))="Arbeit",INDEX(Arten,MATCH(AA35,Codes,0))="Arbeit"),IF(ROUND((1+INDEX(Beginne,MATCH(AA35,Codes,0))-INDEX(EndeRel,MATCH(Z35,Codes,0)))*1440,0)&lt;660,1,0),0),0))</f>
      </c>
      <c r="AB84" s="1">
        <f>IF(OR(AB$52=0,AA35="",AB35=""),0,IFERROR(IF(AND(INDEX(Arten,MATCH(AA35,Codes,0))="Arbeit",INDEX(Arten,MATCH(AB35,Codes,0))="Arbeit"),IF(ROUND((1+INDEX(Beginne,MATCH(AB35,Codes,0))-INDEX(EndeRel,MATCH(AA35,Codes,0)))*1440,0)&lt;660,1,0),0),0))</f>
      </c>
      <c r="AC84" s="1">
        <f>IF(OR(AC$52=0,AB35="",AC35=""),0,IFERROR(IF(AND(INDEX(Arten,MATCH(AB35,Codes,0))="Arbeit",INDEX(Arten,MATCH(AC35,Codes,0))="Arbeit"),IF(ROUND((1+INDEX(Beginne,MATCH(AC35,Codes,0))-INDEX(EndeRel,MATCH(AB35,Codes,0)))*1440,0)&lt;660,1,0),0),0))</f>
      </c>
      <c r="AD84" s="1">
        <f>IF(OR(AD$52=0,AC35="",AD35=""),0,IFERROR(IF(AND(INDEX(Arten,MATCH(AC35,Codes,0))="Arbeit",INDEX(Arten,MATCH(AD35,Codes,0))="Arbeit"),IF(ROUND((1+INDEX(Beginne,MATCH(AD35,Codes,0))-INDEX(EndeRel,MATCH(AC35,Codes,0)))*1440,0)&lt;660,1,0),0),0))</f>
      </c>
      <c r="AE84" s="1">
        <f>IF(OR(AE$52=0,AD35="",AE35=""),0,IFERROR(IF(AND(INDEX(Arten,MATCH(AD35,Codes,0))="Arbeit",INDEX(Arten,MATCH(AE35,Codes,0))="Arbeit"),IF(ROUND((1+INDEX(Beginne,MATCH(AE35,Codes,0))-INDEX(EndeRel,MATCH(AD35,Codes,0)))*1440,0)&lt;660,1,0),0),0))</f>
      </c>
      <c r="AF84" s="1">
        <f>IF(OR(AF$52=0,AE35="",AF35=""),0,IFERROR(IF(AND(INDEX(Arten,MATCH(AE35,Codes,0))="Arbeit",INDEX(Arten,MATCH(AF35,Codes,0))="Arbeit"),IF(ROUND((1+INDEX(Beginne,MATCH(AF35,Codes,0))-INDEX(EndeRel,MATCH(AE35,Codes,0)))*1440,0)&lt;660,1,0),0),0))</f>
      </c>
    </row>
    <row r="86" hidden="1" spans="1:32" x14ac:dyDescent="0.25">
      <c r="A86" s="1"/>
      <c r="B86" s="1">
        <f>IF($AM38="","",IF(OR(B$51&gt;=6,B$50=1),N(INDEX(MinFrei,MATCH(1,ArbeitNr,0))),N(INDEX(MinWerktag,MATCH(1,ArbeitNr,0)))))</f>
      </c>
      <c r="C86" s="1">
        <f>IF($AM38="","",IF(OR(C$51&gt;=6,C$50=1),N(INDEX(MinFrei,MATCH(1,ArbeitNr,0))),N(INDEX(MinWerktag,MATCH(1,ArbeitNr,0)))))</f>
      </c>
      <c r="D86" s="1">
        <f>IF($AM38="","",IF(OR(D$51&gt;=6,D$50=1),N(INDEX(MinFrei,MATCH(1,ArbeitNr,0))),N(INDEX(MinWerktag,MATCH(1,ArbeitNr,0)))))</f>
      </c>
      <c r="E86" s="1">
        <f>IF($AM38="","",IF(OR(E$51&gt;=6,E$50=1),N(INDEX(MinFrei,MATCH(1,ArbeitNr,0))),N(INDEX(MinWerktag,MATCH(1,ArbeitNr,0)))))</f>
      </c>
      <c r="F86" s="1">
        <f>IF($AM38="","",IF(OR(F$51&gt;=6,F$50=1),N(INDEX(MinFrei,MATCH(1,ArbeitNr,0))),N(INDEX(MinWerktag,MATCH(1,ArbeitNr,0)))))</f>
      </c>
      <c r="G86" s="1">
        <f>IF($AM38="","",IF(OR(G$51&gt;=6,G$50=1),N(INDEX(MinFrei,MATCH(1,ArbeitNr,0))),N(INDEX(MinWerktag,MATCH(1,ArbeitNr,0)))))</f>
      </c>
      <c r="H86" s="1">
        <f>IF($AM38="","",IF(OR(H$51&gt;=6,H$50=1),N(INDEX(MinFrei,MATCH(1,ArbeitNr,0))),N(INDEX(MinWerktag,MATCH(1,ArbeitNr,0)))))</f>
      </c>
      <c r="I86" s="1">
        <f>IF($AM38="","",IF(OR(I$51&gt;=6,I$50=1),N(INDEX(MinFrei,MATCH(1,ArbeitNr,0))),N(INDEX(MinWerktag,MATCH(1,ArbeitNr,0)))))</f>
      </c>
      <c r="J86" s="1">
        <f>IF($AM38="","",IF(OR(J$51&gt;=6,J$50=1),N(INDEX(MinFrei,MATCH(1,ArbeitNr,0))),N(INDEX(MinWerktag,MATCH(1,ArbeitNr,0)))))</f>
      </c>
      <c r="K86" s="1">
        <f>IF($AM38="","",IF(OR(K$51&gt;=6,K$50=1),N(INDEX(MinFrei,MATCH(1,ArbeitNr,0))),N(INDEX(MinWerktag,MATCH(1,ArbeitNr,0)))))</f>
      </c>
      <c r="L86" s="1">
        <f>IF($AM38="","",IF(OR(L$51&gt;=6,L$50=1),N(INDEX(MinFrei,MATCH(1,ArbeitNr,0))),N(INDEX(MinWerktag,MATCH(1,ArbeitNr,0)))))</f>
      </c>
      <c r="M86" s="1">
        <f>IF($AM38="","",IF(OR(M$51&gt;=6,M$50=1),N(INDEX(MinFrei,MATCH(1,ArbeitNr,0))),N(INDEX(MinWerktag,MATCH(1,ArbeitNr,0)))))</f>
      </c>
      <c r="N86" s="1">
        <f>IF($AM38="","",IF(OR(N$51&gt;=6,N$50=1),N(INDEX(MinFrei,MATCH(1,ArbeitNr,0))),N(INDEX(MinWerktag,MATCH(1,ArbeitNr,0)))))</f>
      </c>
      <c r="O86" s="1">
        <f>IF($AM38="","",IF(OR(O$51&gt;=6,O$50=1),N(INDEX(MinFrei,MATCH(1,ArbeitNr,0))),N(INDEX(MinWerktag,MATCH(1,ArbeitNr,0)))))</f>
      </c>
      <c r="P86" s="1">
        <f>IF($AM38="","",IF(OR(P$51&gt;=6,P$50=1),N(INDEX(MinFrei,MATCH(1,ArbeitNr,0))),N(INDEX(MinWerktag,MATCH(1,ArbeitNr,0)))))</f>
      </c>
      <c r="Q86" s="1">
        <f>IF($AM38="","",IF(OR(Q$51&gt;=6,Q$50=1),N(INDEX(MinFrei,MATCH(1,ArbeitNr,0))),N(INDEX(MinWerktag,MATCH(1,ArbeitNr,0)))))</f>
      </c>
      <c r="R86" s="1">
        <f>IF($AM38="","",IF(OR(R$51&gt;=6,R$50=1),N(INDEX(MinFrei,MATCH(1,ArbeitNr,0))),N(INDEX(MinWerktag,MATCH(1,ArbeitNr,0)))))</f>
      </c>
      <c r="S86" s="1">
        <f>IF($AM38="","",IF(OR(S$51&gt;=6,S$50=1),N(INDEX(MinFrei,MATCH(1,ArbeitNr,0))),N(INDEX(MinWerktag,MATCH(1,ArbeitNr,0)))))</f>
      </c>
      <c r="T86" s="1">
        <f>IF($AM38="","",IF(OR(T$51&gt;=6,T$50=1),N(INDEX(MinFrei,MATCH(1,ArbeitNr,0))),N(INDEX(MinWerktag,MATCH(1,ArbeitNr,0)))))</f>
      </c>
      <c r="U86" s="1">
        <f>IF($AM38="","",IF(OR(U$51&gt;=6,U$50=1),N(INDEX(MinFrei,MATCH(1,ArbeitNr,0))),N(INDEX(MinWerktag,MATCH(1,ArbeitNr,0)))))</f>
      </c>
      <c r="V86" s="1">
        <f>IF($AM38="","",IF(OR(V$51&gt;=6,V$50=1),N(INDEX(MinFrei,MATCH(1,ArbeitNr,0))),N(INDEX(MinWerktag,MATCH(1,ArbeitNr,0)))))</f>
      </c>
      <c r="W86" s="1">
        <f>IF($AM38="","",IF(OR(W$51&gt;=6,W$50=1),N(INDEX(MinFrei,MATCH(1,ArbeitNr,0))),N(INDEX(MinWerktag,MATCH(1,ArbeitNr,0)))))</f>
      </c>
      <c r="X86" s="1">
        <f>IF($AM38="","",IF(OR(X$51&gt;=6,X$50=1),N(INDEX(MinFrei,MATCH(1,ArbeitNr,0))),N(INDEX(MinWerktag,MATCH(1,ArbeitNr,0)))))</f>
      </c>
      <c r="Y86" s="1">
        <f>IF($AM38="","",IF(OR(Y$51&gt;=6,Y$50=1),N(INDEX(MinFrei,MATCH(1,ArbeitNr,0))),N(INDEX(MinWerktag,MATCH(1,ArbeitNr,0)))))</f>
      </c>
      <c r="Z86" s="1">
        <f>IF($AM38="","",IF(OR(Z$51&gt;=6,Z$50=1),N(INDEX(MinFrei,MATCH(1,ArbeitNr,0))),N(INDEX(MinWerktag,MATCH(1,ArbeitNr,0)))))</f>
      </c>
      <c r="AA86" s="1">
        <f>IF($AM38="","",IF(OR(AA$51&gt;=6,AA$50=1),N(INDEX(MinFrei,MATCH(1,ArbeitNr,0))),N(INDEX(MinWerktag,MATCH(1,ArbeitNr,0)))))</f>
      </c>
      <c r="AB86" s="1">
        <f>IF($AM38="","",IF(OR(AB$51&gt;=6,AB$50=1),N(INDEX(MinFrei,MATCH(1,ArbeitNr,0))),N(INDEX(MinWerktag,MATCH(1,ArbeitNr,0)))))</f>
      </c>
      <c r="AC86" s="1">
        <f>IF($AM38="","",IF(OR(AC$51&gt;=6,AC$50=1),N(INDEX(MinFrei,MATCH(1,ArbeitNr,0))),N(INDEX(MinWerktag,MATCH(1,ArbeitNr,0)))))</f>
      </c>
      <c r="AD86" s="1">
        <f>IF($AM38="","",IF(OR(AD$51&gt;=6,AD$50=1),N(INDEX(MinFrei,MATCH(1,ArbeitNr,0))),N(INDEX(MinWerktag,MATCH(1,ArbeitNr,0)))))</f>
      </c>
      <c r="AE86" s="1">
        <f>IF($AM38="","",IF(OR(AE$51&gt;=6,AE$50=1),N(INDEX(MinFrei,MATCH(1,ArbeitNr,0))),N(INDEX(MinWerktag,MATCH(1,ArbeitNr,0)))))</f>
      </c>
      <c r="AF86" s="1">
        <f>IF($AM38="","",IF(OR(AF$51&gt;=6,AF$50=1),N(INDEX(MinFrei,MATCH(1,ArbeitNr,0))),N(INDEX(MinWerktag,MATCH(1,ArbeitNr,0)))))</f>
      </c>
    </row>
    <row r="87" hidden="1" spans="1:32" x14ac:dyDescent="0.25">
      <c r="A87" s="1"/>
      <c r="B87" s="1">
        <f>IF($AM39="","",IF(OR(B$51&gt;=6,B$50=1),N(INDEX(MinFrei,MATCH(2,ArbeitNr,0))),N(INDEX(MinWerktag,MATCH(2,ArbeitNr,0)))))</f>
      </c>
      <c r="C87" s="1">
        <f>IF($AM39="","",IF(OR(C$51&gt;=6,C$50=1),N(INDEX(MinFrei,MATCH(2,ArbeitNr,0))),N(INDEX(MinWerktag,MATCH(2,ArbeitNr,0)))))</f>
      </c>
      <c r="D87" s="1">
        <f>IF($AM39="","",IF(OR(D$51&gt;=6,D$50=1),N(INDEX(MinFrei,MATCH(2,ArbeitNr,0))),N(INDEX(MinWerktag,MATCH(2,ArbeitNr,0)))))</f>
      </c>
      <c r="E87" s="1">
        <f>IF($AM39="","",IF(OR(E$51&gt;=6,E$50=1),N(INDEX(MinFrei,MATCH(2,ArbeitNr,0))),N(INDEX(MinWerktag,MATCH(2,ArbeitNr,0)))))</f>
      </c>
      <c r="F87" s="1">
        <f>IF($AM39="","",IF(OR(F$51&gt;=6,F$50=1),N(INDEX(MinFrei,MATCH(2,ArbeitNr,0))),N(INDEX(MinWerktag,MATCH(2,ArbeitNr,0)))))</f>
      </c>
      <c r="G87" s="1">
        <f>IF($AM39="","",IF(OR(G$51&gt;=6,G$50=1),N(INDEX(MinFrei,MATCH(2,ArbeitNr,0))),N(INDEX(MinWerktag,MATCH(2,ArbeitNr,0)))))</f>
      </c>
      <c r="H87" s="1">
        <f>IF($AM39="","",IF(OR(H$51&gt;=6,H$50=1),N(INDEX(MinFrei,MATCH(2,ArbeitNr,0))),N(INDEX(MinWerktag,MATCH(2,ArbeitNr,0)))))</f>
      </c>
      <c r="I87" s="1">
        <f>IF($AM39="","",IF(OR(I$51&gt;=6,I$50=1),N(INDEX(MinFrei,MATCH(2,ArbeitNr,0))),N(INDEX(MinWerktag,MATCH(2,ArbeitNr,0)))))</f>
      </c>
      <c r="J87" s="1">
        <f>IF($AM39="","",IF(OR(J$51&gt;=6,J$50=1),N(INDEX(MinFrei,MATCH(2,ArbeitNr,0))),N(INDEX(MinWerktag,MATCH(2,ArbeitNr,0)))))</f>
      </c>
      <c r="K87" s="1">
        <f>IF($AM39="","",IF(OR(K$51&gt;=6,K$50=1),N(INDEX(MinFrei,MATCH(2,ArbeitNr,0))),N(INDEX(MinWerktag,MATCH(2,ArbeitNr,0)))))</f>
      </c>
      <c r="L87" s="1">
        <f>IF($AM39="","",IF(OR(L$51&gt;=6,L$50=1),N(INDEX(MinFrei,MATCH(2,ArbeitNr,0))),N(INDEX(MinWerktag,MATCH(2,ArbeitNr,0)))))</f>
      </c>
      <c r="M87" s="1">
        <f>IF($AM39="","",IF(OR(M$51&gt;=6,M$50=1),N(INDEX(MinFrei,MATCH(2,ArbeitNr,0))),N(INDEX(MinWerktag,MATCH(2,ArbeitNr,0)))))</f>
      </c>
      <c r="N87" s="1">
        <f>IF($AM39="","",IF(OR(N$51&gt;=6,N$50=1),N(INDEX(MinFrei,MATCH(2,ArbeitNr,0))),N(INDEX(MinWerktag,MATCH(2,ArbeitNr,0)))))</f>
      </c>
      <c r="O87" s="1">
        <f>IF($AM39="","",IF(OR(O$51&gt;=6,O$50=1),N(INDEX(MinFrei,MATCH(2,ArbeitNr,0))),N(INDEX(MinWerktag,MATCH(2,ArbeitNr,0)))))</f>
      </c>
      <c r="P87" s="1">
        <f>IF($AM39="","",IF(OR(P$51&gt;=6,P$50=1),N(INDEX(MinFrei,MATCH(2,ArbeitNr,0))),N(INDEX(MinWerktag,MATCH(2,ArbeitNr,0)))))</f>
      </c>
      <c r="Q87" s="1">
        <f>IF($AM39="","",IF(OR(Q$51&gt;=6,Q$50=1),N(INDEX(MinFrei,MATCH(2,ArbeitNr,0))),N(INDEX(MinWerktag,MATCH(2,ArbeitNr,0)))))</f>
      </c>
      <c r="R87" s="1">
        <f>IF($AM39="","",IF(OR(R$51&gt;=6,R$50=1),N(INDEX(MinFrei,MATCH(2,ArbeitNr,0))),N(INDEX(MinWerktag,MATCH(2,ArbeitNr,0)))))</f>
      </c>
      <c r="S87" s="1">
        <f>IF($AM39="","",IF(OR(S$51&gt;=6,S$50=1),N(INDEX(MinFrei,MATCH(2,ArbeitNr,0))),N(INDEX(MinWerktag,MATCH(2,ArbeitNr,0)))))</f>
      </c>
      <c r="T87" s="1">
        <f>IF($AM39="","",IF(OR(T$51&gt;=6,T$50=1),N(INDEX(MinFrei,MATCH(2,ArbeitNr,0))),N(INDEX(MinWerktag,MATCH(2,ArbeitNr,0)))))</f>
      </c>
      <c r="U87" s="1">
        <f>IF($AM39="","",IF(OR(U$51&gt;=6,U$50=1),N(INDEX(MinFrei,MATCH(2,ArbeitNr,0))),N(INDEX(MinWerktag,MATCH(2,ArbeitNr,0)))))</f>
      </c>
      <c r="V87" s="1">
        <f>IF($AM39="","",IF(OR(V$51&gt;=6,V$50=1),N(INDEX(MinFrei,MATCH(2,ArbeitNr,0))),N(INDEX(MinWerktag,MATCH(2,ArbeitNr,0)))))</f>
      </c>
      <c r="W87" s="1">
        <f>IF($AM39="","",IF(OR(W$51&gt;=6,W$50=1),N(INDEX(MinFrei,MATCH(2,ArbeitNr,0))),N(INDEX(MinWerktag,MATCH(2,ArbeitNr,0)))))</f>
      </c>
      <c r="X87" s="1">
        <f>IF($AM39="","",IF(OR(X$51&gt;=6,X$50=1),N(INDEX(MinFrei,MATCH(2,ArbeitNr,0))),N(INDEX(MinWerktag,MATCH(2,ArbeitNr,0)))))</f>
      </c>
      <c r="Y87" s="1">
        <f>IF($AM39="","",IF(OR(Y$51&gt;=6,Y$50=1),N(INDEX(MinFrei,MATCH(2,ArbeitNr,0))),N(INDEX(MinWerktag,MATCH(2,ArbeitNr,0)))))</f>
      </c>
      <c r="Z87" s="1">
        <f>IF($AM39="","",IF(OR(Z$51&gt;=6,Z$50=1),N(INDEX(MinFrei,MATCH(2,ArbeitNr,0))),N(INDEX(MinWerktag,MATCH(2,ArbeitNr,0)))))</f>
      </c>
      <c r="AA87" s="1">
        <f>IF($AM39="","",IF(OR(AA$51&gt;=6,AA$50=1),N(INDEX(MinFrei,MATCH(2,ArbeitNr,0))),N(INDEX(MinWerktag,MATCH(2,ArbeitNr,0)))))</f>
      </c>
      <c r="AB87" s="1">
        <f>IF($AM39="","",IF(OR(AB$51&gt;=6,AB$50=1),N(INDEX(MinFrei,MATCH(2,ArbeitNr,0))),N(INDEX(MinWerktag,MATCH(2,ArbeitNr,0)))))</f>
      </c>
      <c r="AC87" s="1">
        <f>IF($AM39="","",IF(OR(AC$51&gt;=6,AC$50=1),N(INDEX(MinFrei,MATCH(2,ArbeitNr,0))),N(INDEX(MinWerktag,MATCH(2,ArbeitNr,0)))))</f>
      </c>
      <c r="AD87" s="1">
        <f>IF($AM39="","",IF(OR(AD$51&gt;=6,AD$50=1),N(INDEX(MinFrei,MATCH(2,ArbeitNr,0))),N(INDEX(MinWerktag,MATCH(2,ArbeitNr,0)))))</f>
      </c>
      <c r="AE87" s="1">
        <f>IF($AM39="","",IF(OR(AE$51&gt;=6,AE$50=1),N(INDEX(MinFrei,MATCH(2,ArbeitNr,0))),N(INDEX(MinWerktag,MATCH(2,ArbeitNr,0)))))</f>
      </c>
      <c r="AF87" s="1">
        <f>IF($AM39="","",IF(OR(AF$51&gt;=6,AF$50=1),N(INDEX(MinFrei,MATCH(2,ArbeitNr,0))),N(INDEX(MinWerktag,MATCH(2,ArbeitNr,0)))))</f>
      </c>
    </row>
    <row r="88" hidden="1" spans="1:32" x14ac:dyDescent="0.25">
      <c r="A88" s="1"/>
      <c r="B88" s="1">
        <f>IF($AM40="","",IF(OR(B$51&gt;=6,B$50=1),N(INDEX(MinFrei,MATCH(3,ArbeitNr,0))),N(INDEX(MinWerktag,MATCH(3,ArbeitNr,0)))))</f>
      </c>
      <c r="C88" s="1">
        <f>IF($AM40="","",IF(OR(C$51&gt;=6,C$50=1),N(INDEX(MinFrei,MATCH(3,ArbeitNr,0))),N(INDEX(MinWerktag,MATCH(3,ArbeitNr,0)))))</f>
      </c>
      <c r="D88" s="1">
        <f>IF($AM40="","",IF(OR(D$51&gt;=6,D$50=1),N(INDEX(MinFrei,MATCH(3,ArbeitNr,0))),N(INDEX(MinWerktag,MATCH(3,ArbeitNr,0)))))</f>
      </c>
      <c r="E88" s="1">
        <f>IF($AM40="","",IF(OR(E$51&gt;=6,E$50=1),N(INDEX(MinFrei,MATCH(3,ArbeitNr,0))),N(INDEX(MinWerktag,MATCH(3,ArbeitNr,0)))))</f>
      </c>
      <c r="F88" s="1">
        <f>IF($AM40="","",IF(OR(F$51&gt;=6,F$50=1),N(INDEX(MinFrei,MATCH(3,ArbeitNr,0))),N(INDEX(MinWerktag,MATCH(3,ArbeitNr,0)))))</f>
      </c>
      <c r="G88" s="1">
        <f>IF($AM40="","",IF(OR(G$51&gt;=6,G$50=1),N(INDEX(MinFrei,MATCH(3,ArbeitNr,0))),N(INDEX(MinWerktag,MATCH(3,ArbeitNr,0)))))</f>
      </c>
      <c r="H88" s="1">
        <f>IF($AM40="","",IF(OR(H$51&gt;=6,H$50=1),N(INDEX(MinFrei,MATCH(3,ArbeitNr,0))),N(INDEX(MinWerktag,MATCH(3,ArbeitNr,0)))))</f>
      </c>
      <c r="I88" s="1">
        <f>IF($AM40="","",IF(OR(I$51&gt;=6,I$50=1),N(INDEX(MinFrei,MATCH(3,ArbeitNr,0))),N(INDEX(MinWerktag,MATCH(3,ArbeitNr,0)))))</f>
      </c>
      <c r="J88" s="1">
        <f>IF($AM40="","",IF(OR(J$51&gt;=6,J$50=1),N(INDEX(MinFrei,MATCH(3,ArbeitNr,0))),N(INDEX(MinWerktag,MATCH(3,ArbeitNr,0)))))</f>
      </c>
      <c r="K88" s="1">
        <f>IF($AM40="","",IF(OR(K$51&gt;=6,K$50=1),N(INDEX(MinFrei,MATCH(3,ArbeitNr,0))),N(INDEX(MinWerktag,MATCH(3,ArbeitNr,0)))))</f>
      </c>
      <c r="L88" s="1">
        <f>IF($AM40="","",IF(OR(L$51&gt;=6,L$50=1),N(INDEX(MinFrei,MATCH(3,ArbeitNr,0))),N(INDEX(MinWerktag,MATCH(3,ArbeitNr,0)))))</f>
      </c>
      <c r="M88" s="1">
        <f>IF($AM40="","",IF(OR(M$51&gt;=6,M$50=1),N(INDEX(MinFrei,MATCH(3,ArbeitNr,0))),N(INDEX(MinWerktag,MATCH(3,ArbeitNr,0)))))</f>
      </c>
      <c r="N88" s="1">
        <f>IF($AM40="","",IF(OR(N$51&gt;=6,N$50=1),N(INDEX(MinFrei,MATCH(3,ArbeitNr,0))),N(INDEX(MinWerktag,MATCH(3,ArbeitNr,0)))))</f>
      </c>
      <c r="O88" s="1">
        <f>IF($AM40="","",IF(OR(O$51&gt;=6,O$50=1),N(INDEX(MinFrei,MATCH(3,ArbeitNr,0))),N(INDEX(MinWerktag,MATCH(3,ArbeitNr,0)))))</f>
      </c>
      <c r="P88" s="1">
        <f>IF($AM40="","",IF(OR(P$51&gt;=6,P$50=1),N(INDEX(MinFrei,MATCH(3,ArbeitNr,0))),N(INDEX(MinWerktag,MATCH(3,ArbeitNr,0)))))</f>
      </c>
      <c r="Q88" s="1">
        <f>IF($AM40="","",IF(OR(Q$51&gt;=6,Q$50=1),N(INDEX(MinFrei,MATCH(3,ArbeitNr,0))),N(INDEX(MinWerktag,MATCH(3,ArbeitNr,0)))))</f>
      </c>
      <c r="R88" s="1">
        <f>IF($AM40="","",IF(OR(R$51&gt;=6,R$50=1),N(INDEX(MinFrei,MATCH(3,ArbeitNr,0))),N(INDEX(MinWerktag,MATCH(3,ArbeitNr,0)))))</f>
      </c>
      <c r="S88" s="1">
        <f>IF($AM40="","",IF(OR(S$51&gt;=6,S$50=1),N(INDEX(MinFrei,MATCH(3,ArbeitNr,0))),N(INDEX(MinWerktag,MATCH(3,ArbeitNr,0)))))</f>
      </c>
      <c r="T88" s="1">
        <f>IF($AM40="","",IF(OR(T$51&gt;=6,T$50=1),N(INDEX(MinFrei,MATCH(3,ArbeitNr,0))),N(INDEX(MinWerktag,MATCH(3,ArbeitNr,0)))))</f>
      </c>
      <c r="U88" s="1">
        <f>IF($AM40="","",IF(OR(U$51&gt;=6,U$50=1),N(INDEX(MinFrei,MATCH(3,ArbeitNr,0))),N(INDEX(MinWerktag,MATCH(3,ArbeitNr,0)))))</f>
      </c>
      <c r="V88" s="1">
        <f>IF($AM40="","",IF(OR(V$51&gt;=6,V$50=1),N(INDEX(MinFrei,MATCH(3,ArbeitNr,0))),N(INDEX(MinWerktag,MATCH(3,ArbeitNr,0)))))</f>
      </c>
      <c r="W88" s="1">
        <f>IF($AM40="","",IF(OR(W$51&gt;=6,W$50=1),N(INDEX(MinFrei,MATCH(3,ArbeitNr,0))),N(INDEX(MinWerktag,MATCH(3,ArbeitNr,0)))))</f>
      </c>
      <c r="X88" s="1">
        <f>IF($AM40="","",IF(OR(X$51&gt;=6,X$50=1),N(INDEX(MinFrei,MATCH(3,ArbeitNr,0))),N(INDEX(MinWerktag,MATCH(3,ArbeitNr,0)))))</f>
      </c>
      <c r="Y88" s="1">
        <f>IF($AM40="","",IF(OR(Y$51&gt;=6,Y$50=1),N(INDEX(MinFrei,MATCH(3,ArbeitNr,0))),N(INDEX(MinWerktag,MATCH(3,ArbeitNr,0)))))</f>
      </c>
      <c r="Z88" s="1">
        <f>IF($AM40="","",IF(OR(Z$51&gt;=6,Z$50=1),N(INDEX(MinFrei,MATCH(3,ArbeitNr,0))),N(INDEX(MinWerktag,MATCH(3,ArbeitNr,0)))))</f>
      </c>
      <c r="AA88" s="1">
        <f>IF($AM40="","",IF(OR(AA$51&gt;=6,AA$50=1),N(INDEX(MinFrei,MATCH(3,ArbeitNr,0))),N(INDEX(MinWerktag,MATCH(3,ArbeitNr,0)))))</f>
      </c>
      <c r="AB88" s="1">
        <f>IF($AM40="","",IF(OR(AB$51&gt;=6,AB$50=1),N(INDEX(MinFrei,MATCH(3,ArbeitNr,0))),N(INDEX(MinWerktag,MATCH(3,ArbeitNr,0)))))</f>
      </c>
      <c r="AC88" s="1">
        <f>IF($AM40="","",IF(OR(AC$51&gt;=6,AC$50=1),N(INDEX(MinFrei,MATCH(3,ArbeitNr,0))),N(INDEX(MinWerktag,MATCH(3,ArbeitNr,0)))))</f>
      </c>
      <c r="AD88" s="1">
        <f>IF($AM40="","",IF(OR(AD$51&gt;=6,AD$50=1),N(INDEX(MinFrei,MATCH(3,ArbeitNr,0))),N(INDEX(MinWerktag,MATCH(3,ArbeitNr,0)))))</f>
      </c>
      <c r="AE88" s="1">
        <f>IF($AM40="","",IF(OR(AE$51&gt;=6,AE$50=1),N(INDEX(MinFrei,MATCH(3,ArbeitNr,0))),N(INDEX(MinWerktag,MATCH(3,ArbeitNr,0)))))</f>
      </c>
      <c r="AF88" s="1">
        <f>IF($AM40="","",IF(OR(AF$51&gt;=6,AF$50=1),N(INDEX(MinFrei,MATCH(3,ArbeitNr,0))),N(INDEX(MinWerktag,MATCH(3,ArbeitNr,0)))))</f>
      </c>
    </row>
    <row r="89" hidden="1" spans="1:32" x14ac:dyDescent="0.25">
      <c r="A89" s="1"/>
      <c r="B89" s="1">
        <f>IF($AM41="","",IF(OR(B$51&gt;=6,B$50=1),N(INDEX(MinFrei,MATCH(4,ArbeitNr,0))),N(INDEX(MinWerktag,MATCH(4,ArbeitNr,0)))))</f>
      </c>
      <c r="C89" s="1">
        <f>IF($AM41="","",IF(OR(C$51&gt;=6,C$50=1),N(INDEX(MinFrei,MATCH(4,ArbeitNr,0))),N(INDEX(MinWerktag,MATCH(4,ArbeitNr,0)))))</f>
      </c>
      <c r="D89" s="1">
        <f>IF($AM41="","",IF(OR(D$51&gt;=6,D$50=1),N(INDEX(MinFrei,MATCH(4,ArbeitNr,0))),N(INDEX(MinWerktag,MATCH(4,ArbeitNr,0)))))</f>
      </c>
      <c r="E89" s="1">
        <f>IF($AM41="","",IF(OR(E$51&gt;=6,E$50=1),N(INDEX(MinFrei,MATCH(4,ArbeitNr,0))),N(INDEX(MinWerktag,MATCH(4,ArbeitNr,0)))))</f>
      </c>
      <c r="F89" s="1">
        <f>IF($AM41="","",IF(OR(F$51&gt;=6,F$50=1),N(INDEX(MinFrei,MATCH(4,ArbeitNr,0))),N(INDEX(MinWerktag,MATCH(4,ArbeitNr,0)))))</f>
      </c>
      <c r="G89" s="1">
        <f>IF($AM41="","",IF(OR(G$51&gt;=6,G$50=1),N(INDEX(MinFrei,MATCH(4,ArbeitNr,0))),N(INDEX(MinWerktag,MATCH(4,ArbeitNr,0)))))</f>
      </c>
      <c r="H89" s="1">
        <f>IF($AM41="","",IF(OR(H$51&gt;=6,H$50=1),N(INDEX(MinFrei,MATCH(4,ArbeitNr,0))),N(INDEX(MinWerktag,MATCH(4,ArbeitNr,0)))))</f>
      </c>
      <c r="I89" s="1">
        <f>IF($AM41="","",IF(OR(I$51&gt;=6,I$50=1),N(INDEX(MinFrei,MATCH(4,ArbeitNr,0))),N(INDEX(MinWerktag,MATCH(4,ArbeitNr,0)))))</f>
      </c>
      <c r="J89" s="1">
        <f>IF($AM41="","",IF(OR(J$51&gt;=6,J$50=1),N(INDEX(MinFrei,MATCH(4,ArbeitNr,0))),N(INDEX(MinWerktag,MATCH(4,ArbeitNr,0)))))</f>
      </c>
      <c r="K89" s="1">
        <f>IF($AM41="","",IF(OR(K$51&gt;=6,K$50=1),N(INDEX(MinFrei,MATCH(4,ArbeitNr,0))),N(INDEX(MinWerktag,MATCH(4,ArbeitNr,0)))))</f>
      </c>
      <c r="L89" s="1">
        <f>IF($AM41="","",IF(OR(L$51&gt;=6,L$50=1),N(INDEX(MinFrei,MATCH(4,ArbeitNr,0))),N(INDEX(MinWerktag,MATCH(4,ArbeitNr,0)))))</f>
      </c>
      <c r="M89" s="1">
        <f>IF($AM41="","",IF(OR(M$51&gt;=6,M$50=1),N(INDEX(MinFrei,MATCH(4,ArbeitNr,0))),N(INDEX(MinWerktag,MATCH(4,ArbeitNr,0)))))</f>
      </c>
      <c r="N89" s="1">
        <f>IF($AM41="","",IF(OR(N$51&gt;=6,N$50=1),N(INDEX(MinFrei,MATCH(4,ArbeitNr,0))),N(INDEX(MinWerktag,MATCH(4,ArbeitNr,0)))))</f>
      </c>
      <c r="O89" s="1">
        <f>IF($AM41="","",IF(OR(O$51&gt;=6,O$50=1),N(INDEX(MinFrei,MATCH(4,ArbeitNr,0))),N(INDEX(MinWerktag,MATCH(4,ArbeitNr,0)))))</f>
      </c>
      <c r="P89" s="1">
        <f>IF($AM41="","",IF(OR(P$51&gt;=6,P$50=1),N(INDEX(MinFrei,MATCH(4,ArbeitNr,0))),N(INDEX(MinWerktag,MATCH(4,ArbeitNr,0)))))</f>
      </c>
      <c r="Q89" s="1">
        <f>IF($AM41="","",IF(OR(Q$51&gt;=6,Q$50=1),N(INDEX(MinFrei,MATCH(4,ArbeitNr,0))),N(INDEX(MinWerktag,MATCH(4,ArbeitNr,0)))))</f>
      </c>
      <c r="R89" s="1">
        <f>IF($AM41="","",IF(OR(R$51&gt;=6,R$50=1),N(INDEX(MinFrei,MATCH(4,ArbeitNr,0))),N(INDEX(MinWerktag,MATCH(4,ArbeitNr,0)))))</f>
      </c>
      <c r="S89" s="1">
        <f>IF($AM41="","",IF(OR(S$51&gt;=6,S$50=1),N(INDEX(MinFrei,MATCH(4,ArbeitNr,0))),N(INDEX(MinWerktag,MATCH(4,ArbeitNr,0)))))</f>
      </c>
      <c r="T89" s="1">
        <f>IF($AM41="","",IF(OR(T$51&gt;=6,T$50=1),N(INDEX(MinFrei,MATCH(4,ArbeitNr,0))),N(INDEX(MinWerktag,MATCH(4,ArbeitNr,0)))))</f>
      </c>
      <c r="U89" s="1">
        <f>IF($AM41="","",IF(OR(U$51&gt;=6,U$50=1),N(INDEX(MinFrei,MATCH(4,ArbeitNr,0))),N(INDEX(MinWerktag,MATCH(4,ArbeitNr,0)))))</f>
      </c>
      <c r="V89" s="1">
        <f>IF($AM41="","",IF(OR(V$51&gt;=6,V$50=1),N(INDEX(MinFrei,MATCH(4,ArbeitNr,0))),N(INDEX(MinWerktag,MATCH(4,ArbeitNr,0)))))</f>
      </c>
      <c r="W89" s="1">
        <f>IF($AM41="","",IF(OR(W$51&gt;=6,W$50=1),N(INDEX(MinFrei,MATCH(4,ArbeitNr,0))),N(INDEX(MinWerktag,MATCH(4,ArbeitNr,0)))))</f>
      </c>
      <c r="X89" s="1">
        <f>IF($AM41="","",IF(OR(X$51&gt;=6,X$50=1),N(INDEX(MinFrei,MATCH(4,ArbeitNr,0))),N(INDEX(MinWerktag,MATCH(4,ArbeitNr,0)))))</f>
      </c>
      <c r="Y89" s="1">
        <f>IF($AM41="","",IF(OR(Y$51&gt;=6,Y$50=1),N(INDEX(MinFrei,MATCH(4,ArbeitNr,0))),N(INDEX(MinWerktag,MATCH(4,ArbeitNr,0)))))</f>
      </c>
      <c r="Z89" s="1">
        <f>IF($AM41="","",IF(OR(Z$51&gt;=6,Z$50=1),N(INDEX(MinFrei,MATCH(4,ArbeitNr,0))),N(INDEX(MinWerktag,MATCH(4,ArbeitNr,0)))))</f>
      </c>
      <c r="AA89" s="1">
        <f>IF($AM41="","",IF(OR(AA$51&gt;=6,AA$50=1),N(INDEX(MinFrei,MATCH(4,ArbeitNr,0))),N(INDEX(MinWerktag,MATCH(4,ArbeitNr,0)))))</f>
      </c>
      <c r="AB89" s="1">
        <f>IF($AM41="","",IF(OR(AB$51&gt;=6,AB$50=1),N(INDEX(MinFrei,MATCH(4,ArbeitNr,0))),N(INDEX(MinWerktag,MATCH(4,ArbeitNr,0)))))</f>
      </c>
      <c r="AC89" s="1">
        <f>IF($AM41="","",IF(OR(AC$51&gt;=6,AC$50=1),N(INDEX(MinFrei,MATCH(4,ArbeitNr,0))),N(INDEX(MinWerktag,MATCH(4,ArbeitNr,0)))))</f>
      </c>
      <c r="AD89" s="1">
        <f>IF($AM41="","",IF(OR(AD$51&gt;=6,AD$50=1),N(INDEX(MinFrei,MATCH(4,ArbeitNr,0))),N(INDEX(MinWerktag,MATCH(4,ArbeitNr,0)))))</f>
      </c>
      <c r="AE89" s="1">
        <f>IF($AM41="","",IF(OR(AE$51&gt;=6,AE$50=1),N(INDEX(MinFrei,MATCH(4,ArbeitNr,0))),N(INDEX(MinWerktag,MATCH(4,ArbeitNr,0)))))</f>
      </c>
      <c r="AF89" s="1">
        <f>IF($AM41="","",IF(OR(AF$51&gt;=6,AF$50=1),N(INDEX(MinFrei,MATCH(4,ArbeitNr,0))),N(INDEX(MinWerktag,MATCH(4,ArbeitNr,0)))))</f>
      </c>
    </row>
    <row r="90" hidden="1" spans="1:32" x14ac:dyDescent="0.25">
      <c r="A90" s="1"/>
      <c r="B90" s="1">
        <f>IF($AM42="","",IF(OR(B$51&gt;=6,B$50=1),N(INDEX(MinFrei,MATCH(5,ArbeitNr,0))),N(INDEX(MinWerktag,MATCH(5,ArbeitNr,0)))))</f>
      </c>
      <c r="C90" s="1">
        <f>IF($AM42="","",IF(OR(C$51&gt;=6,C$50=1),N(INDEX(MinFrei,MATCH(5,ArbeitNr,0))),N(INDEX(MinWerktag,MATCH(5,ArbeitNr,0)))))</f>
      </c>
      <c r="D90" s="1">
        <f>IF($AM42="","",IF(OR(D$51&gt;=6,D$50=1),N(INDEX(MinFrei,MATCH(5,ArbeitNr,0))),N(INDEX(MinWerktag,MATCH(5,ArbeitNr,0)))))</f>
      </c>
      <c r="E90" s="1">
        <f>IF($AM42="","",IF(OR(E$51&gt;=6,E$50=1),N(INDEX(MinFrei,MATCH(5,ArbeitNr,0))),N(INDEX(MinWerktag,MATCH(5,ArbeitNr,0)))))</f>
      </c>
      <c r="F90" s="1">
        <f>IF($AM42="","",IF(OR(F$51&gt;=6,F$50=1),N(INDEX(MinFrei,MATCH(5,ArbeitNr,0))),N(INDEX(MinWerktag,MATCH(5,ArbeitNr,0)))))</f>
      </c>
      <c r="G90" s="1">
        <f>IF($AM42="","",IF(OR(G$51&gt;=6,G$50=1),N(INDEX(MinFrei,MATCH(5,ArbeitNr,0))),N(INDEX(MinWerktag,MATCH(5,ArbeitNr,0)))))</f>
      </c>
      <c r="H90" s="1">
        <f>IF($AM42="","",IF(OR(H$51&gt;=6,H$50=1),N(INDEX(MinFrei,MATCH(5,ArbeitNr,0))),N(INDEX(MinWerktag,MATCH(5,ArbeitNr,0)))))</f>
      </c>
      <c r="I90" s="1">
        <f>IF($AM42="","",IF(OR(I$51&gt;=6,I$50=1),N(INDEX(MinFrei,MATCH(5,ArbeitNr,0))),N(INDEX(MinWerktag,MATCH(5,ArbeitNr,0)))))</f>
      </c>
      <c r="J90" s="1">
        <f>IF($AM42="","",IF(OR(J$51&gt;=6,J$50=1),N(INDEX(MinFrei,MATCH(5,ArbeitNr,0))),N(INDEX(MinWerktag,MATCH(5,ArbeitNr,0)))))</f>
      </c>
      <c r="K90" s="1">
        <f>IF($AM42="","",IF(OR(K$51&gt;=6,K$50=1),N(INDEX(MinFrei,MATCH(5,ArbeitNr,0))),N(INDEX(MinWerktag,MATCH(5,ArbeitNr,0)))))</f>
      </c>
      <c r="L90" s="1">
        <f>IF($AM42="","",IF(OR(L$51&gt;=6,L$50=1),N(INDEX(MinFrei,MATCH(5,ArbeitNr,0))),N(INDEX(MinWerktag,MATCH(5,ArbeitNr,0)))))</f>
      </c>
      <c r="M90" s="1">
        <f>IF($AM42="","",IF(OR(M$51&gt;=6,M$50=1),N(INDEX(MinFrei,MATCH(5,ArbeitNr,0))),N(INDEX(MinWerktag,MATCH(5,ArbeitNr,0)))))</f>
      </c>
      <c r="N90" s="1">
        <f>IF($AM42="","",IF(OR(N$51&gt;=6,N$50=1),N(INDEX(MinFrei,MATCH(5,ArbeitNr,0))),N(INDEX(MinWerktag,MATCH(5,ArbeitNr,0)))))</f>
      </c>
      <c r="O90" s="1">
        <f>IF($AM42="","",IF(OR(O$51&gt;=6,O$50=1),N(INDEX(MinFrei,MATCH(5,ArbeitNr,0))),N(INDEX(MinWerktag,MATCH(5,ArbeitNr,0)))))</f>
      </c>
      <c r="P90" s="1">
        <f>IF($AM42="","",IF(OR(P$51&gt;=6,P$50=1),N(INDEX(MinFrei,MATCH(5,ArbeitNr,0))),N(INDEX(MinWerktag,MATCH(5,ArbeitNr,0)))))</f>
      </c>
      <c r="Q90" s="1">
        <f>IF($AM42="","",IF(OR(Q$51&gt;=6,Q$50=1),N(INDEX(MinFrei,MATCH(5,ArbeitNr,0))),N(INDEX(MinWerktag,MATCH(5,ArbeitNr,0)))))</f>
      </c>
      <c r="R90" s="1">
        <f>IF($AM42="","",IF(OR(R$51&gt;=6,R$50=1),N(INDEX(MinFrei,MATCH(5,ArbeitNr,0))),N(INDEX(MinWerktag,MATCH(5,ArbeitNr,0)))))</f>
      </c>
      <c r="S90" s="1">
        <f>IF($AM42="","",IF(OR(S$51&gt;=6,S$50=1),N(INDEX(MinFrei,MATCH(5,ArbeitNr,0))),N(INDEX(MinWerktag,MATCH(5,ArbeitNr,0)))))</f>
      </c>
      <c r="T90" s="1">
        <f>IF($AM42="","",IF(OR(T$51&gt;=6,T$50=1),N(INDEX(MinFrei,MATCH(5,ArbeitNr,0))),N(INDEX(MinWerktag,MATCH(5,ArbeitNr,0)))))</f>
      </c>
      <c r="U90" s="1">
        <f>IF($AM42="","",IF(OR(U$51&gt;=6,U$50=1),N(INDEX(MinFrei,MATCH(5,ArbeitNr,0))),N(INDEX(MinWerktag,MATCH(5,ArbeitNr,0)))))</f>
      </c>
      <c r="V90" s="1">
        <f>IF($AM42="","",IF(OR(V$51&gt;=6,V$50=1),N(INDEX(MinFrei,MATCH(5,ArbeitNr,0))),N(INDEX(MinWerktag,MATCH(5,ArbeitNr,0)))))</f>
      </c>
      <c r="W90" s="1">
        <f>IF($AM42="","",IF(OR(W$51&gt;=6,W$50=1),N(INDEX(MinFrei,MATCH(5,ArbeitNr,0))),N(INDEX(MinWerktag,MATCH(5,ArbeitNr,0)))))</f>
      </c>
      <c r="X90" s="1">
        <f>IF($AM42="","",IF(OR(X$51&gt;=6,X$50=1),N(INDEX(MinFrei,MATCH(5,ArbeitNr,0))),N(INDEX(MinWerktag,MATCH(5,ArbeitNr,0)))))</f>
      </c>
      <c r="Y90" s="1">
        <f>IF($AM42="","",IF(OR(Y$51&gt;=6,Y$50=1),N(INDEX(MinFrei,MATCH(5,ArbeitNr,0))),N(INDEX(MinWerktag,MATCH(5,ArbeitNr,0)))))</f>
      </c>
      <c r="Z90" s="1">
        <f>IF($AM42="","",IF(OR(Z$51&gt;=6,Z$50=1),N(INDEX(MinFrei,MATCH(5,ArbeitNr,0))),N(INDEX(MinWerktag,MATCH(5,ArbeitNr,0)))))</f>
      </c>
      <c r="AA90" s="1">
        <f>IF($AM42="","",IF(OR(AA$51&gt;=6,AA$50=1),N(INDEX(MinFrei,MATCH(5,ArbeitNr,0))),N(INDEX(MinWerktag,MATCH(5,ArbeitNr,0)))))</f>
      </c>
      <c r="AB90" s="1">
        <f>IF($AM42="","",IF(OR(AB$51&gt;=6,AB$50=1),N(INDEX(MinFrei,MATCH(5,ArbeitNr,0))),N(INDEX(MinWerktag,MATCH(5,ArbeitNr,0)))))</f>
      </c>
      <c r="AC90" s="1">
        <f>IF($AM42="","",IF(OR(AC$51&gt;=6,AC$50=1),N(INDEX(MinFrei,MATCH(5,ArbeitNr,0))),N(INDEX(MinWerktag,MATCH(5,ArbeitNr,0)))))</f>
      </c>
      <c r="AD90" s="1">
        <f>IF($AM42="","",IF(OR(AD$51&gt;=6,AD$50=1),N(INDEX(MinFrei,MATCH(5,ArbeitNr,0))),N(INDEX(MinWerktag,MATCH(5,ArbeitNr,0)))))</f>
      </c>
      <c r="AE90" s="1">
        <f>IF($AM42="","",IF(OR(AE$51&gt;=6,AE$50=1),N(INDEX(MinFrei,MATCH(5,ArbeitNr,0))),N(INDEX(MinWerktag,MATCH(5,ArbeitNr,0)))))</f>
      </c>
      <c r="AF90" s="1">
        <f>IF($AM42="","",IF(OR(AF$51&gt;=6,AF$50=1),N(INDEX(MinFrei,MATCH(5,ArbeitNr,0))),N(INDEX(MinWerktag,MATCH(5,ArbeitNr,0)))))</f>
      </c>
    </row>
    <row r="91" hidden="1" spans="1:32" x14ac:dyDescent="0.25">
      <c r="A91" s="1"/>
      <c r="B91" s="1">
        <f>IF($AM43="","",IF(OR(B$51&gt;=6,B$50=1),N(INDEX(MinFrei,MATCH(6,ArbeitNr,0))),N(INDEX(MinWerktag,MATCH(6,ArbeitNr,0)))))</f>
      </c>
      <c r="C91" s="1">
        <f>IF($AM43="","",IF(OR(C$51&gt;=6,C$50=1),N(INDEX(MinFrei,MATCH(6,ArbeitNr,0))),N(INDEX(MinWerktag,MATCH(6,ArbeitNr,0)))))</f>
      </c>
      <c r="D91" s="1">
        <f>IF($AM43="","",IF(OR(D$51&gt;=6,D$50=1),N(INDEX(MinFrei,MATCH(6,ArbeitNr,0))),N(INDEX(MinWerktag,MATCH(6,ArbeitNr,0)))))</f>
      </c>
      <c r="E91" s="1">
        <f>IF($AM43="","",IF(OR(E$51&gt;=6,E$50=1),N(INDEX(MinFrei,MATCH(6,ArbeitNr,0))),N(INDEX(MinWerktag,MATCH(6,ArbeitNr,0)))))</f>
      </c>
      <c r="F91" s="1">
        <f>IF($AM43="","",IF(OR(F$51&gt;=6,F$50=1),N(INDEX(MinFrei,MATCH(6,ArbeitNr,0))),N(INDEX(MinWerktag,MATCH(6,ArbeitNr,0)))))</f>
      </c>
      <c r="G91" s="1">
        <f>IF($AM43="","",IF(OR(G$51&gt;=6,G$50=1),N(INDEX(MinFrei,MATCH(6,ArbeitNr,0))),N(INDEX(MinWerktag,MATCH(6,ArbeitNr,0)))))</f>
      </c>
      <c r="H91" s="1">
        <f>IF($AM43="","",IF(OR(H$51&gt;=6,H$50=1),N(INDEX(MinFrei,MATCH(6,ArbeitNr,0))),N(INDEX(MinWerktag,MATCH(6,ArbeitNr,0)))))</f>
      </c>
      <c r="I91" s="1">
        <f>IF($AM43="","",IF(OR(I$51&gt;=6,I$50=1),N(INDEX(MinFrei,MATCH(6,ArbeitNr,0))),N(INDEX(MinWerktag,MATCH(6,ArbeitNr,0)))))</f>
      </c>
      <c r="J91" s="1">
        <f>IF($AM43="","",IF(OR(J$51&gt;=6,J$50=1),N(INDEX(MinFrei,MATCH(6,ArbeitNr,0))),N(INDEX(MinWerktag,MATCH(6,ArbeitNr,0)))))</f>
      </c>
      <c r="K91" s="1">
        <f>IF($AM43="","",IF(OR(K$51&gt;=6,K$50=1),N(INDEX(MinFrei,MATCH(6,ArbeitNr,0))),N(INDEX(MinWerktag,MATCH(6,ArbeitNr,0)))))</f>
      </c>
      <c r="L91" s="1">
        <f>IF($AM43="","",IF(OR(L$51&gt;=6,L$50=1),N(INDEX(MinFrei,MATCH(6,ArbeitNr,0))),N(INDEX(MinWerktag,MATCH(6,ArbeitNr,0)))))</f>
      </c>
      <c r="M91" s="1">
        <f>IF($AM43="","",IF(OR(M$51&gt;=6,M$50=1),N(INDEX(MinFrei,MATCH(6,ArbeitNr,0))),N(INDEX(MinWerktag,MATCH(6,ArbeitNr,0)))))</f>
      </c>
      <c r="N91" s="1">
        <f>IF($AM43="","",IF(OR(N$51&gt;=6,N$50=1),N(INDEX(MinFrei,MATCH(6,ArbeitNr,0))),N(INDEX(MinWerktag,MATCH(6,ArbeitNr,0)))))</f>
      </c>
      <c r="O91" s="1">
        <f>IF($AM43="","",IF(OR(O$51&gt;=6,O$50=1),N(INDEX(MinFrei,MATCH(6,ArbeitNr,0))),N(INDEX(MinWerktag,MATCH(6,ArbeitNr,0)))))</f>
      </c>
      <c r="P91" s="1">
        <f>IF($AM43="","",IF(OR(P$51&gt;=6,P$50=1),N(INDEX(MinFrei,MATCH(6,ArbeitNr,0))),N(INDEX(MinWerktag,MATCH(6,ArbeitNr,0)))))</f>
      </c>
      <c r="Q91" s="1">
        <f>IF($AM43="","",IF(OR(Q$51&gt;=6,Q$50=1),N(INDEX(MinFrei,MATCH(6,ArbeitNr,0))),N(INDEX(MinWerktag,MATCH(6,ArbeitNr,0)))))</f>
      </c>
      <c r="R91" s="1">
        <f>IF($AM43="","",IF(OR(R$51&gt;=6,R$50=1),N(INDEX(MinFrei,MATCH(6,ArbeitNr,0))),N(INDEX(MinWerktag,MATCH(6,ArbeitNr,0)))))</f>
      </c>
      <c r="S91" s="1">
        <f>IF($AM43="","",IF(OR(S$51&gt;=6,S$50=1),N(INDEX(MinFrei,MATCH(6,ArbeitNr,0))),N(INDEX(MinWerktag,MATCH(6,ArbeitNr,0)))))</f>
      </c>
      <c r="T91" s="1">
        <f>IF($AM43="","",IF(OR(T$51&gt;=6,T$50=1),N(INDEX(MinFrei,MATCH(6,ArbeitNr,0))),N(INDEX(MinWerktag,MATCH(6,ArbeitNr,0)))))</f>
      </c>
      <c r="U91" s="1">
        <f>IF($AM43="","",IF(OR(U$51&gt;=6,U$50=1),N(INDEX(MinFrei,MATCH(6,ArbeitNr,0))),N(INDEX(MinWerktag,MATCH(6,ArbeitNr,0)))))</f>
      </c>
      <c r="V91" s="1">
        <f>IF($AM43="","",IF(OR(V$51&gt;=6,V$50=1),N(INDEX(MinFrei,MATCH(6,ArbeitNr,0))),N(INDEX(MinWerktag,MATCH(6,ArbeitNr,0)))))</f>
      </c>
      <c r="W91" s="1">
        <f>IF($AM43="","",IF(OR(W$51&gt;=6,W$50=1),N(INDEX(MinFrei,MATCH(6,ArbeitNr,0))),N(INDEX(MinWerktag,MATCH(6,ArbeitNr,0)))))</f>
      </c>
      <c r="X91" s="1">
        <f>IF($AM43="","",IF(OR(X$51&gt;=6,X$50=1),N(INDEX(MinFrei,MATCH(6,ArbeitNr,0))),N(INDEX(MinWerktag,MATCH(6,ArbeitNr,0)))))</f>
      </c>
      <c r="Y91" s="1">
        <f>IF($AM43="","",IF(OR(Y$51&gt;=6,Y$50=1),N(INDEX(MinFrei,MATCH(6,ArbeitNr,0))),N(INDEX(MinWerktag,MATCH(6,ArbeitNr,0)))))</f>
      </c>
      <c r="Z91" s="1">
        <f>IF($AM43="","",IF(OR(Z$51&gt;=6,Z$50=1),N(INDEX(MinFrei,MATCH(6,ArbeitNr,0))),N(INDEX(MinWerktag,MATCH(6,ArbeitNr,0)))))</f>
      </c>
      <c r="AA91" s="1">
        <f>IF($AM43="","",IF(OR(AA$51&gt;=6,AA$50=1),N(INDEX(MinFrei,MATCH(6,ArbeitNr,0))),N(INDEX(MinWerktag,MATCH(6,ArbeitNr,0)))))</f>
      </c>
      <c r="AB91" s="1">
        <f>IF($AM43="","",IF(OR(AB$51&gt;=6,AB$50=1),N(INDEX(MinFrei,MATCH(6,ArbeitNr,0))),N(INDEX(MinWerktag,MATCH(6,ArbeitNr,0)))))</f>
      </c>
      <c r="AC91" s="1">
        <f>IF($AM43="","",IF(OR(AC$51&gt;=6,AC$50=1),N(INDEX(MinFrei,MATCH(6,ArbeitNr,0))),N(INDEX(MinWerktag,MATCH(6,ArbeitNr,0)))))</f>
      </c>
      <c r="AD91" s="1">
        <f>IF($AM43="","",IF(OR(AD$51&gt;=6,AD$50=1),N(INDEX(MinFrei,MATCH(6,ArbeitNr,0))),N(INDEX(MinWerktag,MATCH(6,ArbeitNr,0)))))</f>
      </c>
      <c r="AE91" s="1">
        <f>IF($AM43="","",IF(OR(AE$51&gt;=6,AE$50=1),N(INDEX(MinFrei,MATCH(6,ArbeitNr,0))),N(INDEX(MinWerktag,MATCH(6,ArbeitNr,0)))))</f>
      </c>
      <c r="AF91" s="1">
        <f>IF($AM43="","",IF(OR(AF$51&gt;=6,AF$50=1),N(INDEX(MinFrei,MATCH(6,ArbeitNr,0))),N(INDEX(MinWerktag,MATCH(6,ArbeitNr,0)))))</f>
      </c>
    </row>
    <row r="92" hidden="1" spans="1:32" x14ac:dyDescent="0.25">
      <c r="A92" s="1"/>
      <c r="B92" s="1">
        <f>IF($AM44="","",IF(OR(B$51&gt;=6,B$50=1),N(INDEX(MinFrei,MATCH(7,ArbeitNr,0))),N(INDEX(MinWerktag,MATCH(7,ArbeitNr,0)))))</f>
      </c>
      <c r="C92" s="1">
        <f>IF($AM44="","",IF(OR(C$51&gt;=6,C$50=1),N(INDEX(MinFrei,MATCH(7,ArbeitNr,0))),N(INDEX(MinWerktag,MATCH(7,ArbeitNr,0)))))</f>
      </c>
      <c r="D92" s="1">
        <f>IF($AM44="","",IF(OR(D$51&gt;=6,D$50=1),N(INDEX(MinFrei,MATCH(7,ArbeitNr,0))),N(INDEX(MinWerktag,MATCH(7,ArbeitNr,0)))))</f>
      </c>
      <c r="E92" s="1">
        <f>IF($AM44="","",IF(OR(E$51&gt;=6,E$50=1),N(INDEX(MinFrei,MATCH(7,ArbeitNr,0))),N(INDEX(MinWerktag,MATCH(7,ArbeitNr,0)))))</f>
      </c>
      <c r="F92" s="1">
        <f>IF($AM44="","",IF(OR(F$51&gt;=6,F$50=1),N(INDEX(MinFrei,MATCH(7,ArbeitNr,0))),N(INDEX(MinWerktag,MATCH(7,ArbeitNr,0)))))</f>
      </c>
      <c r="G92" s="1">
        <f>IF($AM44="","",IF(OR(G$51&gt;=6,G$50=1),N(INDEX(MinFrei,MATCH(7,ArbeitNr,0))),N(INDEX(MinWerktag,MATCH(7,ArbeitNr,0)))))</f>
      </c>
      <c r="H92" s="1">
        <f>IF($AM44="","",IF(OR(H$51&gt;=6,H$50=1),N(INDEX(MinFrei,MATCH(7,ArbeitNr,0))),N(INDEX(MinWerktag,MATCH(7,ArbeitNr,0)))))</f>
      </c>
      <c r="I92" s="1">
        <f>IF($AM44="","",IF(OR(I$51&gt;=6,I$50=1),N(INDEX(MinFrei,MATCH(7,ArbeitNr,0))),N(INDEX(MinWerktag,MATCH(7,ArbeitNr,0)))))</f>
      </c>
      <c r="J92" s="1">
        <f>IF($AM44="","",IF(OR(J$51&gt;=6,J$50=1),N(INDEX(MinFrei,MATCH(7,ArbeitNr,0))),N(INDEX(MinWerktag,MATCH(7,ArbeitNr,0)))))</f>
      </c>
      <c r="K92" s="1">
        <f>IF($AM44="","",IF(OR(K$51&gt;=6,K$50=1),N(INDEX(MinFrei,MATCH(7,ArbeitNr,0))),N(INDEX(MinWerktag,MATCH(7,ArbeitNr,0)))))</f>
      </c>
      <c r="L92" s="1">
        <f>IF($AM44="","",IF(OR(L$51&gt;=6,L$50=1),N(INDEX(MinFrei,MATCH(7,ArbeitNr,0))),N(INDEX(MinWerktag,MATCH(7,ArbeitNr,0)))))</f>
      </c>
      <c r="M92" s="1">
        <f>IF($AM44="","",IF(OR(M$51&gt;=6,M$50=1),N(INDEX(MinFrei,MATCH(7,ArbeitNr,0))),N(INDEX(MinWerktag,MATCH(7,ArbeitNr,0)))))</f>
      </c>
      <c r="N92" s="1">
        <f>IF($AM44="","",IF(OR(N$51&gt;=6,N$50=1),N(INDEX(MinFrei,MATCH(7,ArbeitNr,0))),N(INDEX(MinWerktag,MATCH(7,ArbeitNr,0)))))</f>
      </c>
      <c r="O92" s="1">
        <f>IF($AM44="","",IF(OR(O$51&gt;=6,O$50=1),N(INDEX(MinFrei,MATCH(7,ArbeitNr,0))),N(INDEX(MinWerktag,MATCH(7,ArbeitNr,0)))))</f>
      </c>
      <c r="P92" s="1">
        <f>IF($AM44="","",IF(OR(P$51&gt;=6,P$50=1),N(INDEX(MinFrei,MATCH(7,ArbeitNr,0))),N(INDEX(MinWerktag,MATCH(7,ArbeitNr,0)))))</f>
      </c>
      <c r="Q92" s="1">
        <f>IF($AM44="","",IF(OR(Q$51&gt;=6,Q$50=1),N(INDEX(MinFrei,MATCH(7,ArbeitNr,0))),N(INDEX(MinWerktag,MATCH(7,ArbeitNr,0)))))</f>
      </c>
      <c r="R92" s="1">
        <f>IF($AM44="","",IF(OR(R$51&gt;=6,R$50=1),N(INDEX(MinFrei,MATCH(7,ArbeitNr,0))),N(INDEX(MinWerktag,MATCH(7,ArbeitNr,0)))))</f>
      </c>
      <c r="S92" s="1">
        <f>IF($AM44="","",IF(OR(S$51&gt;=6,S$50=1),N(INDEX(MinFrei,MATCH(7,ArbeitNr,0))),N(INDEX(MinWerktag,MATCH(7,ArbeitNr,0)))))</f>
      </c>
      <c r="T92" s="1">
        <f>IF($AM44="","",IF(OR(T$51&gt;=6,T$50=1),N(INDEX(MinFrei,MATCH(7,ArbeitNr,0))),N(INDEX(MinWerktag,MATCH(7,ArbeitNr,0)))))</f>
      </c>
      <c r="U92" s="1">
        <f>IF($AM44="","",IF(OR(U$51&gt;=6,U$50=1),N(INDEX(MinFrei,MATCH(7,ArbeitNr,0))),N(INDEX(MinWerktag,MATCH(7,ArbeitNr,0)))))</f>
      </c>
      <c r="V92" s="1">
        <f>IF($AM44="","",IF(OR(V$51&gt;=6,V$50=1),N(INDEX(MinFrei,MATCH(7,ArbeitNr,0))),N(INDEX(MinWerktag,MATCH(7,ArbeitNr,0)))))</f>
      </c>
      <c r="W92" s="1">
        <f>IF($AM44="","",IF(OR(W$51&gt;=6,W$50=1),N(INDEX(MinFrei,MATCH(7,ArbeitNr,0))),N(INDEX(MinWerktag,MATCH(7,ArbeitNr,0)))))</f>
      </c>
      <c r="X92" s="1">
        <f>IF($AM44="","",IF(OR(X$51&gt;=6,X$50=1),N(INDEX(MinFrei,MATCH(7,ArbeitNr,0))),N(INDEX(MinWerktag,MATCH(7,ArbeitNr,0)))))</f>
      </c>
      <c r="Y92" s="1">
        <f>IF($AM44="","",IF(OR(Y$51&gt;=6,Y$50=1),N(INDEX(MinFrei,MATCH(7,ArbeitNr,0))),N(INDEX(MinWerktag,MATCH(7,ArbeitNr,0)))))</f>
      </c>
      <c r="Z92" s="1">
        <f>IF($AM44="","",IF(OR(Z$51&gt;=6,Z$50=1),N(INDEX(MinFrei,MATCH(7,ArbeitNr,0))),N(INDEX(MinWerktag,MATCH(7,ArbeitNr,0)))))</f>
      </c>
      <c r="AA92" s="1">
        <f>IF($AM44="","",IF(OR(AA$51&gt;=6,AA$50=1),N(INDEX(MinFrei,MATCH(7,ArbeitNr,0))),N(INDEX(MinWerktag,MATCH(7,ArbeitNr,0)))))</f>
      </c>
      <c r="AB92" s="1">
        <f>IF($AM44="","",IF(OR(AB$51&gt;=6,AB$50=1),N(INDEX(MinFrei,MATCH(7,ArbeitNr,0))),N(INDEX(MinWerktag,MATCH(7,ArbeitNr,0)))))</f>
      </c>
      <c r="AC92" s="1">
        <f>IF($AM44="","",IF(OR(AC$51&gt;=6,AC$50=1),N(INDEX(MinFrei,MATCH(7,ArbeitNr,0))),N(INDEX(MinWerktag,MATCH(7,ArbeitNr,0)))))</f>
      </c>
      <c r="AD92" s="1">
        <f>IF($AM44="","",IF(OR(AD$51&gt;=6,AD$50=1),N(INDEX(MinFrei,MATCH(7,ArbeitNr,0))),N(INDEX(MinWerktag,MATCH(7,ArbeitNr,0)))))</f>
      </c>
      <c r="AE92" s="1">
        <f>IF($AM44="","",IF(OR(AE$51&gt;=6,AE$50=1),N(INDEX(MinFrei,MATCH(7,ArbeitNr,0))),N(INDEX(MinWerktag,MATCH(7,ArbeitNr,0)))))</f>
      </c>
      <c r="AF92" s="1">
        <f>IF($AM44="","",IF(OR(AF$51&gt;=6,AF$50=1),N(INDEX(MinFrei,MATCH(7,ArbeitNr,0))),N(INDEX(MinWerktag,MATCH(7,ArbeitNr,0)))))</f>
      </c>
    </row>
    <row r="93" hidden="1" spans="1:32" x14ac:dyDescent="0.25">
      <c r="A93" s="1"/>
      <c r="B93" s="1">
        <f>IF($AM45="","",IF(OR(B$51&gt;=6,B$50=1),N(INDEX(MinFrei,MATCH(8,ArbeitNr,0))),N(INDEX(MinWerktag,MATCH(8,ArbeitNr,0)))))</f>
      </c>
      <c r="C93" s="1">
        <f>IF($AM45="","",IF(OR(C$51&gt;=6,C$50=1),N(INDEX(MinFrei,MATCH(8,ArbeitNr,0))),N(INDEX(MinWerktag,MATCH(8,ArbeitNr,0)))))</f>
      </c>
      <c r="D93" s="1">
        <f>IF($AM45="","",IF(OR(D$51&gt;=6,D$50=1),N(INDEX(MinFrei,MATCH(8,ArbeitNr,0))),N(INDEX(MinWerktag,MATCH(8,ArbeitNr,0)))))</f>
      </c>
      <c r="E93" s="1">
        <f>IF($AM45="","",IF(OR(E$51&gt;=6,E$50=1),N(INDEX(MinFrei,MATCH(8,ArbeitNr,0))),N(INDEX(MinWerktag,MATCH(8,ArbeitNr,0)))))</f>
      </c>
      <c r="F93" s="1">
        <f>IF($AM45="","",IF(OR(F$51&gt;=6,F$50=1),N(INDEX(MinFrei,MATCH(8,ArbeitNr,0))),N(INDEX(MinWerktag,MATCH(8,ArbeitNr,0)))))</f>
      </c>
      <c r="G93" s="1">
        <f>IF($AM45="","",IF(OR(G$51&gt;=6,G$50=1),N(INDEX(MinFrei,MATCH(8,ArbeitNr,0))),N(INDEX(MinWerktag,MATCH(8,ArbeitNr,0)))))</f>
      </c>
      <c r="H93" s="1">
        <f>IF($AM45="","",IF(OR(H$51&gt;=6,H$50=1),N(INDEX(MinFrei,MATCH(8,ArbeitNr,0))),N(INDEX(MinWerktag,MATCH(8,ArbeitNr,0)))))</f>
      </c>
      <c r="I93" s="1">
        <f>IF($AM45="","",IF(OR(I$51&gt;=6,I$50=1),N(INDEX(MinFrei,MATCH(8,ArbeitNr,0))),N(INDEX(MinWerktag,MATCH(8,ArbeitNr,0)))))</f>
      </c>
      <c r="J93" s="1">
        <f>IF($AM45="","",IF(OR(J$51&gt;=6,J$50=1),N(INDEX(MinFrei,MATCH(8,ArbeitNr,0))),N(INDEX(MinWerktag,MATCH(8,ArbeitNr,0)))))</f>
      </c>
      <c r="K93" s="1">
        <f>IF($AM45="","",IF(OR(K$51&gt;=6,K$50=1),N(INDEX(MinFrei,MATCH(8,ArbeitNr,0))),N(INDEX(MinWerktag,MATCH(8,ArbeitNr,0)))))</f>
      </c>
      <c r="L93" s="1">
        <f>IF($AM45="","",IF(OR(L$51&gt;=6,L$50=1),N(INDEX(MinFrei,MATCH(8,ArbeitNr,0))),N(INDEX(MinWerktag,MATCH(8,ArbeitNr,0)))))</f>
      </c>
      <c r="M93" s="1">
        <f>IF($AM45="","",IF(OR(M$51&gt;=6,M$50=1),N(INDEX(MinFrei,MATCH(8,ArbeitNr,0))),N(INDEX(MinWerktag,MATCH(8,ArbeitNr,0)))))</f>
      </c>
      <c r="N93" s="1">
        <f>IF($AM45="","",IF(OR(N$51&gt;=6,N$50=1),N(INDEX(MinFrei,MATCH(8,ArbeitNr,0))),N(INDEX(MinWerktag,MATCH(8,ArbeitNr,0)))))</f>
      </c>
      <c r="O93" s="1">
        <f>IF($AM45="","",IF(OR(O$51&gt;=6,O$50=1),N(INDEX(MinFrei,MATCH(8,ArbeitNr,0))),N(INDEX(MinWerktag,MATCH(8,ArbeitNr,0)))))</f>
      </c>
      <c r="P93" s="1">
        <f>IF($AM45="","",IF(OR(P$51&gt;=6,P$50=1),N(INDEX(MinFrei,MATCH(8,ArbeitNr,0))),N(INDEX(MinWerktag,MATCH(8,ArbeitNr,0)))))</f>
      </c>
      <c r="Q93" s="1">
        <f>IF($AM45="","",IF(OR(Q$51&gt;=6,Q$50=1),N(INDEX(MinFrei,MATCH(8,ArbeitNr,0))),N(INDEX(MinWerktag,MATCH(8,ArbeitNr,0)))))</f>
      </c>
      <c r="R93" s="1">
        <f>IF($AM45="","",IF(OR(R$51&gt;=6,R$50=1),N(INDEX(MinFrei,MATCH(8,ArbeitNr,0))),N(INDEX(MinWerktag,MATCH(8,ArbeitNr,0)))))</f>
      </c>
      <c r="S93" s="1">
        <f>IF($AM45="","",IF(OR(S$51&gt;=6,S$50=1),N(INDEX(MinFrei,MATCH(8,ArbeitNr,0))),N(INDEX(MinWerktag,MATCH(8,ArbeitNr,0)))))</f>
      </c>
      <c r="T93" s="1">
        <f>IF($AM45="","",IF(OR(T$51&gt;=6,T$50=1),N(INDEX(MinFrei,MATCH(8,ArbeitNr,0))),N(INDEX(MinWerktag,MATCH(8,ArbeitNr,0)))))</f>
      </c>
      <c r="U93" s="1">
        <f>IF($AM45="","",IF(OR(U$51&gt;=6,U$50=1),N(INDEX(MinFrei,MATCH(8,ArbeitNr,0))),N(INDEX(MinWerktag,MATCH(8,ArbeitNr,0)))))</f>
      </c>
      <c r="V93" s="1">
        <f>IF($AM45="","",IF(OR(V$51&gt;=6,V$50=1),N(INDEX(MinFrei,MATCH(8,ArbeitNr,0))),N(INDEX(MinWerktag,MATCH(8,ArbeitNr,0)))))</f>
      </c>
      <c r="W93" s="1">
        <f>IF($AM45="","",IF(OR(W$51&gt;=6,W$50=1),N(INDEX(MinFrei,MATCH(8,ArbeitNr,0))),N(INDEX(MinWerktag,MATCH(8,ArbeitNr,0)))))</f>
      </c>
      <c r="X93" s="1">
        <f>IF($AM45="","",IF(OR(X$51&gt;=6,X$50=1),N(INDEX(MinFrei,MATCH(8,ArbeitNr,0))),N(INDEX(MinWerktag,MATCH(8,ArbeitNr,0)))))</f>
      </c>
      <c r="Y93" s="1">
        <f>IF($AM45="","",IF(OR(Y$51&gt;=6,Y$50=1),N(INDEX(MinFrei,MATCH(8,ArbeitNr,0))),N(INDEX(MinWerktag,MATCH(8,ArbeitNr,0)))))</f>
      </c>
      <c r="Z93" s="1">
        <f>IF($AM45="","",IF(OR(Z$51&gt;=6,Z$50=1),N(INDEX(MinFrei,MATCH(8,ArbeitNr,0))),N(INDEX(MinWerktag,MATCH(8,ArbeitNr,0)))))</f>
      </c>
      <c r="AA93" s="1">
        <f>IF($AM45="","",IF(OR(AA$51&gt;=6,AA$50=1),N(INDEX(MinFrei,MATCH(8,ArbeitNr,0))),N(INDEX(MinWerktag,MATCH(8,ArbeitNr,0)))))</f>
      </c>
      <c r="AB93" s="1">
        <f>IF($AM45="","",IF(OR(AB$51&gt;=6,AB$50=1),N(INDEX(MinFrei,MATCH(8,ArbeitNr,0))),N(INDEX(MinWerktag,MATCH(8,ArbeitNr,0)))))</f>
      </c>
      <c r="AC93" s="1">
        <f>IF($AM45="","",IF(OR(AC$51&gt;=6,AC$50=1),N(INDEX(MinFrei,MATCH(8,ArbeitNr,0))),N(INDEX(MinWerktag,MATCH(8,ArbeitNr,0)))))</f>
      </c>
      <c r="AD93" s="1">
        <f>IF($AM45="","",IF(OR(AD$51&gt;=6,AD$50=1),N(INDEX(MinFrei,MATCH(8,ArbeitNr,0))),N(INDEX(MinWerktag,MATCH(8,ArbeitNr,0)))))</f>
      </c>
      <c r="AE93" s="1">
        <f>IF($AM45="","",IF(OR(AE$51&gt;=6,AE$50=1),N(INDEX(MinFrei,MATCH(8,ArbeitNr,0))),N(INDEX(MinWerktag,MATCH(8,ArbeitNr,0)))))</f>
      </c>
      <c r="AF93" s="1">
        <f>IF($AM45="","",IF(OR(AF$51&gt;=6,AF$50=1),N(INDEX(MinFrei,MATCH(8,ArbeitNr,0))),N(INDEX(MinWerktag,MATCH(8,ArbeitNr,0)))))</f>
      </c>
    </row>
  </sheetData>
  <sheetProtection sheet="1" formatCells="0" formatColumns="0" formatRows="0"/>
  <mergeCells count="1">
    <mergeCell ref="B48:U48"/>
  </mergeCells>
  <conditionalFormatting sqref="B6:AF35">
    <cfRule type="expression" dxfId="140" priority="1">
      <formula>B$52=0</formula>
    </cfRule>
    <cfRule type="expression" dxfId="141" priority="2">
      <formula>B55=1</formula>
    </cfRule>
    <cfRule type="expression" dxfId="142" priority="3">
      <formula>AND(B6&lt;&gt;"",UPPER(B6)=UPPER(Einstellungen!$A$9))</formula>
    </cfRule>
    <cfRule type="expression" dxfId="143" priority="4">
      <formula>AND(B6&lt;&gt;"",UPPER(B6)=UPPER(Einstellungen!$A$10))</formula>
    </cfRule>
    <cfRule type="expression" dxfId="144" priority="5">
      <formula>AND(B6&lt;&gt;"",UPPER(B6)=UPPER(Einstellungen!$A$11))</formula>
    </cfRule>
    <cfRule type="expression" dxfId="145" priority="6">
      <formula>AND(B6&lt;&gt;"",UPPER(B6)=UPPER(Einstellungen!$A$12))</formula>
    </cfRule>
    <cfRule type="expression" dxfId="146" priority="7">
      <formula>AND(B6&lt;&gt;"",UPPER(B6)=UPPER(Einstellungen!$A$13))</formula>
    </cfRule>
    <cfRule type="expression" dxfId="147" priority="8">
      <formula>AND(B6&lt;&gt;"",UPPER(B6)=UPPER(Einstellungen!$A$14))</formula>
    </cfRule>
    <cfRule type="expression" dxfId="148" priority="9">
      <formula>AND(B6&lt;&gt;"",UPPER(B6)=UPPER(Einstellungen!$A$15))</formula>
    </cfRule>
    <cfRule type="expression" dxfId="149" priority="10">
      <formula>AND(B6&lt;&gt;"",UPPER(B6)=UPPER(Einstellungen!$A$16))</formula>
    </cfRule>
    <cfRule type="expression" dxfId="150" priority="11">
      <formula>AND(B6&lt;&gt;"",UPPER(B6)=UPPER(Einstellungen!$A$17))</formula>
    </cfRule>
    <cfRule type="expression" dxfId="151" priority="12">
      <formula>AND(B6&lt;&gt;"",UPPER(B6)=UPPER(Einstellungen!$A$18))</formula>
    </cfRule>
    <cfRule type="expression" dxfId="152" priority="13">
      <formula>AND(B6&lt;&gt;"",UPPER(B6)=UPPER(Einstellungen!$A$19))</formula>
    </cfRule>
    <cfRule type="expression" dxfId="153" priority="14">
      <formula>AND(B6&lt;&gt;"",UPPER(B6)=UPPER(Einstellungen!$A$20))</formula>
    </cfRule>
    <cfRule type="expression" dxfId="154" priority="20">
      <formula>B$50=1</formula>
    </cfRule>
    <cfRule type="expression" dxfId="155" priority="21">
      <formula>B$51&gt;=6</formula>
    </cfRule>
  </conditionalFormatting>
  <conditionalFormatting sqref="B4:AF5">
    <cfRule type="expression" dxfId="156" priority="22">
      <formula>B$52=0</formula>
    </cfRule>
    <cfRule type="expression" dxfId="157" priority="23">
      <formula>B$50=1</formula>
    </cfRule>
    <cfRule type="expression" dxfId="158" priority="24">
      <formula>B$51&gt;=6</formula>
    </cfRule>
  </conditionalFormatting>
  <conditionalFormatting sqref="B38:AF45">
    <cfRule type="expression" dxfId="159" priority="25">
      <formula>AND(B38&lt;&gt;"",N(B38)&lt;N(B86))</formula>
    </cfRule>
  </conditionalFormatting>
  <dataValidations count="4">
    <dataValidation type="list" allowBlank="1" showErrorMessage="1" errorTitle="Schicht" error="Bitte ein Kürzel aus den Einstellungen wählen (z. B. F, S, N, U, K)." sqref="AA10:AF35">
      <formula1>Codes</formula1>
    </dataValidation>
    <dataValidation type="list" allowBlank="1" showErrorMessage="1" errorTitle="Schicht" error="Bitte ein Kürzel aus den Einstellungen wählen (z. B. F, S, N, U, K)." sqref="AA6:AF35">
      <formula1>Codes</formula1>
    </dataValidation>
    <dataValidation type="list" allowBlank="1" showErrorMessage="1" errorTitle="Schicht" error="Bitte ein Kürzel aus den Einstellungen wählen (z. B. F, S, N, U, K)." sqref="B10:AF35">
      <formula1>Codes</formula1>
    </dataValidation>
    <dataValidation type="list" allowBlank="1" showErrorMessage="1" errorTitle="Schicht" error="Bitte ein Kürzel aus den Einstellungen wählen (z. B. F, S, N, U, K)." sqref="B6:AF35">
      <formula1>Codes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93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32" width="4.2" customWidth="1"/>
    <col min="36" max="37" width="7" customWidth="1"/>
    <col min="38" max="38" width="30" customWidth="1"/>
    <col min="39" max="39" width="9" hidden="1" customWidth="1"/>
  </cols>
  <sheetData>
    <row r="1" spans="1:1" x14ac:dyDescent="0.25">
      <c r="A1" s="5">
        <f>"Dienstplan September "&amp;Jahr&amp;IF(Team="",""," · "&amp;Team)</f>
      </c>
    </row>
    <row r="2" spans="1:1" x14ac:dyDescent="0.25">
      <c r="A2" s="7">
        <f>IF(Bundesland="","Bitte in den Einstellungen das Bundesland wählen, damit die Feiertage stimmen.","Feiertage: "&amp;Bundesland)</f>
      </c>
    </row>
    <row r="3" spans="1:1" x14ac:dyDescent="0.25">
      <c r="A3" s="30">
        <f>Legende</f>
      </c>
    </row>
    <row r="4" spans="1:32" x14ac:dyDescent="0.25">
      <c r="A4" s="1"/>
      <c r="B4" s="31">
        <f>IF(B$5="","",CHOOSE(WEEKDAY(B$5,2),"Mo","Di","Mi","Do","Fr","Sa","So"))</f>
      </c>
      <c r="C4" s="31">
        <f>IF(C$5="","",CHOOSE(WEEKDAY(C$5,2),"Mo","Di","Mi","Do","Fr","Sa","So"))</f>
      </c>
      <c r="D4" s="31">
        <f>IF(D$5="","",CHOOSE(WEEKDAY(D$5,2),"Mo","Di","Mi","Do","Fr","Sa","So"))</f>
      </c>
      <c r="E4" s="31">
        <f>IF(E$5="","",CHOOSE(WEEKDAY(E$5,2),"Mo","Di","Mi","Do","Fr","Sa","So"))</f>
      </c>
      <c r="F4" s="31">
        <f>IF(F$5="","",CHOOSE(WEEKDAY(F$5,2),"Mo","Di","Mi","Do","Fr","Sa","So"))</f>
      </c>
      <c r="G4" s="31">
        <f>IF(G$5="","",CHOOSE(WEEKDAY(G$5,2),"Mo","Di","Mi","Do","Fr","Sa","So"))</f>
      </c>
      <c r="H4" s="31">
        <f>IF(H$5="","",CHOOSE(WEEKDAY(H$5,2),"Mo","Di","Mi","Do","Fr","Sa","So"))</f>
      </c>
      <c r="I4" s="31">
        <f>IF(I$5="","",CHOOSE(WEEKDAY(I$5,2),"Mo","Di","Mi","Do","Fr","Sa","So"))</f>
      </c>
      <c r="J4" s="31">
        <f>IF(J$5="","",CHOOSE(WEEKDAY(J$5,2),"Mo","Di","Mi","Do","Fr","Sa","So"))</f>
      </c>
      <c r="K4" s="31">
        <f>IF(K$5="","",CHOOSE(WEEKDAY(K$5,2),"Mo","Di","Mi","Do","Fr","Sa","So"))</f>
      </c>
      <c r="L4" s="31">
        <f>IF(L$5="","",CHOOSE(WEEKDAY(L$5,2),"Mo","Di","Mi","Do","Fr","Sa","So"))</f>
      </c>
      <c r="M4" s="31">
        <f>IF(M$5="","",CHOOSE(WEEKDAY(M$5,2),"Mo","Di","Mi","Do","Fr","Sa","So"))</f>
      </c>
      <c r="N4" s="31">
        <f>IF(N$5="","",CHOOSE(WEEKDAY(N$5,2),"Mo","Di","Mi","Do","Fr","Sa","So"))</f>
      </c>
      <c r="O4" s="31">
        <f>IF(O$5="","",CHOOSE(WEEKDAY(O$5,2),"Mo","Di","Mi","Do","Fr","Sa","So"))</f>
      </c>
      <c r="P4" s="31">
        <f>IF(P$5="","",CHOOSE(WEEKDAY(P$5,2),"Mo","Di","Mi","Do","Fr","Sa","So"))</f>
      </c>
      <c r="Q4" s="31">
        <f>IF(Q$5="","",CHOOSE(WEEKDAY(Q$5,2),"Mo","Di","Mi","Do","Fr","Sa","So"))</f>
      </c>
      <c r="R4" s="31">
        <f>IF(R$5="","",CHOOSE(WEEKDAY(R$5,2),"Mo","Di","Mi","Do","Fr","Sa","So"))</f>
      </c>
      <c r="S4" s="31">
        <f>IF(S$5="","",CHOOSE(WEEKDAY(S$5,2),"Mo","Di","Mi","Do","Fr","Sa","So"))</f>
      </c>
      <c r="T4" s="31">
        <f>IF(T$5="","",CHOOSE(WEEKDAY(T$5,2),"Mo","Di","Mi","Do","Fr","Sa","So"))</f>
      </c>
      <c r="U4" s="31">
        <f>IF(U$5="","",CHOOSE(WEEKDAY(U$5,2),"Mo","Di","Mi","Do","Fr","Sa","So"))</f>
      </c>
      <c r="V4" s="31">
        <f>IF(V$5="","",CHOOSE(WEEKDAY(V$5,2),"Mo","Di","Mi","Do","Fr","Sa","So"))</f>
      </c>
      <c r="W4" s="31">
        <f>IF(W$5="","",CHOOSE(WEEKDAY(W$5,2),"Mo","Di","Mi","Do","Fr","Sa","So"))</f>
      </c>
      <c r="X4" s="31">
        <f>IF(X$5="","",CHOOSE(WEEKDAY(X$5,2),"Mo","Di","Mi","Do","Fr","Sa","So"))</f>
      </c>
      <c r="Y4" s="31">
        <f>IF(Y$5="","",CHOOSE(WEEKDAY(Y$5,2),"Mo","Di","Mi","Do","Fr","Sa","So"))</f>
      </c>
      <c r="Z4" s="31">
        <f>IF(Z$5="","",CHOOSE(WEEKDAY(Z$5,2),"Mo","Di","Mi","Do","Fr","Sa","So"))</f>
      </c>
      <c r="AA4" s="31">
        <f>IF(AA$5="","",CHOOSE(WEEKDAY(AA$5,2),"Mo","Di","Mi","Do","Fr","Sa","So"))</f>
      </c>
      <c r="AB4" s="31">
        <f>IF(AB$5="","",CHOOSE(WEEKDAY(AB$5,2),"Mo","Di","Mi","Do","Fr","Sa","So"))</f>
      </c>
      <c r="AC4" s="31">
        <f>IF(AC$5="","",CHOOSE(WEEKDAY(AC$5,2),"Mo","Di","Mi","Do","Fr","Sa","So"))</f>
      </c>
      <c r="AD4" s="31">
        <f>IF(AD$5="","",CHOOSE(WEEKDAY(AD$5,2),"Mo","Di","Mi","Do","Fr","Sa","So"))</f>
      </c>
      <c r="AE4" s="31">
        <f>IF(AE$5="","",CHOOSE(WEEKDAY(AE$5,2),"Mo","Di","Mi","Do","Fr","Sa","So"))</f>
      </c>
      <c r="AF4" s="31">
        <f>IF(AF$5="","",CHOOSE(WEEKDAY(AF$5,2),"Mo","Di","Mi","Do","Fr","Sa","So"))</f>
      </c>
    </row>
    <row r="5" ht="18" customHeight="1" spans="1:38" x14ac:dyDescent="0.25">
      <c r="A5" s="10" t="s">
        <v>52</v>
      </c>
      <c r="B5" s="32">
        <f>IF(MONTH(DATE(Jahr,9,1))=9,DATE(Jahr,9,1),"")</f>
      </c>
      <c r="C5" s="32">
        <f>IF(MONTH(DATE(Jahr,9,2))=9,DATE(Jahr,9,2),"")</f>
      </c>
      <c r="D5" s="32">
        <f>IF(MONTH(DATE(Jahr,9,3))=9,DATE(Jahr,9,3),"")</f>
      </c>
      <c r="E5" s="32">
        <f>IF(MONTH(DATE(Jahr,9,4))=9,DATE(Jahr,9,4),"")</f>
      </c>
      <c r="F5" s="32">
        <f>IF(MONTH(DATE(Jahr,9,5))=9,DATE(Jahr,9,5),"")</f>
      </c>
      <c r="G5" s="32">
        <f>IF(MONTH(DATE(Jahr,9,6))=9,DATE(Jahr,9,6),"")</f>
      </c>
      <c r="H5" s="32">
        <f>IF(MONTH(DATE(Jahr,9,7))=9,DATE(Jahr,9,7),"")</f>
      </c>
      <c r="I5" s="32">
        <f>IF(MONTH(DATE(Jahr,9,8))=9,DATE(Jahr,9,8),"")</f>
      </c>
      <c r="J5" s="32">
        <f>IF(MONTH(DATE(Jahr,9,9))=9,DATE(Jahr,9,9),"")</f>
      </c>
      <c r="K5" s="32">
        <f>IF(MONTH(DATE(Jahr,9,10))=9,DATE(Jahr,9,10),"")</f>
      </c>
      <c r="L5" s="32">
        <f>IF(MONTH(DATE(Jahr,9,11))=9,DATE(Jahr,9,11),"")</f>
      </c>
      <c r="M5" s="32">
        <f>IF(MONTH(DATE(Jahr,9,12))=9,DATE(Jahr,9,12),"")</f>
      </c>
      <c r="N5" s="32">
        <f>IF(MONTH(DATE(Jahr,9,13))=9,DATE(Jahr,9,13),"")</f>
      </c>
      <c r="O5" s="32">
        <f>IF(MONTH(DATE(Jahr,9,14))=9,DATE(Jahr,9,14),"")</f>
      </c>
      <c r="P5" s="32">
        <f>IF(MONTH(DATE(Jahr,9,15))=9,DATE(Jahr,9,15),"")</f>
      </c>
      <c r="Q5" s="32">
        <f>IF(MONTH(DATE(Jahr,9,16))=9,DATE(Jahr,9,16),"")</f>
      </c>
      <c r="R5" s="32">
        <f>IF(MONTH(DATE(Jahr,9,17))=9,DATE(Jahr,9,17),"")</f>
      </c>
      <c r="S5" s="32">
        <f>IF(MONTH(DATE(Jahr,9,18))=9,DATE(Jahr,9,18),"")</f>
      </c>
      <c r="T5" s="32">
        <f>IF(MONTH(DATE(Jahr,9,19))=9,DATE(Jahr,9,19),"")</f>
      </c>
      <c r="U5" s="32">
        <f>IF(MONTH(DATE(Jahr,9,20))=9,DATE(Jahr,9,20),"")</f>
      </c>
      <c r="V5" s="32">
        <f>IF(MONTH(DATE(Jahr,9,21))=9,DATE(Jahr,9,21),"")</f>
      </c>
      <c r="W5" s="32">
        <f>IF(MONTH(DATE(Jahr,9,22))=9,DATE(Jahr,9,22),"")</f>
      </c>
      <c r="X5" s="32">
        <f>IF(MONTH(DATE(Jahr,9,23))=9,DATE(Jahr,9,23),"")</f>
      </c>
      <c r="Y5" s="32">
        <f>IF(MONTH(DATE(Jahr,9,24))=9,DATE(Jahr,9,24),"")</f>
      </c>
      <c r="Z5" s="32">
        <f>IF(MONTH(DATE(Jahr,9,25))=9,DATE(Jahr,9,25),"")</f>
      </c>
      <c r="AA5" s="32">
        <f>IF(MONTH(DATE(Jahr,9,26))=9,DATE(Jahr,9,26),"")</f>
      </c>
      <c r="AB5" s="32">
        <f>IF(MONTH(DATE(Jahr,9,27))=9,DATE(Jahr,9,27),"")</f>
      </c>
      <c r="AC5" s="32">
        <f>IF(MONTH(DATE(Jahr,9,28))=9,DATE(Jahr,9,28),"")</f>
      </c>
      <c r="AD5" s="32">
        <f>IF(MONTH(DATE(Jahr,9,29))=9,DATE(Jahr,9,29),"")</f>
      </c>
      <c r="AE5" s="32">
        <f>IF(MONTH(DATE(Jahr,9,30))=9,DATE(Jahr,9,30),"")</f>
      </c>
      <c r="AF5" s="32">
        <f>IF(MONTH(DATE(Jahr,9,31))=9,DATE(Jahr,9,31),"")</f>
      </c>
      <c r="AG5" s="10" t="s">
        <v>60</v>
      </c>
      <c r="AH5" s="10" t="s">
        <v>61</v>
      </c>
      <c r="AI5" s="10" t="s">
        <v>62</v>
      </c>
      <c r="AJ5" s="10" t="s">
        <v>44</v>
      </c>
      <c r="AK5" s="10" t="s">
        <v>46</v>
      </c>
      <c r="AL5" s="10" t="s">
        <v>33</v>
      </c>
    </row>
    <row r="6" spans="1:38" x14ac:dyDescent="0.25">
      <c r="A6" s="33">
        <f>Mitarbeiter!$A$5&amp;""</f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5">
        <f>IF($A6="","",SUMPRODUCT(COUNTIFS(B6:AF6,Codes,$B$52:$AF$52,1)*(Arten="Arbeit")*Erste*NettoTage)+SUMPRODUCT(COUNTIFS(B6:AF6,Codes,$B$53:$AF$53,1)*((Arten="Urlaub")+(Arten="Krank")+(Arten="Bezahlt abwesend"))*Erste)*N(Mitarbeiter!$B$5)/5/24)</f>
      </c>
      <c r="AH6" s="35">
        <f>IF($A6="","",N(Mitarbeiter!$B$5)/5/24*SUM($B$53:$AF$53))</f>
      </c>
      <c r="AI6" s="36">
        <f>IF($A6="","",IF((AG6-AH6)&lt;0,"-","+")&amp;TEXT(ABS((AG6-AH6)),"[h]:mm"))</f>
      </c>
      <c r="AJ6" s="37">
        <f>IF($A6="","",SUMPRODUCT(COUNTIFS(B6:AF6,Codes,$B$53:$AF$53,1)*(Arten="Urlaub")*Erste))</f>
      </c>
      <c r="AK6" s="37">
        <f>IF($A6="","",SUMPRODUCT(COUNTIFS(B6:AF6,Codes,$B$53:$AF$53,1)*(Arten="Krank")*Erste))</f>
      </c>
      <c r="AL6" s="38">
        <f>IF($A6="","",IF(COUNTIF(B55:AF55,1)&gt;0,COUNTIF(B55:AF55,1)&amp;"× Ruhezeit unter 11 Std. (§ 5)","")&amp;IF((COUNTIFS(B6:AF6,"?*",$B$52:$AF$52,1)-SUMPRODUCT(COUNTIFS(B6:AF6,Codes,$B$52:$AF$52,1)*(Codes&lt;&gt;"")*Erste))&gt;0,IF(COUNTIF(B55:AF55,1)&gt;0,"; ","")&amp;(COUNTIFS(B6:AF6,"?*",$B$52:$AF$52,1)-SUMPRODUCT(COUNTIFS(B6:AF6,Codes,$B$52:$AF$52,1)*(Codes&lt;&gt;"")*Erste))&amp;"× unbekanntes Kürzel",""))</f>
      </c>
    </row>
    <row r="7" spans="1:38" x14ac:dyDescent="0.25">
      <c r="A7" s="33">
        <f>Mitarbeiter!$A$6&amp;""</f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5">
        <f>IF($A7="","",SUMPRODUCT(COUNTIFS(B7:AF7,Codes,$B$52:$AF$52,1)*(Arten="Arbeit")*Erste*NettoTage)+SUMPRODUCT(COUNTIFS(B7:AF7,Codes,$B$53:$AF$53,1)*((Arten="Urlaub")+(Arten="Krank")+(Arten="Bezahlt abwesend"))*Erste)*N(Mitarbeiter!$B$6)/5/24)</f>
      </c>
      <c r="AH7" s="35">
        <f>IF($A7="","",N(Mitarbeiter!$B$6)/5/24*SUM($B$53:$AF$53))</f>
      </c>
      <c r="AI7" s="36">
        <f>IF($A7="","",IF((AG7-AH7)&lt;0,"-","+")&amp;TEXT(ABS((AG7-AH7)),"[h]:mm"))</f>
      </c>
      <c r="AJ7" s="37">
        <f>IF($A7="","",SUMPRODUCT(COUNTIFS(B7:AF7,Codes,$B$53:$AF$53,1)*(Arten="Urlaub")*Erste))</f>
      </c>
      <c r="AK7" s="37">
        <f>IF($A7="","",SUMPRODUCT(COUNTIFS(B7:AF7,Codes,$B$53:$AF$53,1)*(Arten="Krank")*Erste))</f>
      </c>
      <c r="AL7" s="38">
        <f>IF($A7="","",IF(COUNTIF(B56:AF56,1)&gt;0,COUNTIF(B56:AF56,1)&amp;"× Ruhezeit unter 11 Std. (§ 5)","")&amp;IF((COUNTIFS(B7:AF7,"?*",$B$52:$AF$52,1)-SUMPRODUCT(COUNTIFS(B7:AF7,Codes,$B$52:$AF$52,1)*(Codes&lt;&gt;"")*Erste))&gt;0,IF(COUNTIF(B56:AF56,1)&gt;0,"; ","")&amp;(COUNTIFS(B7:AF7,"?*",$B$52:$AF$52,1)-SUMPRODUCT(COUNTIFS(B7:AF7,Codes,$B$52:$AF$52,1)*(Codes&lt;&gt;"")*Erste))&amp;"× unbekanntes Kürzel",""))</f>
      </c>
    </row>
    <row r="8" spans="1:38" x14ac:dyDescent="0.25">
      <c r="A8" s="33">
        <f>Mitarbeiter!$A$7&amp;""</f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5">
        <f>IF($A8="","",SUMPRODUCT(COUNTIFS(B8:AF8,Codes,$B$52:$AF$52,1)*(Arten="Arbeit")*Erste*NettoTage)+SUMPRODUCT(COUNTIFS(B8:AF8,Codes,$B$53:$AF$53,1)*((Arten="Urlaub")+(Arten="Krank")+(Arten="Bezahlt abwesend"))*Erste)*N(Mitarbeiter!$B$7)/5/24)</f>
      </c>
      <c r="AH8" s="35">
        <f>IF($A8="","",N(Mitarbeiter!$B$7)/5/24*SUM($B$53:$AF$53))</f>
      </c>
      <c r="AI8" s="36">
        <f>IF($A8="","",IF((AG8-AH8)&lt;0,"-","+")&amp;TEXT(ABS((AG8-AH8)),"[h]:mm"))</f>
      </c>
      <c r="AJ8" s="37">
        <f>IF($A8="","",SUMPRODUCT(COUNTIFS(B8:AF8,Codes,$B$53:$AF$53,1)*(Arten="Urlaub")*Erste))</f>
      </c>
      <c r="AK8" s="37">
        <f>IF($A8="","",SUMPRODUCT(COUNTIFS(B8:AF8,Codes,$B$53:$AF$53,1)*(Arten="Krank")*Erste))</f>
      </c>
      <c r="AL8" s="38">
        <f>IF($A8="","",IF(COUNTIF(B57:AF57,1)&gt;0,COUNTIF(B57:AF57,1)&amp;"× Ruhezeit unter 11 Std. (§ 5)","")&amp;IF((COUNTIFS(B8:AF8,"?*",$B$52:$AF$52,1)-SUMPRODUCT(COUNTIFS(B8:AF8,Codes,$B$52:$AF$52,1)*(Codes&lt;&gt;"")*Erste))&gt;0,IF(COUNTIF(B57:AF57,1)&gt;0,"; ","")&amp;(COUNTIFS(B8:AF8,"?*",$B$52:$AF$52,1)-SUMPRODUCT(COUNTIFS(B8:AF8,Codes,$B$52:$AF$52,1)*(Codes&lt;&gt;"")*Erste))&amp;"× unbekanntes Kürzel",""))</f>
      </c>
    </row>
    <row r="9" spans="1:38" x14ac:dyDescent="0.25">
      <c r="A9" s="33">
        <f>Mitarbeiter!$A$8&amp;""</f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5">
        <f>IF($A9="","",SUMPRODUCT(COUNTIFS(B9:AF9,Codes,$B$52:$AF$52,1)*(Arten="Arbeit")*Erste*NettoTage)+SUMPRODUCT(COUNTIFS(B9:AF9,Codes,$B$53:$AF$53,1)*((Arten="Urlaub")+(Arten="Krank")+(Arten="Bezahlt abwesend"))*Erste)*N(Mitarbeiter!$B$8)/5/24)</f>
      </c>
      <c r="AH9" s="35">
        <f>IF($A9="","",N(Mitarbeiter!$B$8)/5/24*SUM($B$53:$AF$53))</f>
      </c>
      <c r="AI9" s="36">
        <f>IF($A9="","",IF((AG9-AH9)&lt;0,"-","+")&amp;TEXT(ABS((AG9-AH9)),"[h]:mm"))</f>
      </c>
      <c r="AJ9" s="37">
        <f>IF($A9="","",SUMPRODUCT(COUNTIFS(B9:AF9,Codes,$B$53:$AF$53,1)*(Arten="Urlaub")*Erste))</f>
      </c>
      <c r="AK9" s="37">
        <f>IF($A9="","",SUMPRODUCT(COUNTIFS(B9:AF9,Codes,$B$53:$AF$53,1)*(Arten="Krank")*Erste))</f>
      </c>
      <c r="AL9" s="38">
        <f>IF($A9="","",IF(COUNTIF(B58:AF58,1)&gt;0,COUNTIF(B58:AF58,1)&amp;"× Ruhezeit unter 11 Std. (§ 5)","")&amp;IF((COUNTIFS(B9:AF9,"?*",$B$52:$AF$52,1)-SUMPRODUCT(COUNTIFS(B9:AF9,Codes,$B$52:$AF$52,1)*(Codes&lt;&gt;"")*Erste))&gt;0,IF(COUNTIF(B58:AF58,1)&gt;0,"; ","")&amp;(COUNTIFS(B9:AF9,"?*",$B$52:$AF$52,1)-SUMPRODUCT(COUNTIFS(B9:AF9,Codes,$B$52:$AF$52,1)*(Codes&lt;&gt;"")*Erste))&amp;"× unbekanntes Kürzel",""))</f>
      </c>
    </row>
    <row r="10" spans="1:38" x14ac:dyDescent="0.25">
      <c r="A10" s="33">
        <f>Mitarbeiter!$A$9&amp;""</f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5">
        <f>IF($A10="","",SUMPRODUCT(COUNTIFS(B10:AF10,Codes,$B$52:$AF$52,1)*(Arten="Arbeit")*Erste*NettoTage)+SUMPRODUCT(COUNTIFS(B10:AF10,Codes,$B$53:$AF$53,1)*((Arten="Urlaub")+(Arten="Krank")+(Arten="Bezahlt abwesend"))*Erste)*N(Mitarbeiter!$B$9)/5/24)</f>
      </c>
      <c r="AH10" s="35">
        <f>IF($A10="","",N(Mitarbeiter!$B$9)/5/24*SUM($B$53:$AF$53))</f>
      </c>
      <c r="AI10" s="36">
        <f>IF($A10="","",IF((AG10-AH10)&lt;0,"-","+")&amp;TEXT(ABS((AG10-AH10)),"[h]:mm"))</f>
      </c>
      <c r="AJ10" s="37">
        <f>IF($A10="","",SUMPRODUCT(COUNTIFS(B10:AF10,Codes,$B$53:$AF$53,1)*(Arten="Urlaub")*Erste))</f>
      </c>
      <c r="AK10" s="37">
        <f>IF($A10="","",SUMPRODUCT(COUNTIFS(B10:AF10,Codes,$B$53:$AF$53,1)*(Arten="Krank")*Erste))</f>
      </c>
      <c r="AL10" s="38">
        <f>IF($A10="","",IF(COUNTIF(B59:AF59,1)&gt;0,COUNTIF(B59:AF59,1)&amp;"× Ruhezeit unter 11 Std. (§ 5)","")&amp;IF((COUNTIFS(B10:AF10,"?*",$B$52:$AF$52,1)-SUMPRODUCT(COUNTIFS(B10:AF10,Codes,$B$52:$AF$52,1)*(Codes&lt;&gt;"")*Erste))&gt;0,IF(COUNTIF(B59:AF59,1)&gt;0,"; ","")&amp;(COUNTIFS(B10:AF10,"?*",$B$52:$AF$52,1)-SUMPRODUCT(COUNTIFS(B10:AF10,Codes,$B$52:$AF$52,1)*(Codes&lt;&gt;"")*Erste))&amp;"× unbekanntes Kürzel",""))</f>
      </c>
    </row>
    <row r="11" spans="1:38" x14ac:dyDescent="0.25">
      <c r="A11" s="33">
        <f>Mitarbeiter!$A$10&amp;""</f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5">
        <f>IF($A11="","",SUMPRODUCT(COUNTIFS(B11:AF11,Codes,$B$52:$AF$52,1)*(Arten="Arbeit")*Erste*NettoTage)+SUMPRODUCT(COUNTIFS(B11:AF11,Codes,$B$53:$AF$53,1)*((Arten="Urlaub")+(Arten="Krank")+(Arten="Bezahlt abwesend"))*Erste)*N(Mitarbeiter!$B$10)/5/24)</f>
      </c>
      <c r="AH11" s="35">
        <f>IF($A11="","",N(Mitarbeiter!$B$10)/5/24*SUM($B$53:$AF$53))</f>
      </c>
      <c r="AI11" s="36">
        <f>IF($A11="","",IF((AG11-AH11)&lt;0,"-","+")&amp;TEXT(ABS((AG11-AH11)),"[h]:mm"))</f>
      </c>
      <c r="AJ11" s="37">
        <f>IF($A11="","",SUMPRODUCT(COUNTIFS(B11:AF11,Codes,$B$53:$AF$53,1)*(Arten="Urlaub")*Erste))</f>
      </c>
      <c r="AK11" s="37">
        <f>IF($A11="","",SUMPRODUCT(COUNTIFS(B11:AF11,Codes,$B$53:$AF$53,1)*(Arten="Krank")*Erste))</f>
      </c>
      <c r="AL11" s="38">
        <f>IF($A11="","",IF(COUNTIF(B60:AF60,1)&gt;0,COUNTIF(B60:AF60,1)&amp;"× Ruhezeit unter 11 Std. (§ 5)","")&amp;IF((COUNTIFS(B11:AF11,"?*",$B$52:$AF$52,1)-SUMPRODUCT(COUNTIFS(B11:AF11,Codes,$B$52:$AF$52,1)*(Codes&lt;&gt;"")*Erste))&gt;0,IF(COUNTIF(B60:AF60,1)&gt;0,"; ","")&amp;(COUNTIFS(B11:AF11,"?*",$B$52:$AF$52,1)-SUMPRODUCT(COUNTIFS(B11:AF11,Codes,$B$52:$AF$52,1)*(Codes&lt;&gt;"")*Erste))&amp;"× unbekanntes Kürzel",""))</f>
      </c>
    </row>
    <row r="12" spans="1:38" x14ac:dyDescent="0.25">
      <c r="A12" s="33">
        <f>Mitarbeiter!$A$11&amp;""</f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5">
        <f>IF($A12="","",SUMPRODUCT(COUNTIFS(B12:AF12,Codes,$B$52:$AF$52,1)*(Arten="Arbeit")*Erste*NettoTage)+SUMPRODUCT(COUNTIFS(B12:AF12,Codes,$B$53:$AF$53,1)*((Arten="Urlaub")+(Arten="Krank")+(Arten="Bezahlt abwesend"))*Erste)*N(Mitarbeiter!$B$11)/5/24)</f>
      </c>
      <c r="AH12" s="35">
        <f>IF($A12="","",N(Mitarbeiter!$B$11)/5/24*SUM($B$53:$AF$53))</f>
      </c>
      <c r="AI12" s="36">
        <f>IF($A12="","",IF((AG12-AH12)&lt;0,"-","+")&amp;TEXT(ABS((AG12-AH12)),"[h]:mm"))</f>
      </c>
      <c r="AJ12" s="37">
        <f>IF($A12="","",SUMPRODUCT(COUNTIFS(B12:AF12,Codes,$B$53:$AF$53,1)*(Arten="Urlaub")*Erste))</f>
      </c>
      <c r="AK12" s="37">
        <f>IF($A12="","",SUMPRODUCT(COUNTIFS(B12:AF12,Codes,$B$53:$AF$53,1)*(Arten="Krank")*Erste))</f>
      </c>
      <c r="AL12" s="38">
        <f>IF($A12="","",IF(COUNTIF(B61:AF61,1)&gt;0,COUNTIF(B61:AF61,1)&amp;"× Ruhezeit unter 11 Std. (§ 5)","")&amp;IF((COUNTIFS(B12:AF12,"?*",$B$52:$AF$52,1)-SUMPRODUCT(COUNTIFS(B12:AF12,Codes,$B$52:$AF$52,1)*(Codes&lt;&gt;"")*Erste))&gt;0,IF(COUNTIF(B61:AF61,1)&gt;0,"; ","")&amp;(COUNTIFS(B12:AF12,"?*",$B$52:$AF$52,1)-SUMPRODUCT(COUNTIFS(B12:AF12,Codes,$B$52:$AF$52,1)*(Codes&lt;&gt;"")*Erste))&amp;"× unbekanntes Kürzel",""))</f>
      </c>
    </row>
    <row r="13" spans="1:38" x14ac:dyDescent="0.25">
      <c r="A13" s="33">
        <f>Mitarbeiter!$A$12&amp;""</f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5">
        <f>IF($A13="","",SUMPRODUCT(COUNTIFS(B13:AF13,Codes,$B$52:$AF$52,1)*(Arten="Arbeit")*Erste*NettoTage)+SUMPRODUCT(COUNTIFS(B13:AF13,Codes,$B$53:$AF$53,1)*((Arten="Urlaub")+(Arten="Krank")+(Arten="Bezahlt abwesend"))*Erste)*N(Mitarbeiter!$B$12)/5/24)</f>
      </c>
      <c r="AH13" s="35">
        <f>IF($A13="","",N(Mitarbeiter!$B$12)/5/24*SUM($B$53:$AF$53))</f>
      </c>
      <c r="AI13" s="36">
        <f>IF($A13="","",IF((AG13-AH13)&lt;0,"-","+")&amp;TEXT(ABS((AG13-AH13)),"[h]:mm"))</f>
      </c>
      <c r="AJ13" s="37">
        <f>IF($A13="","",SUMPRODUCT(COUNTIFS(B13:AF13,Codes,$B$53:$AF$53,1)*(Arten="Urlaub")*Erste))</f>
      </c>
      <c r="AK13" s="37">
        <f>IF($A13="","",SUMPRODUCT(COUNTIFS(B13:AF13,Codes,$B$53:$AF$53,1)*(Arten="Krank")*Erste))</f>
      </c>
      <c r="AL13" s="38">
        <f>IF($A13="","",IF(COUNTIF(B62:AF62,1)&gt;0,COUNTIF(B62:AF62,1)&amp;"× Ruhezeit unter 11 Std. (§ 5)","")&amp;IF((COUNTIFS(B13:AF13,"?*",$B$52:$AF$52,1)-SUMPRODUCT(COUNTIFS(B13:AF13,Codes,$B$52:$AF$52,1)*(Codes&lt;&gt;"")*Erste))&gt;0,IF(COUNTIF(B62:AF62,1)&gt;0,"; ","")&amp;(COUNTIFS(B13:AF13,"?*",$B$52:$AF$52,1)-SUMPRODUCT(COUNTIFS(B13:AF13,Codes,$B$52:$AF$52,1)*(Codes&lt;&gt;"")*Erste))&amp;"× unbekanntes Kürzel",""))</f>
      </c>
    </row>
    <row r="14" spans="1:38" x14ac:dyDescent="0.25">
      <c r="A14" s="33">
        <f>Mitarbeiter!$A$13&amp;""</f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5">
        <f>IF($A14="","",SUMPRODUCT(COUNTIFS(B14:AF14,Codes,$B$52:$AF$52,1)*(Arten="Arbeit")*Erste*NettoTage)+SUMPRODUCT(COUNTIFS(B14:AF14,Codes,$B$53:$AF$53,1)*((Arten="Urlaub")+(Arten="Krank")+(Arten="Bezahlt abwesend"))*Erste)*N(Mitarbeiter!$B$13)/5/24)</f>
      </c>
      <c r="AH14" s="35">
        <f>IF($A14="","",N(Mitarbeiter!$B$13)/5/24*SUM($B$53:$AF$53))</f>
      </c>
      <c r="AI14" s="36">
        <f>IF($A14="","",IF((AG14-AH14)&lt;0,"-","+")&amp;TEXT(ABS((AG14-AH14)),"[h]:mm"))</f>
      </c>
      <c r="AJ14" s="37">
        <f>IF($A14="","",SUMPRODUCT(COUNTIFS(B14:AF14,Codes,$B$53:$AF$53,1)*(Arten="Urlaub")*Erste))</f>
      </c>
      <c r="AK14" s="37">
        <f>IF($A14="","",SUMPRODUCT(COUNTIFS(B14:AF14,Codes,$B$53:$AF$53,1)*(Arten="Krank")*Erste))</f>
      </c>
      <c r="AL14" s="38">
        <f>IF($A14="","",IF(COUNTIF(B63:AF63,1)&gt;0,COUNTIF(B63:AF63,1)&amp;"× Ruhezeit unter 11 Std. (§ 5)","")&amp;IF((COUNTIFS(B14:AF14,"?*",$B$52:$AF$52,1)-SUMPRODUCT(COUNTIFS(B14:AF14,Codes,$B$52:$AF$52,1)*(Codes&lt;&gt;"")*Erste))&gt;0,IF(COUNTIF(B63:AF63,1)&gt;0,"; ","")&amp;(COUNTIFS(B14:AF14,"?*",$B$52:$AF$52,1)-SUMPRODUCT(COUNTIFS(B14:AF14,Codes,$B$52:$AF$52,1)*(Codes&lt;&gt;"")*Erste))&amp;"× unbekanntes Kürzel",""))</f>
      </c>
    </row>
    <row r="15" spans="1:38" x14ac:dyDescent="0.25">
      <c r="A15" s="33">
        <f>Mitarbeiter!$A$14&amp;""</f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5">
        <f>IF($A15="","",SUMPRODUCT(COUNTIFS(B15:AF15,Codes,$B$52:$AF$52,1)*(Arten="Arbeit")*Erste*NettoTage)+SUMPRODUCT(COUNTIFS(B15:AF15,Codes,$B$53:$AF$53,1)*((Arten="Urlaub")+(Arten="Krank")+(Arten="Bezahlt abwesend"))*Erste)*N(Mitarbeiter!$B$14)/5/24)</f>
      </c>
      <c r="AH15" s="35">
        <f>IF($A15="","",N(Mitarbeiter!$B$14)/5/24*SUM($B$53:$AF$53))</f>
      </c>
      <c r="AI15" s="36">
        <f>IF($A15="","",IF((AG15-AH15)&lt;0,"-","+")&amp;TEXT(ABS((AG15-AH15)),"[h]:mm"))</f>
      </c>
      <c r="AJ15" s="37">
        <f>IF($A15="","",SUMPRODUCT(COUNTIFS(B15:AF15,Codes,$B$53:$AF$53,1)*(Arten="Urlaub")*Erste))</f>
      </c>
      <c r="AK15" s="37">
        <f>IF($A15="","",SUMPRODUCT(COUNTIFS(B15:AF15,Codes,$B$53:$AF$53,1)*(Arten="Krank")*Erste))</f>
      </c>
      <c r="AL15" s="38">
        <f>IF($A15="","",IF(COUNTIF(B64:AF64,1)&gt;0,COUNTIF(B64:AF64,1)&amp;"× Ruhezeit unter 11 Std. (§ 5)","")&amp;IF((COUNTIFS(B15:AF15,"?*",$B$52:$AF$52,1)-SUMPRODUCT(COUNTIFS(B15:AF15,Codes,$B$52:$AF$52,1)*(Codes&lt;&gt;"")*Erste))&gt;0,IF(COUNTIF(B64:AF64,1)&gt;0,"; ","")&amp;(COUNTIFS(B15:AF15,"?*",$B$52:$AF$52,1)-SUMPRODUCT(COUNTIFS(B15:AF15,Codes,$B$52:$AF$52,1)*(Codes&lt;&gt;"")*Erste))&amp;"× unbekanntes Kürzel",""))</f>
      </c>
    </row>
    <row r="16" spans="1:38" x14ac:dyDescent="0.25">
      <c r="A16" s="33">
        <f>Mitarbeiter!$A$15&amp;""</f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5">
        <f>IF($A16="","",SUMPRODUCT(COUNTIFS(B16:AF16,Codes,$B$52:$AF$52,1)*(Arten="Arbeit")*Erste*NettoTage)+SUMPRODUCT(COUNTIFS(B16:AF16,Codes,$B$53:$AF$53,1)*((Arten="Urlaub")+(Arten="Krank")+(Arten="Bezahlt abwesend"))*Erste)*N(Mitarbeiter!$B$15)/5/24)</f>
      </c>
      <c r="AH16" s="35">
        <f>IF($A16="","",N(Mitarbeiter!$B$15)/5/24*SUM($B$53:$AF$53))</f>
      </c>
      <c r="AI16" s="36">
        <f>IF($A16="","",IF((AG16-AH16)&lt;0,"-","+")&amp;TEXT(ABS((AG16-AH16)),"[h]:mm"))</f>
      </c>
      <c r="AJ16" s="37">
        <f>IF($A16="","",SUMPRODUCT(COUNTIFS(B16:AF16,Codes,$B$53:$AF$53,1)*(Arten="Urlaub")*Erste))</f>
      </c>
      <c r="AK16" s="37">
        <f>IF($A16="","",SUMPRODUCT(COUNTIFS(B16:AF16,Codes,$B$53:$AF$53,1)*(Arten="Krank")*Erste))</f>
      </c>
      <c r="AL16" s="38">
        <f>IF($A16="","",IF(COUNTIF(B65:AF65,1)&gt;0,COUNTIF(B65:AF65,1)&amp;"× Ruhezeit unter 11 Std. (§ 5)","")&amp;IF((COUNTIFS(B16:AF16,"?*",$B$52:$AF$52,1)-SUMPRODUCT(COUNTIFS(B16:AF16,Codes,$B$52:$AF$52,1)*(Codes&lt;&gt;"")*Erste))&gt;0,IF(COUNTIF(B65:AF65,1)&gt;0,"; ","")&amp;(COUNTIFS(B16:AF16,"?*",$B$52:$AF$52,1)-SUMPRODUCT(COUNTIFS(B16:AF16,Codes,$B$52:$AF$52,1)*(Codes&lt;&gt;"")*Erste))&amp;"× unbekanntes Kürzel",""))</f>
      </c>
    </row>
    <row r="17" spans="1:38" x14ac:dyDescent="0.25">
      <c r="A17" s="33">
        <f>Mitarbeiter!$A$16&amp;""</f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5">
        <f>IF($A17="","",SUMPRODUCT(COUNTIFS(B17:AF17,Codes,$B$52:$AF$52,1)*(Arten="Arbeit")*Erste*NettoTage)+SUMPRODUCT(COUNTIFS(B17:AF17,Codes,$B$53:$AF$53,1)*((Arten="Urlaub")+(Arten="Krank")+(Arten="Bezahlt abwesend"))*Erste)*N(Mitarbeiter!$B$16)/5/24)</f>
      </c>
      <c r="AH17" s="35">
        <f>IF($A17="","",N(Mitarbeiter!$B$16)/5/24*SUM($B$53:$AF$53))</f>
      </c>
      <c r="AI17" s="36">
        <f>IF($A17="","",IF((AG17-AH17)&lt;0,"-","+")&amp;TEXT(ABS((AG17-AH17)),"[h]:mm"))</f>
      </c>
      <c r="AJ17" s="37">
        <f>IF($A17="","",SUMPRODUCT(COUNTIFS(B17:AF17,Codes,$B$53:$AF$53,1)*(Arten="Urlaub")*Erste))</f>
      </c>
      <c r="AK17" s="37">
        <f>IF($A17="","",SUMPRODUCT(COUNTIFS(B17:AF17,Codes,$B$53:$AF$53,1)*(Arten="Krank")*Erste))</f>
      </c>
      <c r="AL17" s="38">
        <f>IF($A17="","",IF(COUNTIF(B66:AF66,1)&gt;0,COUNTIF(B66:AF66,1)&amp;"× Ruhezeit unter 11 Std. (§ 5)","")&amp;IF((COUNTIFS(B17:AF17,"?*",$B$52:$AF$52,1)-SUMPRODUCT(COUNTIFS(B17:AF17,Codes,$B$52:$AF$52,1)*(Codes&lt;&gt;"")*Erste))&gt;0,IF(COUNTIF(B66:AF66,1)&gt;0,"; ","")&amp;(COUNTIFS(B17:AF17,"?*",$B$52:$AF$52,1)-SUMPRODUCT(COUNTIFS(B17:AF17,Codes,$B$52:$AF$52,1)*(Codes&lt;&gt;"")*Erste))&amp;"× unbekanntes Kürzel",""))</f>
      </c>
    </row>
    <row r="18" spans="1:38" x14ac:dyDescent="0.25">
      <c r="A18" s="33">
        <f>Mitarbeiter!$A$17&amp;""</f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5">
        <f>IF($A18="","",SUMPRODUCT(COUNTIFS(B18:AF18,Codes,$B$52:$AF$52,1)*(Arten="Arbeit")*Erste*NettoTage)+SUMPRODUCT(COUNTIFS(B18:AF18,Codes,$B$53:$AF$53,1)*((Arten="Urlaub")+(Arten="Krank")+(Arten="Bezahlt abwesend"))*Erste)*N(Mitarbeiter!$B$17)/5/24)</f>
      </c>
      <c r="AH18" s="35">
        <f>IF($A18="","",N(Mitarbeiter!$B$17)/5/24*SUM($B$53:$AF$53))</f>
      </c>
      <c r="AI18" s="36">
        <f>IF($A18="","",IF((AG18-AH18)&lt;0,"-","+")&amp;TEXT(ABS((AG18-AH18)),"[h]:mm"))</f>
      </c>
      <c r="AJ18" s="37">
        <f>IF($A18="","",SUMPRODUCT(COUNTIFS(B18:AF18,Codes,$B$53:$AF$53,1)*(Arten="Urlaub")*Erste))</f>
      </c>
      <c r="AK18" s="37">
        <f>IF($A18="","",SUMPRODUCT(COUNTIFS(B18:AF18,Codes,$B$53:$AF$53,1)*(Arten="Krank")*Erste))</f>
      </c>
      <c r="AL18" s="38">
        <f>IF($A18="","",IF(COUNTIF(B67:AF67,1)&gt;0,COUNTIF(B67:AF67,1)&amp;"× Ruhezeit unter 11 Std. (§ 5)","")&amp;IF((COUNTIFS(B18:AF18,"?*",$B$52:$AF$52,1)-SUMPRODUCT(COUNTIFS(B18:AF18,Codes,$B$52:$AF$52,1)*(Codes&lt;&gt;"")*Erste))&gt;0,IF(COUNTIF(B67:AF67,1)&gt;0,"; ","")&amp;(COUNTIFS(B18:AF18,"?*",$B$52:$AF$52,1)-SUMPRODUCT(COUNTIFS(B18:AF18,Codes,$B$52:$AF$52,1)*(Codes&lt;&gt;"")*Erste))&amp;"× unbekanntes Kürzel",""))</f>
      </c>
    </row>
    <row r="19" spans="1:38" x14ac:dyDescent="0.25">
      <c r="A19" s="33">
        <f>Mitarbeiter!$A$18&amp;""</f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5">
        <f>IF($A19="","",SUMPRODUCT(COUNTIFS(B19:AF19,Codes,$B$52:$AF$52,1)*(Arten="Arbeit")*Erste*NettoTage)+SUMPRODUCT(COUNTIFS(B19:AF19,Codes,$B$53:$AF$53,1)*((Arten="Urlaub")+(Arten="Krank")+(Arten="Bezahlt abwesend"))*Erste)*N(Mitarbeiter!$B$18)/5/24)</f>
      </c>
      <c r="AH19" s="35">
        <f>IF($A19="","",N(Mitarbeiter!$B$18)/5/24*SUM($B$53:$AF$53))</f>
      </c>
      <c r="AI19" s="36">
        <f>IF($A19="","",IF((AG19-AH19)&lt;0,"-","+")&amp;TEXT(ABS((AG19-AH19)),"[h]:mm"))</f>
      </c>
      <c r="AJ19" s="37">
        <f>IF($A19="","",SUMPRODUCT(COUNTIFS(B19:AF19,Codes,$B$53:$AF$53,1)*(Arten="Urlaub")*Erste))</f>
      </c>
      <c r="AK19" s="37">
        <f>IF($A19="","",SUMPRODUCT(COUNTIFS(B19:AF19,Codes,$B$53:$AF$53,1)*(Arten="Krank")*Erste))</f>
      </c>
      <c r="AL19" s="38">
        <f>IF($A19="","",IF(COUNTIF(B68:AF68,1)&gt;0,COUNTIF(B68:AF68,1)&amp;"× Ruhezeit unter 11 Std. (§ 5)","")&amp;IF((COUNTIFS(B19:AF19,"?*",$B$52:$AF$52,1)-SUMPRODUCT(COUNTIFS(B19:AF19,Codes,$B$52:$AF$52,1)*(Codes&lt;&gt;"")*Erste))&gt;0,IF(COUNTIF(B68:AF68,1)&gt;0,"; ","")&amp;(COUNTIFS(B19:AF19,"?*",$B$52:$AF$52,1)-SUMPRODUCT(COUNTIFS(B19:AF19,Codes,$B$52:$AF$52,1)*(Codes&lt;&gt;"")*Erste))&amp;"× unbekanntes Kürzel",""))</f>
      </c>
    </row>
    <row r="20" spans="1:38" x14ac:dyDescent="0.25">
      <c r="A20" s="33">
        <f>Mitarbeiter!$A$19&amp;""</f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5">
        <f>IF($A20="","",SUMPRODUCT(COUNTIFS(B20:AF20,Codes,$B$52:$AF$52,1)*(Arten="Arbeit")*Erste*NettoTage)+SUMPRODUCT(COUNTIFS(B20:AF20,Codes,$B$53:$AF$53,1)*((Arten="Urlaub")+(Arten="Krank")+(Arten="Bezahlt abwesend"))*Erste)*N(Mitarbeiter!$B$19)/5/24)</f>
      </c>
      <c r="AH20" s="35">
        <f>IF($A20="","",N(Mitarbeiter!$B$19)/5/24*SUM($B$53:$AF$53))</f>
      </c>
      <c r="AI20" s="36">
        <f>IF($A20="","",IF((AG20-AH20)&lt;0,"-","+")&amp;TEXT(ABS((AG20-AH20)),"[h]:mm"))</f>
      </c>
      <c r="AJ20" s="37">
        <f>IF($A20="","",SUMPRODUCT(COUNTIFS(B20:AF20,Codes,$B$53:$AF$53,1)*(Arten="Urlaub")*Erste))</f>
      </c>
      <c r="AK20" s="37">
        <f>IF($A20="","",SUMPRODUCT(COUNTIFS(B20:AF20,Codes,$B$53:$AF$53,1)*(Arten="Krank")*Erste))</f>
      </c>
      <c r="AL20" s="38">
        <f>IF($A20="","",IF(COUNTIF(B69:AF69,1)&gt;0,COUNTIF(B69:AF69,1)&amp;"× Ruhezeit unter 11 Std. (§ 5)","")&amp;IF((COUNTIFS(B20:AF20,"?*",$B$52:$AF$52,1)-SUMPRODUCT(COUNTIFS(B20:AF20,Codes,$B$52:$AF$52,1)*(Codes&lt;&gt;"")*Erste))&gt;0,IF(COUNTIF(B69:AF69,1)&gt;0,"; ","")&amp;(COUNTIFS(B20:AF20,"?*",$B$52:$AF$52,1)-SUMPRODUCT(COUNTIFS(B20:AF20,Codes,$B$52:$AF$52,1)*(Codes&lt;&gt;"")*Erste))&amp;"× unbekanntes Kürzel",""))</f>
      </c>
    </row>
    <row r="21" spans="1:38" x14ac:dyDescent="0.25">
      <c r="A21" s="33">
        <f>Mitarbeiter!$A$20&amp;""</f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5">
        <f>IF($A21="","",SUMPRODUCT(COUNTIFS(B21:AF21,Codes,$B$52:$AF$52,1)*(Arten="Arbeit")*Erste*NettoTage)+SUMPRODUCT(COUNTIFS(B21:AF21,Codes,$B$53:$AF$53,1)*((Arten="Urlaub")+(Arten="Krank")+(Arten="Bezahlt abwesend"))*Erste)*N(Mitarbeiter!$B$20)/5/24)</f>
      </c>
      <c r="AH21" s="35">
        <f>IF($A21="","",N(Mitarbeiter!$B$20)/5/24*SUM($B$53:$AF$53))</f>
      </c>
      <c r="AI21" s="36">
        <f>IF($A21="","",IF((AG21-AH21)&lt;0,"-","+")&amp;TEXT(ABS((AG21-AH21)),"[h]:mm"))</f>
      </c>
      <c r="AJ21" s="37">
        <f>IF($A21="","",SUMPRODUCT(COUNTIFS(B21:AF21,Codes,$B$53:$AF$53,1)*(Arten="Urlaub")*Erste))</f>
      </c>
      <c r="AK21" s="37">
        <f>IF($A21="","",SUMPRODUCT(COUNTIFS(B21:AF21,Codes,$B$53:$AF$53,1)*(Arten="Krank")*Erste))</f>
      </c>
      <c r="AL21" s="38">
        <f>IF($A21="","",IF(COUNTIF(B70:AF70,1)&gt;0,COUNTIF(B70:AF70,1)&amp;"× Ruhezeit unter 11 Std. (§ 5)","")&amp;IF((COUNTIFS(B21:AF21,"?*",$B$52:$AF$52,1)-SUMPRODUCT(COUNTIFS(B21:AF21,Codes,$B$52:$AF$52,1)*(Codes&lt;&gt;"")*Erste))&gt;0,IF(COUNTIF(B70:AF70,1)&gt;0,"; ","")&amp;(COUNTIFS(B21:AF21,"?*",$B$52:$AF$52,1)-SUMPRODUCT(COUNTIFS(B21:AF21,Codes,$B$52:$AF$52,1)*(Codes&lt;&gt;"")*Erste))&amp;"× unbekanntes Kürzel",""))</f>
      </c>
    </row>
    <row r="22" spans="1:38" x14ac:dyDescent="0.25">
      <c r="A22" s="33">
        <f>Mitarbeiter!$A$21&amp;""</f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5">
        <f>IF($A22="","",SUMPRODUCT(COUNTIFS(B22:AF22,Codes,$B$52:$AF$52,1)*(Arten="Arbeit")*Erste*NettoTage)+SUMPRODUCT(COUNTIFS(B22:AF22,Codes,$B$53:$AF$53,1)*((Arten="Urlaub")+(Arten="Krank")+(Arten="Bezahlt abwesend"))*Erste)*N(Mitarbeiter!$B$21)/5/24)</f>
      </c>
      <c r="AH22" s="35">
        <f>IF($A22="","",N(Mitarbeiter!$B$21)/5/24*SUM($B$53:$AF$53))</f>
      </c>
      <c r="AI22" s="36">
        <f>IF($A22="","",IF((AG22-AH22)&lt;0,"-","+")&amp;TEXT(ABS((AG22-AH22)),"[h]:mm"))</f>
      </c>
      <c r="AJ22" s="37">
        <f>IF($A22="","",SUMPRODUCT(COUNTIFS(B22:AF22,Codes,$B$53:$AF$53,1)*(Arten="Urlaub")*Erste))</f>
      </c>
      <c r="AK22" s="37">
        <f>IF($A22="","",SUMPRODUCT(COUNTIFS(B22:AF22,Codes,$B$53:$AF$53,1)*(Arten="Krank")*Erste))</f>
      </c>
      <c r="AL22" s="38">
        <f>IF($A22="","",IF(COUNTIF(B71:AF71,1)&gt;0,COUNTIF(B71:AF71,1)&amp;"× Ruhezeit unter 11 Std. (§ 5)","")&amp;IF((COUNTIFS(B22:AF22,"?*",$B$52:$AF$52,1)-SUMPRODUCT(COUNTIFS(B22:AF22,Codes,$B$52:$AF$52,1)*(Codes&lt;&gt;"")*Erste))&gt;0,IF(COUNTIF(B71:AF71,1)&gt;0,"; ","")&amp;(COUNTIFS(B22:AF22,"?*",$B$52:$AF$52,1)-SUMPRODUCT(COUNTIFS(B22:AF22,Codes,$B$52:$AF$52,1)*(Codes&lt;&gt;"")*Erste))&amp;"× unbekanntes Kürzel",""))</f>
      </c>
    </row>
    <row r="23" spans="1:38" x14ac:dyDescent="0.25">
      <c r="A23" s="33">
        <f>Mitarbeiter!$A$22&amp;""</f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5">
        <f>IF($A23="","",SUMPRODUCT(COUNTIFS(B23:AF23,Codes,$B$52:$AF$52,1)*(Arten="Arbeit")*Erste*NettoTage)+SUMPRODUCT(COUNTIFS(B23:AF23,Codes,$B$53:$AF$53,1)*((Arten="Urlaub")+(Arten="Krank")+(Arten="Bezahlt abwesend"))*Erste)*N(Mitarbeiter!$B$22)/5/24)</f>
      </c>
      <c r="AH23" s="35">
        <f>IF($A23="","",N(Mitarbeiter!$B$22)/5/24*SUM($B$53:$AF$53))</f>
      </c>
      <c r="AI23" s="36">
        <f>IF($A23="","",IF((AG23-AH23)&lt;0,"-","+")&amp;TEXT(ABS((AG23-AH23)),"[h]:mm"))</f>
      </c>
      <c r="AJ23" s="37">
        <f>IF($A23="","",SUMPRODUCT(COUNTIFS(B23:AF23,Codes,$B$53:$AF$53,1)*(Arten="Urlaub")*Erste))</f>
      </c>
      <c r="AK23" s="37">
        <f>IF($A23="","",SUMPRODUCT(COUNTIFS(B23:AF23,Codes,$B$53:$AF$53,1)*(Arten="Krank")*Erste))</f>
      </c>
      <c r="AL23" s="38">
        <f>IF($A23="","",IF(COUNTIF(B72:AF72,1)&gt;0,COUNTIF(B72:AF72,1)&amp;"× Ruhezeit unter 11 Std. (§ 5)","")&amp;IF((COUNTIFS(B23:AF23,"?*",$B$52:$AF$52,1)-SUMPRODUCT(COUNTIFS(B23:AF23,Codes,$B$52:$AF$52,1)*(Codes&lt;&gt;"")*Erste))&gt;0,IF(COUNTIF(B72:AF72,1)&gt;0,"; ","")&amp;(COUNTIFS(B23:AF23,"?*",$B$52:$AF$52,1)-SUMPRODUCT(COUNTIFS(B23:AF23,Codes,$B$52:$AF$52,1)*(Codes&lt;&gt;"")*Erste))&amp;"× unbekanntes Kürzel",""))</f>
      </c>
    </row>
    <row r="24" spans="1:38" x14ac:dyDescent="0.25">
      <c r="A24" s="33">
        <f>Mitarbeiter!$A$23&amp;""</f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5">
        <f>IF($A24="","",SUMPRODUCT(COUNTIFS(B24:AF24,Codes,$B$52:$AF$52,1)*(Arten="Arbeit")*Erste*NettoTage)+SUMPRODUCT(COUNTIFS(B24:AF24,Codes,$B$53:$AF$53,1)*((Arten="Urlaub")+(Arten="Krank")+(Arten="Bezahlt abwesend"))*Erste)*N(Mitarbeiter!$B$23)/5/24)</f>
      </c>
      <c r="AH24" s="35">
        <f>IF($A24="","",N(Mitarbeiter!$B$23)/5/24*SUM($B$53:$AF$53))</f>
      </c>
      <c r="AI24" s="36">
        <f>IF($A24="","",IF((AG24-AH24)&lt;0,"-","+")&amp;TEXT(ABS((AG24-AH24)),"[h]:mm"))</f>
      </c>
      <c r="AJ24" s="37">
        <f>IF($A24="","",SUMPRODUCT(COUNTIFS(B24:AF24,Codes,$B$53:$AF$53,1)*(Arten="Urlaub")*Erste))</f>
      </c>
      <c r="AK24" s="37">
        <f>IF($A24="","",SUMPRODUCT(COUNTIFS(B24:AF24,Codes,$B$53:$AF$53,1)*(Arten="Krank")*Erste))</f>
      </c>
      <c r="AL24" s="38">
        <f>IF($A24="","",IF(COUNTIF(B73:AF73,1)&gt;0,COUNTIF(B73:AF73,1)&amp;"× Ruhezeit unter 11 Std. (§ 5)","")&amp;IF((COUNTIFS(B24:AF24,"?*",$B$52:$AF$52,1)-SUMPRODUCT(COUNTIFS(B24:AF24,Codes,$B$52:$AF$52,1)*(Codes&lt;&gt;"")*Erste))&gt;0,IF(COUNTIF(B73:AF73,1)&gt;0,"; ","")&amp;(COUNTIFS(B24:AF24,"?*",$B$52:$AF$52,1)-SUMPRODUCT(COUNTIFS(B24:AF24,Codes,$B$52:$AF$52,1)*(Codes&lt;&gt;"")*Erste))&amp;"× unbekanntes Kürzel",""))</f>
      </c>
    </row>
    <row r="25" spans="1:38" x14ac:dyDescent="0.25">
      <c r="A25" s="33">
        <f>Mitarbeiter!$A$24&amp;""</f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5">
        <f>IF($A25="","",SUMPRODUCT(COUNTIFS(B25:AF25,Codes,$B$52:$AF$52,1)*(Arten="Arbeit")*Erste*NettoTage)+SUMPRODUCT(COUNTIFS(B25:AF25,Codes,$B$53:$AF$53,1)*((Arten="Urlaub")+(Arten="Krank")+(Arten="Bezahlt abwesend"))*Erste)*N(Mitarbeiter!$B$24)/5/24)</f>
      </c>
      <c r="AH25" s="35">
        <f>IF($A25="","",N(Mitarbeiter!$B$24)/5/24*SUM($B$53:$AF$53))</f>
      </c>
      <c r="AI25" s="36">
        <f>IF($A25="","",IF((AG25-AH25)&lt;0,"-","+")&amp;TEXT(ABS((AG25-AH25)),"[h]:mm"))</f>
      </c>
      <c r="AJ25" s="37">
        <f>IF($A25="","",SUMPRODUCT(COUNTIFS(B25:AF25,Codes,$B$53:$AF$53,1)*(Arten="Urlaub")*Erste))</f>
      </c>
      <c r="AK25" s="37">
        <f>IF($A25="","",SUMPRODUCT(COUNTIFS(B25:AF25,Codes,$B$53:$AF$53,1)*(Arten="Krank")*Erste))</f>
      </c>
      <c r="AL25" s="38">
        <f>IF($A25="","",IF(COUNTIF(B74:AF74,1)&gt;0,COUNTIF(B74:AF74,1)&amp;"× Ruhezeit unter 11 Std. (§ 5)","")&amp;IF((COUNTIFS(B25:AF25,"?*",$B$52:$AF$52,1)-SUMPRODUCT(COUNTIFS(B25:AF25,Codes,$B$52:$AF$52,1)*(Codes&lt;&gt;"")*Erste))&gt;0,IF(COUNTIF(B74:AF74,1)&gt;0,"; ","")&amp;(COUNTIFS(B25:AF25,"?*",$B$52:$AF$52,1)-SUMPRODUCT(COUNTIFS(B25:AF25,Codes,$B$52:$AF$52,1)*(Codes&lt;&gt;"")*Erste))&amp;"× unbekanntes Kürzel",""))</f>
      </c>
    </row>
    <row r="26" spans="1:38" x14ac:dyDescent="0.25">
      <c r="A26" s="33">
        <f>Mitarbeiter!$A$25&amp;""</f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5">
        <f>IF($A26="","",SUMPRODUCT(COUNTIFS(B26:AF26,Codes,$B$52:$AF$52,1)*(Arten="Arbeit")*Erste*NettoTage)+SUMPRODUCT(COUNTIFS(B26:AF26,Codes,$B$53:$AF$53,1)*((Arten="Urlaub")+(Arten="Krank")+(Arten="Bezahlt abwesend"))*Erste)*N(Mitarbeiter!$B$25)/5/24)</f>
      </c>
      <c r="AH26" s="35">
        <f>IF($A26="","",N(Mitarbeiter!$B$25)/5/24*SUM($B$53:$AF$53))</f>
      </c>
      <c r="AI26" s="36">
        <f>IF($A26="","",IF((AG26-AH26)&lt;0,"-","+")&amp;TEXT(ABS((AG26-AH26)),"[h]:mm"))</f>
      </c>
      <c r="AJ26" s="37">
        <f>IF($A26="","",SUMPRODUCT(COUNTIFS(B26:AF26,Codes,$B$53:$AF$53,1)*(Arten="Urlaub")*Erste))</f>
      </c>
      <c r="AK26" s="37">
        <f>IF($A26="","",SUMPRODUCT(COUNTIFS(B26:AF26,Codes,$B$53:$AF$53,1)*(Arten="Krank")*Erste))</f>
      </c>
      <c r="AL26" s="38">
        <f>IF($A26="","",IF(COUNTIF(B75:AF75,1)&gt;0,COUNTIF(B75:AF75,1)&amp;"× Ruhezeit unter 11 Std. (§ 5)","")&amp;IF((COUNTIFS(B26:AF26,"?*",$B$52:$AF$52,1)-SUMPRODUCT(COUNTIFS(B26:AF26,Codes,$B$52:$AF$52,1)*(Codes&lt;&gt;"")*Erste))&gt;0,IF(COUNTIF(B75:AF75,1)&gt;0,"; ","")&amp;(COUNTIFS(B26:AF26,"?*",$B$52:$AF$52,1)-SUMPRODUCT(COUNTIFS(B26:AF26,Codes,$B$52:$AF$52,1)*(Codes&lt;&gt;"")*Erste))&amp;"× unbekanntes Kürzel",""))</f>
      </c>
    </row>
    <row r="27" spans="1:38" x14ac:dyDescent="0.25">
      <c r="A27" s="33">
        <f>Mitarbeiter!$A$26&amp;""</f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5">
        <f>IF($A27="","",SUMPRODUCT(COUNTIFS(B27:AF27,Codes,$B$52:$AF$52,1)*(Arten="Arbeit")*Erste*NettoTage)+SUMPRODUCT(COUNTIFS(B27:AF27,Codes,$B$53:$AF$53,1)*((Arten="Urlaub")+(Arten="Krank")+(Arten="Bezahlt abwesend"))*Erste)*N(Mitarbeiter!$B$26)/5/24)</f>
      </c>
      <c r="AH27" s="35">
        <f>IF($A27="","",N(Mitarbeiter!$B$26)/5/24*SUM($B$53:$AF$53))</f>
      </c>
      <c r="AI27" s="36">
        <f>IF($A27="","",IF((AG27-AH27)&lt;0,"-","+")&amp;TEXT(ABS((AG27-AH27)),"[h]:mm"))</f>
      </c>
      <c r="AJ27" s="37">
        <f>IF($A27="","",SUMPRODUCT(COUNTIFS(B27:AF27,Codes,$B$53:$AF$53,1)*(Arten="Urlaub")*Erste))</f>
      </c>
      <c r="AK27" s="37">
        <f>IF($A27="","",SUMPRODUCT(COUNTIFS(B27:AF27,Codes,$B$53:$AF$53,1)*(Arten="Krank")*Erste))</f>
      </c>
      <c r="AL27" s="38">
        <f>IF($A27="","",IF(COUNTIF(B76:AF76,1)&gt;0,COUNTIF(B76:AF76,1)&amp;"× Ruhezeit unter 11 Std. (§ 5)","")&amp;IF((COUNTIFS(B27:AF27,"?*",$B$52:$AF$52,1)-SUMPRODUCT(COUNTIFS(B27:AF27,Codes,$B$52:$AF$52,1)*(Codes&lt;&gt;"")*Erste))&gt;0,IF(COUNTIF(B76:AF76,1)&gt;0,"; ","")&amp;(COUNTIFS(B27:AF27,"?*",$B$52:$AF$52,1)-SUMPRODUCT(COUNTIFS(B27:AF27,Codes,$B$52:$AF$52,1)*(Codes&lt;&gt;"")*Erste))&amp;"× unbekanntes Kürzel",""))</f>
      </c>
    </row>
    <row r="28" spans="1:38" x14ac:dyDescent="0.25">
      <c r="A28" s="33">
        <f>Mitarbeiter!$A$27&amp;""</f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5">
        <f>IF($A28="","",SUMPRODUCT(COUNTIFS(B28:AF28,Codes,$B$52:$AF$52,1)*(Arten="Arbeit")*Erste*NettoTage)+SUMPRODUCT(COUNTIFS(B28:AF28,Codes,$B$53:$AF$53,1)*((Arten="Urlaub")+(Arten="Krank")+(Arten="Bezahlt abwesend"))*Erste)*N(Mitarbeiter!$B$27)/5/24)</f>
      </c>
      <c r="AH28" s="35">
        <f>IF($A28="","",N(Mitarbeiter!$B$27)/5/24*SUM($B$53:$AF$53))</f>
      </c>
      <c r="AI28" s="36">
        <f>IF($A28="","",IF((AG28-AH28)&lt;0,"-","+")&amp;TEXT(ABS((AG28-AH28)),"[h]:mm"))</f>
      </c>
      <c r="AJ28" s="37">
        <f>IF($A28="","",SUMPRODUCT(COUNTIFS(B28:AF28,Codes,$B$53:$AF$53,1)*(Arten="Urlaub")*Erste))</f>
      </c>
      <c r="AK28" s="37">
        <f>IF($A28="","",SUMPRODUCT(COUNTIFS(B28:AF28,Codes,$B$53:$AF$53,1)*(Arten="Krank")*Erste))</f>
      </c>
      <c r="AL28" s="38">
        <f>IF($A28="","",IF(COUNTIF(B77:AF77,1)&gt;0,COUNTIF(B77:AF77,1)&amp;"× Ruhezeit unter 11 Std. (§ 5)","")&amp;IF((COUNTIFS(B28:AF28,"?*",$B$52:$AF$52,1)-SUMPRODUCT(COUNTIFS(B28:AF28,Codes,$B$52:$AF$52,1)*(Codes&lt;&gt;"")*Erste))&gt;0,IF(COUNTIF(B77:AF77,1)&gt;0,"; ","")&amp;(COUNTIFS(B28:AF28,"?*",$B$52:$AF$52,1)-SUMPRODUCT(COUNTIFS(B28:AF28,Codes,$B$52:$AF$52,1)*(Codes&lt;&gt;"")*Erste))&amp;"× unbekanntes Kürzel",""))</f>
      </c>
    </row>
    <row r="29" spans="1:38" x14ac:dyDescent="0.25">
      <c r="A29" s="33">
        <f>Mitarbeiter!$A$28&amp;""</f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5">
        <f>IF($A29="","",SUMPRODUCT(COUNTIFS(B29:AF29,Codes,$B$52:$AF$52,1)*(Arten="Arbeit")*Erste*NettoTage)+SUMPRODUCT(COUNTIFS(B29:AF29,Codes,$B$53:$AF$53,1)*((Arten="Urlaub")+(Arten="Krank")+(Arten="Bezahlt abwesend"))*Erste)*N(Mitarbeiter!$B$28)/5/24)</f>
      </c>
      <c r="AH29" s="35">
        <f>IF($A29="","",N(Mitarbeiter!$B$28)/5/24*SUM($B$53:$AF$53))</f>
      </c>
      <c r="AI29" s="36">
        <f>IF($A29="","",IF((AG29-AH29)&lt;0,"-","+")&amp;TEXT(ABS((AG29-AH29)),"[h]:mm"))</f>
      </c>
      <c r="AJ29" s="37">
        <f>IF($A29="","",SUMPRODUCT(COUNTIFS(B29:AF29,Codes,$B$53:$AF$53,1)*(Arten="Urlaub")*Erste))</f>
      </c>
      <c r="AK29" s="37">
        <f>IF($A29="","",SUMPRODUCT(COUNTIFS(B29:AF29,Codes,$B$53:$AF$53,1)*(Arten="Krank")*Erste))</f>
      </c>
      <c r="AL29" s="38">
        <f>IF($A29="","",IF(COUNTIF(B78:AF78,1)&gt;0,COUNTIF(B78:AF78,1)&amp;"× Ruhezeit unter 11 Std. (§ 5)","")&amp;IF((COUNTIFS(B29:AF29,"?*",$B$52:$AF$52,1)-SUMPRODUCT(COUNTIFS(B29:AF29,Codes,$B$52:$AF$52,1)*(Codes&lt;&gt;"")*Erste))&gt;0,IF(COUNTIF(B78:AF78,1)&gt;0,"; ","")&amp;(COUNTIFS(B29:AF29,"?*",$B$52:$AF$52,1)-SUMPRODUCT(COUNTIFS(B29:AF29,Codes,$B$52:$AF$52,1)*(Codes&lt;&gt;"")*Erste))&amp;"× unbekanntes Kürzel",""))</f>
      </c>
    </row>
    <row r="30" spans="1:38" x14ac:dyDescent="0.25">
      <c r="A30" s="33">
        <f>Mitarbeiter!$A$29&amp;""</f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5">
        <f>IF($A30="","",SUMPRODUCT(COUNTIFS(B30:AF30,Codes,$B$52:$AF$52,1)*(Arten="Arbeit")*Erste*NettoTage)+SUMPRODUCT(COUNTIFS(B30:AF30,Codes,$B$53:$AF$53,1)*((Arten="Urlaub")+(Arten="Krank")+(Arten="Bezahlt abwesend"))*Erste)*N(Mitarbeiter!$B$29)/5/24)</f>
      </c>
      <c r="AH30" s="35">
        <f>IF($A30="","",N(Mitarbeiter!$B$29)/5/24*SUM($B$53:$AF$53))</f>
      </c>
      <c r="AI30" s="36">
        <f>IF($A30="","",IF((AG30-AH30)&lt;0,"-","+")&amp;TEXT(ABS((AG30-AH30)),"[h]:mm"))</f>
      </c>
      <c r="AJ30" s="37">
        <f>IF($A30="","",SUMPRODUCT(COUNTIFS(B30:AF30,Codes,$B$53:$AF$53,1)*(Arten="Urlaub")*Erste))</f>
      </c>
      <c r="AK30" s="37">
        <f>IF($A30="","",SUMPRODUCT(COUNTIFS(B30:AF30,Codes,$B$53:$AF$53,1)*(Arten="Krank")*Erste))</f>
      </c>
      <c r="AL30" s="38">
        <f>IF($A30="","",IF(COUNTIF(B79:AF79,1)&gt;0,COUNTIF(B79:AF79,1)&amp;"× Ruhezeit unter 11 Std. (§ 5)","")&amp;IF((COUNTIFS(B30:AF30,"?*",$B$52:$AF$52,1)-SUMPRODUCT(COUNTIFS(B30:AF30,Codes,$B$52:$AF$52,1)*(Codes&lt;&gt;"")*Erste))&gt;0,IF(COUNTIF(B79:AF79,1)&gt;0,"; ","")&amp;(COUNTIFS(B30:AF30,"?*",$B$52:$AF$52,1)-SUMPRODUCT(COUNTIFS(B30:AF30,Codes,$B$52:$AF$52,1)*(Codes&lt;&gt;"")*Erste))&amp;"× unbekanntes Kürzel",""))</f>
      </c>
    </row>
    <row r="31" spans="1:38" x14ac:dyDescent="0.25">
      <c r="A31" s="33">
        <f>Mitarbeiter!$A$30&amp;""</f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5">
        <f>IF($A31="","",SUMPRODUCT(COUNTIFS(B31:AF31,Codes,$B$52:$AF$52,1)*(Arten="Arbeit")*Erste*NettoTage)+SUMPRODUCT(COUNTIFS(B31:AF31,Codes,$B$53:$AF$53,1)*((Arten="Urlaub")+(Arten="Krank")+(Arten="Bezahlt abwesend"))*Erste)*N(Mitarbeiter!$B$30)/5/24)</f>
      </c>
      <c r="AH31" s="35">
        <f>IF($A31="","",N(Mitarbeiter!$B$30)/5/24*SUM($B$53:$AF$53))</f>
      </c>
      <c r="AI31" s="36">
        <f>IF($A31="","",IF((AG31-AH31)&lt;0,"-","+")&amp;TEXT(ABS((AG31-AH31)),"[h]:mm"))</f>
      </c>
      <c r="AJ31" s="37">
        <f>IF($A31="","",SUMPRODUCT(COUNTIFS(B31:AF31,Codes,$B$53:$AF$53,1)*(Arten="Urlaub")*Erste))</f>
      </c>
      <c r="AK31" s="37">
        <f>IF($A31="","",SUMPRODUCT(COUNTIFS(B31:AF31,Codes,$B$53:$AF$53,1)*(Arten="Krank")*Erste))</f>
      </c>
      <c r="AL31" s="38">
        <f>IF($A31="","",IF(COUNTIF(B80:AF80,1)&gt;0,COUNTIF(B80:AF80,1)&amp;"× Ruhezeit unter 11 Std. (§ 5)","")&amp;IF((COUNTIFS(B31:AF31,"?*",$B$52:$AF$52,1)-SUMPRODUCT(COUNTIFS(B31:AF31,Codes,$B$52:$AF$52,1)*(Codes&lt;&gt;"")*Erste))&gt;0,IF(COUNTIF(B80:AF80,1)&gt;0,"; ","")&amp;(COUNTIFS(B31:AF31,"?*",$B$52:$AF$52,1)-SUMPRODUCT(COUNTIFS(B31:AF31,Codes,$B$52:$AF$52,1)*(Codes&lt;&gt;"")*Erste))&amp;"× unbekanntes Kürzel",""))</f>
      </c>
    </row>
    <row r="32" spans="1:38" x14ac:dyDescent="0.25">
      <c r="A32" s="33">
        <f>Mitarbeiter!$A$31&amp;""</f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5">
        <f>IF($A32="","",SUMPRODUCT(COUNTIFS(B32:AF32,Codes,$B$52:$AF$52,1)*(Arten="Arbeit")*Erste*NettoTage)+SUMPRODUCT(COUNTIFS(B32:AF32,Codes,$B$53:$AF$53,1)*((Arten="Urlaub")+(Arten="Krank")+(Arten="Bezahlt abwesend"))*Erste)*N(Mitarbeiter!$B$31)/5/24)</f>
      </c>
      <c r="AH32" s="35">
        <f>IF($A32="","",N(Mitarbeiter!$B$31)/5/24*SUM($B$53:$AF$53))</f>
      </c>
      <c r="AI32" s="36">
        <f>IF($A32="","",IF((AG32-AH32)&lt;0,"-","+")&amp;TEXT(ABS((AG32-AH32)),"[h]:mm"))</f>
      </c>
      <c r="AJ32" s="37">
        <f>IF($A32="","",SUMPRODUCT(COUNTIFS(B32:AF32,Codes,$B$53:$AF$53,1)*(Arten="Urlaub")*Erste))</f>
      </c>
      <c r="AK32" s="37">
        <f>IF($A32="","",SUMPRODUCT(COUNTIFS(B32:AF32,Codes,$B$53:$AF$53,1)*(Arten="Krank")*Erste))</f>
      </c>
      <c r="AL32" s="38">
        <f>IF($A32="","",IF(COUNTIF(B81:AF81,1)&gt;0,COUNTIF(B81:AF81,1)&amp;"× Ruhezeit unter 11 Std. (§ 5)","")&amp;IF((COUNTIFS(B32:AF32,"?*",$B$52:$AF$52,1)-SUMPRODUCT(COUNTIFS(B32:AF32,Codes,$B$52:$AF$52,1)*(Codes&lt;&gt;"")*Erste))&gt;0,IF(COUNTIF(B81:AF81,1)&gt;0,"; ","")&amp;(COUNTIFS(B32:AF32,"?*",$B$52:$AF$52,1)-SUMPRODUCT(COUNTIFS(B32:AF32,Codes,$B$52:$AF$52,1)*(Codes&lt;&gt;"")*Erste))&amp;"× unbekanntes Kürzel",""))</f>
      </c>
    </row>
    <row r="33" spans="1:38" x14ac:dyDescent="0.25">
      <c r="A33" s="33">
        <f>Mitarbeiter!$A$32&amp;""</f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5">
        <f>IF($A33="","",SUMPRODUCT(COUNTIFS(B33:AF33,Codes,$B$52:$AF$52,1)*(Arten="Arbeit")*Erste*NettoTage)+SUMPRODUCT(COUNTIFS(B33:AF33,Codes,$B$53:$AF$53,1)*((Arten="Urlaub")+(Arten="Krank")+(Arten="Bezahlt abwesend"))*Erste)*N(Mitarbeiter!$B$32)/5/24)</f>
      </c>
      <c r="AH33" s="35">
        <f>IF($A33="","",N(Mitarbeiter!$B$32)/5/24*SUM($B$53:$AF$53))</f>
      </c>
      <c r="AI33" s="36">
        <f>IF($A33="","",IF((AG33-AH33)&lt;0,"-","+")&amp;TEXT(ABS((AG33-AH33)),"[h]:mm"))</f>
      </c>
      <c r="AJ33" s="37">
        <f>IF($A33="","",SUMPRODUCT(COUNTIFS(B33:AF33,Codes,$B$53:$AF$53,1)*(Arten="Urlaub")*Erste))</f>
      </c>
      <c r="AK33" s="37">
        <f>IF($A33="","",SUMPRODUCT(COUNTIFS(B33:AF33,Codes,$B$53:$AF$53,1)*(Arten="Krank")*Erste))</f>
      </c>
      <c r="AL33" s="38">
        <f>IF($A33="","",IF(COUNTIF(B82:AF82,1)&gt;0,COUNTIF(B82:AF82,1)&amp;"× Ruhezeit unter 11 Std. (§ 5)","")&amp;IF((COUNTIFS(B33:AF33,"?*",$B$52:$AF$52,1)-SUMPRODUCT(COUNTIFS(B33:AF33,Codes,$B$52:$AF$52,1)*(Codes&lt;&gt;"")*Erste))&gt;0,IF(COUNTIF(B82:AF82,1)&gt;0,"; ","")&amp;(COUNTIFS(B33:AF33,"?*",$B$52:$AF$52,1)-SUMPRODUCT(COUNTIFS(B33:AF33,Codes,$B$52:$AF$52,1)*(Codes&lt;&gt;"")*Erste))&amp;"× unbekanntes Kürzel",""))</f>
      </c>
    </row>
    <row r="34" spans="1:38" x14ac:dyDescent="0.25">
      <c r="A34" s="33">
        <f>Mitarbeiter!$A$33&amp;""</f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5">
        <f>IF($A34="","",SUMPRODUCT(COUNTIFS(B34:AF34,Codes,$B$52:$AF$52,1)*(Arten="Arbeit")*Erste*NettoTage)+SUMPRODUCT(COUNTIFS(B34:AF34,Codes,$B$53:$AF$53,1)*((Arten="Urlaub")+(Arten="Krank")+(Arten="Bezahlt abwesend"))*Erste)*N(Mitarbeiter!$B$33)/5/24)</f>
      </c>
      <c r="AH34" s="35">
        <f>IF($A34="","",N(Mitarbeiter!$B$33)/5/24*SUM($B$53:$AF$53))</f>
      </c>
      <c r="AI34" s="36">
        <f>IF($A34="","",IF((AG34-AH34)&lt;0,"-","+")&amp;TEXT(ABS((AG34-AH34)),"[h]:mm"))</f>
      </c>
      <c r="AJ34" s="37">
        <f>IF($A34="","",SUMPRODUCT(COUNTIFS(B34:AF34,Codes,$B$53:$AF$53,1)*(Arten="Urlaub")*Erste))</f>
      </c>
      <c r="AK34" s="37">
        <f>IF($A34="","",SUMPRODUCT(COUNTIFS(B34:AF34,Codes,$B$53:$AF$53,1)*(Arten="Krank")*Erste))</f>
      </c>
      <c r="AL34" s="38">
        <f>IF($A34="","",IF(COUNTIF(B83:AF83,1)&gt;0,COUNTIF(B83:AF83,1)&amp;"× Ruhezeit unter 11 Std. (§ 5)","")&amp;IF((COUNTIFS(B34:AF34,"?*",$B$52:$AF$52,1)-SUMPRODUCT(COUNTIFS(B34:AF34,Codes,$B$52:$AF$52,1)*(Codes&lt;&gt;"")*Erste))&gt;0,IF(COUNTIF(B83:AF83,1)&gt;0,"; ","")&amp;(COUNTIFS(B34:AF34,"?*",$B$52:$AF$52,1)-SUMPRODUCT(COUNTIFS(B34:AF34,Codes,$B$52:$AF$52,1)*(Codes&lt;&gt;"")*Erste))&amp;"× unbekanntes Kürzel",""))</f>
      </c>
    </row>
    <row r="35" spans="1:38" x14ac:dyDescent="0.25">
      <c r="A35" s="33">
        <f>Mitarbeiter!$A$34&amp;""</f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5">
        <f>IF($A35="","",SUMPRODUCT(COUNTIFS(B35:AF35,Codes,$B$52:$AF$52,1)*(Arten="Arbeit")*Erste*NettoTage)+SUMPRODUCT(COUNTIFS(B35:AF35,Codes,$B$53:$AF$53,1)*((Arten="Urlaub")+(Arten="Krank")+(Arten="Bezahlt abwesend"))*Erste)*N(Mitarbeiter!$B$34)/5/24)</f>
      </c>
      <c r="AH35" s="35">
        <f>IF($A35="","",N(Mitarbeiter!$B$34)/5/24*SUM($B$53:$AF$53))</f>
      </c>
      <c r="AI35" s="36">
        <f>IF($A35="","",IF((AG35-AH35)&lt;0,"-","+")&amp;TEXT(ABS((AG35-AH35)),"[h]:mm"))</f>
      </c>
      <c r="AJ35" s="37">
        <f>IF($A35="","",SUMPRODUCT(COUNTIFS(B35:AF35,Codes,$B$53:$AF$53,1)*(Arten="Urlaub")*Erste))</f>
      </c>
      <c r="AK35" s="37">
        <f>IF($A35="","",SUMPRODUCT(COUNTIFS(B35:AF35,Codes,$B$53:$AF$53,1)*(Arten="Krank")*Erste))</f>
      </c>
      <c r="AL35" s="38">
        <f>IF($A35="","",IF(COUNTIF(B84:AF84,1)&gt;0,COUNTIF(B84:AF84,1)&amp;"× Ruhezeit unter 11 Std. (§ 5)","")&amp;IF((COUNTIFS(B35:AF35,"?*",$B$52:$AF$52,1)-SUMPRODUCT(COUNTIFS(B35:AF35,Codes,$B$52:$AF$52,1)*(Codes&lt;&gt;"")*Erste))&gt;0,IF(COUNTIF(B84:AF84,1)&gt;0,"; ","")&amp;(COUNTIFS(B35:AF35,"?*",$B$52:$AF$52,1)-SUMPRODUCT(COUNTIFS(B35:AF35,Codes,$B$52:$AF$52,1)*(Codes&lt;&gt;"")*Erste))&amp;"× unbekanntes Kürzel",""))</f>
      </c>
    </row>
    <row r="37" spans="1:1" x14ac:dyDescent="0.25">
      <c r="A37" s="39" t="s">
        <v>63</v>
      </c>
    </row>
    <row r="38" spans="1:39" x14ac:dyDescent="0.25">
      <c r="A38" s="40">
        <f>IFERROR(INDEX(Codes,MATCH(1,ArbeitNr,0))&amp;" "&amp;INDEX(Bezeichnungen,MATCH(1,ArbeitNr,0)),"")</f>
      </c>
      <c r="B38" s="41">
        <f>IF(OR($AM38="",B$52=0),"",COUNTIF(B$6:B$35,$AM38))</f>
      </c>
      <c r="C38" s="41">
        <f>IF(OR($AM38="",C$52=0),"",COUNTIF(C$6:C$35,$AM38))</f>
      </c>
      <c r="D38" s="41">
        <f>IF(OR($AM38="",D$52=0),"",COUNTIF(D$6:D$35,$AM38))</f>
      </c>
      <c r="E38" s="41">
        <f>IF(OR($AM38="",E$52=0),"",COUNTIF(E$6:E$35,$AM38))</f>
      </c>
      <c r="F38" s="41">
        <f>IF(OR($AM38="",F$52=0),"",COUNTIF(F$6:F$35,$AM38))</f>
      </c>
      <c r="G38" s="41">
        <f>IF(OR($AM38="",G$52=0),"",COUNTIF(G$6:G$35,$AM38))</f>
      </c>
      <c r="H38" s="41">
        <f>IF(OR($AM38="",H$52=0),"",COUNTIF(H$6:H$35,$AM38))</f>
      </c>
      <c r="I38" s="41">
        <f>IF(OR($AM38="",I$52=0),"",COUNTIF(I$6:I$35,$AM38))</f>
      </c>
      <c r="J38" s="41">
        <f>IF(OR($AM38="",J$52=0),"",COUNTIF(J$6:J$35,$AM38))</f>
      </c>
      <c r="K38" s="41">
        <f>IF(OR($AM38="",K$52=0),"",COUNTIF(K$6:K$35,$AM38))</f>
      </c>
      <c r="L38" s="41">
        <f>IF(OR($AM38="",L$52=0),"",COUNTIF(L$6:L$35,$AM38))</f>
      </c>
      <c r="M38" s="41">
        <f>IF(OR($AM38="",M$52=0),"",COUNTIF(M$6:M$35,$AM38))</f>
      </c>
      <c r="N38" s="41">
        <f>IF(OR($AM38="",N$52=0),"",COUNTIF(N$6:N$35,$AM38))</f>
      </c>
      <c r="O38" s="41">
        <f>IF(OR($AM38="",O$52=0),"",COUNTIF(O$6:O$35,$AM38))</f>
      </c>
      <c r="P38" s="41">
        <f>IF(OR($AM38="",P$52=0),"",COUNTIF(P$6:P$35,$AM38))</f>
      </c>
      <c r="Q38" s="41">
        <f>IF(OR($AM38="",Q$52=0),"",COUNTIF(Q$6:Q$35,$AM38))</f>
      </c>
      <c r="R38" s="41">
        <f>IF(OR($AM38="",R$52=0),"",COUNTIF(R$6:R$35,$AM38))</f>
      </c>
      <c r="S38" s="41">
        <f>IF(OR($AM38="",S$52=0),"",COUNTIF(S$6:S$35,$AM38))</f>
      </c>
      <c r="T38" s="41">
        <f>IF(OR($AM38="",T$52=0),"",COUNTIF(T$6:T$35,$AM38))</f>
      </c>
      <c r="U38" s="41">
        <f>IF(OR($AM38="",U$52=0),"",COUNTIF(U$6:U$35,$AM38))</f>
      </c>
      <c r="V38" s="41">
        <f>IF(OR($AM38="",V$52=0),"",COUNTIF(V$6:V$35,$AM38))</f>
      </c>
      <c r="W38" s="41">
        <f>IF(OR($AM38="",W$52=0),"",COUNTIF(W$6:W$35,$AM38))</f>
      </c>
      <c r="X38" s="41">
        <f>IF(OR($AM38="",X$52=0),"",COUNTIF(X$6:X$35,$AM38))</f>
      </c>
      <c r="Y38" s="41">
        <f>IF(OR($AM38="",Y$52=0),"",COUNTIF(Y$6:Y$35,$AM38))</f>
      </c>
      <c r="Z38" s="41">
        <f>IF(OR($AM38="",Z$52=0),"",COUNTIF(Z$6:Z$35,$AM38))</f>
      </c>
      <c r="AA38" s="41">
        <f>IF(OR($AM38="",AA$52=0),"",COUNTIF(AA$6:AA$35,$AM38))</f>
      </c>
      <c r="AB38" s="41">
        <f>IF(OR($AM38="",AB$52=0),"",COUNTIF(AB$6:AB$35,$AM38))</f>
      </c>
      <c r="AC38" s="41">
        <f>IF(OR($AM38="",AC$52=0),"",COUNTIF(AC$6:AC$35,$AM38))</f>
      </c>
      <c r="AD38" s="41">
        <f>IF(OR($AM38="",AD$52=0),"",COUNTIF(AD$6:AD$35,$AM38))</f>
      </c>
      <c r="AE38" s="41">
        <f>IF(OR($AM38="",AE$52=0),"",COUNTIF(AE$6:AE$35,$AM38))</f>
      </c>
      <c r="AF38" s="41">
        <f>IF(OR($AM38="",AF$52=0),"",COUNTIF(AF$6:AF$35,$AM38))</f>
      </c>
      <c r="AG38" s="1"/>
      <c r="AH38" s="1"/>
      <c r="AI38" s="1"/>
      <c r="AJ38" s="1"/>
      <c r="AK38" s="1"/>
      <c r="AL38" s="1"/>
      <c r="AM38" s="1">
        <f>IFERROR(INDEX(Codes,MATCH(1,ArbeitNr,0)),"")</f>
      </c>
    </row>
    <row r="39" spans="1:39" x14ac:dyDescent="0.25">
      <c r="A39" s="40">
        <f>IFERROR(INDEX(Codes,MATCH(2,ArbeitNr,0))&amp;" "&amp;INDEX(Bezeichnungen,MATCH(2,ArbeitNr,0)),"")</f>
      </c>
      <c r="B39" s="41">
        <f>IF(OR($AM39="",B$52=0),"",COUNTIF(B$6:B$35,$AM39))</f>
      </c>
      <c r="C39" s="41">
        <f>IF(OR($AM39="",C$52=0),"",COUNTIF(C$6:C$35,$AM39))</f>
      </c>
      <c r="D39" s="41">
        <f>IF(OR($AM39="",D$52=0),"",COUNTIF(D$6:D$35,$AM39))</f>
      </c>
      <c r="E39" s="41">
        <f>IF(OR($AM39="",E$52=0),"",COUNTIF(E$6:E$35,$AM39))</f>
      </c>
      <c r="F39" s="41">
        <f>IF(OR($AM39="",F$52=0),"",COUNTIF(F$6:F$35,$AM39))</f>
      </c>
      <c r="G39" s="41">
        <f>IF(OR($AM39="",G$52=0),"",COUNTIF(G$6:G$35,$AM39))</f>
      </c>
      <c r="H39" s="41">
        <f>IF(OR($AM39="",H$52=0),"",COUNTIF(H$6:H$35,$AM39))</f>
      </c>
      <c r="I39" s="41">
        <f>IF(OR($AM39="",I$52=0),"",COUNTIF(I$6:I$35,$AM39))</f>
      </c>
      <c r="J39" s="41">
        <f>IF(OR($AM39="",J$52=0),"",COUNTIF(J$6:J$35,$AM39))</f>
      </c>
      <c r="K39" s="41">
        <f>IF(OR($AM39="",K$52=0),"",COUNTIF(K$6:K$35,$AM39))</f>
      </c>
      <c r="L39" s="41">
        <f>IF(OR($AM39="",L$52=0),"",COUNTIF(L$6:L$35,$AM39))</f>
      </c>
      <c r="M39" s="41">
        <f>IF(OR($AM39="",M$52=0),"",COUNTIF(M$6:M$35,$AM39))</f>
      </c>
      <c r="N39" s="41">
        <f>IF(OR($AM39="",N$52=0),"",COUNTIF(N$6:N$35,$AM39))</f>
      </c>
      <c r="O39" s="41">
        <f>IF(OR($AM39="",O$52=0),"",COUNTIF(O$6:O$35,$AM39))</f>
      </c>
      <c r="P39" s="41">
        <f>IF(OR($AM39="",P$52=0),"",COUNTIF(P$6:P$35,$AM39))</f>
      </c>
      <c r="Q39" s="41">
        <f>IF(OR($AM39="",Q$52=0),"",COUNTIF(Q$6:Q$35,$AM39))</f>
      </c>
      <c r="R39" s="41">
        <f>IF(OR($AM39="",R$52=0),"",COUNTIF(R$6:R$35,$AM39))</f>
      </c>
      <c r="S39" s="41">
        <f>IF(OR($AM39="",S$52=0),"",COUNTIF(S$6:S$35,$AM39))</f>
      </c>
      <c r="T39" s="41">
        <f>IF(OR($AM39="",T$52=0),"",COUNTIF(T$6:T$35,$AM39))</f>
      </c>
      <c r="U39" s="41">
        <f>IF(OR($AM39="",U$52=0),"",COUNTIF(U$6:U$35,$AM39))</f>
      </c>
      <c r="V39" s="41">
        <f>IF(OR($AM39="",V$52=0),"",COUNTIF(V$6:V$35,$AM39))</f>
      </c>
      <c r="W39" s="41">
        <f>IF(OR($AM39="",W$52=0),"",COUNTIF(W$6:W$35,$AM39))</f>
      </c>
      <c r="X39" s="41">
        <f>IF(OR($AM39="",X$52=0),"",COUNTIF(X$6:X$35,$AM39))</f>
      </c>
      <c r="Y39" s="41">
        <f>IF(OR($AM39="",Y$52=0),"",COUNTIF(Y$6:Y$35,$AM39))</f>
      </c>
      <c r="Z39" s="41">
        <f>IF(OR($AM39="",Z$52=0),"",COUNTIF(Z$6:Z$35,$AM39))</f>
      </c>
      <c r="AA39" s="41">
        <f>IF(OR($AM39="",AA$52=0),"",COUNTIF(AA$6:AA$35,$AM39))</f>
      </c>
      <c r="AB39" s="41">
        <f>IF(OR($AM39="",AB$52=0),"",COUNTIF(AB$6:AB$35,$AM39))</f>
      </c>
      <c r="AC39" s="41">
        <f>IF(OR($AM39="",AC$52=0),"",COUNTIF(AC$6:AC$35,$AM39))</f>
      </c>
      <c r="AD39" s="41">
        <f>IF(OR($AM39="",AD$52=0),"",COUNTIF(AD$6:AD$35,$AM39))</f>
      </c>
      <c r="AE39" s="41">
        <f>IF(OR($AM39="",AE$52=0),"",COUNTIF(AE$6:AE$35,$AM39))</f>
      </c>
      <c r="AF39" s="41">
        <f>IF(OR($AM39="",AF$52=0),"",COUNTIF(AF$6:AF$35,$AM39))</f>
      </c>
      <c r="AG39" s="1"/>
      <c r="AH39" s="1"/>
      <c r="AI39" s="1"/>
      <c r="AJ39" s="1"/>
      <c r="AK39" s="1"/>
      <c r="AL39" s="1"/>
      <c r="AM39" s="1">
        <f>IFERROR(INDEX(Codes,MATCH(2,ArbeitNr,0)),"")</f>
      </c>
    </row>
    <row r="40" spans="1:39" x14ac:dyDescent="0.25">
      <c r="A40" s="40">
        <f>IFERROR(INDEX(Codes,MATCH(3,ArbeitNr,0))&amp;" "&amp;INDEX(Bezeichnungen,MATCH(3,ArbeitNr,0)),"")</f>
      </c>
      <c r="B40" s="41">
        <f>IF(OR($AM40="",B$52=0),"",COUNTIF(B$6:B$35,$AM40))</f>
      </c>
      <c r="C40" s="41">
        <f>IF(OR($AM40="",C$52=0),"",COUNTIF(C$6:C$35,$AM40))</f>
      </c>
      <c r="D40" s="41">
        <f>IF(OR($AM40="",D$52=0),"",COUNTIF(D$6:D$35,$AM40))</f>
      </c>
      <c r="E40" s="41">
        <f>IF(OR($AM40="",E$52=0),"",COUNTIF(E$6:E$35,$AM40))</f>
      </c>
      <c r="F40" s="41">
        <f>IF(OR($AM40="",F$52=0),"",COUNTIF(F$6:F$35,$AM40))</f>
      </c>
      <c r="G40" s="41">
        <f>IF(OR($AM40="",G$52=0),"",COUNTIF(G$6:G$35,$AM40))</f>
      </c>
      <c r="H40" s="41">
        <f>IF(OR($AM40="",H$52=0),"",COUNTIF(H$6:H$35,$AM40))</f>
      </c>
      <c r="I40" s="41">
        <f>IF(OR($AM40="",I$52=0),"",COUNTIF(I$6:I$35,$AM40))</f>
      </c>
      <c r="J40" s="41">
        <f>IF(OR($AM40="",J$52=0),"",COUNTIF(J$6:J$35,$AM40))</f>
      </c>
      <c r="K40" s="41">
        <f>IF(OR($AM40="",K$52=0),"",COUNTIF(K$6:K$35,$AM40))</f>
      </c>
      <c r="L40" s="41">
        <f>IF(OR($AM40="",L$52=0),"",COUNTIF(L$6:L$35,$AM40))</f>
      </c>
      <c r="M40" s="41">
        <f>IF(OR($AM40="",M$52=0),"",COUNTIF(M$6:M$35,$AM40))</f>
      </c>
      <c r="N40" s="41">
        <f>IF(OR($AM40="",N$52=0),"",COUNTIF(N$6:N$35,$AM40))</f>
      </c>
      <c r="O40" s="41">
        <f>IF(OR($AM40="",O$52=0),"",COUNTIF(O$6:O$35,$AM40))</f>
      </c>
      <c r="P40" s="41">
        <f>IF(OR($AM40="",P$52=0),"",COUNTIF(P$6:P$35,$AM40))</f>
      </c>
      <c r="Q40" s="41">
        <f>IF(OR($AM40="",Q$52=0),"",COUNTIF(Q$6:Q$35,$AM40))</f>
      </c>
      <c r="R40" s="41">
        <f>IF(OR($AM40="",R$52=0),"",COUNTIF(R$6:R$35,$AM40))</f>
      </c>
      <c r="S40" s="41">
        <f>IF(OR($AM40="",S$52=0),"",COUNTIF(S$6:S$35,$AM40))</f>
      </c>
      <c r="T40" s="41">
        <f>IF(OR($AM40="",T$52=0),"",COUNTIF(T$6:T$35,$AM40))</f>
      </c>
      <c r="U40" s="41">
        <f>IF(OR($AM40="",U$52=0),"",COUNTIF(U$6:U$35,$AM40))</f>
      </c>
      <c r="V40" s="41">
        <f>IF(OR($AM40="",V$52=0),"",COUNTIF(V$6:V$35,$AM40))</f>
      </c>
      <c r="W40" s="41">
        <f>IF(OR($AM40="",W$52=0),"",COUNTIF(W$6:W$35,$AM40))</f>
      </c>
      <c r="X40" s="41">
        <f>IF(OR($AM40="",X$52=0),"",COUNTIF(X$6:X$35,$AM40))</f>
      </c>
      <c r="Y40" s="41">
        <f>IF(OR($AM40="",Y$52=0),"",COUNTIF(Y$6:Y$35,$AM40))</f>
      </c>
      <c r="Z40" s="41">
        <f>IF(OR($AM40="",Z$52=0),"",COUNTIF(Z$6:Z$35,$AM40))</f>
      </c>
      <c r="AA40" s="41">
        <f>IF(OR($AM40="",AA$52=0),"",COUNTIF(AA$6:AA$35,$AM40))</f>
      </c>
      <c r="AB40" s="41">
        <f>IF(OR($AM40="",AB$52=0),"",COUNTIF(AB$6:AB$35,$AM40))</f>
      </c>
      <c r="AC40" s="41">
        <f>IF(OR($AM40="",AC$52=0),"",COUNTIF(AC$6:AC$35,$AM40))</f>
      </c>
      <c r="AD40" s="41">
        <f>IF(OR($AM40="",AD$52=0),"",COUNTIF(AD$6:AD$35,$AM40))</f>
      </c>
      <c r="AE40" s="41">
        <f>IF(OR($AM40="",AE$52=0),"",COUNTIF(AE$6:AE$35,$AM40))</f>
      </c>
      <c r="AF40" s="41">
        <f>IF(OR($AM40="",AF$52=0),"",COUNTIF(AF$6:AF$35,$AM40))</f>
      </c>
      <c r="AG40" s="1"/>
      <c r="AH40" s="1"/>
      <c r="AI40" s="1"/>
      <c r="AJ40" s="1"/>
      <c r="AK40" s="1"/>
      <c r="AL40" s="1"/>
      <c r="AM40" s="1">
        <f>IFERROR(INDEX(Codes,MATCH(3,ArbeitNr,0)),"")</f>
      </c>
    </row>
    <row r="41" spans="1:39" x14ac:dyDescent="0.25">
      <c r="A41" s="40">
        <f>IFERROR(INDEX(Codes,MATCH(4,ArbeitNr,0))&amp;" "&amp;INDEX(Bezeichnungen,MATCH(4,ArbeitNr,0)),"")</f>
      </c>
      <c r="B41" s="41">
        <f>IF(OR($AM41="",B$52=0),"",COUNTIF(B$6:B$35,$AM41))</f>
      </c>
      <c r="C41" s="41">
        <f>IF(OR($AM41="",C$52=0),"",COUNTIF(C$6:C$35,$AM41))</f>
      </c>
      <c r="D41" s="41">
        <f>IF(OR($AM41="",D$52=0),"",COUNTIF(D$6:D$35,$AM41))</f>
      </c>
      <c r="E41" s="41">
        <f>IF(OR($AM41="",E$52=0),"",COUNTIF(E$6:E$35,$AM41))</f>
      </c>
      <c r="F41" s="41">
        <f>IF(OR($AM41="",F$52=0),"",COUNTIF(F$6:F$35,$AM41))</f>
      </c>
      <c r="G41" s="41">
        <f>IF(OR($AM41="",G$52=0),"",COUNTIF(G$6:G$35,$AM41))</f>
      </c>
      <c r="H41" s="41">
        <f>IF(OR($AM41="",H$52=0),"",COUNTIF(H$6:H$35,$AM41))</f>
      </c>
      <c r="I41" s="41">
        <f>IF(OR($AM41="",I$52=0),"",COUNTIF(I$6:I$35,$AM41))</f>
      </c>
      <c r="J41" s="41">
        <f>IF(OR($AM41="",J$52=0),"",COUNTIF(J$6:J$35,$AM41))</f>
      </c>
      <c r="K41" s="41">
        <f>IF(OR($AM41="",K$52=0),"",COUNTIF(K$6:K$35,$AM41))</f>
      </c>
      <c r="L41" s="41">
        <f>IF(OR($AM41="",L$52=0),"",COUNTIF(L$6:L$35,$AM41))</f>
      </c>
      <c r="M41" s="41">
        <f>IF(OR($AM41="",M$52=0),"",COUNTIF(M$6:M$35,$AM41))</f>
      </c>
      <c r="N41" s="41">
        <f>IF(OR($AM41="",N$52=0),"",COUNTIF(N$6:N$35,$AM41))</f>
      </c>
      <c r="O41" s="41">
        <f>IF(OR($AM41="",O$52=0),"",COUNTIF(O$6:O$35,$AM41))</f>
      </c>
      <c r="P41" s="41">
        <f>IF(OR($AM41="",P$52=0),"",COUNTIF(P$6:P$35,$AM41))</f>
      </c>
      <c r="Q41" s="41">
        <f>IF(OR($AM41="",Q$52=0),"",COUNTIF(Q$6:Q$35,$AM41))</f>
      </c>
      <c r="R41" s="41">
        <f>IF(OR($AM41="",R$52=0),"",COUNTIF(R$6:R$35,$AM41))</f>
      </c>
      <c r="S41" s="41">
        <f>IF(OR($AM41="",S$52=0),"",COUNTIF(S$6:S$35,$AM41))</f>
      </c>
      <c r="T41" s="41">
        <f>IF(OR($AM41="",T$52=0),"",COUNTIF(T$6:T$35,$AM41))</f>
      </c>
      <c r="U41" s="41">
        <f>IF(OR($AM41="",U$52=0),"",COUNTIF(U$6:U$35,$AM41))</f>
      </c>
      <c r="V41" s="41">
        <f>IF(OR($AM41="",V$52=0),"",COUNTIF(V$6:V$35,$AM41))</f>
      </c>
      <c r="W41" s="41">
        <f>IF(OR($AM41="",W$52=0),"",COUNTIF(W$6:W$35,$AM41))</f>
      </c>
      <c r="X41" s="41">
        <f>IF(OR($AM41="",X$52=0),"",COUNTIF(X$6:X$35,$AM41))</f>
      </c>
      <c r="Y41" s="41">
        <f>IF(OR($AM41="",Y$52=0),"",COUNTIF(Y$6:Y$35,$AM41))</f>
      </c>
      <c r="Z41" s="41">
        <f>IF(OR($AM41="",Z$52=0),"",COUNTIF(Z$6:Z$35,$AM41))</f>
      </c>
      <c r="AA41" s="41">
        <f>IF(OR($AM41="",AA$52=0),"",COUNTIF(AA$6:AA$35,$AM41))</f>
      </c>
      <c r="AB41" s="41">
        <f>IF(OR($AM41="",AB$52=0),"",COUNTIF(AB$6:AB$35,$AM41))</f>
      </c>
      <c r="AC41" s="41">
        <f>IF(OR($AM41="",AC$52=0),"",COUNTIF(AC$6:AC$35,$AM41))</f>
      </c>
      <c r="AD41" s="41">
        <f>IF(OR($AM41="",AD$52=0),"",COUNTIF(AD$6:AD$35,$AM41))</f>
      </c>
      <c r="AE41" s="41">
        <f>IF(OR($AM41="",AE$52=0),"",COUNTIF(AE$6:AE$35,$AM41))</f>
      </c>
      <c r="AF41" s="41">
        <f>IF(OR($AM41="",AF$52=0),"",COUNTIF(AF$6:AF$35,$AM41))</f>
      </c>
      <c r="AG41" s="1"/>
      <c r="AH41" s="1"/>
      <c r="AI41" s="1"/>
      <c r="AJ41" s="1"/>
      <c r="AK41" s="1"/>
      <c r="AL41" s="1"/>
      <c r="AM41" s="1">
        <f>IFERROR(INDEX(Codes,MATCH(4,ArbeitNr,0)),"")</f>
      </c>
    </row>
    <row r="42" spans="1:39" x14ac:dyDescent="0.25">
      <c r="A42" s="40">
        <f>IFERROR(INDEX(Codes,MATCH(5,ArbeitNr,0))&amp;" "&amp;INDEX(Bezeichnungen,MATCH(5,ArbeitNr,0)),"")</f>
      </c>
      <c r="B42" s="41">
        <f>IF(OR($AM42="",B$52=0),"",COUNTIF(B$6:B$35,$AM42))</f>
      </c>
      <c r="C42" s="41">
        <f>IF(OR($AM42="",C$52=0),"",COUNTIF(C$6:C$35,$AM42))</f>
      </c>
      <c r="D42" s="41">
        <f>IF(OR($AM42="",D$52=0),"",COUNTIF(D$6:D$35,$AM42))</f>
      </c>
      <c r="E42" s="41">
        <f>IF(OR($AM42="",E$52=0),"",COUNTIF(E$6:E$35,$AM42))</f>
      </c>
      <c r="F42" s="41">
        <f>IF(OR($AM42="",F$52=0),"",COUNTIF(F$6:F$35,$AM42))</f>
      </c>
      <c r="G42" s="41">
        <f>IF(OR($AM42="",G$52=0),"",COUNTIF(G$6:G$35,$AM42))</f>
      </c>
      <c r="H42" s="41">
        <f>IF(OR($AM42="",H$52=0),"",COUNTIF(H$6:H$35,$AM42))</f>
      </c>
      <c r="I42" s="41">
        <f>IF(OR($AM42="",I$52=0),"",COUNTIF(I$6:I$35,$AM42))</f>
      </c>
      <c r="J42" s="41">
        <f>IF(OR($AM42="",J$52=0),"",COUNTIF(J$6:J$35,$AM42))</f>
      </c>
      <c r="K42" s="41">
        <f>IF(OR($AM42="",K$52=0),"",COUNTIF(K$6:K$35,$AM42))</f>
      </c>
      <c r="L42" s="41">
        <f>IF(OR($AM42="",L$52=0),"",COUNTIF(L$6:L$35,$AM42))</f>
      </c>
      <c r="M42" s="41">
        <f>IF(OR($AM42="",M$52=0),"",COUNTIF(M$6:M$35,$AM42))</f>
      </c>
      <c r="N42" s="41">
        <f>IF(OR($AM42="",N$52=0),"",COUNTIF(N$6:N$35,$AM42))</f>
      </c>
      <c r="O42" s="41">
        <f>IF(OR($AM42="",O$52=0),"",COUNTIF(O$6:O$35,$AM42))</f>
      </c>
      <c r="P42" s="41">
        <f>IF(OR($AM42="",P$52=0),"",COUNTIF(P$6:P$35,$AM42))</f>
      </c>
      <c r="Q42" s="41">
        <f>IF(OR($AM42="",Q$52=0),"",COUNTIF(Q$6:Q$35,$AM42))</f>
      </c>
      <c r="R42" s="41">
        <f>IF(OR($AM42="",R$52=0),"",COUNTIF(R$6:R$35,$AM42))</f>
      </c>
      <c r="S42" s="41">
        <f>IF(OR($AM42="",S$52=0),"",COUNTIF(S$6:S$35,$AM42))</f>
      </c>
      <c r="T42" s="41">
        <f>IF(OR($AM42="",T$52=0),"",COUNTIF(T$6:T$35,$AM42))</f>
      </c>
      <c r="U42" s="41">
        <f>IF(OR($AM42="",U$52=0),"",COUNTIF(U$6:U$35,$AM42))</f>
      </c>
      <c r="V42" s="41">
        <f>IF(OR($AM42="",V$52=0),"",COUNTIF(V$6:V$35,$AM42))</f>
      </c>
      <c r="W42" s="41">
        <f>IF(OR($AM42="",W$52=0),"",COUNTIF(W$6:W$35,$AM42))</f>
      </c>
      <c r="X42" s="41">
        <f>IF(OR($AM42="",X$52=0),"",COUNTIF(X$6:X$35,$AM42))</f>
      </c>
      <c r="Y42" s="41">
        <f>IF(OR($AM42="",Y$52=0),"",COUNTIF(Y$6:Y$35,$AM42))</f>
      </c>
      <c r="Z42" s="41">
        <f>IF(OR($AM42="",Z$52=0),"",COUNTIF(Z$6:Z$35,$AM42))</f>
      </c>
      <c r="AA42" s="41">
        <f>IF(OR($AM42="",AA$52=0),"",COUNTIF(AA$6:AA$35,$AM42))</f>
      </c>
      <c r="AB42" s="41">
        <f>IF(OR($AM42="",AB$52=0),"",COUNTIF(AB$6:AB$35,$AM42))</f>
      </c>
      <c r="AC42" s="41">
        <f>IF(OR($AM42="",AC$52=0),"",COUNTIF(AC$6:AC$35,$AM42))</f>
      </c>
      <c r="AD42" s="41">
        <f>IF(OR($AM42="",AD$52=0),"",COUNTIF(AD$6:AD$35,$AM42))</f>
      </c>
      <c r="AE42" s="41">
        <f>IF(OR($AM42="",AE$52=0),"",COUNTIF(AE$6:AE$35,$AM42))</f>
      </c>
      <c r="AF42" s="41">
        <f>IF(OR($AM42="",AF$52=0),"",COUNTIF(AF$6:AF$35,$AM42))</f>
      </c>
      <c r="AG42" s="1"/>
      <c r="AH42" s="1"/>
      <c r="AI42" s="1"/>
      <c r="AJ42" s="1"/>
      <c r="AK42" s="1"/>
      <c r="AL42" s="1"/>
      <c r="AM42" s="1">
        <f>IFERROR(INDEX(Codes,MATCH(5,ArbeitNr,0)),"")</f>
      </c>
    </row>
    <row r="43" spans="1:39" x14ac:dyDescent="0.25">
      <c r="A43" s="40">
        <f>IFERROR(INDEX(Codes,MATCH(6,ArbeitNr,0))&amp;" "&amp;INDEX(Bezeichnungen,MATCH(6,ArbeitNr,0)),"")</f>
      </c>
      <c r="B43" s="41">
        <f>IF(OR($AM43="",B$52=0),"",COUNTIF(B$6:B$35,$AM43))</f>
      </c>
      <c r="C43" s="41">
        <f>IF(OR($AM43="",C$52=0),"",COUNTIF(C$6:C$35,$AM43))</f>
      </c>
      <c r="D43" s="41">
        <f>IF(OR($AM43="",D$52=0),"",COUNTIF(D$6:D$35,$AM43))</f>
      </c>
      <c r="E43" s="41">
        <f>IF(OR($AM43="",E$52=0),"",COUNTIF(E$6:E$35,$AM43))</f>
      </c>
      <c r="F43" s="41">
        <f>IF(OR($AM43="",F$52=0),"",COUNTIF(F$6:F$35,$AM43))</f>
      </c>
      <c r="G43" s="41">
        <f>IF(OR($AM43="",G$52=0),"",COUNTIF(G$6:G$35,$AM43))</f>
      </c>
      <c r="H43" s="41">
        <f>IF(OR($AM43="",H$52=0),"",COUNTIF(H$6:H$35,$AM43))</f>
      </c>
      <c r="I43" s="41">
        <f>IF(OR($AM43="",I$52=0),"",COUNTIF(I$6:I$35,$AM43))</f>
      </c>
      <c r="J43" s="41">
        <f>IF(OR($AM43="",J$52=0),"",COUNTIF(J$6:J$35,$AM43))</f>
      </c>
      <c r="K43" s="41">
        <f>IF(OR($AM43="",K$52=0),"",COUNTIF(K$6:K$35,$AM43))</f>
      </c>
      <c r="L43" s="41">
        <f>IF(OR($AM43="",L$52=0),"",COUNTIF(L$6:L$35,$AM43))</f>
      </c>
      <c r="M43" s="41">
        <f>IF(OR($AM43="",M$52=0),"",COUNTIF(M$6:M$35,$AM43))</f>
      </c>
      <c r="N43" s="41">
        <f>IF(OR($AM43="",N$52=0),"",COUNTIF(N$6:N$35,$AM43))</f>
      </c>
      <c r="O43" s="41">
        <f>IF(OR($AM43="",O$52=0),"",COUNTIF(O$6:O$35,$AM43))</f>
      </c>
      <c r="P43" s="41">
        <f>IF(OR($AM43="",P$52=0),"",COUNTIF(P$6:P$35,$AM43))</f>
      </c>
      <c r="Q43" s="41">
        <f>IF(OR($AM43="",Q$52=0),"",COUNTIF(Q$6:Q$35,$AM43))</f>
      </c>
      <c r="R43" s="41">
        <f>IF(OR($AM43="",R$52=0),"",COUNTIF(R$6:R$35,$AM43))</f>
      </c>
      <c r="S43" s="41">
        <f>IF(OR($AM43="",S$52=0),"",COUNTIF(S$6:S$35,$AM43))</f>
      </c>
      <c r="T43" s="41">
        <f>IF(OR($AM43="",T$52=0),"",COUNTIF(T$6:T$35,$AM43))</f>
      </c>
      <c r="U43" s="41">
        <f>IF(OR($AM43="",U$52=0),"",COUNTIF(U$6:U$35,$AM43))</f>
      </c>
      <c r="V43" s="41">
        <f>IF(OR($AM43="",V$52=0),"",COUNTIF(V$6:V$35,$AM43))</f>
      </c>
      <c r="W43" s="41">
        <f>IF(OR($AM43="",W$52=0),"",COUNTIF(W$6:W$35,$AM43))</f>
      </c>
      <c r="X43" s="41">
        <f>IF(OR($AM43="",X$52=0),"",COUNTIF(X$6:X$35,$AM43))</f>
      </c>
      <c r="Y43" s="41">
        <f>IF(OR($AM43="",Y$52=0),"",COUNTIF(Y$6:Y$35,$AM43))</f>
      </c>
      <c r="Z43" s="41">
        <f>IF(OR($AM43="",Z$52=0),"",COUNTIF(Z$6:Z$35,$AM43))</f>
      </c>
      <c r="AA43" s="41">
        <f>IF(OR($AM43="",AA$52=0),"",COUNTIF(AA$6:AA$35,$AM43))</f>
      </c>
      <c r="AB43" s="41">
        <f>IF(OR($AM43="",AB$52=0),"",COUNTIF(AB$6:AB$35,$AM43))</f>
      </c>
      <c r="AC43" s="41">
        <f>IF(OR($AM43="",AC$52=0),"",COUNTIF(AC$6:AC$35,$AM43))</f>
      </c>
      <c r="AD43" s="41">
        <f>IF(OR($AM43="",AD$52=0),"",COUNTIF(AD$6:AD$35,$AM43))</f>
      </c>
      <c r="AE43" s="41">
        <f>IF(OR($AM43="",AE$52=0),"",COUNTIF(AE$6:AE$35,$AM43))</f>
      </c>
      <c r="AF43" s="41">
        <f>IF(OR($AM43="",AF$52=0),"",COUNTIF(AF$6:AF$35,$AM43))</f>
      </c>
      <c r="AG43" s="1"/>
      <c r="AH43" s="1"/>
      <c r="AI43" s="1"/>
      <c r="AJ43" s="1"/>
      <c r="AK43" s="1"/>
      <c r="AL43" s="1"/>
      <c r="AM43" s="1">
        <f>IFERROR(INDEX(Codes,MATCH(6,ArbeitNr,0)),"")</f>
      </c>
    </row>
    <row r="44" spans="1:39" x14ac:dyDescent="0.25">
      <c r="A44" s="40">
        <f>IFERROR(INDEX(Codes,MATCH(7,ArbeitNr,0))&amp;" "&amp;INDEX(Bezeichnungen,MATCH(7,ArbeitNr,0)),"")</f>
      </c>
      <c r="B44" s="41">
        <f>IF(OR($AM44="",B$52=0),"",COUNTIF(B$6:B$35,$AM44))</f>
      </c>
      <c r="C44" s="41">
        <f>IF(OR($AM44="",C$52=0),"",COUNTIF(C$6:C$35,$AM44))</f>
      </c>
      <c r="D44" s="41">
        <f>IF(OR($AM44="",D$52=0),"",COUNTIF(D$6:D$35,$AM44))</f>
      </c>
      <c r="E44" s="41">
        <f>IF(OR($AM44="",E$52=0),"",COUNTIF(E$6:E$35,$AM44))</f>
      </c>
      <c r="F44" s="41">
        <f>IF(OR($AM44="",F$52=0),"",COUNTIF(F$6:F$35,$AM44))</f>
      </c>
      <c r="G44" s="41">
        <f>IF(OR($AM44="",G$52=0),"",COUNTIF(G$6:G$35,$AM44))</f>
      </c>
      <c r="H44" s="41">
        <f>IF(OR($AM44="",H$52=0),"",COUNTIF(H$6:H$35,$AM44))</f>
      </c>
      <c r="I44" s="41">
        <f>IF(OR($AM44="",I$52=0),"",COUNTIF(I$6:I$35,$AM44))</f>
      </c>
      <c r="J44" s="41">
        <f>IF(OR($AM44="",J$52=0),"",COUNTIF(J$6:J$35,$AM44))</f>
      </c>
      <c r="K44" s="41">
        <f>IF(OR($AM44="",K$52=0),"",COUNTIF(K$6:K$35,$AM44))</f>
      </c>
      <c r="L44" s="41">
        <f>IF(OR($AM44="",L$52=0),"",COUNTIF(L$6:L$35,$AM44))</f>
      </c>
      <c r="M44" s="41">
        <f>IF(OR($AM44="",M$52=0),"",COUNTIF(M$6:M$35,$AM44))</f>
      </c>
      <c r="N44" s="41">
        <f>IF(OR($AM44="",N$52=0),"",COUNTIF(N$6:N$35,$AM44))</f>
      </c>
      <c r="O44" s="41">
        <f>IF(OR($AM44="",O$52=0),"",COUNTIF(O$6:O$35,$AM44))</f>
      </c>
      <c r="P44" s="41">
        <f>IF(OR($AM44="",P$52=0),"",COUNTIF(P$6:P$35,$AM44))</f>
      </c>
      <c r="Q44" s="41">
        <f>IF(OR($AM44="",Q$52=0),"",COUNTIF(Q$6:Q$35,$AM44))</f>
      </c>
      <c r="R44" s="41">
        <f>IF(OR($AM44="",R$52=0),"",COUNTIF(R$6:R$35,$AM44))</f>
      </c>
      <c r="S44" s="41">
        <f>IF(OR($AM44="",S$52=0),"",COUNTIF(S$6:S$35,$AM44))</f>
      </c>
      <c r="T44" s="41">
        <f>IF(OR($AM44="",T$52=0),"",COUNTIF(T$6:T$35,$AM44))</f>
      </c>
      <c r="U44" s="41">
        <f>IF(OR($AM44="",U$52=0),"",COUNTIF(U$6:U$35,$AM44))</f>
      </c>
      <c r="V44" s="41">
        <f>IF(OR($AM44="",V$52=0),"",COUNTIF(V$6:V$35,$AM44))</f>
      </c>
      <c r="W44" s="41">
        <f>IF(OR($AM44="",W$52=0),"",COUNTIF(W$6:W$35,$AM44))</f>
      </c>
      <c r="X44" s="41">
        <f>IF(OR($AM44="",X$52=0),"",COUNTIF(X$6:X$35,$AM44))</f>
      </c>
      <c r="Y44" s="41">
        <f>IF(OR($AM44="",Y$52=0),"",COUNTIF(Y$6:Y$35,$AM44))</f>
      </c>
      <c r="Z44" s="41">
        <f>IF(OR($AM44="",Z$52=0),"",COUNTIF(Z$6:Z$35,$AM44))</f>
      </c>
      <c r="AA44" s="41">
        <f>IF(OR($AM44="",AA$52=0),"",COUNTIF(AA$6:AA$35,$AM44))</f>
      </c>
      <c r="AB44" s="41">
        <f>IF(OR($AM44="",AB$52=0),"",COUNTIF(AB$6:AB$35,$AM44))</f>
      </c>
      <c r="AC44" s="41">
        <f>IF(OR($AM44="",AC$52=0),"",COUNTIF(AC$6:AC$35,$AM44))</f>
      </c>
      <c r="AD44" s="41">
        <f>IF(OR($AM44="",AD$52=0),"",COUNTIF(AD$6:AD$35,$AM44))</f>
      </c>
      <c r="AE44" s="41">
        <f>IF(OR($AM44="",AE$52=0),"",COUNTIF(AE$6:AE$35,$AM44))</f>
      </c>
      <c r="AF44" s="41">
        <f>IF(OR($AM44="",AF$52=0),"",COUNTIF(AF$6:AF$35,$AM44))</f>
      </c>
      <c r="AG44" s="1"/>
      <c r="AH44" s="1"/>
      <c r="AI44" s="1"/>
      <c r="AJ44" s="1"/>
      <c r="AK44" s="1"/>
      <c r="AL44" s="1"/>
      <c r="AM44" s="1">
        <f>IFERROR(INDEX(Codes,MATCH(7,ArbeitNr,0)),"")</f>
      </c>
    </row>
    <row r="45" spans="1:39" x14ac:dyDescent="0.25">
      <c r="A45" s="40">
        <f>IFERROR(INDEX(Codes,MATCH(8,ArbeitNr,0))&amp;" "&amp;INDEX(Bezeichnungen,MATCH(8,ArbeitNr,0)),"")</f>
      </c>
      <c r="B45" s="41">
        <f>IF(OR($AM45="",B$52=0),"",COUNTIF(B$6:B$35,$AM45))</f>
      </c>
      <c r="C45" s="41">
        <f>IF(OR($AM45="",C$52=0),"",COUNTIF(C$6:C$35,$AM45))</f>
      </c>
      <c r="D45" s="41">
        <f>IF(OR($AM45="",D$52=0),"",COUNTIF(D$6:D$35,$AM45))</f>
      </c>
      <c r="E45" s="41">
        <f>IF(OR($AM45="",E$52=0),"",COUNTIF(E$6:E$35,$AM45))</f>
      </c>
      <c r="F45" s="41">
        <f>IF(OR($AM45="",F$52=0),"",COUNTIF(F$6:F$35,$AM45))</f>
      </c>
      <c r="G45" s="41">
        <f>IF(OR($AM45="",G$52=0),"",COUNTIF(G$6:G$35,$AM45))</f>
      </c>
      <c r="H45" s="41">
        <f>IF(OR($AM45="",H$52=0),"",COUNTIF(H$6:H$35,$AM45))</f>
      </c>
      <c r="I45" s="41">
        <f>IF(OR($AM45="",I$52=0),"",COUNTIF(I$6:I$35,$AM45))</f>
      </c>
      <c r="J45" s="41">
        <f>IF(OR($AM45="",J$52=0),"",COUNTIF(J$6:J$35,$AM45))</f>
      </c>
      <c r="K45" s="41">
        <f>IF(OR($AM45="",K$52=0),"",COUNTIF(K$6:K$35,$AM45))</f>
      </c>
      <c r="L45" s="41">
        <f>IF(OR($AM45="",L$52=0),"",COUNTIF(L$6:L$35,$AM45))</f>
      </c>
      <c r="M45" s="41">
        <f>IF(OR($AM45="",M$52=0),"",COUNTIF(M$6:M$35,$AM45))</f>
      </c>
      <c r="N45" s="41">
        <f>IF(OR($AM45="",N$52=0),"",COUNTIF(N$6:N$35,$AM45))</f>
      </c>
      <c r="O45" s="41">
        <f>IF(OR($AM45="",O$52=0),"",COUNTIF(O$6:O$35,$AM45))</f>
      </c>
      <c r="P45" s="41">
        <f>IF(OR($AM45="",P$52=0),"",COUNTIF(P$6:P$35,$AM45))</f>
      </c>
      <c r="Q45" s="41">
        <f>IF(OR($AM45="",Q$52=0),"",COUNTIF(Q$6:Q$35,$AM45))</f>
      </c>
      <c r="R45" s="41">
        <f>IF(OR($AM45="",R$52=0),"",COUNTIF(R$6:R$35,$AM45))</f>
      </c>
      <c r="S45" s="41">
        <f>IF(OR($AM45="",S$52=0),"",COUNTIF(S$6:S$35,$AM45))</f>
      </c>
      <c r="T45" s="41">
        <f>IF(OR($AM45="",T$52=0),"",COUNTIF(T$6:T$35,$AM45))</f>
      </c>
      <c r="U45" s="41">
        <f>IF(OR($AM45="",U$52=0),"",COUNTIF(U$6:U$35,$AM45))</f>
      </c>
      <c r="V45" s="41">
        <f>IF(OR($AM45="",V$52=0),"",COUNTIF(V$6:V$35,$AM45))</f>
      </c>
      <c r="W45" s="41">
        <f>IF(OR($AM45="",W$52=0),"",COUNTIF(W$6:W$35,$AM45))</f>
      </c>
      <c r="X45" s="41">
        <f>IF(OR($AM45="",X$52=0),"",COUNTIF(X$6:X$35,$AM45))</f>
      </c>
      <c r="Y45" s="41">
        <f>IF(OR($AM45="",Y$52=0),"",COUNTIF(Y$6:Y$35,$AM45))</f>
      </c>
      <c r="Z45" s="41">
        <f>IF(OR($AM45="",Z$52=0),"",COUNTIF(Z$6:Z$35,$AM45))</f>
      </c>
      <c r="AA45" s="41">
        <f>IF(OR($AM45="",AA$52=0),"",COUNTIF(AA$6:AA$35,$AM45))</f>
      </c>
      <c r="AB45" s="41">
        <f>IF(OR($AM45="",AB$52=0),"",COUNTIF(AB$6:AB$35,$AM45))</f>
      </c>
      <c r="AC45" s="41">
        <f>IF(OR($AM45="",AC$52=0),"",COUNTIF(AC$6:AC$35,$AM45))</f>
      </c>
      <c r="AD45" s="41">
        <f>IF(OR($AM45="",AD$52=0),"",COUNTIF(AD$6:AD$35,$AM45))</f>
      </c>
      <c r="AE45" s="41">
        <f>IF(OR($AM45="",AE$52=0),"",COUNTIF(AE$6:AE$35,$AM45))</f>
      </c>
      <c r="AF45" s="41">
        <f>IF(OR($AM45="",AF$52=0),"",COUNTIF(AF$6:AF$35,$AM45))</f>
      </c>
      <c r="AG45" s="1"/>
      <c r="AH45" s="1"/>
      <c r="AI45" s="1"/>
      <c r="AJ45" s="1"/>
      <c r="AK45" s="1"/>
      <c r="AL45" s="1"/>
      <c r="AM45" s="1">
        <f>IFERROR(INDEX(Codes,MATCH(8,ArbeitNr,0)),"")</f>
      </c>
    </row>
    <row r="46" ht="22" customHeight="1" spans="1:32" x14ac:dyDescent="0.25">
      <c r="A46" s="42" t="s">
        <v>64</v>
      </c>
      <c r="B46" s="43">
        <f>TRIM(IF(AND(B38&lt;&gt;"",N(B38)&lt;N(B86)),$AM38&amp;" ","")&amp;IF(AND(B39&lt;&gt;"",N(B39)&lt;N(B87)),$AM39&amp;" ","")&amp;IF(AND(B40&lt;&gt;"",N(B40)&lt;N(B88)),$AM40&amp;" ","")&amp;IF(AND(B41&lt;&gt;"",N(B41)&lt;N(B89)),$AM41&amp;" ","")&amp;IF(AND(B42&lt;&gt;"",N(B42)&lt;N(B90)),$AM42&amp;" ","")&amp;IF(AND(B43&lt;&gt;"",N(B43)&lt;N(B91)),$AM43&amp;" ","")&amp;IF(AND(B44&lt;&gt;"",N(B44)&lt;N(B92)),$AM44&amp;" ","")&amp;IF(AND(B45&lt;&gt;"",N(B45)&lt;N(B93)),$AM45&amp;" ",""))</f>
      </c>
      <c r="C46" s="43">
        <f>TRIM(IF(AND(C38&lt;&gt;"",N(C38)&lt;N(C86)),$AM38&amp;" ","")&amp;IF(AND(C39&lt;&gt;"",N(C39)&lt;N(C87)),$AM39&amp;" ","")&amp;IF(AND(C40&lt;&gt;"",N(C40)&lt;N(C88)),$AM40&amp;" ","")&amp;IF(AND(C41&lt;&gt;"",N(C41)&lt;N(C89)),$AM41&amp;" ","")&amp;IF(AND(C42&lt;&gt;"",N(C42)&lt;N(C90)),$AM42&amp;" ","")&amp;IF(AND(C43&lt;&gt;"",N(C43)&lt;N(C91)),$AM43&amp;" ","")&amp;IF(AND(C44&lt;&gt;"",N(C44)&lt;N(C92)),$AM44&amp;" ","")&amp;IF(AND(C45&lt;&gt;"",N(C45)&lt;N(C93)),$AM45&amp;" ",""))</f>
      </c>
      <c r="D46" s="43">
        <f>TRIM(IF(AND(D38&lt;&gt;"",N(D38)&lt;N(D86)),$AM38&amp;" ","")&amp;IF(AND(D39&lt;&gt;"",N(D39)&lt;N(D87)),$AM39&amp;" ","")&amp;IF(AND(D40&lt;&gt;"",N(D40)&lt;N(D88)),$AM40&amp;" ","")&amp;IF(AND(D41&lt;&gt;"",N(D41)&lt;N(D89)),$AM41&amp;" ","")&amp;IF(AND(D42&lt;&gt;"",N(D42)&lt;N(D90)),$AM42&amp;" ","")&amp;IF(AND(D43&lt;&gt;"",N(D43)&lt;N(D91)),$AM43&amp;" ","")&amp;IF(AND(D44&lt;&gt;"",N(D44)&lt;N(D92)),$AM44&amp;" ","")&amp;IF(AND(D45&lt;&gt;"",N(D45)&lt;N(D93)),$AM45&amp;" ",""))</f>
      </c>
      <c r="E46" s="43">
        <f>TRIM(IF(AND(E38&lt;&gt;"",N(E38)&lt;N(E86)),$AM38&amp;" ","")&amp;IF(AND(E39&lt;&gt;"",N(E39)&lt;N(E87)),$AM39&amp;" ","")&amp;IF(AND(E40&lt;&gt;"",N(E40)&lt;N(E88)),$AM40&amp;" ","")&amp;IF(AND(E41&lt;&gt;"",N(E41)&lt;N(E89)),$AM41&amp;" ","")&amp;IF(AND(E42&lt;&gt;"",N(E42)&lt;N(E90)),$AM42&amp;" ","")&amp;IF(AND(E43&lt;&gt;"",N(E43)&lt;N(E91)),$AM43&amp;" ","")&amp;IF(AND(E44&lt;&gt;"",N(E44)&lt;N(E92)),$AM44&amp;" ","")&amp;IF(AND(E45&lt;&gt;"",N(E45)&lt;N(E93)),$AM45&amp;" ",""))</f>
      </c>
      <c r="F46" s="43">
        <f>TRIM(IF(AND(F38&lt;&gt;"",N(F38)&lt;N(F86)),$AM38&amp;" ","")&amp;IF(AND(F39&lt;&gt;"",N(F39)&lt;N(F87)),$AM39&amp;" ","")&amp;IF(AND(F40&lt;&gt;"",N(F40)&lt;N(F88)),$AM40&amp;" ","")&amp;IF(AND(F41&lt;&gt;"",N(F41)&lt;N(F89)),$AM41&amp;" ","")&amp;IF(AND(F42&lt;&gt;"",N(F42)&lt;N(F90)),$AM42&amp;" ","")&amp;IF(AND(F43&lt;&gt;"",N(F43)&lt;N(F91)),$AM43&amp;" ","")&amp;IF(AND(F44&lt;&gt;"",N(F44)&lt;N(F92)),$AM44&amp;" ","")&amp;IF(AND(F45&lt;&gt;"",N(F45)&lt;N(F93)),$AM45&amp;" ",""))</f>
      </c>
      <c r="G46" s="43">
        <f>TRIM(IF(AND(G38&lt;&gt;"",N(G38)&lt;N(G86)),$AM38&amp;" ","")&amp;IF(AND(G39&lt;&gt;"",N(G39)&lt;N(G87)),$AM39&amp;" ","")&amp;IF(AND(G40&lt;&gt;"",N(G40)&lt;N(G88)),$AM40&amp;" ","")&amp;IF(AND(G41&lt;&gt;"",N(G41)&lt;N(G89)),$AM41&amp;" ","")&amp;IF(AND(G42&lt;&gt;"",N(G42)&lt;N(G90)),$AM42&amp;" ","")&amp;IF(AND(G43&lt;&gt;"",N(G43)&lt;N(G91)),$AM43&amp;" ","")&amp;IF(AND(G44&lt;&gt;"",N(G44)&lt;N(G92)),$AM44&amp;" ","")&amp;IF(AND(G45&lt;&gt;"",N(G45)&lt;N(G93)),$AM45&amp;" ",""))</f>
      </c>
      <c r="H46" s="43">
        <f>TRIM(IF(AND(H38&lt;&gt;"",N(H38)&lt;N(H86)),$AM38&amp;" ","")&amp;IF(AND(H39&lt;&gt;"",N(H39)&lt;N(H87)),$AM39&amp;" ","")&amp;IF(AND(H40&lt;&gt;"",N(H40)&lt;N(H88)),$AM40&amp;" ","")&amp;IF(AND(H41&lt;&gt;"",N(H41)&lt;N(H89)),$AM41&amp;" ","")&amp;IF(AND(H42&lt;&gt;"",N(H42)&lt;N(H90)),$AM42&amp;" ","")&amp;IF(AND(H43&lt;&gt;"",N(H43)&lt;N(H91)),$AM43&amp;" ","")&amp;IF(AND(H44&lt;&gt;"",N(H44)&lt;N(H92)),$AM44&amp;" ","")&amp;IF(AND(H45&lt;&gt;"",N(H45)&lt;N(H93)),$AM45&amp;" ",""))</f>
      </c>
      <c r="I46" s="43">
        <f>TRIM(IF(AND(I38&lt;&gt;"",N(I38)&lt;N(I86)),$AM38&amp;" ","")&amp;IF(AND(I39&lt;&gt;"",N(I39)&lt;N(I87)),$AM39&amp;" ","")&amp;IF(AND(I40&lt;&gt;"",N(I40)&lt;N(I88)),$AM40&amp;" ","")&amp;IF(AND(I41&lt;&gt;"",N(I41)&lt;N(I89)),$AM41&amp;" ","")&amp;IF(AND(I42&lt;&gt;"",N(I42)&lt;N(I90)),$AM42&amp;" ","")&amp;IF(AND(I43&lt;&gt;"",N(I43)&lt;N(I91)),$AM43&amp;" ","")&amp;IF(AND(I44&lt;&gt;"",N(I44)&lt;N(I92)),$AM44&amp;" ","")&amp;IF(AND(I45&lt;&gt;"",N(I45)&lt;N(I93)),$AM45&amp;" ",""))</f>
      </c>
      <c r="J46" s="43">
        <f>TRIM(IF(AND(J38&lt;&gt;"",N(J38)&lt;N(J86)),$AM38&amp;" ","")&amp;IF(AND(J39&lt;&gt;"",N(J39)&lt;N(J87)),$AM39&amp;" ","")&amp;IF(AND(J40&lt;&gt;"",N(J40)&lt;N(J88)),$AM40&amp;" ","")&amp;IF(AND(J41&lt;&gt;"",N(J41)&lt;N(J89)),$AM41&amp;" ","")&amp;IF(AND(J42&lt;&gt;"",N(J42)&lt;N(J90)),$AM42&amp;" ","")&amp;IF(AND(J43&lt;&gt;"",N(J43)&lt;N(J91)),$AM43&amp;" ","")&amp;IF(AND(J44&lt;&gt;"",N(J44)&lt;N(J92)),$AM44&amp;" ","")&amp;IF(AND(J45&lt;&gt;"",N(J45)&lt;N(J93)),$AM45&amp;" ",""))</f>
      </c>
      <c r="K46" s="43">
        <f>TRIM(IF(AND(K38&lt;&gt;"",N(K38)&lt;N(K86)),$AM38&amp;" ","")&amp;IF(AND(K39&lt;&gt;"",N(K39)&lt;N(K87)),$AM39&amp;" ","")&amp;IF(AND(K40&lt;&gt;"",N(K40)&lt;N(K88)),$AM40&amp;" ","")&amp;IF(AND(K41&lt;&gt;"",N(K41)&lt;N(K89)),$AM41&amp;" ","")&amp;IF(AND(K42&lt;&gt;"",N(K42)&lt;N(K90)),$AM42&amp;" ","")&amp;IF(AND(K43&lt;&gt;"",N(K43)&lt;N(K91)),$AM43&amp;" ","")&amp;IF(AND(K44&lt;&gt;"",N(K44)&lt;N(K92)),$AM44&amp;" ","")&amp;IF(AND(K45&lt;&gt;"",N(K45)&lt;N(K93)),$AM45&amp;" ",""))</f>
      </c>
      <c r="L46" s="43">
        <f>TRIM(IF(AND(L38&lt;&gt;"",N(L38)&lt;N(L86)),$AM38&amp;" ","")&amp;IF(AND(L39&lt;&gt;"",N(L39)&lt;N(L87)),$AM39&amp;" ","")&amp;IF(AND(L40&lt;&gt;"",N(L40)&lt;N(L88)),$AM40&amp;" ","")&amp;IF(AND(L41&lt;&gt;"",N(L41)&lt;N(L89)),$AM41&amp;" ","")&amp;IF(AND(L42&lt;&gt;"",N(L42)&lt;N(L90)),$AM42&amp;" ","")&amp;IF(AND(L43&lt;&gt;"",N(L43)&lt;N(L91)),$AM43&amp;" ","")&amp;IF(AND(L44&lt;&gt;"",N(L44)&lt;N(L92)),$AM44&amp;" ","")&amp;IF(AND(L45&lt;&gt;"",N(L45)&lt;N(L93)),$AM45&amp;" ",""))</f>
      </c>
      <c r="M46" s="43">
        <f>TRIM(IF(AND(M38&lt;&gt;"",N(M38)&lt;N(M86)),$AM38&amp;" ","")&amp;IF(AND(M39&lt;&gt;"",N(M39)&lt;N(M87)),$AM39&amp;" ","")&amp;IF(AND(M40&lt;&gt;"",N(M40)&lt;N(M88)),$AM40&amp;" ","")&amp;IF(AND(M41&lt;&gt;"",N(M41)&lt;N(M89)),$AM41&amp;" ","")&amp;IF(AND(M42&lt;&gt;"",N(M42)&lt;N(M90)),$AM42&amp;" ","")&amp;IF(AND(M43&lt;&gt;"",N(M43)&lt;N(M91)),$AM43&amp;" ","")&amp;IF(AND(M44&lt;&gt;"",N(M44)&lt;N(M92)),$AM44&amp;" ","")&amp;IF(AND(M45&lt;&gt;"",N(M45)&lt;N(M93)),$AM45&amp;" ",""))</f>
      </c>
      <c r="N46" s="43">
        <f>TRIM(IF(AND(N38&lt;&gt;"",N(N38)&lt;N(N86)),$AM38&amp;" ","")&amp;IF(AND(N39&lt;&gt;"",N(N39)&lt;N(N87)),$AM39&amp;" ","")&amp;IF(AND(N40&lt;&gt;"",N(N40)&lt;N(N88)),$AM40&amp;" ","")&amp;IF(AND(N41&lt;&gt;"",N(N41)&lt;N(N89)),$AM41&amp;" ","")&amp;IF(AND(N42&lt;&gt;"",N(N42)&lt;N(N90)),$AM42&amp;" ","")&amp;IF(AND(N43&lt;&gt;"",N(N43)&lt;N(N91)),$AM43&amp;" ","")&amp;IF(AND(N44&lt;&gt;"",N(N44)&lt;N(N92)),$AM44&amp;" ","")&amp;IF(AND(N45&lt;&gt;"",N(N45)&lt;N(N93)),$AM45&amp;" ",""))</f>
      </c>
      <c r="O46" s="43">
        <f>TRIM(IF(AND(O38&lt;&gt;"",N(O38)&lt;N(O86)),$AM38&amp;" ","")&amp;IF(AND(O39&lt;&gt;"",N(O39)&lt;N(O87)),$AM39&amp;" ","")&amp;IF(AND(O40&lt;&gt;"",N(O40)&lt;N(O88)),$AM40&amp;" ","")&amp;IF(AND(O41&lt;&gt;"",N(O41)&lt;N(O89)),$AM41&amp;" ","")&amp;IF(AND(O42&lt;&gt;"",N(O42)&lt;N(O90)),$AM42&amp;" ","")&amp;IF(AND(O43&lt;&gt;"",N(O43)&lt;N(O91)),$AM43&amp;" ","")&amp;IF(AND(O44&lt;&gt;"",N(O44)&lt;N(O92)),$AM44&amp;" ","")&amp;IF(AND(O45&lt;&gt;"",N(O45)&lt;N(O93)),$AM45&amp;" ",""))</f>
      </c>
      <c r="P46" s="43">
        <f>TRIM(IF(AND(P38&lt;&gt;"",N(P38)&lt;N(P86)),$AM38&amp;" ","")&amp;IF(AND(P39&lt;&gt;"",N(P39)&lt;N(P87)),$AM39&amp;" ","")&amp;IF(AND(P40&lt;&gt;"",N(P40)&lt;N(P88)),$AM40&amp;" ","")&amp;IF(AND(P41&lt;&gt;"",N(P41)&lt;N(P89)),$AM41&amp;" ","")&amp;IF(AND(P42&lt;&gt;"",N(P42)&lt;N(P90)),$AM42&amp;" ","")&amp;IF(AND(P43&lt;&gt;"",N(P43)&lt;N(P91)),$AM43&amp;" ","")&amp;IF(AND(P44&lt;&gt;"",N(P44)&lt;N(P92)),$AM44&amp;" ","")&amp;IF(AND(P45&lt;&gt;"",N(P45)&lt;N(P93)),$AM45&amp;" ",""))</f>
      </c>
      <c r="Q46" s="43">
        <f>TRIM(IF(AND(Q38&lt;&gt;"",N(Q38)&lt;N(Q86)),$AM38&amp;" ","")&amp;IF(AND(Q39&lt;&gt;"",N(Q39)&lt;N(Q87)),$AM39&amp;" ","")&amp;IF(AND(Q40&lt;&gt;"",N(Q40)&lt;N(Q88)),$AM40&amp;" ","")&amp;IF(AND(Q41&lt;&gt;"",N(Q41)&lt;N(Q89)),$AM41&amp;" ","")&amp;IF(AND(Q42&lt;&gt;"",N(Q42)&lt;N(Q90)),$AM42&amp;" ","")&amp;IF(AND(Q43&lt;&gt;"",N(Q43)&lt;N(Q91)),$AM43&amp;" ","")&amp;IF(AND(Q44&lt;&gt;"",N(Q44)&lt;N(Q92)),$AM44&amp;" ","")&amp;IF(AND(Q45&lt;&gt;"",N(Q45)&lt;N(Q93)),$AM45&amp;" ",""))</f>
      </c>
      <c r="R46" s="43">
        <f>TRIM(IF(AND(R38&lt;&gt;"",N(R38)&lt;N(R86)),$AM38&amp;" ","")&amp;IF(AND(R39&lt;&gt;"",N(R39)&lt;N(R87)),$AM39&amp;" ","")&amp;IF(AND(R40&lt;&gt;"",N(R40)&lt;N(R88)),$AM40&amp;" ","")&amp;IF(AND(R41&lt;&gt;"",N(R41)&lt;N(R89)),$AM41&amp;" ","")&amp;IF(AND(R42&lt;&gt;"",N(R42)&lt;N(R90)),$AM42&amp;" ","")&amp;IF(AND(R43&lt;&gt;"",N(R43)&lt;N(R91)),$AM43&amp;" ","")&amp;IF(AND(R44&lt;&gt;"",N(R44)&lt;N(R92)),$AM44&amp;" ","")&amp;IF(AND(R45&lt;&gt;"",N(R45)&lt;N(R93)),$AM45&amp;" ",""))</f>
      </c>
      <c r="S46" s="43">
        <f>TRIM(IF(AND(S38&lt;&gt;"",N(S38)&lt;N(S86)),$AM38&amp;" ","")&amp;IF(AND(S39&lt;&gt;"",N(S39)&lt;N(S87)),$AM39&amp;" ","")&amp;IF(AND(S40&lt;&gt;"",N(S40)&lt;N(S88)),$AM40&amp;" ","")&amp;IF(AND(S41&lt;&gt;"",N(S41)&lt;N(S89)),$AM41&amp;" ","")&amp;IF(AND(S42&lt;&gt;"",N(S42)&lt;N(S90)),$AM42&amp;" ","")&amp;IF(AND(S43&lt;&gt;"",N(S43)&lt;N(S91)),$AM43&amp;" ","")&amp;IF(AND(S44&lt;&gt;"",N(S44)&lt;N(S92)),$AM44&amp;" ","")&amp;IF(AND(S45&lt;&gt;"",N(S45)&lt;N(S93)),$AM45&amp;" ",""))</f>
      </c>
      <c r="T46" s="43">
        <f>TRIM(IF(AND(T38&lt;&gt;"",N(T38)&lt;N(T86)),$AM38&amp;" ","")&amp;IF(AND(T39&lt;&gt;"",N(T39)&lt;N(T87)),$AM39&amp;" ","")&amp;IF(AND(T40&lt;&gt;"",N(T40)&lt;N(T88)),$AM40&amp;" ","")&amp;IF(AND(T41&lt;&gt;"",N(T41)&lt;N(T89)),$AM41&amp;" ","")&amp;IF(AND(T42&lt;&gt;"",N(T42)&lt;N(T90)),$AM42&amp;" ","")&amp;IF(AND(T43&lt;&gt;"",N(T43)&lt;N(T91)),$AM43&amp;" ","")&amp;IF(AND(T44&lt;&gt;"",N(T44)&lt;N(T92)),$AM44&amp;" ","")&amp;IF(AND(T45&lt;&gt;"",N(T45)&lt;N(T93)),$AM45&amp;" ",""))</f>
      </c>
      <c r="U46" s="43">
        <f>TRIM(IF(AND(U38&lt;&gt;"",N(U38)&lt;N(U86)),$AM38&amp;" ","")&amp;IF(AND(U39&lt;&gt;"",N(U39)&lt;N(U87)),$AM39&amp;" ","")&amp;IF(AND(U40&lt;&gt;"",N(U40)&lt;N(U88)),$AM40&amp;" ","")&amp;IF(AND(U41&lt;&gt;"",N(U41)&lt;N(U89)),$AM41&amp;" ","")&amp;IF(AND(U42&lt;&gt;"",N(U42)&lt;N(U90)),$AM42&amp;" ","")&amp;IF(AND(U43&lt;&gt;"",N(U43)&lt;N(U91)),$AM43&amp;" ","")&amp;IF(AND(U44&lt;&gt;"",N(U44)&lt;N(U92)),$AM44&amp;" ","")&amp;IF(AND(U45&lt;&gt;"",N(U45)&lt;N(U93)),$AM45&amp;" ",""))</f>
      </c>
      <c r="V46" s="43">
        <f>TRIM(IF(AND(V38&lt;&gt;"",N(V38)&lt;N(V86)),$AM38&amp;" ","")&amp;IF(AND(V39&lt;&gt;"",N(V39)&lt;N(V87)),$AM39&amp;" ","")&amp;IF(AND(V40&lt;&gt;"",N(V40)&lt;N(V88)),$AM40&amp;" ","")&amp;IF(AND(V41&lt;&gt;"",N(V41)&lt;N(V89)),$AM41&amp;" ","")&amp;IF(AND(V42&lt;&gt;"",N(V42)&lt;N(V90)),$AM42&amp;" ","")&amp;IF(AND(V43&lt;&gt;"",N(V43)&lt;N(V91)),$AM43&amp;" ","")&amp;IF(AND(V44&lt;&gt;"",N(V44)&lt;N(V92)),$AM44&amp;" ","")&amp;IF(AND(V45&lt;&gt;"",N(V45)&lt;N(V93)),$AM45&amp;" ",""))</f>
      </c>
      <c r="W46" s="43">
        <f>TRIM(IF(AND(W38&lt;&gt;"",N(W38)&lt;N(W86)),$AM38&amp;" ","")&amp;IF(AND(W39&lt;&gt;"",N(W39)&lt;N(W87)),$AM39&amp;" ","")&amp;IF(AND(W40&lt;&gt;"",N(W40)&lt;N(W88)),$AM40&amp;" ","")&amp;IF(AND(W41&lt;&gt;"",N(W41)&lt;N(W89)),$AM41&amp;" ","")&amp;IF(AND(W42&lt;&gt;"",N(W42)&lt;N(W90)),$AM42&amp;" ","")&amp;IF(AND(W43&lt;&gt;"",N(W43)&lt;N(W91)),$AM43&amp;" ","")&amp;IF(AND(W44&lt;&gt;"",N(W44)&lt;N(W92)),$AM44&amp;" ","")&amp;IF(AND(W45&lt;&gt;"",N(W45)&lt;N(W93)),$AM45&amp;" ",""))</f>
      </c>
      <c r="X46" s="43">
        <f>TRIM(IF(AND(X38&lt;&gt;"",N(X38)&lt;N(X86)),$AM38&amp;" ","")&amp;IF(AND(X39&lt;&gt;"",N(X39)&lt;N(X87)),$AM39&amp;" ","")&amp;IF(AND(X40&lt;&gt;"",N(X40)&lt;N(X88)),$AM40&amp;" ","")&amp;IF(AND(X41&lt;&gt;"",N(X41)&lt;N(X89)),$AM41&amp;" ","")&amp;IF(AND(X42&lt;&gt;"",N(X42)&lt;N(X90)),$AM42&amp;" ","")&amp;IF(AND(X43&lt;&gt;"",N(X43)&lt;N(X91)),$AM43&amp;" ","")&amp;IF(AND(X44&lt;&gt;"",N(X44)&lt;N(X92)),$AM44&amp;" ","")&amp;IF(AND(X45&lt;&gt;"",N(X45)&lt;N(X93)),$AM45&amp;" ",""))</f>
      </c>
      <c r="Y46" s="43">
        <f>TRIM(IF(AND(Y38&lt;&gt;"",N(Y38)&lt;N(Y86)),$AM38&amp;" ","")&amp;IF(AND(Y39&lt;&gt;"",N(Y39)&lt;N(Y87)),$AM39&amp;" ","")&amp;IF(AND(Y40&lt;&gt;"",N(Y40)&lt;N(Y88)),$AM40&amp;" ","")&amp;IF(AND(Y41&lt;&gt;"",N(Y41)&lt;N(Y89)),$AM41&amp;" ","")&amp;IF(AND(Y42&lt;&gt;"",N(Y42)&lt;N(Y90)),$AM42&amp;" ","")&amp;IF(AND(Y43&lt;&gt;"",N(Y43)&lt;N(Y91)),$AM43&amp;" ","")&amp;IF(AND(Y44&lt;&gt;"",N(Y44)&lt;N(Y92)),$AM44&amp;" ","")&amp;IF(AND(Y45&lt;&gt;"",N(Y45)&lt;N(Y93)),$AM45&amp;" ",""))</f>
      </c>
      <c r="Z46" s="43">
        <f>TRIM(IF(AND(Z38&lt;&gt;"",N(Z38)&lt;N(Z86)),$AM38&amp;" ","")&amp;IF(AND(Z39&lt;&gt;"",N(Z39)&lt;N(Z87)),$AM39&amp;" ","")&amp;IF(AND(Z40&lt;&gt;"",N(Z40)&lt;N(Z88)),$AM40&amp;" ","")&amp;IF(AND(Z41&lt;&gt;"",N(Z41)&lt;N(Z89)),$AM41&amp;" ","")&amp;IF(AND(Z42&lt;&gt;"",N(Z42)&lt;N(Z90)),$AM42&amp;" ","")&amp;IF(AND(Z43&lt;&gt;"",N(Z43)&lt;N(Z91)),$AM43&amp;" ","")&amp;IF(AND(Z44&lt;&gt;"",N(Z44)&lt;N(Z92)),$AM44&amp;" ","")&amp;IF(AND(Z45&lt;&gt;"",N(Z45)&lt;N(Z93)),$AM45&amp;" ",""))</f>
      </c>
      <c r="AA46" s="43">
        <f>TRIM(IF(AND(AA38&lt;&gt;"",N(AA38)&lt;N(AA86)),$AM38&amp;" ","")&amp;IF(AND(AA39&lt;&gt;"",N(AA39)&lt;N(AA87)),$AM39&amp;" ","")&amp;IF(AND(AA40&lt;&gt;"",N(AA40)&lt;N(AA88)),$AM40&amp;" ","")&amp;IF(AND(AA41&lt;&gt;"",N(AA41)&lt;N(AA89)),$AM41&amp;" ","")&amp;IF(AND(AA42&lt;&gt;"",N(AA42)&lt;N(AA90)),$AM42&amp;" ","")&amp;IF(AND(AA43&lt;&gt;"",N(AA43)&lt;N(AA91)),$AM43&amp;" ","")&amp;IF(AND(AA44&lt;&gt;"",N(AA44)&lt;N(AA92)),$AM44&amp;" ","")&amp;IF(AND(AA45&lt;&gt;"",N(AA45)&lt;N(AA93)),$AM45&amp;" ",""))</f>
      </c>
      <c r="AB46" s="43">
        <f>TRIM(IF(AND(AB38&lt;&gt;"",N(AB38)&lt;N(AB86)),$AM38&amp;" ","")&amp;IF(AND(AB39&lt;&gt;"",N(AB39)&lt;N(AB87)),$AM39&amp;" ","")&amp;IF(AND(AB40&lt;&gt;"",N(AB40)&lt;N(AB88)),$AM40&amp;" ","")&amp;IF(AND(AB41&lt;&gt;"",N(AB41)&lt;N(AB89)),$AM41&amp;" ","")&amp;IF(AND(AB42&lt;&gt;"",N(AB42)&lt;N(AB90)),$AM42&amp;" ","")&amp;IF(AND(AB43&lt;&gt;"",N(AB43)&lt;N(AB91)),$AM43&amp;" ","")&amp;IF(AND(AB44&lt;&gt;"",N(AB44)&lt;N(AB92)),$AM44&amp;" ","")&amp;IF(AND(AB45&lt;&gt;"",N(AB45)&lt;N(AB93)),$AM45&amp;" ",""))</f>
      </c>
      <c r="AC46" s="43">
        <f>TRIM(IF(AND(AC38&lt;&gt;"",N(AC38)&lt;N(AC86)),$AM38&amp;" ","")&amp;IF(AND(AC39&lt;&gt;"",N(AC39)&lt;N(AC87)),$AM39&amp;" ","")&amp;IF(AND(AC40&lt;&gt;"",N(AC40)&lt;N(AC88)),$AM40&amp;" ","")&amp;IF(AND(AC41&lt;&gt;"",N(AC41)&lt;N(AC89)),$AM41&amp;" ","")&amp;IF(AND(AC42&lt;&gt;"",N(AC42)&lt;N(AC90)),$AM42&amp;" ","")&amp;IF(AND(AC43&lt;&gt;"",N(AC43)&lt;N(AC91)),$AM43&amp;" ","")&amp;IF(AND(AC44&lt;&gt;"",N(AC44)&lt;N(AC92)),$AM44&amp;" ","")&amp;IF(AND(AC45&lt;&gt;"",N(AC45)&lt;N(AC93)),$AM45&amp;" ",""))</f>
      </c>
      <c r="AD46" s="43">
        <f>TRIM(IF(AND(AD38&lt;&gt;"",N(AD38)&lt;N(AD86)),$AM38&amp;" ","")&amp;IF(AND(AD39&lt;&gt;"",N(AD39)&lt;N(AD87)),$AM39&amp;" ","")&amp;IF(AND(AD40&lt;&gt;"",N(AD40)&lt;N(AD88)),$AM40&amp;" ","")&amp;IF(AND(AD41&lt;&gt;"",N(AD41)&lt;N(AD89)),$AM41&amp;" ","")&amp;IF(AND(AD42&lt;&gt;"",N(AD42)&lt;N(AD90)),$AM42&amp;" ","")&amp;IF(AND(AD43&lt;&gt;"",N(AD43)&lt;N(AD91)),$AM43&amp;" ","")&amp;IF(AND(AD44&lt;&gt;"",N(AD44)&lt;N(AD92)),$AM44&amp;" ","")&amp;IF(AND(AD45&lt;&gt;"",N(AD45)&lt;N(AD93)),$AM45&amp;" ",""))</f>
      </c>
      <c r="AE46" s="43">
        <f>TRIM(IF(AND(AE38&lt;&gt;"",N(AE38)&lt;N(AE86)),$AM38&amp;" ","")&amp;IF(AND(AE39&lt;&gt;"",N(AE39)&lt;N(AE87)),$AM39&amp;" ","")&amp;IF(AND(AE40&lt;&gt;"",N(AE40)&lt;N(AE88)),$AM40&amp;" ","")&amp;IF(AND(AE41&lt;&gt;"",N(AE41)&lt;N(AE89)),$AM41&amp;" ","")&amp;IF(AND(AE42&lt;&gt;"",N(AE42)&lt;N(AE90)),$AM42&amp;" ","")&amp;IF(AND(AE43&lt;&gt;"",N(AE43)&lt;N(AE91)),$AM43&amp;" ","")&amp;IF(AND(AE44&lt;&gt;"",N(AE44)&lt;N(AE92)),$AM44&amp;" ","")&amp;IF(AND(AE45&lt;&gt;"",N(AE45)&lt;N(AE93)),$AM45&amp;" ",""))</f>
      </c>
      <c r="AF46" s="43">
        <f>TRIM(IF(AND(AF38&lt;&gt;"",N(AF38)&lt;N(AF86)),$AM38&amp;" ","")&amp;IF(AND(AF39&lt;&gt;"",N(AF39)&lt;N(AF87)),$AM39&amp;" ","")&amp;IF(AND(AF40&lt;&gt;"",N(AF40)&lt;N(AF88)),$AM40&amp;" ","")&amp;IF(AND(AF41&lt;&gt;"",N(AF41)&lt;N(AF89)),$AM41&amp;" ","")&amp;IF(AND(AF42&lt;&gt;"",N(AF42)&lt;N(AF90)),$AM42&amp;" ","")&amp;IF(AND(AF43&lt;&gt;"",N(AF43)&lt;N(AF91)),$AM43&amp;" ","")&amp;IF(AND(AF44&lt;&gt;"",N(AF44)&lt;N(AF92)),$AM44&amp;" ","")&amp;IF(AND(AF45&lt;&gt;"",N(AF45)&lt;N(AF93)),$AM45&amp;" ",""))</f>
      </c>
    </row>
    <row r="48" spans="1:38" x14ac:dyDescent="0.25">
      <c r="A48" s="7" t="s">
        <v>65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1"/>
      <c r="W48" s="1"/>
      <c r="X48" s="7" t="s">
        <v>66</v>
      </c>
      <c r="Y48" s="1"/>
      <c r="Z48" s="1"/>
      <c r="AA48" s="1"/>
      <c r="AB48" s="1"/>
      <c r="AC48" s="1"/>
      <c r="AD48" s="1"/>
      <c r="AE48" s="1"/>
      <c r="AF48" s="1"/>
      <c r="AG48" s="44"/>
      <c r="AH48" s="44"/>
      <c r="AI48" s="44"/>
      <c r="AJ48" s="44"/>
      <c r="AK48" s="44"/>
      <c r="AL48" s="44"/>
    </row>
    <row r="50" hidden="1" spans="1:32" x14ac:dyDescent="0.25">
      <c r="A50" s="1"/>
      <c r="B50" s="1">
        <f>IF(B$5="",0,IF(ISNUMBER(MATCH(B$5,FeiertagDaten,0)),1,0))</f>
      </c>
      <c r="C50" s="1">
        <f>IF(C$5="",0,IF(ISNUMBER(MATCH(C$5,FeiertagDaten,0)),1,0))</f>
      </c>
      <c r="D50" s="1">
        <f>IF(D$5="",0,IF(ISNUMBER(MATCH(D$5,FeiertagDaten,0)),1,0))</f>
      </c>
      <c r="E50" s="1">
        <f>IF(E$5="",0,IF(ISNUMBER(MATCH(E$5,FeiertagDaten,0)),1,0))</f>
      </c>
      <c r="F50" s="1">
        <f>IF(F$5="",0,IF(ISNUMBER(MATCH(F$5,FeiertagDaten,0)),1,0))</f>
      </c>
      <c r="G50" s="1">
        <f>IF(G$5="",0,IF(ISNUMBER(MATCH(G$5,FeiertagDaten,0)),1,0))</f>
      </c>
      <c r="H50" s="1">
        <f>IF(H$5="",0,IF(ISNUMBER(MATCH(H$5,FeiertagDaten,0)),1,0))</f>
      </c>
      <c r="I50" s="1">
        <f>IF(I$5="",0,IF(ISNUMBER(MATCH(I$5,FeiertagDaten,0)),1,0))</f>
      </c>
      <c r="J50" s="1">
        <f>IF(J$5="",0,IF(ISNUMBER(MATCH(J$5,FeiertagDaten,0)),1,0))</f>
      </c>
      <c r="K50" s="1">
        <f>IF(K$5="",0,IF(ISNUMBER(MATCH(K$5,FeiertagDaten,0)),1,0))</f>
      </c>
      <c r="L50" s="1">
        <f>IF(L$5="",0,IF(ISNUMBER(MATCH(L$5,FeiertagDaten,0)),1,0))</f>
      </c>
      <c r="M50" s="1">
        <f>IF(M$5="",0,IF(ISNUMBER(MATCH(M$5,FeiertagDaten,0)),1,0))</f>
      </c>
      <c r="N50" s="1">
        <f>IF(N$5="",0,IF(ISNUMBER(MATCH(N$5,FeiertagDaten,0)),1,0))</f>
      </c>
      <c r="O50" s="1">
        <f>IF(O$5="",0,IF(ISNUMBER(MATCH(O$5,FeiertagDaten,0)),1,0))</f>
      </c>
      <c r="P50" s="1">
        <f>IF(P$5="",0,IF(ISNUMBER(MATCH(P$5,FeiertagDaten,0)),1,0))</f>
      </c>
      <c r="Q50" s="1">
        <f>IF(Q$5="",0,IF(ISNUMBER(MATCH(Q$5,FeiertagDaten,0)),1,0))</f>
      </c>
      <c r="R50" s="1">
        <f>IF(R$5="",0,IF(ISNUMBER(MATCH(R$5,FeiertagDaten,0)),1,0))</f>
      </c>
      <c r="S50" s="1">
        <f>IF(S$5="",0,IF(ISNUMBER(MATCH(S$5,FeiertagDaten,0)),1,0))</f>
      </c>
      <c r="T50" s="1">
        <f>IF(T$5="",0,IF(ISNUMBER(MATCH(T$5,FeiertagDaten,0)),1,0))</f>
      </c>
      <c r="U50" s="1">
        <f>IF(U$5="",0,IF(ISNUMBER(MATCH(U$5,FeiertagDaten,0)),1,0))</f>
      </c>
      <c r="V50" s="1">
        <f>IF(V$5="",0,IF(ISNUMBER(MATCH(V$5,FeiertagDaten,0)),1,0))</f>
      </c>
      <c r="W50" s="1">
        <f>IF(W$5="",0,IF(ISNUMBER(MATCH(W$5,FeiertagDaten,0)),1,0))</f>
      </c>
      <c r="X50" s="1">
        <f>IF(X$5="",0,IF(ISNUMBER(MATCH(X$5,FeiertagDaten,0)),1,0))</f>
      </c>
      <c r="Y50" s="1">
        <f>IF(Y$5="",0,IF(ISNUMBER(MATCH(Y$5,FeiertagDaten,0)),1,0))</f>
      </c>
      <c r="Z50" s="1">
        <f>IF(Z$5="",0,IF(ISNUMBER(MATCH(Z$5,FeiertagDaten,0)),1,0))</f>
      </c>
      <c r="AA50" s="1">
        <f>IF(AA$5="",0,IF(ISNUMBER(MATCH(AA$5,FeiertagDaten,0)),1,0))</f>
      </c>
      <c r="AB50" s="1">
        <f>IF(AB$5="",0,IF(ISNUMBER(MATCH(AB$5,FeiertagDaten,0)),1,0))</f>
      </c>
      <c r="AC50" s="1">
        <f>IF(AC$5="",0,IF(ISNUMBER(MATCH(AC$5,FeiertagDaten,0)),1,0))</f>
      </c>
      <c r="AD50" s="1">
        <f>IF(AD$5="",0,IF(ISNUMBER(MATCH(AD$5,FeiertagDaten,0)),1,0))</f>
      </c>
      <c r="AE50" s="1">
        <f>IF(AE$5="",0,IF(ISNUMBER(MATCH(AE$5,FeiertagDaten,0)),1,0))</f>
      </c>
      <c r="AF50" s="1">
        <f>IF(AF$5="",0,IF(ISNUMBER(MATCH(AF$5,FeiertagDaten,0)),1,0))</f>
      </c>
    </row>
    <row r="51" hidden="1" spans="1:32" x14ac:dyDescent="0.25">
      <c r="A51" s="1"/>
      <c r="B51" s="1">
        <f>IF(B$5="",0,WEEKDAY(B$5,2))</f>
      </c>
      <c r="C51" s="1">
        <f>IF(C$5="",0,WEEKDAY(C$5,2))</f>
      </c>
      <c r="D51" s="1">
        <f>IF(D$5="",0,WEEKDAY(D$5,2))</f>
      </c>
      <c r="E51" s="1">
        <f>IF(E$5="",0,WEEKDAY(E$5,2))</f>
      </c>
      <c r="F51" s="1">
        <f>IF(F$5="",0,WEEKDAY(F$5,2))</f>
      </c>
      <c r="G51" s="1">
        <f>IF(G$5="",0,WEEKDAY(G$5,2))</f>
      </c>
      <c r="H51" s="1">
        <f>IF(H$5="",0,WEEKDAY(H$5,2))</f>
      </c>
      <c r="I51" s="1">
        <f>IF(I$5="",0,WEEKDAY(I$5,2))</f>
      </c>
      <c r="J51" s="1">
        <f>IF(J$5="",0,WEEKDAY(J$5,2))</f>
      </c>
      <c r="K51" s="1">
        <f>IF(K$5="",0,WEEKDAY(K$5,2))</f>
      </c>
      <c r="L51" s="1">
        <f>IF(L$5="",0,WEEKDAY(L$5,2))</f>
      </c>
      <c r="M51" s="1">
        <f>IF(M$5="",0,WEEKDAY(M$5,2))</f>
      </c>
      <c r="N51" s="1">
        <f>IF(N$5="",0,WEEKDAY(N$5,2))</f>
      </c>
      <c r="O51" s="1">
        <f>IF(O$5="",0,WEEKDAY(O$5,2))</f>
      </c>
      <c r="P51" s="1">
        <f>IF(P$5="",0,WEEKDAY(P$5,2))</f>
      </c>
      <c r="Q51" s="1">
        <f>IF(Q$5="",0,WEEKDAY(Q$5,2))</f>
      </c>
      <c r="R51" s="1">
        <f>IF(R$5="",0,WEEKDAY(R$5,2))</f>
      </c>
      <c r="S51" s="1">
        <f>IF(S$5="",0,WEEKDAY(S$5,2))</f>
      </c>
      <c r="T51" s="1">
        <f>IF(T$5="",0,WEEKDAY(T$5,2))</f>
      </c>
      <c r="U51" s="1">
        <f>IF(U$5="",0,WEEKDAY(U$5,2))</f>
      </c>
      <c r="V51" s="1">
        <f>IF(V$5="",0,WEEKDAY(V$5,2))</f>
      </c>
      <c r="W51" s="1">
        <f>IF(W$5="",0,WEEKDAY(W$5,2))</f>
      </c>
      <c r="X51" s="1">
        <f>IF(X$5="",0,WEEKDAY(X$5,2))</f>
      </c>
      <c r="Y51" s="1">
        <f>IF(Y$5="",0,WEEKDAY(Y$5,2))</f>
      </c>
      <c r="Z51" s="1">
        <f>IF(Z$5="",0,WEEKDAY(Z$5,2))</f>
      </c>
      <c r="AA51" s="1">
        <f>IF(AA$5="",0,WEEKDAY(AA$5,2))</f>
      </c>
      <c r="AB51" s="1">
        <f>IF(AB$5="",0,WEEKDAY(AB$5,2))</f>
      </c>
      <c r="AC51" s="1">
        <f>IF(AC$5="",0,WEEKDAY(AC$5,2))</f>
      </c>
      <c r="AD51" s="1">
        <f>IF(AD$5="",0,WEEKDAY(AD$5,2))</f>
      </c>
      <c r="AE51" s="1">
        <f>IF(AE$5="",0,WEEKDAY(AE$5,2))</f>
      </c>
      <c r="AF51" s="1">
        <f>IF(AF$5="",0,WEEKDAY(AF$5,2))</f>
      </c>
    </row>
    <row r="52" hidden="1" spans="1:32" x14ac:dyDescent="0.25">
      <c r="A52" s="1"/>
      <c r="B52" s="1">
        <f>IF(B$5="",0,1)</f>
      </c>
      <c r="C52" s="1">
        <f>IF(C$5="",0,1)</f>
      </c>
      <c r="D52" s="1">
        <f>IF(D$5="",0,1)</f>
      </c>
      <c r="E52" s="1">
        <f>IF(E$5="",0,1)</f>
      </c>
      <c r="F52" s="1">
        <f>IF(F$5="",0,1)</f>
      </c>
      <c r="G52" s="1">
        <f>IF(G$5="",0,1)</f>
      </c>
      <c r="H52" s="1">
        <f>IF(H$5="",0,1)</f>
      </c>
      <c r="I52" s="1">
        <f>IF(I$5="",0,1)</f>
      </c>
      <c r="J52" s="1">
        <f>IF(J$5="",0,1)</f>
      </c>
      <c r="K52" s="1">
        <f>IF(K$5="",0,1)</f>
      </c>
      <c r="L52" s="1">
        <f>IF(L$5="",0,1)</f>
      </c>
      <c r="M52" s="1">
        <f>IF(M$5="",0,1)</f>
      </c>
      <c r="N52" s="1">
        <f>IF(N$5="",0,1)</f>
      </c>
      <c r="O52" s="1">
        <f>IF(O$5="",0,1)</f>
      </c>
      <c r="P52" s="1">
        <f>IF(P$5="",0,1)</f>
      </c>
      <c r="Q52" s="1">
        <f>IF(Q$5="",0,1)</f>
      </c>
      <c r="R52" s="1">
        <f>IF(R$5="",0,1)</f>
      </c>
      <c r="S52" s="1">
        <f>IF(S$5="",0,1)</f>
      </c>
      <c r="T52" s="1">
        <f>IF(T$5="",0,1)</f>
      </c>
      <c r="U52" s="1">
        <f>IF(U$5="",0,1)</f>
      </c>
      <c r="V52" s="1">
        <f>IF(V$5="",0,1)</f>
      </c>
      <c r="W52" s="1">
        <f>IF(W$5="",0,1)</f>
      </c>
      <c r="X52" s="1">
        <f>IF(X$5="",0,1)</f>
      </c>
      <c r="Y52" s="1">
        <f>IF(Y$5="",0,1)</f>
      </c>
      <c r="Z52" s="1">
        <f>IF(Z$5="",0,1)</f>
      </c>
      <c r="AA52" s="1">
        <f>IF(AA$5="",0,1)</f>
      </c>
      <c r="AB52" s="1">
        <f>IF(AB$5="",0,1)</f>
      </c>
      <c r="AC52" s="1">
        <f>IF(AC$5="",0,1)</f>
      </c>
      <c r="AD52" s="1">
        <f>IF(AD$5="",0,1)</f>
      </c>
      <c r="AE52" s="1">
        <f>IF(AE$5="",0,1)</f>
      </c>
      <c r="AF52" s="1">
        <f>IF(AF$5="",0,1)</f>
      </c>
    </row>
    <row r="53" hidden="1" spans="1:32" x14ac:dyDescent="0.25">
      <c r="A53" s="1"/>
      <c r="B53" s="1">
        <f>IF(AND(B51&gt;=1,B51&lt;=5,B50=0),1,0)</f>
      </c>
      <c r="C53" s="1">
        <f>IF(AND(C51&gt;=1,C51&lt;=5,C50=0),1,0)</f>
      </c>
      <c r="D53" s="1">
        <f>IF(AND(D51&gt;=1,D51&lt;=5,D50=0),1,0)</f>
      </c>
      <c r="E53" s="1">
        <f>IF(AND(E51&gt;=1,E51&lt;=5,E50=0),1,0)</f>
      </c>
      <c r="F53" s="1">
        <f>IF(AND(F51&gt;=1,F51&lt;=5,F50=0),1,0)</f>
      </c>
      <c r="G53" s="1">
        <f>IF(AND(G51&gt;=1,G51&lt;=5,G50=0),1,0)</f>
      </c>
      <c r="H53" s="1">
        <f>IF(AND(H51&gt;=1,H51&lt;=5,H50=0),1,0)</f>
      </c>
      <c r="I53" s="1">
        <f>IF(AND(I51&gt;=1,I51&lt;=5,I50=0),1,0)</f>
      </c>
      <c r="J53" s="1">
        <f>IF(AND(J51&gt;=1,J51&lt;=5,J50=0),1,0)</f>
      </c>
      <c r="K53" s="1">
        <f>IF(AND(K51&gt;=1,K51&lt;=5,K50=0),1,0)</f>
      </c>
      <c r="L53" s="1">
        <f>IF(AND(L51&gt;=1,L51&lt;=5,L50=0),1,0)</f>
      </c>
      <c r="M53" s="1">
        <f>IF(AND(M51&gt;=1,M51&lt;=5,M50=0),1,0)</f>
      </c>
      <c r="N53" s="1">
        <f>IF(AND(N51&gt;=1,N51&lt;=5,N50=0),1,0)</f>
      </c>
      <c r="O53" s="1">
        <f>IF(AND(O51&gt;=1,O51&lt;=5,O50=0),1,0)</f>
      </c>
      <c r="P53" s="1">
        <f>IF(AND(P51&gt;=1,P51&lt;=5,P50=0),1,0)</f>
      </c>
      <c r="Q53" s="1">
        <f>IF(AND(Q51&gt;=1,Q51&lt;=5,Q50=0),1,0)</f>
      </c>
      <c r="R53" s="1">
        <f>IF(AND(R51&gt;=1,R51&lt;=5,R50=0),1,0)</f>
      </c>
      <c r="S53" s="1">
        <f>IF(AND(S51&gt;=1,S51&lt;=5,S50=0),1,0)</f>
      </c>
      <c r="T53" s="1">
        <f>IF(AND(T51&gt;=1,T51&lt;=5,T50=0),1,0)</f>
      </c>
      <c r="U53" s="1">
        <f>IF(AND(U51&gt;=1,U51&lt;=5,U50=0),1,0)</f>
      </c>
      <c r="V53" s="1">
        <f>IF(AND(V51&gt;=1,V51&lt;=5,V50=0),1,0)</f>
      </c>
      <c r="W53" s="1">
        <f>IF(AND(W51&gt;=1,W51&lt;=5,W50=0),1,0)</f>
      </c>
      <c r="X53" s="1">
        <f>IF(AND(X51&gt;=1,X51&lt;=5,X50=0),1,0)</f>
      </c>
      <c r="Y53" s="1">
        <f>IF(AND(Y51&gt;=1,Y51&lt;=5,Y50=0),1,0)</f>
      </c>
      <c r="Z53" s="1">
        <f>IF(AND(Z51&gt;=1,Z51&lt;=5,Z50=0),1,0)</f>
      </c>
      <c r="AA53" s="1">
        <f>IF(AND(AA51&gt;=1,AA51&lt;=5,AA50=0),1,0)</f>
      </c>
      <c r="AB53" s="1">
        <f>IF(AND(AB51&gt;=1,AB51&lt;=5,AB50=0),1,0)</f>
      </c>
      <c r="AC53" s="1">
        <f>IF(AND(AC51&gt;=1,AC51&lt;=5,AC50=0),1,0)</f>
      </c>
      <c r="AD53" s="1">
        <f>IF(AND(AD51&gt;=1,AD51&lt;=5,AD50=0),1,0)</f>
      </c>
      <c r="AE53" s="1">
        <f>IF(AND(AE51&gt;=1,AE51&lt;=5,AE50=0),1,0)</f>
      </c>
      <c r="AF53" s="1">
        <f>IF(AND(AF51&gt;=1,AF51&lt;=5,AF50=0),1,0)</f>
      </c>
    </row>
    <row r="55" hidden="1" spans="1:32" x14ac:dyDescent="0.25">
      <c r="A55" s="1"/>
      <c r="B55" s="1">
        <f>IF(OR(B$52=0,INDEX('August'!$B$6:$AF$6,DAY(DATE(Jahr,9,0)))="",B6=""),0,IFERROR(IF(AND(INDEX(Arten,MATCH(INDEX('August'!$B$6:$AF$6,DAY(DATE(Jahr,9,0))),Codes,0))="Arbeit",INDEX(Arten,MATCH(B6,Codes,0))="Arbeit"),IF(ROUND((1+INDEX(Beginne,MATCH(B6,Codes,0))-INDEX(EndeRel,MATCH(INDEX('August'!$B$6:$AF$6,DAY(DATE(Jahr,9,0))),Codes,0)))*1440,0)&lt;660,1,0),0),0))</f>
      </c>
      <c r="C55" s="1">
        <f>IF(OR(C$52=0,B6="",C6=""),0,IFERROR(IF(AND(INDEX(Arten,MATCH(B6,Codes,0))="Arbeit",INDEX(Arten,MATCH(C6,Codes,0))="Arbeit"),IF(ROUND((1+INDEX(Beginne,MATCH(C6,Codes,0))-INDEX(EndeRel,MATCH(B6,Codes,0)))*1440,0)&lt;660,1,0),0),0))</f>
      </c>
      <c r="D55" s="1">
        <f>IF(OR(D$52=0,C6="",D6=""),0,IFERROR(IF(AND(INDEX(Arten,MATCH(C6,Codes,0))="Arbeit",INDEX(Arten,MATCH(D6,Codes,0))="Arbeit"),IF(ROUND((1+INDEX(Beginne,MATCH(D6,Codes,0))-INDEX(EndeRel,MATCH(C6,Codes,0)))*1440,0)&lt;660,1,0),0),0))</f>
      </c>
      <c r="E55" s="1">
        <f>IF(OR(E$52=0,D6="",E6=""),0,IFERROR(IF(AND(INDEX(Arten,MATCH(D6,Codes,0))="Arbeit",INDEX(Arten,MATCH(E6,Codes,0))="Arbeit"),IF(ROUND((1+INDEX(Beginne,MATCH(E6,Codes,0))-INDEX(EndeRel,MATCH(D6,Codes,0)))*1440,0)&lt;660,1,0),0),0))</f>
      </c>
      <c r="F55" s="1">
        <f>IF(OR(F$52=0,E6="",F6=""),0,IFERROR(IF(AND(INDEX(Arten,MATCH(E6,Codes,0))="Arbeit",INDEX(Arten,MATCH(F6,Codes,0))="Arbeit"),IF(ROUND((1+INDEX(Beginne,MATCH(F6,Codes,0))-INDEX(EndeRel,MATCH(E6,Codes,0)))*1440,0)&lt;660,1,0),0),0))</f>
      </c>
      <c r="G55" s="1">
        <f>IF(OR(G$52=0,F6="",G6=""),0,IFERROR(IF(AND(INDEX(Arten,MATCH(F6,Codes,0))="Arbeit",INDEX(Arten,MATCH(G6,Codes,0))="Arbeit"),IF(ROUND((1+INDEX(Beginne,MATCH(G6,Codes,0))-INDEX(EndeRel,MATCH(F6,Codes,0)))*1440,0)&lt;660,1,0),0),0))</f>
      </c>
      <c r="H55" s="1">
        <f>IF(OR(H$52=0,G6="",H6=""),0,IFERROR(IF(AND(INDEX(Arten,MATCH(G6,Codes,0))="Arbeit",INDEX(Arten,MATCH(H6,Codes,0))="Arbeit"),IF(ROUND((1+INDEX(Beginne,MATCH(H6,Codes,0))-INDEX(EndeRel,MATCH(G6,Codes,0)))*1440,0)&lt;660,1,0),0),0))</f>
      </c>
      <c r="I55" s="1">
        <f>IF(OR(I$52=0,H6="",I6=""),0,IFERROR(IF(AND(INDEX(Arten,MATCH(H6,Codes,0))="Arbeit",INDEX(Arten,MATCH(I6,Codes,0))="Arbeit"),IF(ROUND((1+INDEX(Beginne,MATCH(I6,Codes,0))-INDEX(EndeRel,MATCH(H6,Codes,0)))*1440,0)&lt;660,1,0),0),0))</f>
      </c>
      <c r="J55" s="1">
        <f>IF(OR(J$52=0,I6="",J6=""),0,IFERROR(IF(AND(INDEX(Arten,MATCH(I6,Codes,0))="Arbeit",INDEX(Arten,MATCH(J6,Codes,0))="Arbeit"),IF(ROUND((1+INDEX(Beginne,MATCH(J6,Codes,0))-INDEX(EndeRel,MATCH(I6,Codes,0)))*1440,0)&lt;660,1,0),0),0))</f>
      </c>
      <c r="K55" s="1">
        <f>IF(OR(K$52=0,J6="",K6=""),0,IFERROR(IF(AND(INDEX(Arten,MATCH(J6,Codes,0))="Arbeit",INDEX(Arten,MATCH(K6,Codes,0))="Arbeit"),IF(ROUND((1+INDEX(Beginne,MATCH(K6,Codes,0))-INDEX(EndeRel,MATCH(J6,Codes,0)))*1440,0)&lt;660,1,0),0),0))</f>
      </c>
      <c r="L55" s="1">
        <f>IF(OR(L$52=0,K6="",L6=""),0,IFERROR(IF(AND(INDEX(Arten,MATCH(K6,Codes,0))="Arbeit",INDEX(Arten,MATCH(L6,Codes,0))="Arbeit"),IF(ROUND((1+INDEX(Beginne,MATCH(L6,Codes,0))-INDEX(EndeRel,MATCH(K6,Codes,0)))*1440,0)&lt;660,1,0),0),0))</f>
      </c>
      <c r="M55" s="1">
        <f>IF(OR(M$52=0,L6="",M6=""),0,IFERROR(IF(AND(INDEX(Arten,MATCH(L6,Codes,0))="Arbeit",INDEX(Arten,MATCH(M6,Codes,0))="Arbeit"),IF(ROUND((1+INDEX(Beginne,MATCH(M6,Codes,0))-INDEX(EndeRel,MATCH(L6,Codes,0)))*1440,0)&lt;660,1,0),0),0))</f>
      </c>
      <c r="N55" s="1">
        <f>IF(OR(N$52=0,M6="",N6=""),0,IFERROR(IF(AND(INDEX(Arten,MATCH(M6,Codes,0))="Arbeit",INDEX(Arten,MATCH(N6,Codes,0))="Arbeit"),IF(ROUND((1+INDEX(Beginne,MATCH(N6,Codes,0))-INDEX(EndeRel,MATCH(M6,Codes,0)))*1440,0)&lt;660,1,0),0),0))</f>
      </c>
      <c r="O55" s="1">
        <f>IF(OR(O$52=0,N6="",O6=""),0,IFERROR(IF(AND(INDEX(Arten,MATCH(N6,Codes,0))="Arbeit",INDEX(Arten,MATCH(O6,Codes,0))="Arbeit"),IF(ROUND((1+INDEX(Beginne,MATCH(O6,Codes,0))-INDEX(EndeRel,MATCH(N6,Codes,0)))*1440,0)&lt;660,1,0),0),0))</f>
      </c>
      <c r="P55" s="1">
        <f>IF(OR(P$52=0,O6="",P6=""),0,IFERROR(IF(AND(INDEX(Arten,MATCH(O6,Codes,0))="Arbeit",INDEX(Arten,MATCH(P6,Codes,0))="Arbeit"),IF(ROUND((1+INDEX(Beginne,MATCH(P6,Codes,0))-INDEX(EndeRel,MATCH(O6,Codes,0)))*1440,0)&lt;660,1,0),0),0))</f>
      </c>
      <c r="Q55" s="1">
        <f>IF(OR(Q$52=0,P6="",Q6=""),0,IFERROR(IF(AND(INDEX(Arten,MATCH(P6,Codes,0))="Arbeit",INDEX(Arten,MATCH(Q6,Codes,0))="Arbeit"),IF(ROUND((1+INDEX(Beginne,MATCH(Q6,Codes,0))-INDEX(EndeRel,MATCH(P6,Codes,0)))*1440,0)&lt;660,1,0),0),0))</f>
      </c>
      <c r="R55" s="1">
        <f>IF(OR(R$52=0,Q6="",R6=""),0,IFERROR(IF(AND(INDEX(Arten,MATCH(Q6,Codes,0))="Arbeit",INDEX(Arten,MATCH(R6,Codes,0))="Arbeit"),IF(ROUND((1+INDEX(Beginne,MATCH(R6,Codes,0))-INDEX(EndeRel,MATCH(Q6,Codes,0)))*1440,0)&lt;660,1,0),0),0))</f>
      </c>
      <c r="S55" s="1">
        <f>IF(OR(S$52=0,R6="",S6=""),0,IFERROR(IF(AND(INDEX(Arten,MATCH(R6,Codes,0))="Arbeit",INDEX(Arten,MATCH(S6,Codes,0))="Arbeit"),IF(ROUND((1+INDEX(Beginne,MATCH(S6,Codes,0))-INDEX(EndeRel,MATCH(R6,Codes,0)))*1440,0)&lt;660,1,0),0),0))</f>
      </c>
      <c r="T55" s="1">
        <f>IF(OR(T$52=0,S6="",T6=""),0,IFERROR(IF(AND(INDEX(Arten,MATCH(S6,Codes,0))="Arbeit",INDEX(Arten,MATCH(T6,Codes,0))="Arbeit"),IF(ROUND((1+INDEX(Beginne,MATCH(T6,Codes,0))-INDEX(EndeRel,MATCH(S6,Codes,0)))*1440,0)&lt;660,1,0),0),0))</f>
      </c>
      <c r="U55" s="1">
        <f>IF(OR(U$52=0,T6="",U6=""),0,IFERROR(IF(AND(INDEX(Arten,MATCH(T6,Codes,0))="Arbeit",INDEX(Arten,MATCH(U6,Codes,0))="Arbeit"),IF(ROUND((1+INDEX(Beginne,MATCH(U6,Codes,0))-INDEX(EndeRel,MATCH(T6,Codes,0)))*1440,0)&lt;660,1,0),0),0))</f>
      </c>
      <c r="V55" s="1">
        <f>IF(OR(V$52=0,U6="",V6=""),0,IFERROR(IF(AND(INDEX(Arten,MATCH(U6,Codes,0))="Arbeit",INDEX(Arten,MATCH(V6,Codes,0))="Arbeit"),IF(ROUND((1+INDEX(Beginne,MATCH(V6,Codes,0))-INDEX(EndeRel,MATCH(U6,Codes,0)))*1440,0)&lt;660,1,0),0),0))</f>
      </c>
      <c r="W55" s="1">
        <f>IF(OR(W$52=0,V6="",W6=""),0,IFERROR(IF(AND(INDEX(Arten,MATCH(V6,Codes,0))="Arbeit",INDEX(Arten,MATCH(W6,Codes,0))="Arbeit"),IF(ROUND((1+INDEX(Beginne,MATCH(W6,Codes,0))-INDEX(EndeRel,MATCH(V6,Codes,0)))*1440,0)&lt;660,1,0),0),0))</f>
      </c>
      <c r="X55" s="1">
        <f>IF(OR(X$52=0,W6="",X6=""),0,IFERROR(IF(AND(INDEX(Arten,MATCH(W6,Codes,0))="Arbeit",INDEX(Arten,MATCH(X6,Codes,0))="Arbeit"),IF(ROUND((1+INDEX(Beginne,MATCH(X6,Codes,0))-INDEX(EndeRel,MATCH(W6,Codes,0)))*1440,0)&lt;660,1,0),0),0))</f>
      </c>
      <c r="Y55" s="1">
        <f>IF(OR(Y$52=0,X6="",Y6=""),0,IFERROR(IF(AND(INDEX(Arten,MATCH(X6,Codes,0))="Arbeit",INDEX(Arten,MATCH(Y6,Codes,0))="Arbeit"),IF(ROUND((1+INDEX(Beginne,MATCH(Y6,Codes,0))-INDEX(EndeRel,MATCH(X6,Codes,0)))*1440,0)&lt;660,1,0),0),0))</f>
      </c>
      <c r="Z55" s="1">
        <f>IF(OR(Z$52=0,Y6="",Z6=""),0,IFERROR(IF(AND(INDEX(Arten,MATCH(Y6,Codes,0))="Arbeit",INDEX(Arten,MATCH(Z6,Codes,0))="Arbeit"),IF(ROUND((1+INDEX(Beginne,MATCH(Z6,Codes,0))-INDEX(EndeRel,MATCH(Y6,Codes,0)))*1440,0)&lt;660,1,0),0),0))</f>
      </c>
      <c r="AA55" s="1">
        <f>IF(OR(AA$52=0,Z6="",AA6=""),0,IFERROR(IF(AND(INDEX(Arten,MATCH(Z6,Codes,0))="Arbeit",INDEX(Arten,MATCH(AA6,Codes,0))="Arbeit"),IF(ROUND((1+INDEX(Beginne,MATCH(AA6,Codes,0))-INDEX(EndeRel,MATCH(Z6,Codes,0)))*1440,0)&lt;660,1,0),0),0))</f>
      </c>
      <c r="AB55" s="1">
        <f>IF(OR(AB$52=0,AA6="",AB6=""),0,IFERROR(IF(AND(INDEX(Arten,MATCH(AA6,Codes,0))="Arbeit",INDEX(Arten,MATCH(AB6,Codes,0))="Arbeit"),IF(ROUND((1+INDEX(Beginne,MATCH(AB6,Codes,0))-INDEX(EndeRel,MATCH(AA6,Codes,0)))*1440,0)&lt;660,1,0),0),0))</f>
      </c>
      <c r="AC55" s="1">
        <f>IF(OR(AC$52=0,AB6="",AC6=""),0,IFERROR(IF(AND(INDEX(Arten,MATCH(AB6,Codes,0))="Arbeit",INDEX(Arten,MATCH(AC6,Codes,0))="Arbeit"),IF(ROUND((1+INDEX(Beginne,MATCH(AC6,Codes,0))-INDEX(EndeRel,MATCH(AB6,Codes,0)))*1440,0)&lt;660,1,0),0),0))</f>
      </c>
      <c r="AD55" s="1">
        <f>IF(OR(AD$52=0,AC6="",AD6=""),0,IFERROR(IF(AND(INDEX(Arten,MATCH(AC6,Codes,0))="Arbeit",INDEX(Arten,MATCH(AD6,Codes,0))="Arbeit"),IF(ROUND((1+INDEX(Beginne,MATCH(AD6,Codes,0))-INDEX(EndeRel,MATCH(AC6,Codes,0)))*1440,0)&lt;660,1,0),0),0))</f>
      </c>
      <c r="AE55" s="1">
        <f>IF(OR(AE$52=0,AD6="",AE6=""),0,IFERROR(IF(AND(INDEX(Arten,MATCH(AD6,Codes,0))="Arbeit",INDEX(Arten,MATCH(AE6,Codes,0))="Arbeit"),IF(ROUND((1+INDEX(Beginne,MATCH(AE6,Codes,0))-INDEX(EndeRel,MATCH(AD6,Codes,0)))*1440,0)&lt;660,1,0),0),0))</f>
      </c>
      <c r="AF55" s="1">
        <f>IF(OR(AF$52=0,AE6="",AF6=""),0,IFERROR(IF(AND(INDEX(Arten,MATCH(AE6,Codes,0))="Arbeit",INDEX(Arten,MATCH(AF6,Codes,0))="Arbeit"),IF(ROUND((1+INDEX(Beginne,MATCH(AF6,Codes,0))-INDEX(EndeRel,MATCH(AE6,Codes,0)))*1440,0)&lt;660,1,0),0),0))</f>
      </c>
    </row>
    <row r="56" hidden="1" spans="1:32" x14ac:dyDescent="0.25">
      <c r="A56" s="1"/>
      <c r="B56" s="1">
        <f>IF(OR(B$52=0,INDEX('August'!$B$7:$AF$7,DAY(DATE(Jahr,9,0)))="",B7=""),0,IFERROR(IF(AND(INDEX(Arten,MATCH(INDEX('August'!$B$7:$AF$7,DAY(DATE(Jahr,9,0))),Codes,0))="Arbeit",INDEX(Arten,MATCH(B7,Codes,0))="Arbeit"),IF(ROUND((1+INDEX(Beginne,MATCH(B7,Codes,0))-INDEX(EndeRel,MATCH(INDEX('August'!$B$7:$AF$7,DAY(DATE(Jahr,9,0))),Codes,0)))*1440,0)&lt;660,1,0),0),0))</f>
      </c>
      <c r="C56" s="1">
        <f>IF(OR(C$52=0,B7="",C7=""),0,IFERROR(IF(AND(INDEX(Arten,MATCH(B7,Codes,0))="Arbeit",INDEX(Arten,MATCH(C7,Codes,0))="Arbeit"),IF(ROUND((1+INDEX(Beginne,MATCH(C7,Codes,0))-INDEX(EndeRel,MATCH(B7,Codes,0)))*1440,0)&lt;660,1,0),0),0))</f>
      </c>
      <c r="D56" s="1">
        <f>IF(OR(D$52=0,C7="",D7=""),0,IFERROR(IF(AND(INDEX(Arten,MATCH(C7,Codes,0))="Arbeit",INDEX(Arten,MATCH(D7,Codes,0))="Arbeit"),IF(ROUND((1+INDEX(Beginne,MATCH(D7,Codes,0))-INDEX(EndeRel,MATCH(C7,Codes,0)))*1440,0)&lt;660,1,0),0),0))</f>
      </c>
      <c r="E56" s="1">
        <f>IF(OR(E$52=0,D7="",E7=""),0,IFERROR(IF(AND(INDEX(Arten,MATCH(D7,Codes,0))="Arbeit",INDEX(Arten,MATCH(E7,Codes,0))="Arbeit"),IF(ROUND((1+INDEX(Beginne,MATCH(E7,Codes,0))-INDEX(EndeRel,MATCH(D7,Codes,0)))*1440,0)&lt;660,1,0),0),0))</f>
      </c>
      <c r="F56" s="1">
        <f>IF(OR(F$52=0,E7="",F7=""),0,IFERROR(IF(AND(INDEX(Arten,MATCH(E7,Codes,0))="Arbeit",INDEX(Arten,MATCH(F7,Codes,0))="Arbeit"),IF(ROUND((1+INDEX(Beginne,MATCH(F7,Codes,0))-INDEX(EndeRel,MATCH(E7,Codes,0)))*1440,0)&lt;660,1,0),0),0))</f>
      </c>
      <c r="G56" s="1">
        <f>IF(OR(G$52=0,F7="",G7=""),0,IFERROR(IF(AND(INDEX(Arten,MATCH(F7,Codes,0))="Arbeit",INDEX(Arten,MATCH(G7,Codes,0))="Arbeit"),IF(ROUND((1+INDEX(Beginne,MATCH(G7,Codes,0))-INDEX(EndeRel,MATCH(F7,Codes,0)))*1440,0)&lt;660,1,0),0),0))</f>
      </c>
      <c r="H56" s="1">
        <f>IF(OR(H$52=0,G7="",H7=""),0,IFERROR(IF(AND(INDEX(Arten,MATCH(G7,Codes,0))="Arbeit",INDEX(Arten,MATCH(H7,Codes,0))="Arbeit"),IF(ROUND((1+INDEX(Beginne,MATCH(H7,Codes,0))-INDEX(EndeRel,MATCH(G7,Codes,0)))*1440,0)&lt;660,1,0),0),0))</f>
      </c>
      <c r="I56" s="1">
        <f>IF(OR(I$52=0,H7="",I7=""),0,IFERROR(IF(AND(INDEX(Arten,MATCH(H7,Codes,0))="Arbeit",INDEX(Arten,MATCH(I7,Codes,0))="Arbeit"),IF(ROUND((1+INDEX(Beginne,MATCH(I7,Codes,0))-INDEX(EndeRel,MATCH(H7,Codes,0)))*1440,0)&lt;660,1,0),0),0))</f>
      </c>
      <c r="J56" s="1">
        <f>IF(OR(J$52=0,I7="",J7=""),0,IFERROR(IF(AND(INDEX(Arten,MATCH(I7,Codes,0))="Arbeit",INDEX(Arten,MATCH(J7,Codes,0))="Arbeit"),IF(ROUND((1+INDEX(Beginne,MATCH(J7,Codes,0))-INDEX(EndeRel,MATCH(I7,Codes,0)))*1440,0)&lt;660,1,0),0),0))</f>
      </c>
      <c r="K56" s="1">
        <f>IF(OR(K$52=0,J7="",K7=""),0,IFERROR(IF(AND(INDEX(Arten,MATCH(J7,Codes,0))="Arbeit",INDEX(Arten,MATCH(K7,Codes,0))="Arbeit"),IF(ROUND((1+INDEX(Beginne,MATCH(K7,Codes,0))-INDEX(EndeRel,MATCH(J7,Codes,0)))*1440,0)&lt;660,1,0),0),0))</f>
      </c>
      <c r="L56" s="1">
        <f>IF(OR(L$52=0,K7="",L7=""),0,IFERROR(IF(AND(INDEX(Arten,MATCH(K7,Codes,0))="Arbeit",INDEX(Arten,MATCH(L7,Codes,0))="Arbeit"),IF(ROUND((1+INDEX(Beginne,MATCH(L7,Codes,0))-INDEX(EndeRel,MATCH(K7,Codes,0)))*1440,0)&lt;660,1,0),0),0))</f>
      </c>
      <c r="M56" s="1">
        <f>IF(OR(M$52=0,L7="",M7=""),0,IFERROR(IF(AND(INDEX(Arten,MATCH(L7,Codes,0))="Arbeit",INDEX(Arten,MATCH(M7,Codes,0))="Arbeit"),IF(ROUND((1+INDEX(Beginne,MATCH(M7,Codes,0))-INDEX(EndeRel,MATCH(L7,Codes,0)))*1440,0)&lt;660,1,0),0),0))</f>
      </c>
      <c r="N56" s="1">
        <f>IF(OR(N$52=0,M7="",N7=""),0,IFERROR(IF(AND(INDEX(Arten,MATCH(M7,Codes,0))="Arbeit",INDEX(Arten,MATCH(N7,Codes,0))="Arbeit"),IF(ROUND((1+INDEX(Beginne,MATCH(N7,Codes,0))-INDEX(EndeRel,MATCH(M7,Codes,0)))*1440,0)&lt;660,1,0),0),0))</f>
      </c>
      <c r="O56" s="1">
        <f>IF(OR(O$52=0,N7="",O7=""),0,IFERROR(IF(AND(INDEX(Arten,MATCH(N7,Codes,0))="Arbeit",INDEX(Arten,MATCH(O7,Codes,0))="Arbeit"),IF(ROUND((1+INDEX(Beginne,MATCH(O7,Codes,0))-INDEX(EndeRel,MATCH(N7,Codes,0)))*1440,0)&lt;660,1,0),0),0))</f>
      </c>
      <c r="P56" s="1">
        <f>IF(OR(P$52=0,O7="",P7=""),0,IFERROR(IF(AND(INDEX(Arten,MATCH(O7,Codes,0))="Arbeit",INDEX(Arten,MATCH(P7,Codes,0))="Arbeit"),IF(ROUND((1+INDEX(Beginne,MATCH(P7,Codes,0))-INDEX(EndeRel,MATCH(O7,Codes,0)))*1440,0)&lt;660,1,0),0),0))</f>
      </c>
      <c r="Q56" s="1">
        <f>IF(OR(Q$52=0,P7="",Q7=""),0,IFERROR(IF(AND(INDEX(Arten,MATCH(P7,Codes,0))="Arbeit",INDEX(Arten,MATCH(Q7,Codes,0))="Arbeit"),IF(ROUND((1+INDEX(Beginne,MATCH(Q7,Codes,0))-INDEX(EndeRel,MATCH(P7,Codes,0)))*1440,0)&lt;660,1,0),0),0))</f>
      </c>
      <c r="R56" s="1">
        <f>IF(OR(R$52=0,Q7="",R7=""),0,IFERROR(IF(AND(INDEX(Arten,MATCH(Q7,Codes,0))="Arbeit",INDEX(Arten,MATCH(R7,Codes,0))="Arbeit"),IF(ROUND((1+INDEX(Beginne,MATCH(R7,Codes,0))-INDEX(EndeRel,MATCH(Q7,Codes,0)))*1440,0)&lt;660,1,0),0),0))</f>
      </c>
      <c r="S56" s="1">
        <f>IF(OR(S$52=0,R7="",S7=""),0,IFERROR(IF(AND(INDEX(Arten,MATCH(R7,Codes,0))="Arbeit",INDEX(Arten,MATCH(S7,Codes,0))="Arbeit"),IF(ROUND((1+INDEX(Beginne,MATCH(S7,Codes,0))-INDEX(EndeRel,MATCH(R7,Codes,0)))*1440,0)&lt;660,1,0),0),0))</f>
      </c>
      <c r="T56" s="1">
        <f>IF(OR(T$52=0,S7="",T7=""),0,IFERROR(IF(AND(INDEX(Arten,MATCH(S7,Codes,0))="Arbeit",INDEX(Arten,MATCH(T7,Codes,0))="Arbeit"),IF(ROUND((1+INDEX(Beginne,MATCH(T7,Codes,0))-INDEX(EndeRel,MATCH(S7,Codes,0)))*1440,0)&lt;660,1,0),0),0))</f>
      </c>
      <c r="U56" s="1">
        <f>IF(OR(U$52=0,T7="",U7=""),0,IFERROR(IF(AND(INDEX(Arten,MATCH(T7,Codes,0))="Arbeit",INDEX(Arten,MATCH(U7,Codes,0))="Arbeit"),IF(ROUND((1+INDEX(Beginne,MATCH(U7,Codes,0))-INDEX(EndeRel,MATCH(T7,Codes,0)))*1440,0)&lt;660,1,0),0),0))</f>
      </c>
      <c r="V56" s="1">
        <f>IF(OR(V$52=0,U7="",V7=""),0,IFERROR(IF(AND(INDEX(Arten,MATCH(U7,Codes,0))="Arbeit",INDEX(Arten,MATCH(V7,Codes,0))="Arbeit"),IF(ROUND((1+INDEX(Beginne,MATCH(V7,Codes,0))-INDEX(EndeRel,MATCH(U7,Codes,0)))*1440,0)&lt;660,1,0),0),0))</f>
      </c>
      <c r="W56" s="1">
        <f>IF(OR(W$52=0,V7="",W7=""),0,IFERROR(IF(AND(INDEX(Arten,MATCH(V7,Codes,0))="Arbeit",INDEX(Arten,MATCH(W7,Codes,0))="Arbeit"),IF(ROUND((1+INDEX(Beginne,MATCH(W7,Codes,0))-INDEX(EndeRel,MATCH(V7,Codes,0)))*1440,0)&lt;660,1,0),0),0))</f>
      </c>
      <c r="X56" s="1">
        <f>IF(OR(X$52=0,W7="",X7=""),0,IFERROR(IF(AND(INDEX(Arten,MATCH(W7,Codes,0))="Arbeit",INDEX(Arten,MATCH(X7,Codes,0))="Arbeit"),IF(ROUND((1+INDEX(Beginne,MATCH(X7,Codes,0))-INDEX(EndeRel,MATCH(W7,Codes,0)))*1440,0)&lt;660,1,0),0),0))</f>
      </c>
      <c r="Y56" s="1">
        <f>IF(OR(Y$52=0,X7="",Y7=""),0,IFERROR(IF(AND(INDEX(Arten,MATCH(X7,Codes,0))="Arbeit",INDEX(Arten,MATCH(Y7,Codes,0))="Arbeit"),IF(ROUND((1+INDEX(Beginne,MATCH(Y7,Codes,0))-INDEX(EndeRel,MATCH(X7,Codes,0)))*1440,0)&lt;660,1,0),0),0))</f>
      </c>
      <c r="Z56" s="1">
        <f>IF(OR(Z$52=0,Y7="",Z7=""),0,IFERROR(IF(AND(INDEX(Arten,MATCH(Y7,Codes,0))="Arbeit",INDEX(Arten,MATCH(Z7,Codes,0))="Arbeit"),IF(ROUND((1+INDEX(Beginne,MATCH(Z7,Codes,0))-INDEX(EndeRel,MATCH(Y7,Codes,0)))*1440,0)&lt;660,1,0),0),0))</f>
      </c>
      <c r="AA56" s="1">
        <f>IF(OR(AA$52=0,Z7="",AA7=""),0,IFERROR(IF(AND(INDEX(Arten,MATCH(Z7,Codes,0))="Arbeit",INDEX(Arten,MATCH(AA7,Codes,0))="Arbeit"),IF(ROUND((1+INDEX(Beginne,MATCH(AA7,Codes,0))-INDEX(EndeRel,MATCH(Z7,Codes,0)))*1440,0)&lt;660,1,0),0),0))</f>
      </c>
      <c r="AB56" s="1">
        <f>IF(OR(AB$52=0,AA7="",AB7=""),0,IFERROR(IF(AND(INDEX(Arten,MATCH(AA7,Codes,0))="Arbeit",INDEX(Arten,MATCH(AB7,Codes,0))="Arbeit"),IF(ROUND((1+INDEX(Beginne,MATCH(AB7,Codes,0))-INDEX(EndeRel,MATCH(AA7,Codes,0)))*1440,0)&lt;660,1,0),0),0))</f>
      </c>
      <c r="AC56" s="1">
        <f>IF(OR(AC$52=0,AB7="",AC7=""),0,IFERROR(IF(AND(INDEX(Arten,MATCH(AB7,Codes,0))="Arbeit",INDEX(Arten,MATCH(AC7,Codes,0))="Arbeit"),IF(ROUND((1+INDEX(Beginne,MATCH(AC7,Codes,0))-INDEX(EndeRel,MATCH(AB7,Codes,0)))*1440,0)&lt;660,1,0),0),0))</f>
      </c>
      <c r="AD56" s="1">
        <f>IF(OR(AD$52=0,AC7="",AD7=""),0,IFERROR(IF(AND(INDEX(Arten,MATCH(AC7,Codes,0))="Arbeit",INDEX(Arten,MATCH(AD7,Codes,0))="Arbeit"),IF(ROUND((1+INDEX(Beginne,MATCH(AD7,Codes,0))-INDEX(EndeRel,MATCH(AC7,Codes,0)))*1440,0)&lt;660,1,0),0),0))</f>
      </c>
      <c r="AE56" s="1">
        <f>IF(OR(AE$52=0,AD7="",AE7=""),0,IFERROR(IF(AND(INDEX(Arten,MATCH(AD7,Codes,0))="Arbeit",INDEX(Arten,MATCH(AE7,Codes,0))="Arbeit"),IF(ROUND((1+INDEX(Beginne,MATCH(AE7,Codes,0))-INDEX(EndeRel,MATCH(AD7,Codes,0)))*1440,0)&lt;660,1,0),0),0))</f>
      </c>
      <c r="AF56" s="1">
        <f>IF(OR(AF$52=0,AE7="",AF7=""),0,IFERROR(IF(AND(INDEX(Arten,MATCH(AE7,Codes,0))="Arbeit",INDEX(Arten,MATCH(AF7,Codes,0))="Arbeit"),IF(ROUND((1+INDEX(Beginne,MATCH(AF7,Codes,0))-INDEX(EndeRel,MATCH(AE7,Codes,0)))*1440,0)&lt;660,1,0),0),0))</f>
      </c>
    </row>
    <row r="57" hidden="1" spans="1:32" x14ac:dyDescent="0.25">
      <c r="A57" s="1"/>
      <c r="B57" s="1">
        <f>IF(OR(B$52=0,INDEX('August'!$B$8:$AF$8,DAY(DATE(Jahr,9,0)))="",B8=""),0,IFERROR(IF(AND(INDEX(Arten,MATCH(INDEX('August'!$B$8:$AF$8,DAY(DATE(Jahr,9,0))),Codes,0))="Arbeit",INDEX(Arten,MATCH(B8,Codes,0))="Arbeit"),IF(ROUND((1+INDEX(Beginne,MATCH(B8,Codes,0))-INDEX(EndeRel,MATCH(INDEX('August'!$B$8:$AF$8,DAY(DATE(Jahr,9,0))),Codes,0)))*1440,0)&lt;660,1,0),0),0))</f>
      </c>
      <c r="C57" s="1">
        <f>IF(OR(C$52=0,B8="",C8=""),0,IFERROR(IF(AND(INDEX(Arten,MATCH(B8,Codes,0))="Arbeit",INDEX(Arten,MATCH(C8,Codes,0))="Arbeit"),IF(ROUND((1+INDEX(Beginne,MATCH(C8,Codes,0))-INDEX(EndeRel,MATCH(B8,Codes,0)))*1440,0)&lt;660,1,0),0),0))</f>
      </c>
      <c r="D57" s="1">
        <f>IF(OR(D$52=0,C8="",D8=""),0,IFERROR(IF(AND(INDEX(Arten,MATCH(C8,Codes,0))="Arbeit",INDEX(Arten,MATCH(D8,Codes,0))="Arbeit"),IF(ROUND((1+INDEX(Beginne,MATCH(D8,Codes,0))-INDEX(EndeRel,MATCH(C8,Codes,0)))*1440,0)&lt;660,1,0),0),0))</f>
      </c>
      <c r="E57" s="1">
        <f>IF(OR(E$52=0,D8="",E8=""),0,IFERROR(IF(AND(INDEX(Arten,MATCH(D8,Codes,0))="Arbeit",INDEX(Arten,MATCH(E8,Codes,0))="Arbeit"),IF(ROUND((1+INDEX(Beginne,MATCH(E8,Codes,0))-INDEX(EndeRel,MATCH(D8,Codes,0)))*1440,0)&lt;660,1,0),0),0))</f>
      </c>
      <c r="F57" s="1">
        <f>IF(OR(F$52=0,E8="",F8=""),0,IFERROR(IF(AND(INDEX(Arten,MATCH(E8,Codes,0))="Arbeit",INDEX(Arten,MATCH(F8,Codes,0))="Arbeit"),IF(ROUND((1+INDEX(Beginne,MATCH(F8,Codes,0))-INDEX(EndeRel,MATCH(E8,Codes,0)))*1440,0)&lt;660,1,0),0),0))</f>
      </c>
      <c r="G57" s="1">
        <f>IF(OR(G$52=0,F8="",G8=""),0,IFERROR(IF(AND(INDEX(Arten,MATCH(F8,Codes,0))="Arbeit",INDEX(Arten,MATCH(G8,Codes,0))="Arbeit"),IF(ROUND((1+INDEX(Beginne,MATCH(G8,Codes,0))-INDEX(EndeRel,MATCH(F8,Codes,0)))*1440,0)&lt;660,1,0),0),0))</f>
      </c>
      <c r="H57" s="1">
        <f>IF(OR(H$52=0,G8="",H8=""),0,IFERROR(IF(AND(INDEX(Arten,MATCH(G8,Codes,0))="Arbeit",INDEX(Arten,MATCH(H8,Codes,0))="Arbeit"),IF(ROUND((1+INDEX(Beginne,MATCH(H8,Codes,0))-INDEX(EndeRel,MATCH(G8,Codes,0)))*1440,0)&lt;660,1,0),0),0))</f>
      </c>
      <c r="I57" s="1">
        <f>IF(OR(I$52=0,H8="",I8=""),0,IFERROR(IF(AND(INDEX(Arten,MATCH(H8,Codes,0))="Arbeit",INDEX(Arten,MATCH(I8,Codes,0))="Arbeit"),IF(ROUND((1+INDEX(Beginne,MATCH(I8,Codes,0))-INDEX(EndeRel,MATCH(H8,Codes,0)))*1440,0)&lt;660,1,0),0),0))</f>
      </c>
      <c r="J57" s="1">
        <f>IF(OR(J$52=0,I8="",J8=""),0,IFERROR(IF(AND(INDEX(Arten,MATCH(I8,Codes,0))="Arbeit",INDEX(Arten,MATCH(J8,Codes,0))="Arbeit"),IF(ROUND((1+INDEX(Beginne,MATCH(J8,Codes,0))-INDEX(EndeRel,MATCH(I8,Codes,0)))*1440,0)&lt;660,1,0),0),0))</f>
      </c>
      <c r="K57" s="1">
        <f>IF(OR(K$52=0,J8="",K8=""),0,IFERROR(IF(AND(INDEX(Arten,MATCH(J8,Codes,0))="Arbeit",INDEX(Arten,MATCH(K8,Codes,0))="Arbeit"),IF(ROUND((1+INDEX(Beginne,MATCH(K8,Codes,0))-INDEX(EndeRel,MATCH(J8,Codes,0)))*1440,0)&lt;660,1,0),0),0))</f>
      </c>
      <c r="L57" s="1">
        <f>IF(OR(L$52=0,K8="",L8=""),0,IFERROR(IF(AND(INDEX(Arten,MATCH(K8,Codes,0))="Arbeit",INDEX(Arten,MATCH(L8,Codes,0))="Arbeit"),IF(ROUND((1+INDEX(Beginne,MATCH(L8,Codes,0))-INDEX(EndeRel,MATCH(K8,Codes,0)))*1440,0)&lt;660,1,0),0),0))</f>
      </c>
      <c r="M57" s="1">
        <f>IF(OR(M$52=0,L8="",M8=""),0,IFERROR(IF(AND(INDEX(Arten,MATCH(L8,Codes,0))="Arbeit",INDEX(Arten,MATCH(M8,Codes,0))="Arbeit"),IF(ROUND((1+INDEX(Beginne,MATCH(M8,Codes,0))-INDEX(EndeRel,MATCH(L8,Codes,0)))*1440,0)&lt;660,1,0),0),0))</f>
      </c>
      <c r="N57" s="1">
        <f>IF(OR(N$52=0,M8="",N8=""),0,IFERROR(IF(AND(INDEX(Arten,MATCH(M8,Codes,0))="Arbeit",INDEX(Arten,MATCH(N8,Codes,0))="Arbeit"),IF(ROUND((1+INDEX(Beginne,MATCH(N8,Codes,0))-INDEX(EndeRel,MATCH(M8,Codes,0)))*1440,0)&lt;660,1,0),0),0))</f>
      </c>
      <c r="O57" s="1">
        <f>IF(OR(O$52=0,N8="",O8=""),0,IFERROR(IF(AND(INDEX(Arten,MATCH(N8,Codes,0))="Arbeit",INDEX(Arten,MATCH(O8,Codes,0))="Arbeit"),IF(ROUND((1+INDEX(Beginne,MATCH(O8,Codes,0))-INDEX(EndeRel,MATCH(N8,Codes,0)))*1440,0)&lt;660,1,0),0),0))</f>
      </c>
      <c r="P57" s="1">
        <f>IF(OR(P$52=0,O8="",P8=""),0,IFERROR(IF(AND(INDEX(Arten,MATCH(O8,Codes,0))="Arbeit",INDEX(Arten,MATCH(P8,Codes,0))="Arbeit"),IF(ROUND((1+INDEX(Beginne,MATCH(P8,Codes,0))-INDEX(EndeRel,MATCH(O8,Codes,0)))*1440,0)&lt;660,1,0),0),0))</f>
      </c>
      <c r="Q57" s="1">
        <f>IF(OR(Q$52=0,P8="",Q8=""),0,IFERROR(IF(AND(INDEX(Arten,MATCH(P8,Codes,0))="Arbeit",INDEX(Arten,MATCH(Q8,Codes,0))="Arbeit"),IF(ROUND((1+INDEX(Beginne,MATCH(Q8,Codes,0))-INDEX(EndeRel,MATCH(P8,Codes,0)))*1440,0)&lt;660,1,0),0),0))</f>
      </c>
      <c r="R57" s="1">
        <f>IF(OR(R$52=0,Q8="",R8=""),0,IFERROR(IF(AND(INDEX(Arten,MATCH(Q8,Codes,0))="Arbeit",INDEX(Arten,MATCH(R8,Codes,0))="Arbeit"),IF(ROUND((1+INDEX(Beginne,MATCH(R8,Codes,0))-INDEX(EndeRel,MATCH(Q8,Codes,0)))*1440,0)&lt;660,1,0),0),0))</f>
      </c>
      <c r="S57" s="1">
        <f>IF(OR(S$52=0,R8="",S8=""),0,IFERROR(IF(AND(INDEX(Arten,MATCH(R8,Codes,0))="Arbeit",INDEX(Arten,MATCH(S8,Codes,0))="Arbeit"),IF(ROUND((1+INDEX(Beginne,MATCH(S8,Codes,0))-INDEX(EndeRel,MATCH(R8,Codes,0)))*1440,0)&lt;660,1,0),0),0))</f>
      </c>
      <c r="T57" s="1">
        <f>IF(OR(T$52=0,S8="",T8=""),0,IFERROR(IF(AND(INDEX(Arten,MATCH(S8,Codes,0))="Arbeit",INDEX(Arten,MATCH(T8,Codes,0))="Arbeit"),IF(ROUND((1+INDEX(Beginne,MATCH(T8,Codes,0))-INDEX(EndeRel,MATCH(S8,Codes,0)))*1440,0)&lt;660,1,0),0),0))</f>
      </c>
      <c r="U57" s="1">
        <f>IF(OR(U$52=0,T8="",U8=""),0,IFERROR(IF(AND(INDEX(Arten,MATCH(T8,Codes,0))="Arbeit",INDEX(Arten,MATCH(U8,Codes,0))="Arbeit"),IF(ROUND((1+INDEX(Beginne,MATCH(U8,Codes,0))-INDEX(EndeRel,MATCH(T8,Codes,0)))*1440,0)&lt;660,1,0),0),0))</f>
      </c>
      <c r="V57" s="1">
        <f>IF(OR(V$52=0,U8="",V8=""),0,IFERROR(IF(AND(INDEX(Arten,MATCH(U8,Codes,0))="Arbeit",INDEX(Arten,MATCH(V8,Codes,0))="Arbeit"),IF(ROUND((1+INDEX(Beginne,MATCH(V8,Codes,0))-INDEX(EndeRel,MATCH(U8,Codes,0)))*1440,0)&lt;660,1,0),0),0))</f>
      </c>
      <c r="W57" s="1">
        <f>IF(OR(W$52=0,V8="",W8=""),0,IFERROR(IF(AND(INDEX(Arten,MATCH(V8,Codes,0))="Arbeit",INDEX(Arten,MATCH(W8,Codes,0))="Arbeit"),IF(ROUND((1+INDEX(Beginne,MATCH(W8,Codes,0))-INDEX(EndeRel,MATCH(V8,Codes,0)))*1440,0)&lt;660,1,0),0),0))</f>
      </c>
      <c r="X57" s="1">
        <f>IF(OR(X$52=0,W8="",X8=""),0,IFERROR(IF(AND(INDEX(Arten,MATCH(W8,Codes,0))="Arbeit",INDEX(Arten,MATCH(X8,Codes,0))="Arbeit"),IF(ROUND((1+INDEX(Beginne,MATCH(X8,Codes,0))-INDEX(EndeRel,MATCH(W8,Codes,0)))*1440,0)&lt;660,1,0),0),0))</f>
      </c>
      <c r="Y57" s="1">
        <f>IF(OR(Y$52=0,X8="",Y8=""),0,IFERROR(IF(AND(INDEX(Arten,MATCH(X8,Codes,0))="Arbeit",INDEX(Arten,MATCH(Y8,Codes,0))="Arbeit"),IF(ROUND((1+INDEX(Beginne,MATCH(Y8,Codes,0))-INDEX(EndeRel,MATCH(X8,Codes,0)))*1440,0)&lt;660,1,0),0),0))</f>
      </c>
      <c r="Z57" s="1">
        <f>IF(OR(Z$52=0,Y8="",Z8=""),0,IFERROR(IF(AND(INDEX(Arten,MATCH(Y8,Codes,0))="Arbeit",INDEX(Arten,MATCH(Z8,Codes,0))="Arbeit"),IF(ROUND((1+INDEX(Beginne,MATCH(Z8,Codes,0))-INDEX(EndeRel,MATCH(Y8,Codes,0)))*1440,0)&lt;660,1,0),0),0))</f>
      </c>
      <c r="AA57" s="1">
        <f>IF(OR(AA$52=0,Z8="",AA8=""),0,IFERROR(IF(AND(INDEX(Arten,MATCH(Z8,Codes,0))="Arbeit",INDEX(Arten,MATCH(AA8,Codes,0))="Arbeit"),IF(ROUND((1+INDEX(Beginne,MATCH(AA8,Codes,0))-INDEX(EndeRel,MATCH(Z8,Codes,0)))*1440,0)&lt;660,1,0),0),0))</f>
      </c>
      <c r="AB57" s="1">
        <f>IF(OR(AB$52=0,AA8="",AB8=""),0,IFERROR(IF(AND(INDEX(Arten,MATCH(AA8,Codes,0))="Arbeit",INDEX(Arten,MATCH(AB8,Codes,0))="Arbeit"),IF(ROUND((1+INDEX(Beginne,MATCH(AB8,Codes,0))-INDEX(EndeRel,MATCH(AA8,Codes,0)))*1440,0)&lt;660,1,0),0),0))</f>
      </c>
      <c r="AC57" s="1">
        <f>IF(OR(AC$52=0,AB8="",AC8=""),0,IFERROR(IF(AND(INDEX(Arten,MATCH(AB8,Codes,0))="Arbeit",INDEX(Arten,MATCH(AC8,Codes,0))="Arbeit"),IF(ROUND((1+INDEX(Beginne,MATCH(AC8,Codes,0))-INDEX(EndeRel,MATCH(AB8,Codes,0)))*1440,0)&lt;660,1,0),0),0))</f>
      </c>
      <c r="AD57" s="1">
        <f>IF(OR(AD$52=0,AC8="",AD8=""),0,IFERROR(IF(AND(INDEX(Arten,MATCH(AC8,Codes,0))="Arbeit",INDEX(Arten,MATCH(AD8,Codes,0))="Arbeit"),IF(ROUND((1+INDEX(Beginne,MATCH(AD8,Codes,0))-INDEX(EndeRel,MATCH(AC8,Codes,0)))*1440,0)&lt;660,1,0),0),0))</f>
      </c>
      <c r="AE57" s="1">
        <f>IF(OR(AE$52=0,AD8="",AE8=""),0,IFERROR(IF(AND(INDEX(Arten,MATCH(AD8,Codes,0))="Arbeit",INDEX(Arten,MATCH(AE8,Codes,0))="Arbeit"),IF(ROUND((1+INDEX(Beginne,MATCH(AE8,Codes,0))-INDEX(EndeRel,MATCH(AD8,Codes,0)))*1440,0)&lt;660,1,0),0),0))</f>
      </c>
      <c r="AF57" s="1">
        <f>IF(OR(AF$52=0,AE8="",AF8=""),0,IFERROR(IF(AND(INDEX(Arten,MATCH(AE8,Codes,0))="Arbeit",INDEX(Arten,MATCH(AF8,Codes,0))="Arbeit"),IF(ROUND((1+INDEX(Beginne,MATCH(AF8,Codes,0))-INDEX(EndeRel,MATCH(AE8,Codes,0)))*1440,0)&lt;660,1,0),0),0))</f>
      </c>
    </row>
    <row r="58" hidden="1" spans="1:32" x14ac:dyDescent="0.25">
      <c r="A58" s="1"/>
      <c r="B58" s="1">
        <f>IF(OR(B$52=0,INDEX('August'!$B$9:$AF$9,DAY(DATE(Jahr,9,0)))="",B9=""),0,IFERROR(IF(AND(INDEX(Arten,MATCH(INDEX('August'!$B$9:$AF$9,DAY(DATE(Jahr,9,0))),Codes,0))="Arbeit",INDEX(Arten,MATCH(B9,Codes,0))="Arbeit"),IF(ROUND((1+INDEX(Beginne,MATCH(B9,Codes,0))-INDEX(EndeRel,MATCH(INDEX('August'!$B$9:$AF$9,DAY(DATE(Jahr,9,0))),Codes,0)))*1440,0)&lt;660,1,0),0),0))</f>
      </c>
      <c r="C58" s="1">
        <f>IF(OR(C$52=0,B9="",C9=""),0,IFERROR(IF(AND(INDEX(Arten,MATCH(B9,Codes,0))="Arbeit",INDEX(Arten,MATCH(C9,Codes,0))="Arbeit"),IF(ROUND((1+INDEX(Beginne,MATCH(C9,Codes,0))-INDEX(EndeRel,MATCH(B9,Codes,0)))*1440,0)&lt;660,1,0),0),0))</f>
      </c>
      <c r="D58" s="1">
        <f>IF(OR(D$52=0,C9="",D9=""),0,IFERROR(IF(AND(INDEX(Arten,MATCH(C9,Codes,0))="Arbeit",INDEX(Arten,MATCH(D9,Codes,0))="Arbeit"),IF(ROUND((1+INDEX(Beginne,MATCH(D9,Codes,0))-INDEX(EndeRel,MATCH(C9,Codes,0)))*1440,0)&lt;660,1,0),0),0))</f>
      </c>
      <c r="E58" s="1">
        <f>IF(OR(E$52=0,D9="",E9=""),0,IFERROR(IF(AND(INDEX(Arten,MATCH(D9,Codes,0))="Arbeit",INDEX(Arten,MATCH(E9,Codes,0))="Arbeit"),IF(ROUND((1+INDEX(Beginne,MATCH(E9,Codes,0))-INDEX(EndeRel,MATCH(D9,Codes,0)))*1440,0)&lt;660,1,0),0),0))</f>
      </c>
      <c r="F58" s="1">
        <f>IF(OR(F$52=0,E9="",F9=""),0,IFERROR(IF(AND(INDEX(Arten,MATCH(E9,Codes,0))="Arbeit",INDEX(Arten,MATCH(F9,Codes,0))="Arbeit"),IF(ROUND((1+INDEX(Beginne,MATCH(F9,Codes,0))-INDEX(EndeRel,MATCH(E9,Codes,0)))*1440,0)&lt;660,1,0),0),0))</f>
      </c>
      <c r="G58" s="1">
        <f>IF(OR(G$52=0,F9="",G9=""),0,IFERROR(IF(AND(INDEX(Arten,MATCH(F9,Codes,0))="Arbeit",INDEX(Arten,MATCH(G9,Codes,0))="Arbeit"),IF(ROUND((1+INDEX(Beginne,MATCH(G9,Codes,0))-INDEX(EndeRel,MATCH(F9,Codes,0)))*1440,0)&lt;660,1,0),0),0))</f>
      </c>
      <c r="H58" s="1">
        <f>IF(OR(H$52=0,G9="",H9=""),0,IFERROR(IF(AND(INDEX(Arten,MATCH(G9,Codes,0))="Arbeit",INDEX(Arten,MATCH(H9,Codes,0))="Arbeit"),IF(ROUND((1+INDEX(Beginne,MATCH(H9,Codes,0))-INDEX(EndeRel,MATCH(G9,Codes,0)))*1440,0)&lt;660,1,0),0),0))</f>
      </c>
      <c r="I58" s="1">
        <f>IF(OR(I$52=0,H9="",I9=""),0,IFERROR(IF(AND(INDEX(Arten,MATCH(H9,Codes,0))="Arbeit",INDEX(Arten,MATCH(I9,Codes,0))="Arbeit"),IF(ROUND((1+INDEX(Beginne,MATCH(I9,Codes,0))-INDEX(EndeRel,MATCH(H9,Codes,0)))*1440,0)&lt;660,1,0),0),0))</f>
      </c>
      <c r="J58" s="1">
        <f>IF(OR(J$52=0,I9="",J9=""),0,IFERROR(IF(AND(INDEX(Arten,MATCH(I9,Codes,0))="Arbeit",INDEX(Arten,MATCH(J9,Codes,0))="Arbeit"),IF(ROUND((1+INDEX(Beginne,MATCH(J9,Codes,0))-INDEX(EndeRel,MATCH(I9,Codes,0)))*1440,0)&lt;660,1,0),0),0))</f>
      </c>
      <c r="K58" s="1">
        <f>IF(OR(K$52=0,J9="",K9=""),0,IFERROR(IF(AND(INDEX(Arten,MATCH(J9,Codes,0))="Arbeit",INDEX(Arten,MATCH(K9,Codes,0))="Arbeit"),IF(ROUND((1+INDEX(Beginne,MATCH(K9,Codes,0))-INDEX(EndeRel,MATCH(J9,Codes,0)))*1440,0)&lt;660,1,0),0),0))</f>
      </c>
      <c r="L58" s="1">
        <f>IF(OR(L$52=0,K9="",L9=""),0,IFERROR(IF(AND(INDEX(Arten,MATCH(K9,Codes,0))="Arbeit",INDEX(Arten,MATCH(L9,Codes,0))="Arbeit"),IF(ROUND((1+INDEX(Beginne,MATCH(L9,Codes,0))-INDEX(EndeRel,MATCH(K9,Codes,0)))*1440,0)&lt;660,1,0),0),0))</f>
      </c>
      <c r="M58" s="1">
        <f>IF(OR(M$52=0,L9="",M9=""),0,IFERROR(IF(AND(INDEX(Arten,MATCH(L9,Codes,0))="Arbeit",INDEX(Arten,MATCH(M9,Codes,0))="Arbeit"),IF(ROUND((1+INDEX(Beginne,MATCH(M9,Codes,0))-INDEX(EndeRel,MATCH(L9,Codes,0)))*1440,0)&lt;660,1,0),0),0))</f>
      </c>
      <c r="N58" s="1">
        <f>IF(OR(N$52=0,M9="",N9=""),0,IFERROR(IF(AND(INDEX(Arten,MATCH(M9,Codes,0))="Arbeit",INDEX(Arten,MATCH(N9,Codes,0))="Arbeit"),IF(ROUND((1+INDEX(Beginne,MATCH(N9,Codes,0))-INDEX(EndeRel,MATCH(M9,Codes,0)))*1440,0)&lt;660,1,0),0),0))</f>
      </c>
      <c r="O58" s="1">
        <f>IF(OR(O$52=0,N9="",O9=""),0,IFERROR(IF(AND(INDEX(Arten,MATCH(N9,Codes,0))="Arbeit",INDEX(Arten,MATCH(O9,Codes,0))="Arbeit"),IF(ROUND((1+INDEX(Beginne,MATCH(O9,Codes,0))-INDEX(EndeRel,MATCH(N9,Codes,0)))*1440,0)&lt;660,1,0),0),0))</f>
      </c>
      <c r="P58" s="1">
        <f>IF(OR(P$52=0,O9="",P9=""),0,IFERROR(IF(AND(INDEX(Arten,MATCH(O9,Codes,0))="Arbeit",INDEX(Arten,MATCH(P9,Codes,0))="Arbeit"),IF(ROUND((1+INDEX(Beginne,MATCH(P9,Codes,0))-INDEX(EndeRel,MATCH(O9,Codes,0)))*1440,0)&lt;660,1,0),0),0))</f>
      </c>
      <c r="Q58" s="1">
        <f>IF(OR(Q$52=0,P9="",Q9=""),0,IFERROR(IF(AND(INDEX(Arten,MATCH(P9,Codes,0))="Arbeit",INDEX(Arten,MATCH(Q9,Codes,0))="Arbeit"),IF(ROUND((1+INDEX(Beginne,MATCH(Q9,Codes,0))-INDEX(EndeRel,MATCH(P9,Codes,0)))*1440,0)&lt;660,1,0),0),0))</f>
      </c>
      <c r="R58" s="1">
        <f>IF(OR(R$52=0,Q9="",R9=""),0,IFERROR(IF(AND(INDEX(Arten,MATCH(Q9,Codes,0))="Arbeit",INDEX(Arten,MATCH(R9,Codes,0))="Arbeit"),IF(ROUND((1+INDEX(Beginne,MATCH(R9,Codes,0))-INDEX(EndeRel,MATCH(Q9,Codes,0)))*1440,0)&lt;660,1,0),0),0))</f>
      </c>
      <c r="S58" s="1">
        <f>IF(OR(S$52=0,R9="",S9=""),0,IFERROR(IF(AND(INDEX(Arten,MATCH(R9,Codes,0))="Arbeit",INDEX(Arten,MATCH(S9,Codes,0))="Arbeit"),IF(ROUND((1+INDEX(Beginne,MATCH(S9,Codes,0))-INDEX(EndeRel,MATCH(R9,Codes,0)))*1440,0)&lt;660,1,0),0),0))</f>
      </c>
      <c r="T58" s="1">
        <f>IF(OR(T$52=0,S9="",T9=""),0,IFERROR(IF(AND(INDEX(Arten,MATCH(S9,Codes,0))="Arbeit",INDEX(Arten,MATCH(T9,Codes,0))="Arbeit"),IF(ROUND((1+INDEX(Beginne,MATCH(T9,Codes,0))-INDEX(EndeRel,MATCH(S9,Codes,0)))*1440,0)&lt;660,1,0),0),0))</f>
      </c>
      <c r="U58" s="1">
        <f>IF(OR(U$52=0,T9="",U9=""),0,IFERROR(IF(AND(INDEX(Arten,MATCH(T9,Codes,0))="Arbeit",INDEX(Arten,MATCH(U9,Codes,0))="Arbeit"),IF(ROUND((1+INDEX(Beginne,MATCH(U9,Codes,0))-INDEX(EndeRel,MATCH(T9,Codes,0)))*1440,0)&lt;660,1,0),0),0))</f>
      </c>
      <c r="V58" s="1">
        <f>IF(OR(V$52=0,U9="",V9=""),0,IFERROR(IF(AND(INDEX(Arten,MATCH(U9,Codes,0))="Arbeit",INDEX(Arten,MATCH(V9,Codes,0))="Arbeit"),IF(ROUND((1+INDEX(Beginne,MATCH(V9,Codes,0))-INDEX(EndeRel,MATCH(U9,Codes,0)))*1440,0)&lt;660,1,0),0),0))</f>
      </c>
      <c r="W58" s="1">
        <f>IF(OR(W$52=0,V9="",W9=""),0,IFERROR(IF(AND(INDEX(Arten,MATCH(V9,Codes,0))="Arbeit",INDEX(Arten,MATCH(W9,Codes,0))="Arbeit"),IF(ROUND((1+INDEX(Beginne,MATCH(W9,Codes,0))-INDEX(EndeRel,MATCH(V9,Codes,0)))*1440,0)&lt;660,1,0),0),0))</f>
      </c>
      <c r="X58" s="1">
        <f>IF(OR(X$52=0,W9="",X9=""),0,IFERROR(IF(AND(INDEX(Arten,MATCH(W9,Codes,0))="Arbeit",INDEX(Arten,MATCH(X9,Codes,0))="Arbeit"),IF(ROUND((1+INDEX(Beginne,MATCH(X9,Codes,0))-INDEX(EndeRel,MATCH(W9,Codes,0)))*1440,0)&lt;660,1,0),0),0))</f>
      </c>
      <c r="Y58" s="1">
        <f>IF(OR(Y$52=0,X9="",Y9=""),0,IFERROR(IF(AND(INDEX(Arten,MATCH(X9,Codes,0))="Arbeit",INDEX(Arten,MATCH(Y9,Codes,0))="Arbeit"),IF(ROUND((1+INDEX(Beginne,MATCH(Y9,Codes,0))-INDEX(EndeRel,MATCH(X9,Codes,0)))*1440,0)&lt;660,1,0),0),0))</f>
      </c>
      <c r="Z58" s="1">
        <f>IF(OR(Z$52=0,Y9="",Z9=""),0,IFERROR(IF(AND(INDEX(Arten,MATCH(Y9,Codes,0))="Arbeit",INDEX(Arten,MATCH(Z9,Codes,0))="Arbeit"),IF(ROUND((1+INDEX(Beginne,MATCH(Z9,Codes,0))-INDEX(EndeRel,MATCH(Y9,Codes,0)))*1440,0)&lt;660,1,0),0),0))</f>
      </c>
      <c r="AA58" s="1">
        <f>IF(OR(AA$52=0,Z9="",AA9=""),0,IFERROR(IF(AND(INDEX(Arten,MATCH(Z9,Codes,0))="Arbeit",INDEX(Arten,MATCH(AA9,Codes,0))="Arbeit"),IF(ROUND((1+INDEX(Beginne,MATCH(AA9,Codes,0))-INDEX(EndeRel,MATCH(Z9,Codes,0)))*1440,0)&lt;660,1,0),0),0))</f>
      </c>
      <c r="AB58" s="1">
        <f>IF(OR(AB$52=0,AA9="",AB9=""),0,IFERROR(IF(AND(INDEX(Arten,MATCH(AA9,Codes,0))="Arbeit",INDEX(Arten,MATCH(AB9,Codes,0))="Arbeit"),IF(ROUND((1+INDEX(Beginne,MATCH(AB9,Codes,0))-INDEX(EndeRel,MATCH(AA9,Codes,0)))*1440,0)&lt;660,1,0),0),0))</f>
      </c>
      <c r="AC58" s="1">
        <f>IF(OR(AC$52=0,AB9="",AC9=""),0,IFERROR(IF(AND(INDEX(Arten,MATCH(AB9,Codes,0))="Arbeit",INDEX(Arten,MATCH(AC9,Codes,0))="Arbeit"),IF(ROUND((1+INDEX(Beginne,MATCH(AC9,Codes,0))-INDEX(EndeRel,MATCH(AB9,Codes,0)))*1440,0)&lt;660,1,0),0),0))</f>
      </c>
      <c r="AD58" s="1">
        <f>IF(OR(AD$52=0,AC9="",AD9=""),0,IFERROR(IF(AND(INDEX(Arten,MATCH(AC9,Codes,0))="Arbeit",INDEX(Arten,MATCH(AD9,Codes,0))="Arbeit"),IF(ROUND((1+INDEX(Beginne,MATCH(AD9,Codes,0))-INDEX(EndeRel,MATCH(AC9,Codes,0)))*1440,0)&lt;660,1,0),0),0))</f>
      </c>
      <c r="AE58" s="1">
        <f>IF(OR(AE$52=0,AD9="",AE9=""),0,IFERROR(IF(AND(INDEX(Arten,MATCH(AD9,Codes,0))="Arbeit",INDEX(Arten,MATCH(AE9,Codes,0))="Arbeit"),IF(ROUND((1+INDEX(Beginne,MATCH(AE9,Codes,0))-INDEX(EndeRel,MATCH(AD9,Codes,0)))*1440,0)&lt;660,1,0),0),0))</f>
      </c>
      <c r="AF58" s="1">
        <f>IF(OR(AF$52=0,AE9="",AF9=""),0,IFERROR(IF(AND(INDEX(Arten,MATCH(AE9,Codes,0))="Arbeit",INDEX(Arten,MATCH(AF9,Codes,0))="Arbeit"),IF(ROUND((1+INDEX(Beginne,MATCH(AF9,Codes,0))-INDEX(EndeRel,MATCH(AE9,Codes,0)))*1440,0)&lt;660,1,0),0),0))</f>
      </c>
    </row>
    <row r="59" hidden="1" spans="1:32" x14ac:dyDescent="0.25">
      <c r="A59" s="1"/>
      <c r="B59" s="1">
        <f>IF(OR(B$52=0,INDEX('August'!$B$10:$AF$10,DAY(DATE(Jahr,9,0)))="",B10=""),0,IFERROR(IF(AND(INDEX(Arten,MATCH(INDEX('August'!$B$10:$AF$10,DAY(DATE(Jahr,9,0))),Codes,0))="Arbeit",INDEX(Arten,MATCH(B10,Codes,0))="Arbeit"),IF(ROUND((1+INDEX(Beginne,MATCH(B10,Codes,0))-INDEX(EndeRel,MATCH(INDEX('August'!$B$10:$AF$10,DAY(DATE(Jahr,9,0))),Codes,0)))*1440,0)&lt;660,1,0),0),0))</f>
      </c>
      <c r="C59" s="1">
        <f>IF(OR(C$52=0,B10="",C10=""),0,IFERROR(IF(AND(INDEX(Arten,MATCH(B10,Codes,0))="Arbeit",INDEX(Arten,MATCH(C10,Codes,0))="Arbeit"),IF(ROUND((1+INDEX(Beginne,MATCH(C10,Codes,0))-INDEX(EndeRel,MATCH(B10,Codes,0)))*1440,0)&lt;660,1,0),0),0))</f>
      </c>
      <c r="D59" s="1">
        <f>IF(OR(D$52=0,C10="",D10=""),0,IFERROR(IF(AND(INDEX(Arten,MATCH(C10,Codes,0))="Arbeit",INDEX(Arten,MATCH(D10,Codes,0))="Arbeit"),IF(ROUND((1+INDEX(Beginne,MATCH(D10,Codes,0))-INDEX(EndeRel,MATCH(C10,Codes,0)))*1440,0)&lt;660,1,0),0),0))</f>
      </c>
      <c r="E59" s="1">
        <f>IF(OR(E$52=0,D10="",E10=""),0,IFERROR(IF(AND(INDEX(Arten,MATCH(D10,Codes,0))="Arbeit",INDEX(Arten,MATCH(E10,Codes,0))="Arbeit"),IF(ROUND((1+INDEX(Beginne,MATCH(E10,Codes,0))-INDEX(EndeRel,MATCH(D10,Codes,0)))*1440,0)&lt;660,1,0),0),0))</f>
      </c>
      <c r="F59" s="1">
        <f>IF(OR(F$52=0,E10="",F10=""),0,IFERROR(IF(AND(INDEX(Arten,MATCH(E10,Codes,0))="Arbeit",INDEX(Arten,MATCH(F10,Codes,0))="Arbeit"),IF(ROUND((1+INDEX(Beginne,MATCH(F10,Codes,0))-INDEX(EndeRel,MATCH(E10,Codes,0)))*1440,0)&lt;660,1,0),0),0))</f>
      </c>
      <c r="G59" s="1">
        <f>IF(OR(G$52=0,F10="",G10=""),0,IFERROR(IF(AND(INDEX(Arten,MATCH(F10,Codes,0))="Arbeit",INDEX(Arten,MATCH(G10,Codes,0))="Arbeit"),IF(ROUND((1+INDEX(Beginne,MATCH(G10,Codes,0))-INDEX(EndeRel,MATCH(F10,Codes,0)))*1440,0)&lt;660,1,0),0),0))</f>
      </c>
      <c r="H59" s="1">
        <f>IF(OR(H$52=0,G10="",H10=""),0,IFERROR(IF(AND(INDEX(Arten,MATCH(G10,Codes,0))="Arbeit",INDEX(Arten,MATCH(H10,Codes,0))="Arbeit"),IF(ROUND((1+INDEX(Beginne,MATCH(H10,Codes,0))-INDEX(EndeRel,MATCH(G10,Codes,0)))*1440,0)&lt;660,1,0),0),0))</f>
      </c>
      <c r="I59" s="1">
        <f>IF(OR(I$52=0,H10="",I10=""),0,IFERROR(IF(AND(INDEX(Arten,MATCH(H10,Codes,0))="Arbeit",INDEX(Arten,MATCH(I10,Codes,0))="Arbeit"),IF(ROUND((1+INDEX(Beginne,MATCH(I10,Codes,0))-INDEX(EndeRel,MATCH(H10,Codes,0)))*1440,0)&lt;660,1,0),0),0))</f>
      </c>
      <c r="J59" s="1">
        <f>IF(OR(J$52=0,I10="",J10=""),0,IFERROR(IF(AND(INDEX(Arten,MATCH(I10,Codes,0))="Arbeit",INDEX(Arten,MATCH(J10,Codes,0))="Arbeit"),IF(ROUND((1+INDEX(Beginne,MATCH(J10,Codes,0))-INDEX(EndeRel,MATCH(I10,Codes,0)))*1440,0)&lt;660,1,0),0),0))</f>
      </c>
      <c r="K59" s="1">
        <f>IF(OR(K$52=0,J10="",K10=""),0,IFERROR(IF(AND(INDEX(Arten,MATCH(J10,Codes,0))="Arbeit",INDEX(Arten,MATCH(K10,Codes,0))="Arbeit"),IF(ROUND((1+INDEX(Beginne,MATCH(K10,Codes,0))-INDEX(EndeRel,MATCH(J10,Codes,0)))*1440,0)&lt;660,1,0),0),0))</f>
      </c>
      <c r="L59" s="1">
        <f>IF(OR(L$52=0,K10="",L10=""),0,IFERROR(IF(AND(INDEX(Arten,MATCH(K10,Codes,0))="Arbeit",INDEX(Arten,MATCH(L10,Codes,0))="Arbeit"),IF(ROUND((1+INDEX(Beginne,MATCH(L10,Codes,0))-INDEX(EndeRel,MATCH(K10,Codes,0)))*1440,0)&lt;660,1,0),0),0))</f>
      </c>
      <c r="M59" s="1">
        <f>IF(OR(M$52=0,L10="",M10=""),0,IFERROR(IF(AND(INDEX(Arten,MATCH(L10,Codes,0))="Arbeit",INDEX(Arten,MATCH(M10,Codes,0))="Arbeit"),IF(ROUND((1+INDEX(Beginne,MATCH(M10,Codes,0))-INDEX(EndeRel,MATCH(L10,Codes,0)))*1440,0)&lt;660,1,0),0),0))</f>
      </c>
      <c r="N59" s="1">
        <f>IF(OR(N$52=0,M10="",N10=""),0,IFERROR(IF(AND(INDEX(Arten,MATCH(M10,Codes,0))="Arbeit",INDEX(Arten,MATCH(N10,Codes,0))="Arbeit"),IF(ROUND((1+INDEX(Beginne,MATCH(N10,Codes,0))-INDEX(EndeRel,MATCH(M10,Codes,0)))*1440,0)&lt;660,1,0),0),0))</f>
      </c>
      <c r="O59" s="1">
        <f>IF(OR(O$52=0,N10="",O10=""),0,IFERROR(IF(AND(INDEX(Arten,MATCH(N10,Codes,0))="Arbeit",INDEX(Arten,MATCH(O10,Codes,0))="Arbeit"),IF(ROUND((1+INDEX(Beginne,MATCH(O10,Codes,0))-INDEX(EndeRel,MATCH(N10,Codes,0)))*1440,0)&lt;660,1,0),0),0))</f>
      </c>
      <c r="P59" s="1">
        <f>IF(OR(P$52=0,O10="",P10=""),0,IFERROR(IF(AND(INDEX(Arten,MATCH(O10,Codes,0))="Arbeit",INDEX(Arten,MATCH(P10,Codes,0))="Arbeit"),IF(ROUND((1+INDEX(Beginne,MATCH(P10,Codes,0))-INDEX(EndeRel,MATCH(O10,Codes,0)))*1440,0)&lt;660,1,0),0),0))</f>
      </c>
      <c r="Q59" s="1">
        <f>IF(OR(Q$52=0,P10="",Q10=""),0,IFERROR(IF(AND(INDEX(Arten,MATCH(P10,Codes,0))="Arbeit",INDEX(Arten,MATCH(Q10,Codes,0))="Arbeit"),IF(ROUND((1+INDEX(Beginne,MATCH(Q10,Codes,0))-INDEX(EndeRel,MATCH(P10,Codes,0)))*1440,0)&lt;660,1,0),0),0))</f>
      </c>
      <c r="R59" s="1">
        <f>IF(OR(R$52=0,Q10="",R10=""),0,IFERROR(IF(AND(INDEX(Arten,MATCH(Q10,Codes,0))="Arbeit",INDEX(Arten,MATCH(R10,Codes,0))="Arbeit"),IF(ROUND((1+INDEX(Beginne,MATCH(R10,Codes,0))-INDEX(EndeRel,MATCH(Q10,Codes,0)))*1440,0)&lt;660,1,0),0),0))</f>
      </c>
      <c r="S59" s="1">
        <f>IF(OR(S$52=0,R10="",S10=""),0,IFERROR(IF(AND(INDEX(Arten,MATCH(R10,Codes,0))="Arbeit",INDEX(Arten,MATCH(S10,Codes,0))="Arbeit"),IF(ROUND((1+INDEX(Beginne,MATCH(S10,Codes,0))-INDEX(EndeRel,MATCH(R10,Codes,0)))*1440,0)&lt;660,1,0),0),0))</f>
      </c>
      <c r="T59" s="1">
        <f>IF(OR(T$52=0,S10="",T10=""),0,IFERROR(IF(AND(INDEX(Arten,MATCH(S10,Codes,0))="Arbeit",INDEX(Arten,MATCH(T10,Codes,0))="Arbeit"),IF(ROUND((1+INDEX(Beginne,MATCH(T10,Codes,0))-INDEX(EndeRel,MATCH(S10,Codes,0)))*1440,0)&lt;660,1,0),0),0))</f>
      </c>
      <c r="U59" s="1">
        <f>IF(OR(U$52=0,T10="",U10=""),0,IFERROR(IF(AND(INDEX(Arten,MATCH(T10,Codes,0))="Arbeit",INDEX(Arten,MATCH(U10,Codes,0))="Arbeit"),IF(ROUND((1+INDEX(Beginne,MATCH(U10,Codes,0))-INDEX(EndeRel,MATCH(T10,Codes,0)))*1440,0)&lt;660,1,0),0),0))</f>
      </c>
      <c r="V59" s="1">
        <f>IF(OR(V$52=0,U10="",V10=""),0,IFERROR(IF(AND(INDEX(Arten,MATCH(U10,Codes,0))="Arbeit",INDEX(Arten,MATCH(V10,Codes,0))="Arbeit"),IF(ROUND((1+INDEX(Beginne,MATCH(V10,Codes,0))-INDEX(EndeRel,MATCH(U10,Codes,0)))*1440,0)&lt;660,1,0),0),0))</f>
      </c>
      <c r="W59" s="1">
        <f>IF(OR(W$52=0,V10="",W10=""),0,IFERROR(IF(AND(INDEX(Arten,MATCH(V10,Codes,0))="Arbeit",INDEX(Arten,MATCH(W10,Codes,0))="Arbeit"),IF(ROUND((1+INDEX(Beginne,MATCH(W10,Codes,0))-INDEX(EndeRel,MATCH(V10,Codes,0)))*1440,0)&lt;660,1,0),0),0))</f>
      </c>
      <c r="X59" s="1">
        <f>IF(OR(X$52=0,W10="",X10=""),0,IFERROR(IF(AND(INDEX(Arten,MATCH(W10,Codes,0))="Arbeit",INDEX(Arten,MATCH(X10,Codes,0))="Arbeit"),IF(ROUND((1+INDEX(Beginne,MATCH(X10,Codes,0))-INDEX(EndeRel,MATCH(W10,Codes,0)))*1440,0)&lt;660,1,0),0),0))</f>
      </c>
      <c r="Y59" s="1">
        <f>IF(OR(Y$52=0,X10="",Y10=""),0,IFERROR(IF(AND(INDEX(Arten,MATCH(X10,Codes,0))="Arbeit",INDEX(Arten,MATCH(Y10,Codes,0))="Arbeit"),IF(ROUND((1+INDEX(Beginne,MATCH(Y10,Codes,0))-INDEX(EndeRel,MATCH(X10,Codes,0)))*1440,0)&lt;660,1,0),0),0))</f>
      </c>
      <c r="Z59" s="1">
        <f>IF(OR(Z$52=0,Y10="",Z10=""),0,IFERROR(IF(AND(INDEX(Arten,MATCH(Y10,Codes,0))="Arbeit",INDEX(Arten,MATCH(Z10,Codes,0))="Arbeit"),IF(ROUND((1+INDEX(Beginne,MATCH(Z10,Codes,0))-INDEX(EndeRel,MATCH(Y10,Codes,0)))*1440,0)&lt;660,1,0),0),0))</f>
      </c>
      <c r="AA59" s="1">
        <f>IF(OR(AA$52=0,Z10="",AA10=""),0,IFERROR(IF(AND(INDEX(Arten,MATCH(Z10,Codes,0))="Arbeit",INDEX(Arten,MATCH(AA10,Codes,0))="Arbeit"),IF(ROUND((1+INDEX(Beginne,MATCH(AA10,Codes,0))-INDEX(EndeRel,MATCH(Z10,Codes,0)))*1440,0)&lt;660,1,0),0),0))</f>
      </c>
      <c r="AB59" s="1">
        <f>IF(OR(AB$52=0,AA10="",AB10=""),0,IFERROR(IF(AND(INDEX(Arten,MATCH(AA10,Codes,0))="Arbeit",INDEX(Arten,MATCH(AB10,Codes,0))="Arbeit"),IF(ROUND((1+INDEX(Beginne,MATCH(AB10,Codes,0))-INDEX(EndeRel,MATCH(AA10,Codes,0)))*1440,0)&lt;660,1,0),0),0))</f>
      </c>
      <c r="AC59" s="1">
        <f>IF(OR(AC$52=0,AB10="",AC10=""),0,IFERROR(IF(AND(INDEX(Arten,MATCH(AB10,Codes,0))="Arbeit",INDEX(Arten,MATCH(AC10,Codes,0))="Arbeit"),IF(ROUND((1+INDEX(Beginne,MATCH(AC10,Codes,0))-INDEX(EndeRel,MATCH(AB10,Codes,0)))*1440,0)&lt;660,1,0),0),0))</f>
      </c>
      <c r="AD59" s="1">
        <f>IF(OR(AD$52=0,AC10="",AD10=""),0,IFERROR(IF(AND(INDEX(Arten,MATCH(AC10,Codes,0))="Arbeit",INDEX(Arten,MATCH(AD10,Codes,0))="Arbeit"),IF(ROUND((1+INDEX(Beginne,MATCH(AD10,Codes,0))-INDEX(EndeRel,MATCH(AC10,Codes,0)))*1440,0)&lt;660,1,0),0),0))</f>
      </c>
      <c r="AE59" s="1">
        <f>IF(OR(AE$52=0,AD10="",AE10=""),0,IFERROR(IF(AND(INDEX(Arten,MATCH(AD10,Codes,0))="Arbeit",INDEX(Arten,MATCH(AE10,Codes,0))="Arbeit"),IF(ROUND((1+INDEX(Beginne,MATCH(AE10,Codes,0))-INDEX(EndeRel,MATCH(AD10,Codes,0)))*1440,0)&lt;660,1,0),0),0))</f>
      </c>
      <c r="AF59" s="1">
        <f>IF(OR(AF$52=0,AE10="",AF10=""),0,IFERROR(IF(AND(INDEX(Arten,MATCH(AE10,Codes,0))="Arbeit",INDEX(Arten,MATCH(AF10,Codes,0))="Arbeit"),IF(ROUND((1+INDEX(Beginne,MATCH(AF10,Codes,0))-INDEX(EndeRel,MATCH(AE10,Codes,0)))*1440,0)&lt;660,1,0),0),0))</f>
      </c>
    </row>
    <row r="60" hidden="1" spans="1:32" x14ac:dyDescent="0.25">
      <c r="A60" s="1"/>
      <c r="B60" s="1">
        <f>IF(OR(B$52=0,INDEX('August'!$B$11:$AF$11,DAY(DATE(Jahr,9,0)))="",B11=""),0,IFERROR(IF(AND(INDEX(Arten,MATCH(INDEX('August'!$B$11:$AF$11,DAY(DATE(Jahr,9,0))),Codes,0))="Arbeit",INDEX(Arten,MATCH(B11,Codes,0))="Arbeit"),IF(ROUND((1+INDEX(Beginne,MATCH(B11,Codes,0))-INDEX(EndeRel,MATCH(INDEX('August'!$B$11:$AF$11,DAY(DATE(Jahr,9,0))),Codes,0)))*1440,0)&lt;660,1,0),0),0))</f>
      </c>
      <c r="C60" s="1">
        <f>IF(OR(C$52=0,B11="",C11=""),0,IFERROR(IF(AND(INDEX(Arten,MATCH(B11,Codes,0))="Arbeit",INDEX(Arten,MATCH(C11,Codes,0))="Arbeit"),IF(ROUND((1+INDEX(Beginne,MATCH(C11,Codes,0))-INDEX(EndeRel,MATCH(B11,Codes,0)))*1440,0)&lt;660,1,0),0),0))</f>
      </c>
      <c r="D60" s="1">
        <f>IF(OR(D$52=0,C11="",D11=""),0,IFERROR(IF(AND(INDEX(Arten,MATCH(C11,Codes,0))="Arbeit",INDEX(Arten,MATCH(D11,Codes,0))="Arbeit"),IF(ROUND((1+INDEX(Beginne,MATCH(D11,Codes,0))-INDEX(EndeRel,MATCH(C11,Codes,0)))*1440,0)&lt;660,1,0),0),0))</f>
      </c>
      <c r="E60" s="1">
        <f>IF(OR(E$52=0,D11="",E11=""),0,IFERROR(IF(AND(INDEX(Arten,MATCH(D11,Codes,0))="Arbeit",INDEX(Arten,MATCH(E11,Codes,0))="Arbeit"),IF(ROUND((1+INDEX(Beginne,MATCH(E11,Codes,0))-INDEX(EndeRel,MATCH(D11,Codes,0)))*1440,0)&lt;660,1,0),0),0))</f>
      </c>
      <c r="F60" s="1">
        <f>IF(OR(F$52=0,E11="",F11=""),0,IFERROR(IF(AND(INDEX(Arten,MATCH(E11,Codes,0))="Arbeit",INDEX(Arten,MATCH(F11,Codes,0))="Arbeit"),IF(ROUND((1+INDEX(Beginne,MATCH(F11,Codes,0))-INDEX(EndeRel,MATCH(E11,Codes,0)))*1440,0)&lt;660,1,0),0),0))</f>
      </c>
      <c r="G60" s="1">
        <f>IF(OR(G$52=0,F11="",G11=""),0,IFERROR(IF(AND(INDEX(Arten,MATCH(F11,Codes,0))="Arbeit",INDEX(Arten,MATCH(G11,Codes,0))="Arbeit"),IF(ROUND((1+INDEX(Beginne,MATCH(G11,Codes,0))-INDEX(EndeRel,MATCH(F11,Codes,0)))*1440,0)&lt;660,1,0),0),0))</f>
      </c>
      <c r="H60" s="1">
        <f>IF(OR(H$52=0,G11="",H11=""),0,IFERROR(IF(AND(INDEX(Arten,MATCH(G11,Codes,0))="Arbeit",INDEX(Arten,MATCH(H11,Codes,0))="Arbeit"),IF(ROUND((1+INDEX(Beginne,MATCH(H11,Codes,0))-INDEX(EndeRel,MATCH(G11,Codes,0)))*1440,0)&lt;660,1,0),0),0))</f>
      </c>
      <c r="I60" s="1">
        <f>IF(OR(I$52=0,H11="",I11=""),0,IFERROR(IF(AND(INDEX(Arten,MATCH(H11,Codes,0))="Arbeit",INDEX(Arten,MATCH(I11,Codes,0))="Arbeit"),IF(ROUND((1+INDEX(Beginne,MATCH(I11,Codes,0))-INDEX(EndeRel,MATCH(H11,Codes,0)))*1440,0)&lt;660,1,0),0),0))</f>
      </c>
      <c r="J60" s="1">
        <f>IF(OR(J$52=0,I11="",J11=""),0,IFERROR(IF(AND(INDEX(Arten,MATCH(I11,Codes,0))="Arbeit",INDEX(Arten,MATCH(J11,Codes,0))="Arbeit"),IF(ROUND((1+INDEX(Beginne,MATCH(J11,Codes,0))-INDEX(EndeRel,MATCH(I11,Codes,0)))*1440,0)&lt;660,1,0),0),0))</f>
      </c>
      <c r="K60" s="1">
        <f>IF(OR(K$52=0,J11="",K11=""),0,IFERROR(IF(AND(INDEX(Arten,MATCH(J11,Codes,0))="Arbeit",INDEX(Arten,MATCH(K11,Codes,0))="Arbeit"),IF(ROUND((1+INDEX(Beginne,MATCH(K11,Codes,0))-INDEX(EndeRel,MATCH(J11,Codes,0)))*1440,0)&lt;660,1,0),0),0))</f>
      </c>
      <c r="L60" s="1">
        <f>IF(OR(L$52=0,K11="",L11=""),0,IFERROR(IF(AND(INDEX(Arten,MATCH(K11,Codes,0))="Arbeit",INDEX(Arten,MATCH(L11,Codes,0))="Arbeit"),IF(ROUND((1+INDEX(Beginne,MATCH(L11,Codes,0))-INDEX(EndeRel,MATCH(K11,Codes,0)))*1440,0)&lt;660,1,0),0),0))</f>
      </c>
      <c r="M60" s="1">
        <f>IF(OR(M$52=0,L11="",M11=""),0,IFERROR(IF(AND(INDEX(Arten,MATCH(L11,Codes,0))="Arbeit",INDEX(Arten,MATCH(M11,Codes,0))="Arbeit"),IF(ROUND((1+INDEX(Beginne,MATCH(M11,Codes,0))-INDEX(EndeRel,MATCH(L11,Codes,0)))*1440,0)&lt;660,1,0),0),0))</f>
      </c>
      <c r="N60" s="1">
        <f>IF(OR(N$52=0,M11="",N11=""),0,IFERROR(IF(AND(INDEX(Arten,MATCH(M11,Codes,0))="Arbeit",INDEX(Arten,MATCH(N11,Codes,0))="Arbeit"),IF(ROUND((1+INDEX(Beginne,MATCH(N11,Codes,0))-INDEX(EndeRel,MATCH(M11,Codes,0)))*1440,0)&lt;660,1,0),0),0))</f>
      </c>
      <c r="O60" s="1">
        <f>IF(OR(O$52=0,N11="",O11=""),0,IFERROR(IF(AND(INDEX(Arten,MATCH(N11,Codes,0))="Arbeit",INDEX(Arten,MATCH(O11,Codes,0))="Arbeit"),IF(ROUND((1+INDEX(Beginne,MATCH(O11,Codes,0))-INDEX(EndeRel,MATCH(N11,Codes,0)))*1440,0)&lt;660,1,0),0),0))</f>
      </c>
      <c r="P60" s="1">
        <f>IF(OR(P$52=0,O11="",P11=""),0,IFERROR(IF(AND(INDEX(Arten,MATCH(O11,Codes,0))="Arbeit",INDEX(Arten,MATCH(P11,Codes,0))="Arbeit"),IF(ROUND((1+INDEX(Beginne,MATCH(P11,Codes,0))-INDEX(EndeRel,MATCH(O11,Codes,0)))*1440,0)&lt;660,1,0),0),0))</f>
      </c>
      <c r="Q60" s="1">
        <f>IF(OR(Q$52=0,P11="",Q11=""),0,IFERROR(IF(AND(INDEX(Arten,MATCH(P11,Codes,0))="Arbeit",INDEX(Arten,MATCH(Q11,Codes,0))="Arbeit"),IF(ROUND((1+INDEX(Beginne,MATCH(Q11,Codes,0))-INDEX(EndeRel,MATCH(P11,Codes,0)))*1440,0)&lt;660,1,0),0),0))</f>
      </c>
      <c r="R60" s="1">
        <f>IF(OR(R$52=0,Q11="",R11=""),0,IFERROR(IF(AND(INDEX(Arten,MATCH(Q11,Codes,0))="Arbeit",INDEX(Arten,MATCH(R11,Codes,0))="Arbeit"),IF(ROUND((1+INDEX(Beginne,MATCH(R11,Codes,0))-INDEX(EndeRel,MATCH(Q11,Codes,0)))*1440,0)&lt;660,1,0),0),0))</f>
      </c>
      <c r="S60" s="1">
        <f>IF(OR(S$52=0,R11="",S11=""),0,IFERROR(IF(AND(INDEX(Arten,MATCH(R11,Codes,0))="Arbeit",INDEX(Arten,MATCH(S11,Codes,0))="Arbeit"),IF(ROUND((1+INDEX(Beginne,MATCH(S11,Codes,0))-INDEX(EndeRel,MATCH(R11,Codes,0)))*1440,0)&lt;660,1,0),0),0))</f>
      </c>
      <c r="T60" s="1">
        <f>IF(OR(T$52=0,S11="",T11=""),0,IFERROR(IF(AND(INDEX(Arten,MATCH(S11,Codes,0))="Arbeit",INDEX(Arten,MATCH(T11,Codes,0))="Arbeit"),IF(ROUND((1+INDEX(Beginne,MATCH(T11,Codes,0))-INDEX(EndeRel,MATCH(S11,Codes,0)))*1440,0)&lt;660,1,0),0),0))</f>
      </c>
      <c r="U60" s="1">
        <f>IF(OR(U$52=0,T11="",U11=""),0,IFERROR(IF(AND(INDEX(Arten,MATCH(T11,Codes,0))="Arbeit",INDEX(Arten,MATCH(U11,Codes,0))="Arbeit"),IF(ROUND((1+INDEX(Beginne,MATCH(U11,Codes,0))-INDEX(EndeRel,MATCH(T11,Codes,0)))*1440,0)&lt;660,1,0),0),0))</f>
      </c>
      <c r="V60" s="1">
        <f>IF(OR(V$52=0,U11="",V11=""),0,IFERROR(IF(AND(INDEX(Arten,MATCH(U11,Codes,0))="Arbeit",INDEX(Arten,MATCH(V11,Codes,0))="Arbeit"),IF(ROUND((1+INDEX(Beginne,MATCH(V11,Codes,0))-INDEX(EndeRel,MATCH(U11,Codes,0)))*1440,0)&lt;660,1,0),0),0))</f>
      </c>
      <c r="W60" s="1">
        <f>IF(OR(W$52=0,V11="",W11=""),0,IFERROR(IF(AND(INDEX(Arten,MATCH(V11,Codes,0))="Arbeit",INDEX(Arten,MATCH(W11,Codes,0))="Arbeit"),IF(ROUND((1+INDEX(Beginne,MATCH(W11,Codes,0))-INDEX(EndeRel,MATCH(V11,Codes,0)))*1440,0)&lt;660,1,0),0),0))</f>
      </c>
      <c r="X60" s="1">
        <f>IF(OR(X$52=0,W11="",X11=""),0,IFERROR(IF(AND(INDEX(Arten,MATCH(W11,Codes,0))="Arbeit",INDEX(Arten,MATCH(X11,Codes,0))="Arbeit"),IF(ROUND((1+INDEX(Beginne,MATCH(X11,Codes,0))-INDEX(EndeRel,MATCH(W11,Codes,0)))*1440,0)&lt;660,1,0),0),0))</f>
      </c>
      <c r="Y60" s="1">
        <f>IF(OR(Y$52=0,X11="",Y11=""),0,IFERROR(IF(AND(INDEX(Arten,MATCH(X11,Codes,0))="Arbeit",INDEX(Arten,MATCH(Y11,Codes,0))="Arbeit"),IF(ROUND((1+INDEX(Beginne,MATCH(Y11,Codes,0))-INDEX(EndeRel,MATCH(X11,Codes,0)))*1440,0)&lt;660,1,0),0),0))</f>
      </c>
      <c r="Z60" s="1">
        <f>IF(OR(Z$52=0,Y11="",Z11=""),0,IFERROR(IF(AND(INDEX(Arten,MATCH(Y11,Codes,0))="Arbeit",INDEX(Arten,MATCH(Z11,Codes,0))="Arbeit"),IF(ROUND((1+INDEX(Beginne,MATCH(Z11,Codes,0))-INDEX(EndeRel,MATCH(Y11,Codes,0)))*1440,0)&lt;660,1,0),0),0))</f>
      </c>
      <c r="AA60" s="1">
        <f>IF(OR(AA$52=0,Z11="",AA11=""),0,IFERROR(IF(AND(INDEX(Arten,MATCH(Z11,Codes,0))="Arbeit",INDEX(Arten,MATCH(AA11,Codes,0))="Arbeit"),IF(ROUND((1+INDEX(Beginne,MATCH(AA11,Codes,0))-INDEX(EndeRel,MATCH(Z11,Codes,0)))*1440,0)&lt;660,1,0),0),0))</f>
      </c>
      <c r="AB60" s="1">
        <f>IF(OR(AB$52=0,AA11="",AB11=""),0,IFERROR(IF(AND(INDEX(Arten,MATCH(AA11,Codes,0))="Arbeit",INDEX(Arten,MATCH(AB11,Codes,0))="Arbeit"),IF(ROUND((1+INDEX(Beginne,MATCH(AB11,Codes,0))-INDEX(EndeRel,MATCH(AA11,Codes,0)))*1440,0)&lt;660,1,0),0),0))</f>
      </c>
      <c r="AC60" s="1">
        <f>IF(OR(AC$52=0,AB11="",AC11=""),0,IFERROR(IF(AND(INDEX(Arten,MATCH(AB11,Codes,0))="Arbeit",INDEX(Arten,MATCH(AC11,Codes,0))="Arbeit"),IF(ROUND((1+INDEX(Beginne,MATCH(AC11,Codes,0))-INDEX(EndeRel,MATCH(AB11,Codes,0)))*1440,0)&lt;660,1,0),0),0))</f>
      </c>
      <c r="AD60" s="1">
        <f>IF(OR(AD$52=0,AC11="",AD11=""),0,IFERROR(IF(AND(INDEX(Arten,MATCH(AC11,Codes,0))="Arbeit",INDEX(Arten,MATCH(AD11,Codes,0))="Arbeit"),IF(ROUND((1+INDEX(Beginne,MATCH(AD11,Codes,0))-INDEX(EndeRel,MATCH(AC11,Codes,0)))*1440,0)&lt;660,1,0),0),0))</f>
      </c>
      <c r="AE60" s="1">
        <f>IF(OR(AE$52=0,AD11="",AE11=""),0,IFERROR(IF(AND(INDEX(Arten,MATCH(AD11,Codes,0))="Arbeit",INDEX(Arten,MATCH(AE11,Codes,0))="Arbeit"),IF(ROUND((1+INDEX(Beginne,MATCH(AE11,Codes,0))-INDEX(EndeRel,MATCH(AD11,Codes,0)))*1440,0)&lt;660,1,0),0),0))</f>
      </c>
      <c r="AF60" s="1">
        <f>IF(OR(AF$52=0,AE11="",AF11=""),0,IFERROR(IF(AND(INDEX(Arten,MATCH(AE11,Codes,0))="Arbeit",INDEX(Arten,MATCH(AF11,Codes,0))="Arbeit"),IF(ROUND((1+INDEX(Beginne,MATCH(AF11,Codes,0))-INDEX(EndeRel,MATCH(AE11,Codes,0)))*1440,0)&lt;660,1,0),0),0))</f>
      </c>
    </row>
    <row r="61" hidden="1" spans="1:32" x14ac:dyDescent="0.25">
      <c r="A61" s="1"/>
      <c r="B61" s="1">
        <f>IF(OR(B$52=0,INDEX('August'!$B$12:$AF$12,DAY(DATE(Jahr,9,0)))="",B12=""),0,IFERROR(IF(AND(INDEX(Arten,MATCH(INDEX('August'!$B$12:$AF$12,DAY(DATE(Jahr,9,0))),Codes,0))="Arbeit",INDEX(Arten,MATCH(B12,Codes,0))="Arbeit"),IF(ROUND((1+INDEX(Beginne,MATCH(B12,Codes,0))-INDEX(EndeRel,MATCH(INDEX('August'!$B$12:$AF$12,DAY(DATE(Jahr,9,0))),Codes,0)))*1440,0)&lt;660,1,0),0),0))</f>
      </c>
      <c r="C61" s="1">
        <f>IF(OR(C$52=0,B12="",C12=""),0,IFERROR(IF(AND(INDEX(Arten,MATCH(B12,Codes,0))="Arbeit",INDEX(Arten,MATCH(C12,Codes,0))="Arbeit"),IF(ROUND((1+INDEX(Beginne,MATCH(C12,Codes,0))-INDEX(EndeRel,MATCH(B12,Codes,0)))*1440,0)&lt;660,1,0),0),0))</f>
      </c>
      <c r="D61" s="1">
        <f>IF(OR(D$52=0,C12="",D12=""),0,IFERROR(IF(AND(INDEX(Arten,MATCH(C12,Codes,0))="Arbeit",INDEX(Arten,MATCH(D12,Codes,0))="Arbeit"),IF(ROUND((1+INDEX(Beginne,MATCH(D12,Codes,0))-INDEX(EndeRel,MATCH(C12,Codes,0)))*1440,0)&lt;660,1,0),0),0))</f>
      </c>
      <c r="E61" s="1">
        <f>IF(OR(E$52=0,D12="",E12=""),0,IFERROR(IF(AND(INDEX(Arten,MATCH(D12,Codes,0))="Arbeit",INDEX(Arten,MATCH(E12,Codes,0))="Arbeit"),IF(ROUND((1+INDEX(Beginne,MATCH(E12,Codes,0))-INDEX(EndeRel,MATCH(D12,Codes,0)))*1440,0)&lt;660,1,0),0),0))</f>
      </c>
      <c r="F61" s="1">
        <f>IF(OR(F$52=0,E12="",F12=""),0,IFERROR(IF(AND(INDEX(Arten,MATCH(E12,Codes,0))="Arbeit",INDEX(Arten,MATCH(F12,Codes,0))="Arbeit"),IF(ROUND((1+INDEX(Beginne,MATCH(F12,Codes,0))-INDEX(EndeRel,MATCH(E12,Codes,0)))*1440,0)&lt;660,1,0),0),0))</f>
      </c>
      <c r="G61" s="1">
        <f>IF(OR(G$52=0,F12="",G12=""),0,IFERROR(IF(AND(INDEX(Arten,MATCH(F12,Codes,0))="Arbeit",INDEX(Arten,MATCH(G12,Codes,0))="Arbeit"),IF(ROUND((1+INDEX(Beginne,MATCH(G12,Codes,0))-INDEX(EndeRel,MATCH(F12,Codes,0)))*1440,0)&lt;660,1,0),0),0))</f>
      </c>
      <c r="H61" s="1">
        <f>IF(OR(H$52=0,G12="",H12=""),0,IFERROR(IF(AND(INDEX(Arten,MATCH(G12,Codes,0))="Arbeit",INDEX(Arten,MATCH(H12,Codes,0))="Arbeit"),IF(ROUND((1+INDEX(Beginne,MATCH(H12,Codes,0))-INDEX(EndeRel,MATCH(G12,Codes,0)))*1440,0)&lt;660,1,0),0),0))</f>
      </c>
      <c r="I61" s="1">
        <f>IF(OR(I$52=0,H12="",I12=""),0,IFERROR(IF(AND(INDEX(Arten,MATCH(H12,Codes,0))="Arbeit",INDEX(Arten,MATCH(I12,Codes,0))="Arbeit"),IF(ROUND((1+INDEX(Beginne,MATCH(I12,Codes,0))-INDEX(EndeRel,MATCH(H12,Codes,0)))*1440,0)&lt;660,1,0),0),0))</f>
      </c>
      <c r="J61" s="1">
        <f>IF(OR(J$52=0,I12="",J12=""),0,IFERROR(IF(AND(INDEX(Arten,MATCH(I12,Codes,0))="Arbeit",INDEX(Arten,MATCH(J12,Codes,0))="Arbeit"),IF(ROUND((1+INDEX(Beginne,MATCH(J12,Codes,0))-INDEX(EndeRel,MATCH(I12,Codes,0)))*1440,0)&lt;660,1,0),0),0))</f>
      </c>
      <c r="K61" s="1">
        <f>IF(OR(K$52=0,J12="",K12=""),0,IFERROR(IF(AND(INDEX(Arten,MATCH(J12,Codes,0))="Arbeit",INDEX(Arten,MATCH(K12,Codes,0))="Arbeit"),IF(ROUND((1+INDEX(Beginne,MATCH(K12,Codes,0))-INDEX(EndeRel,MATCH(J12,Codes,0)))*1440,0)&lt;660,1,0),0),0))</f>
      </c>
      <c r="L61" s="1">
        <f>IF(OR(L$52=0,K12="",L12=""),0,IFERROR(IF(AND(INDEX(Arten,MATCH(K12,Codes,0))="Arbeit",INDEX(Arten,MATCH(L12,Codes,0))="Arbeit"),IF(ROUND((1+INDEX(Beginne,MATCH(L12,Codes,0))-INDEX(EndeRel,MATCH(K12,Codes,0)))*1440,0)&lt;660,1,0),0),0))</f>
      </c>
      <c r="M61" s="1">
        <f>IF(OR(M$52=0,L12="",M12=""),0,IFERROR(IF(AND(INDEX(Arten,MATCH(L12,Codes,0))="Arbeit",INDEX(Arten,MATCH(M12,Codes,0))="Arbeit"),IF(ROUND((1+INDEX(Beginne,MATCH(M12,Codes,0))-INDEX(EndeRel,MATCH(L12,Codes,0)))*1440,0)&lt;660,1,0),0),0))</f>
      </c>
      <c r="N61" s="1">
        <f>IF(OR(N$52=0,M12="",N12=""),0,IFERROR(IF(AND(INDEX(Arten,MATCH(M12,Codes,0))="Arbeit",INDEX(Arten,MATCH(N12,Codes,0))="Arbeit"),IF(ROUND((1+INDEX(Beginne,MATCH(N12,Codes,0))-INDEX(EndeRel,MATCH(M12,Codes,0)))*1440,0)&lt;660,1,0),0),0))</f>
      </c>
      <c r="O61" s="1">
        <f>IF(OR(O$52=0,N12="",O12=""),0,IFERROR(IF(AND(INDEX(Arten,MATCH(N12,Codes,0))="Arbeit",INDEX(Arten,MATCH(O12,Codes,0))="Arbeit"),IF(ROUND((1+INDEX(Beginne,MATCH(O12,Codes,0))-INDEX(EndeRel,MATCH(N12,Codes,0)))*1440,0)&lt;660,1,0),0),0))</f>
      </c>
      <c r="P61" s="1">
        <f>IF(OR(P$52=0,O12="",P12=""),0,IFERROR(IF(AND(INDEX(Arten,MATCH(O12,Codes,0))="Arbeit",INDEX(Arten,MATCH(P12,Codes,0))="Arbeit"),IF(ROUND((1+INDEX(Beginne,MATCH(P12,Codes,0))-INDEX(EndeRel,MATCH(O12,Codes,0)))*1440,0)&lt;660,1,0),0),0))</f>
      </c>
      <c r="Q61" s="1">
        <f>IF(OR(Q$52=0,P12="",Q12=""),0,IFERROR(IF(AND(INDEX(Arten,MATCH(P12,Codes,0))="Arbeit",INDEX(Arten,MATCH(Q12,Codes,0))="Arbeit"),IF(ROUND((1+INDEX(Beginne,MATCH(Q12,Codes,0))-INDEX(EndeRel,MATCH(P12,Codes,0)))*1440,0)&lt;660,1,0),0),0))</f>
      </c>
      <c r="R61" s="1">
        <f>IF(OR(R$52=0,Q12="",R12=""),0,IFERROR(IF(AND(INDEX(Arten,MATCH(Q12,Codes,0))="Arbeit",INDEX(Arten,MATCH(R12,Codes,0))="Arbeit"),IF(ROUND((1+INDEX(Beginne,MATCH(R12,Codes,0))-INDEX(EndeRel,MATCH(Q12,Codes,0)))*1440,0)&lt;660,1,0),0),0))</f>
      </c>
      <c r="S61" s="1">
        <f>IF(OR(S$52=0,R12="",S12=""),0,IFERROR(IF(AND(INDEX(Arten,MATCH(R12,Codes,0))="Arbeit",INDEX(Arten,MATCH(S12,Codes,0))="Arbeit"),IF(ROUND((1+INDEX(Beginne,MATCH(S12,Codes,0))-INDEX(EndeRel,MATCH(R12,Codes,0)))*1440,0)&lt;660,1,0),0),0))</f>
      </c>
      <c r="T61" s="1">
        <f>IF(OR(T$52=0,S12="",T12=""),0,IFERROR(IF(AND(INDEX(Arten,MATCH(S12,Codes,0))="Arbeit",INDEX(Arten,MATCH(T12,Codes,0))="Arbeit"),IF(ROUND((1+INDEX(Beginne,MATCH(T12,Codes,0))-INDEX(EndeRel,MATCH(S12,Codes,0)))*1440,0)&lt;660,1,0),0),0))</f>
      </c>
      <c r="U61" s="1">
        <f>IF(OR(U$52=0,T12="",U12=""),0,IFERROR(IF(AND(INDEX(Arten,MATCH(T12,Codes,0))="Arbeit",INDEX(Arten,MATCH(U12,Codes,0))="Arbeit"),IF(ROUND((1+INDEX(Beginne,MATCH(U12,Codes,0))-INDEX(EndeRel,MATCH(T12,Codes,0)))*1440,0)&lt;660,1,0),0),0))</f>
      </c>
      <c r="V61" s="1">
        <f>IF(OR(V$52=0,U12="",V12=""),0,IFERROR(IF(AND(INDEX(Arten,MATCH(U12,Codes,0))="Arbeit",INDEX(Arten,MATCH(V12,Codes,0))="Arbeit"),IF(ROUND((1+INDEX(Beginne,MATCH(V12,Codes,0))-INDEX(EndeRel,MATCH(U12,Codes,0)))*1440,0)&lt;660,1,0),0),0))</f>
      </c>
      <c r="W61" s="1">
        <f>IF(OR(W$52=0,V12="",W12=""),0,IFERROR(IF(AND(INDEX(Arten,MATCH(V12,Codes,0))="Arbeit",INDEX(Arten,MATCH(W12,Codes,0))="Arbeit"),IF(ROUND((1+INDEX(Beginne,MATCH(W12,Codes,0))-INDEX(EndeRel,MATCH(V12,Codes,0)))*1440,0)&lt;660,1,0),0),0))</f>
      </c>
      <c r="X61" s="1">
        <f>IF(OR(X$52=0,W12="",X12=""),0,IFERROR(IF(AND(INDEX(Arten,MATCH(W12,Codes,0))="Arbeit",INDEX(Arten,MATCH(X12,Codes,0))="Arbeit"),IF(ROUND((1+INDEX(Beginne,MATCH(X12,Codes,0))-INDEX(EndeRel,MATCH(W12,Codes,0)))*1440,0)&lt;660,1,0),0),0))</f>
      </c>
      <c r="Y61" s="1">
        <f>IF(OR(Y$52=0,X12="",Y12=""),0,IFERROR(IF(AND(INDEX(Arten,MATCH(X12,Codes,0))="Arbeit",INDEX(Arten,MATCH(Y12,Codes,0))="Arbeit"),IF(ROUND((1+INDEX(Beginne,MATCH(Y12,Codes,0))-INDEX(EndeRel,MATCH(X12,Codes,0)))*1440,0)&lt;660,1,0),0),0))</f>
      </c>
      <c r="Z61" s="1">
        <f>IF(OR(Z$52=0,Y12="",Z12=""),0,IFERROR(IF(AND(INDEX(Arten,MATCH(Y12,Codes,0))="Arbeit",INDEX(Arten,MATCH(Z12,Codes,0))="Arbeit"),IF(ROUND((1+INDEX(Beginne,MATCH(Z12,Codes,0))-INDEX(EndeRel,MATCH(Y12,Codes,0)))*1440,0)&lt;660,1,0),0),0))</f>
      </c>
      <c r="AA61" s="1">
        <f>IF(OR(AA$52=0,Z12="",AA12=""),0,IFERROR(IF(AND(INDEX(Arten,MATCH(Z12,Codes,0))="Arbeit",INDEX(Arten,MATCH(AA12,Codes,0))="Arbeit"),IF(ROUND((1+INDEX(Beginne,MATCH(AA12,Codes,0))-INDEX(EndeRel,MATCH(Z12,Codes,0)))*1440,0)&lt;660,1,0),0),0))</f>
      </c>
      <c r="AB61" s="1">
        <f>IF(OR(AB$52=0,AA12="",AB12=""),0,IFERROR(IF(AND(INDEX(Arten,MATCH(AA12,Codes,0))="Arbeit",INDEX(Arten,MATCH(AB12,Codes,0))="Arbeit"),IF(ROUND((1+INDEX(Beginne,MATCH(AB12,Codes,0))-INDEX(EndeRel,MATCH(AA12,Codes,0)))*1440,0)&lt;660,1,0),0),0))</f>
      </c>
      <c r="AC61" s="1">
        <f>IF(OR(AC$52=0,AB12="",AC12=""),0,IFERROR(IF(AND(INDEX(Arten,MATCH(AB12,Codes,0))="Arbeit",INDEX(Arten,MATCH(AC12,Codes,0))="Arbeit"),IF(ROUND((1+INDEX(Beginne,MATCH(AC12,Codes,0))-INDEX(EndeRel,MATCH(AB12,Codes,0)))*1440,0)&lt;660,1,0),0),0))</f>
      </c>
      <c r="AD61" s="1">
        <f>IF(OR(AD$52=0,AC12="",AD12=""),0,IFERROR(IF(AND(INDEX(Arten,MATCH(AC12,Codes,0))="Arbeit",INDEX(Arten,MATCH(AD12,Codes,0))="Arbeit"),IF(ROUND((1+INDEX(Beginne,MATCH(AD12,Codes,0))-INDEX(EndeRel,MATCH(AC12,Codes,0)))*1440,0)&lt;660,1,0),0),0))</f>
      </c>
      <c r="AE61" s="1">
        <f>IF(OR(AE$52=0,AD12="",AE12=""),0,IFERROR(IF(AND(INDEX(Arten,MATCH(AD12,Codes,0))="Arbeit",INDEX(Arten,MATCH(AE12,Codes,0))="Arbeit"),IF(ROUND((1+INDEX(Beginne,MATCH(AE12,Codes,0))-INDEX(EndeRel,MATCH(AD12,Codes,0)))*1440,0)&lt;660,1,0),0),0))</f>
      </c>
      <c r="AF61" s="1">
        <f>IF(OR(AF$52=0,AE12="",AF12=""),0,IFERROR(IF(AND(INDEX(Arten,MATCH(AE12,Codes,0))="Arbeit",INDEX(Arten,MATCH(AF12,Codes,0))="Arbeit"),IF(ROUND((1+INDEX(Beginne,MATCH(AF12,Codes,0))-INDEX(EndeRel,MATCH(AE12,Codes,0)))*1440,0)&lt;660,1,0),0),0))</f>
      </c>
    </row>
    <row r="62" hidden="1" spans="1:32" x14ac:dyDescent="0.25">
      <c r="A62" s="1"/>
      <c r="B62" s="1">
        <f>IF(OR(B$52=0,INDEX('August'!$B$13:$AF$13,DAY(DATE(Jahr,9,0)))="",B13=""),0,IFERROR(IF(AND(INDEX(Arten,MATCH(INDEX('August'!$B$13:$AF$13,DAY(DATE(Jahr,9,0))),Codes,0))="Arbeit",INDEX(Arten,MATCH(B13,Codes,0))="Arbeit"),IF(ROUND((1+INDEX(Beginne,MATCH(B13,Codes,0))-INDEX(EndeRel,MATCH(INDEX('August'!$B$13:$AF$13,DAY(DATE(Jahr,9,0))),Codes,0)))*1440,0)&lt;660,1,0),0),0))</f>
      </c>
      <c r="C62" s="1">
        <f>IF(OR(C$52=0,B13="",C13=""),0,IFERROR(IF(AND(INDEX(Arten,MATCH(B13,Codes,0))="Arbeit",INDEX(Arten,MATCH(C13,Codes,0))="Arbeit"),IF(ROUND((1+INDEX(Beginne,MATCH(C13,Codes,0))-INDEX(EndeRel,MATCH(B13,Codes,0)))*1440,0)&lt;660,1,0),0),0))</f>
      </c>
      <c r="D62" s="1">
        <f>IF(OR(D$52=0,C13="",D13=""),0,IFERROR(IF(AND(INDEX(Arten,MATCH(C13,Codes,0))="Arbeit",INDEX(Arten,MATCH(D13,Codes,0))="Arbeit"),IF(ROUND((1+INDEX(Beginne,MATCH(D13,Codes,0))-INDEX(EndeRel,MATCH(C13,Codes,0)))*1440,0)&lt;660,1,0),0),0))</f>
      </c>
      <c r="E62" s="1">
        <f>IF(OR(E$52=0,D13="",E13=""),0,IFERROR(IF(AND(INDEX(Arten,MATCH(D13,Codes,0))="Arbeit",INDEX(Arten,MATCH(E13,Codes,0))="Arbeit"),IF(ROUND((1+INDEX(Beginne,MATCH(E13,Codes,0))-INDEX(EndeRel,MATCH(D13,Codes,0)))*1440,0)&lt;660,1,0),0),0))</f>
      </c>
      <c r="F62" s="1">
        <f>IF(OR(F$52=0,E13="",F13=""),0,IFERROR(IF(AND(INDEX(Arten,MATCH(E13,Codes,0))="Arbeit",INDEX(Arten,MATCH(F13,Codes,0))="Arbeit"),IF(ROUND((1+INDEX(Beginne,MATCH(F13,Codes,0))-INDEX(EndeRel,MATCH(E13,Codes,0)))*1440,0)&lt;660,1,0),0),0))</f>
      </c>
      <c r="G62" s="1">
        <f>IF(OR(G$52=0,F13="",G13=""),0,IFERROR(IF(AND(INDEX(Arten,MATCH(F13,Codes,0))="Arbeit",INDEX(Arten,MATCH(G13,Codes,0))="Arbeit"),IF(ROUND((1+INDEX(Beginne,MATCH(G13,Codes,0))-INDEX(EndeRel,MATCH(F13,Codes,0)))*1440,0)&lt;660,1,0),0),0))</f>
      </c>
      <c r="H62" s="1">
        <f>IF(OR(H$52=0,G13="",H13=""),0,IFERROR(IF(AND(INDEX(Arten,MATCH(G13,Codes,0))="Arbeit",INDEX(Arten,MATCH(H13,Codes,0))="Arbeit"),IF(ROUND((1+INDEX(Beginne,MATCH(H13,Codes,0))-INDEX(EndeRel,MATCH(G13,Codes,0)))*1440,0)&lt;660,1,0),0),0))</f>
      </c>
      <c r="I62" s="1">
        <f>IF(OR(I$52=0,H13="",I13=""),0,IFERROR(IF(AND(INDEX(Arten,MATCH(H13,Codes,0))="Arbeit",INDEX(Arten,MATCH(I13,Codes,0))="Arbeit"),IF(ROUND((1+INDEX(Beginne,MATCH(I13,Codes,0))-INDEX(EndeRel,MATCH(H13,Codes,0)))*1440,0)&lt;660,1,0),0),0))</f>
      </c>
      <c r="J62" s="1">
        <f>IF(OR(J$52=0,I13="",J13=""),0,IFERROR(IF(AND(INDEX(Arten,MATCH(I13,Codes,0))="Arbeit",INDEX(Arten,MATCH(J13,Codes,0))="Arbeit"),IF(ROUND((1+INDEX(Beginne,MATCH(J13,Codes,0))-INDEX(EndeRel,MATCH(I13,Codes,0)))*1440,0)&lt;660,1,0),0),0))</f>
      </c>
      <c r="K62" s="1">
        <f>IF(OR(K$52=0,J13="",K13=""),0,IFERROR(IF(AND(INDEX(Arten,MATCH(J13,Codes,0))="Arbeit",INDEX(Arten,MATCH(K13,Codes,0))="Arbeit"),IF(ROUND((1+INDEX(Beginne,MATCH(K13,Codes,0))-INDEX(EndeRel,MATCH(J13,Codes,0)))*1440,0)&lt;660,1,0),0),0))</f>
      </c>
      <c r="L62" s="1">
        <f>IF(OR(L$52=0,K13="",L13=""),0,IFERROR(IF(AND(INDEX(Arten,MATCH(K13,Codes,0))="Arbeit",INDEX(Arten,MATCH(L13,Codes,0))="Arbeit"),IF(ROUND((1+INDEX(Beginne,MATCH(L13,Codes,0))-INDEX(EndeRel,MATCH(K13,Codes,0)))*1440,0)&lt;660,1,0),0),0))</f>
      </c>
      <c r="M62" s="1">
        <f>IF(OR(M$52=0,L13="",M13=""),0,IFERROR(IF(AND(INDEX(Arten,MATCH(L13,Codes,0))="Arbeit",INDEX(Arten,MATCH(M13,Codes,0))="Arbeit"),IF(ROUND((1+INDEX(Beginne,MATCH(M13,Codes,0))-INDEX(EndeRel,MATCH(L13,Codes,0)))*1440,0)&lt;660,1,0),0),0))</f>
      </c>
      <c r="N62" s="1">
        <f>IF(OR(N$52=0,M13="",N13=""),0,IFERROR(IF(AND(INDEX(Arten,MATCH(M13,Codes,0))="Arbeit",INDEX(Arten,MATCH(N13,Codes,0))="Arbeit"),IF(ROUND((1+INDEX(Beginne,MATCH(N13,Codes,0))-INDEX(EndeRel,MATCH(M13,Codes,0)))*1440,0)&lt;660,1,0),0),0))</f>
      </c>
      <c r="O62" s="1">
        <f>IF(OR(O$52=0,N13="",O13=""),0,IFERROR(IF(AND(INDEX(Arten,MATCH(N13,Codes,0))="Arbeit",INDEX(Arten,MATCH(O13,Codes,0))="Arbeit"),IF(ROUND((1+INDEX(Beginne,MATCH(O13,Codes,0))-INDEX(EndeRel,MATCH(N13,Codes,0)))*1440,0)&lt;660,1,0),0),0))</f>
      </c>
      <c r="P62" s="1">
        <f>IF(OR(P$52=0,O13="",P13=""),0,IFERROR(IF(AND(INDEX(Arten,MATCH(O13,Codes,0))="Arbeit",INDEX(Arten,MATCH(P13,Codes,0))="Arbeit"),IF(ROUND((1+INDEX(Beginne,MATCH(P13,Codes,0))-INDEX(EndeRel,MATCH(O13,Codes,0)))*1440,0)&lt;660,1,0),0),0))</f>
      </c>
      <c r="Q62" s="1">
        <f>IF(OR(Q$52=0,P13="",Q13=""),0,IFERROR(IF(AND(INDEX(Arten,MATCH(P13,Codes,0))="Arbeit",INDEX(Arten,MATCH(Q13,Codes,0))="Arbeit"),IF(ROUND((1+INDEX(Beginne,MATCH(Q13,Codes,0))-INDEX(EndeRel,MATCH(P13,Codes,0)))*1440,0)&lt;660,1,0),0),0))</f>
      </c>
      <c r="R62" s="1">
        <f>IF(OR(R$52=0,Q13="",R13=""),0,IFERROR(IF(AND(INDEX(Arten,MATCH(Q13,Codes,0))="Arbeit",INDEX(Arten,MATCH(R13,Codes,0))="Arbeit"),IF(ROUND((1+INDEX(Beginne,MATCH(R13,Codes,0))-INDEX(EndeRel,MATCH(Q13,Codes,0)))*1440,0)&lt;660,1,0),0),0))</f>
      </c>
      <c r="S62" s="1">
        <f>IF(OR(S$52=0,R13="",S13=""),0,IFERROR(IF(AND(INDEX(Arten,MATCH(R13,Codes,0))="Arbeit",INDEX(Arten,MATCH(S13,Codes,0))="Arbeit"),IF(ROUND((1+INDEX(Beginne,MATCH(S13,Codes,0))-INDEX(EndeRel,MATCH(R13,Codes,0)))*1440,0)&lt;660,1,0),0),0))</f>
      </c>
      <c r="T62" s="1">
        <f>IF(OR(T$52=0,S13="",T13=""),0,IFERROR(IF(AND(INDEX(Arten,MATCH(S13,Codes,0))="Arbeit",INDEX(Arten,MATCH(T13,Codes,0))="Arbeit"),IF(ROUND((1+INDEX(Beginne,MATCH(T13,Codes,0))-INDEX(EndeRel,MATCH(S13,Codes,0)))*1440,0)&lt;660,1,0),0),0))</f>
      </c>
      <c r="U62" s="1">
        <f>IF(OR(U$52=0,T13="",U13=""),0,IFERROR(IF(AND(INDEX(Arten,MATCH(T13,Codes,0))="Arbeit",INDEX(Arten,MATCH(U13,Codes,0))="Arbeit"),IF(ROUND((1+INDEX(Beginne,MATCH(U13,Codes,0))-INDEX(EndeRel,MATCH(T13,Codes,0)))*1440,0)&lt;660,1,0),0),0))</f>
      </c>
      <c r="V62" s="1">
        <f>IF(OR(V$52=0,U13="",V13=""),0,IFERROR(IF(AND(INDEX(Arten,MATCH(U13,Codes,0))="Arbeit",INDEX(Arten,MATCH(V13,Codes,0))="Arbeit"),IF(ROUND((1+INDEX(Beginne,MATCH(V13,Codes,0))-INDEX(EndeRel,MATCH(U13,Codes,0)))*1440,0)&lt;660,1,0),0),0))</f>
      </c>
      <c r="W62" s="1">
        <f>IF(OR(W$52=0,V13="",W13=""),0,IFERROR(IF(AND(INDEX(Arten,MATCH(V13,Codes,0))="Arbeit",INDEX(Arten,MATCH(W13,Codes,0))="Arbeit"),IF(ROUND((1+INDEX(Beginne,MATCH(W13,Codes,0))-INDEX(EndeRel,MATCH(V13,Codes,0)))*1440,0)&lt;660,1,0),0),0))</f>
      </c>
      <c r="X62" s="1">
        <f>IF(OR(X$52=0,W13="",X13=""),0,IFERROR(IF(AND(INDEX(Arten,MATCH(W13,Codes,0))="Arbeit",INDEX(Arten,MATCH(X13,Codes,0))="Arbeit"),IF(ROUND((1+INDEX(Beginne,MATCH(X13,Codes,0))-INDEX(EndeRel,MATCH(W13,Codes,0)))*1440,0)&lt;660,1,0),0),0))</f>
      </c>
      <c r="Y62" s="1">
        <f>IF(OR(Y$52=0,X13="",Y13=""),0,IFERROR(IF(AND(INDEX(Arten,MATCH(X13,Codes,0))="Arbeit",INDEX(Arten,MATCH(Y13,Codes,0))="Arbeit"),IF(ROUND((1+INDEX(Beginne,MATCH(Y13,Codes,0))-INDEX(EndeRel,MATCH(X13,Codes,0)))*1440,0)&lt;660,1,0),0),0))</f>
      </c>
      <c r="Z62" s="1">
        <f>IF(OR(Z$52=0,Y13="",Z13=""),0,IFERROR(IF(AND(INDEX(Arten,MATCH(Y13,Codes,0))="Arbeit",INDEX(Arten,MATCH(Z13,Codes,0))="Arbeit"),IF(ROUND((1+INDEX(Beginne,MATCH(Z13,Codes,0))-INDEX(EndeRel,MATCH(Y13,Codes,0)))*1440,0)&lt;660,1,0),0),0))</f>
      </c>
      <c r="AA62" s="1">
        <f>IF(OR(AA$52=0,Z13="",AA13=""),0,IFERROR(IF(AND(INDEX(Arten,MATCH(Z13,Codes,0))="Arbeit",INDEX(Arten,MATCH(AA13,Codes,0))="Arbeit"),IF(ROUND((1+INDEX(Beginne,MATCH(AA13,Codes,0))-INDEX(EndeRel,MATCH(Z13,Codes,0)))*1440,0)&lt;660,1,0),0),0))</f>
      </c>
      <c r="AB62" s="1">
        <f>IF(OR(AB$52=0,AA13="",AB13=""),0,IFERROR(IF(AND(INDEX(Arten,MATCH(AA13,Codes,0))="Arbeit",INDEX(Arten,MATCH(AB13,Codes,0))="Arbeit"),IF(ROUND((1+INDEX(Beginne,MATCH(AB13,Codes,0))-INDEX(EndeRel,MATCH(AA13,Codes,0)))*1440,0)&lt;660,1,0),0),0))</f>
      </c>
      <c r="AC62" s="1">
        <f>IF(OR(AC$52=0,AB13="",AC13=""),0,IFERROR(IF(AND(INDEX(Arten,MATCH(AB13,Codes,0))="Arbeit",INDEX(Arten,MATCH(AC13,Codes,0))="Arbeit"),IF(ROUND((1+INDEX(Beginne,MATCH(AC13,Codes,0))-INDEX(EndeRel,MATCH(AB13,Codes,0)))*1440,0)&lt;660,1,0),0),0))</f>
      </c>
      <c r="AD62" s="1">
        <f>IF(OR(AD$52=0,AC13="",AD13=""),0,IFERROR(IF(AND(INDEX(Arten,MATCH(AC13,Codes,0))="Arbeit",INDEX(Arten,MATCH(AD13,Codes,0))="Arbeit"),IF(ROUND((1+INDEX(Beginne,MATCH(AD13,Codes,0))-INDEX(EndeRel,MATCH(AC13,Codes,0)))*1440,0)&lt;660,1,0),0),0))</f>
      </c>
      <c r="AE62" s="1">
        <f>IF(OR(AE$52=0,AD13="",AE13=""),0,IFERROR(IF(AND(INDEX(Arten,MATCH(AD13,Codes,0))="Arbeit",INDEX(Arten,MATCH(AE13,Codes,0))="Arbeit"),IF(ROUND((1+INDEX(Beginne,MATCH(AE13,Codes,0))-INDEX(EndeRel,MATCH(AD13,Codes,0)))*1440,0)&lt;660,1,0),0),0))</f>
      </c>
      <c r="AF62" s="1">
        <f>IF(OR(AF$52=0,AE13="",AF13=""),0,IFERROR(IF(AND(INDEX(Arten,MATCH(AE13,Codes,0))="Arbeit",INDEX(Arten,MATCH(AF13,Codes,0))="Arbeit"),IF(ROUND((1+INDEX(Beginne,MATCH(AF13,Codes,0))-INDEX(EndeRel,MATCH(AE13,Codes,0)))*1440,0)&lt;660,1,0),0),0))</f>
      </c>
    </row>
    <row r="63" hidden="1" spans="1:32" x14ac:dyDescent="0.25">
      <c r="A63" s="1"/>
      <c r="B63" s="1">
        <f>IF(OR(B$52=0,INDEX('August'!$B$14:$AF$14,DAY(DATE(Jahr,9,0)))="",B14=""),0,IFERROR(IF(AND(INDEX(Arten,MATCH(INDEX('August'!$B$14:$AF$14,DAY(DATE(Jahr,9,0))),Codes,0))="Arbeit",INDEX(Arten,MATCH(B14,Codes,0))="Arbeit"),IF(ROUND((1+INDEX(Beginne,MATCH(B14,Codes,0))-INDEX(EndeRel,MATCH(INDEX('August'!$B$14:$AF$14,DAY(DATE(Jahr,9,0))),Codes,0)))*1440,0)&lt;660,1,0),0),0))</f>
      </c>
      <c r="C63" s="1">
        <f>IF(OR(C$52=0,B14="",C14=""),0,IFERROR(IF(AND(INDEX(Arten,MATCH(B14,Codes,0))="Arbeit",INDEX(Arten,MATCH(C14,Codes,0))="Arbeit"),IF(ROUND((1+INDEX(Beginne,MATCH(C14,Codes,0))-INDEX(EndeRel,MATCH(B14,Codes,0)))*1440,0)&lt;660,1,0),0),0))</f>
      </c>
      <c r="D63" s="1">
        <f>IF(OR(D$52=0,C14="",D14=""),0,IFERROR(IF(AND(INDEX(Arten,MATCH(C14,Codes,0))="Arbeit",INDEX(Arten,MATCH(D14,Codes,0))="Arbeit"),IF(ROUND((1+INDEX(Beginne,MATCH(D14,Codes,0))-INDEX(EndeRel,MATCH(C14,Codes,0)))*1440,0)&lt;660,1,0),0),0))</f>
      </c>
      <c r="E63" s="1">
        <f>IF(OR(E$52=0,D14="",E14=""),0,IFERROR(IF(AND(INDEX(Arten,MATCH(D14,Codes,0))="Arbeit",INDEX(Arten,MATCH(E14,Codes,0))="Arbeit"),IF(ROUND((1+INDEX(Beginne,MATCH(E14,Codes,0))-INDEX(EndeRel,MATCH(D14,Codes,0)))*1440,0)&lt;660,1,0),0),0))</f>
      </c>
      <c r="F63" s="1">
        <f>IF(OR(F$52=0,E14="",F14=""),0,IFERROR(IF(AND(INDEX(Arten,MATCH(E14,Codes,0))="Arbeit",INDEX(Arten,MATCH(F14,Codes,0))="Arbeit"),IF(ROUND((1+INDEX(Beginne,MATCH(F14,Codes,0))-INDEX(EndeRel,MATCH(E14,Codes,0)))*1440,0)&lt;660,1,0),0),0))</f>
      </c>
      <c r="G63" s="1">
        <f>IF(OR(G$52=0,F14="",G14=""),0,IFERROR(IF(AND(INDEX(Arten,MATCH(F14,Codes,0))="Arbeit",INDEX(Arten,MATCH(G14,Codes,0))="Arbeit"),IF(ROUND((1+INDEX(Beginne,MATCH(G14,Codes,0))-INDEX(EndeRel,MATCH(F14,Codes,0)))*1440,0)&lt;660,1,0),0),0))</f>
      </c>
      <c r="H63" s="1">
        <f>IF(OR(H$52=0,G14="",H14=""),0,IFERROR(IF(AND(INDEX(Arten,MATCH(G14,Codes,0))="Arbeit",INDEX(Arten,MATCH(H14,Codes,0))="Arbeit"),IF(ROUND((1+INDEX(Beginne,MATCH(H14,Codes,0))-INDEX(EndeRel,MATCH(G14,Codes,0)))*1440,0)&lt;660,1,0),0),0))</f>
      </c>
      <c r="I63" s="1">
        <f>IF(OR(I$52=0,H14="",I14=""),0,IFERROR(IF(AND(INDEX(Arten,MATCH(H14,Codes,0))="Arbeit",INDEX(Arten,MATCH(I14,Codes,0))="Arbeit"),IF(ROUND((1+INDEX(Beginne,MATCH(I14,Codes,0))-INDEX(EndeRel,MATCH(H14,Codes,0)))*1440,0)&lt;660,1,0),0),0))</f>
      </c>
      <c r="J63" s="1">
        <f>IF(OR(J$52=0,I14="",J14=""),0,IFERROR(IF(AND(INDEX(Arten,MATCH(I14,Codes,0))="Arbeit",INDEX(Arten,MATCH(J14,Codes,0))="Arbeit"),IF(ROUND((1+INDEX(Beginne,MATCH(J14,Codes,0))-INDEX(EndeRel,MATCH(I14,Codes,0)))*1440,0)&lt;660,1,0),0),0))</f>
      </c>
      <c r="K63" s="1">
        <f>IF(OR(K$52=0,J14="",K14=""),0,IFERROR(IF(AND(INDEX(Arten,MATCH(J14,Codes,0))="Arbeit",INDEX(Arten,MATCH(K14,Codes,0))="Arbeit"),IF(ROUND((1+INDEX(Beginne,MATCH(K14,Codes,0))-INDEX(EndeRel,MATCH(J14,Codes,0)))*1440,0)&lt;660,1,0),0),0))</f>
      </c>
      <c r="L63" s="1">
        <f>IF(OR(L$52=0,K14="",L14=""),0,IFERROR(IF(AND(INDEX(Arten,MATCH(K14,Codes,0))="Arbeit",INDEX(Arten,MATCH(L14,Codes,0))="Arbeit"),IF(ROUND((1+INDEX(Beginne,MATCH(L14,Codes,0))-INDEX(EndeRel,MATCH(K14,Codes,0)))*1440,0)&lt;660,1,0),0),0))</f>
      </c>
      <c r="M63" s="1">
        <f>IF(OR(M$52=0,L14="",M14=""),0,IFERROR(IF(AND(INDEX(Arten,MATCH(L14,Codes,0))="Arbeit",INDEX(Arten,MATCH(M14,Codes,0))="Arbeit"),IF(ROUND((1+INDEX(Beginne,MATCH(M14,Codes,0))-INDEX(EndeRel,MATCH(L14,Codes,0)))*1440,0)&lt;660,1,0),0),0))</f>
      </c>
      <c r="N63" s="1">
        <f>IF(OR(N$52=0,M14="",N14=""),0,IFERROR(IF(AND(INDEX(Arten,MATCH(M14,Codes,0))="Arbeit",INDEX(Arten,MATCH(N14,Codes,0))="Arbeit"),IF(ROUND((1+INDEX(Beginne,MATCH(N14,Codes,0))-INDEX(EndeRel,MATCH(M14,Codes,0)))*1440,0)&lt;660,1,0),0),0))</f>
      </c>
      <c r="O63" s="1">
        <f>IF(OR(O$52=0,N14="",O14=""),0,IFERROR(IF(AND(INDEX(Arten,MATCH(N14,Codes,0))="Arbeit",INDEX(Arten,MATCH(O14,Codes,0))="Arbeit"),IF(ROUND((1+INDEX(Beginne,MATCH(O14,Codes,0))-INDEX(EndeRel,MATCH(N14,Codes,0)))*1440,0)&lt;660,1,0),0),0))</f>
      </c>
      <c r="P63" s="1">
        <f>IF(OR(P$52=0,O14="",P14=""),0,IFERROR(IF(AND(INDEX(Arten,MATCH(O14,Codes,0))="Arbeit",INDEX(Arten,MATCH(P14,Codes,0))="Arbeit"),IF(ROUND((1+INDEX(Beginne,MATCH(P14,Codes,0))-INDEX(EndeRel,MATCH(O14,Codes,0)))*1440,0)&lt;660,1,0),0),0))</f>
      </c>
      <c r="Q63" s="1">
        <f>IF(OR(Q$52=0,P14="",Q14=""),0,IFERROR(IF(AND(INDEX(Arten,MATCH(P14,Codes,0))="Arbeit",INDEX(Arten,MATCH(Q14,Codes,0))="Arbeit"),IF(ROUND((1+INDEX(Beginne,MATCH(Q14,Codes,0))-INDEX(EndeRel,MATCH(P14,Codes,0)))*1440,0)&lt;660,1,0),0),0))</f>
      </c>
      <c r="R63" s="1">
        <f>IF(OR(R$52=0,Q14="",R14=""),0,IFERROR(IF(AND(INDEX(Arten,MATCH(Q14,Codes,0))="Arbeit",INDEX(Arten,MATCH(R14,Codes,0))="Arbeit"),IF(ROUND((1+INDEX(Beginne,MATCH(R14,Codes,0))-INDEX(EndeRel,MATCH(Q14,Codes,0)))*1440,0)&lt;660,1,0),0),0))</f>
      </c>
      <c r="S63" s="1">
        <f>IF(OR(S$52=0,R14="",S14=""),0,IFERROR(IF(AND(INDEX(Arten,MATCH(R14,Codes,0))="Arbeit",INDEX(Arten,MATCH(S14,Codes,0))="Arbeit"),IF(ROUND((1+INDEX(Beginne,MATCH(S14,Codes,0))-INDEX(EndeRel,MATCH(R14,Codes,0)))*1440,0)&lt;660,1,0),0),0))</f>
      </c>
      <c r="T63" s="1">
        <f>IF(OR(T$52=0,S14="",T14=""),0,IFERROR(IF(AND(INDEX(Arten,MATCH(S14,Codes,0))="Arbeit",INDEX(Arten,MATCH(T14,Codes,0))="Arbeit"),IF(ROUND((1+INDEX(Beginne,MATCH(T14,Codes,0))-INDEX(EndeRel,MATCH(S14,Codes,0)))*1440,0)&lt;660,1,0),0),0))</f>
      </c>
      <c r="U63" s="1">
        <f>IF(OR(U$52=0,T14="",U14=""),0,IFERROR(IF(AND(INDEX(Arten,MATCH(T14,Codes,0))="Arbeit",INDEX(Arten,MATCH(U14,Codes,0))="Arbeit"),IF(ROUND((1+INDEX(Beginne,MATCH(U14,Codes,0))-INDEX(EndeRel,MATCH(T14,Codes,0)))*1440,0)&lt;660,1,0),0),0))</f>
      </c>
      <c r="V63" s="1">
        <f>IF(OR(V$52=0,U14="",V14=""),0,IFERROR(IF(AND(INDEX(Arten,MATCH(U14,Codes,0))="Arbeit",INDEX(Arten,MATCH(V14,Codes,0))="Arbeit"),IF(ROUND((1+INDEX(Beginne,MATCH(V14,Codes,0))-INDEX(EndeRel,MATCH(U14,Codes,0)))*1440,0)&lt;660,1,0),0),0))</f>
      </c>
      <c r="W63" s="1">
        <f>IF(OR(W$52=0,V14="",W14=""),0,IFERROR(IF(AND(INDEX(Arten,MATCH(V14,Codes,0))="Arbeit",INDEX(Arten,MATCH(W14,Codes,0))="Arbeit"),IF(ROUND((1+INDEX(Beginne,MATCH(W14,Codes,0))-INDEX(EndeRel,MATCH(V14,Codes,0)))*1440,0)&lt;660,1,0),0),0))</f>
      </c>
      <c r="X63" s="1">
        <f>IF(OR(X$52=0,W14="",X14=""),0,IFERROR(IF(AND(INDEX(Arten,MATCH(W14,Codes,0))="Arbeit",INDEX(Arten,MATCH(X14,Codes,0))="Arbeit"),IF(ROUND((1+INDEX(Beginne,MATCH(X14,Codes,0))-INDEX(EndeRel,MATCH(W14,Codes,0)))*1440,0)&lt;660,1,0),0),0))</f>
      </c>
      <c r="Y63" s="1">
        <f>IF(OR(Y$52=0,X14="",Y14=""),0,IFERROR(IF(AND(INDEX(Arten,MATCH(X14,Codes,0))="Arbeit",INDEX(Arten,MATCH(Y14,Codes,0))="Arbeit"),IF(ROUND((1+INDEX(Beginne,MATCH(Y14,Codes,0))-INDEX(EndeRel,MATCH(X14,Codes,0)))*1440,0)&lt;660,1,0),0),0))</f>
      </c>
      <c r="Z63" s="1">
        <f>IF(OR(Z$52=0,Y14="",Z14=""),0,IFERROR(IF(AND(INDEX(Arten,MATCH(Y14,Codes,0))="Arbeit",INDEX(Arten,MATCH(Z14,Codes,0))="Arbeit"),IF(ROUND((1+INDEX(Beginne,MATCH(Z14,Codes,0))-INDEX(EndeRel,MATCH(Y14,Codes,0)))*1440,0)&lt;660,1,0),0),0))</f>
      </c>
      <c r="AA63" s="1">
        <f>IF(OR(AA$52=0,Z14="",AA14=""),0,IFERROR(IF(AND(INDEX(Arten,MATCH(Z14,Codes,0))="Arbeit",INDEX(Arten,MATCH(AA14,Codes,0))="Arbeit"),IF(ROUND((1+INDEX(Beginne,MATCH(AA14,Codes,0))-INDEX(EndeRel,MATCH(Z14,Codes,0)))*1440,0)&lt;660,1,0),0),0))</f>
      </c>
      <c r="AB63" s="1">
        <f>IF(OR(AB$52=0,AA14="",AB14=""),0,IFERROR(IF(AND(INDEX(Arten,MATCH(AA14,Codes,0))="Arbeit",INDEX(Arten,MATCH(AB14,Codes,0))="Arbeit"),IF(ROUND((1+INDEX(Beginne,MATCH(AB14,Codes,0))-INDEX(EndeRel,MATCH(AA14,Codes,0)))*1440,0)&lt;660,1,0),0),0))</f>
      </c>
      <c r="AC63" s="1">
        <f>IF(OR(AC$52=0,AB14="",AC14=""),0,IFERROR(IF(AND(INDEX(Arten,MATCH(AB14,Codes,0))="Arbeit",INDEX(Arten,MATCH(AC14,Codes,0))="Arbeit"),IF(ROUND((1+INDEX(Beginne,MATCH(AC14,Codes,0))-INDEX(EndeRel,MATCH(AB14,Codes,0)))*1440,0)&lt;660,1,0),0),0))</f>
      </c>
      <c r="AD63" s="1">
        <f>IF(OR(AD$52=0,AC14="",AD14=""),0,IFERROR(IF(AND(INDEX(Arten,MATCH(AC14,Codes,0))="Arbeit",INDEX(Arten,MATCH(AD14,Codes,0))="Arbeit"),IF(ROUND((1+INDEX(Beginne,MATCH(AD14,Codes,0))-INDEX(EndeRel,MATCH(AC14,Codes,0)))*1440,0)&lt;660,1,0),0),0))</f>
      </c>
      <c r="AE63" s="1">
        <f>IF(OR(AE$52=0,AD14="",AE14=""),0,IFERROR(IF(AND(INDEX(Arten,MATCH(AD14,Codes,0))="Arbeit",INDEX(Arten,MATCH(AE14,Codes,0))="Arbeit"),IF(ROUND((1+INDEX(Beginne,MATCH(AE14,Codes,0))-INDEX(EndeRel,MATCH(AD14,Codes,0)))*1440,0)&lt;660,1,0),0),0))</f>
      </c>
      <c r="AF63" s="1">
        <f>IF(OR(AF$52=0,AE14="",AF14=""),0,IFERROR(IF(AND(INDEX(Arten,MATCH(AE14,Codes,0))="Arbeit",INDEX(Arten,MATCH(AF14,Codes,0))="Arbeit"),IF(ROUND((1+INDEX(Beginne,MATCH(AF14,Codes,0))-INDEX(EndeRel,MATCH(AE14,Codes,0)))*1440,0)&lt;660,1,0),0),0))</f>
      </c>
    </row>
    <row r="64" hidden="1" spans="1:32" x14ac:dyDescent="0.25">
      <c r="A64" s="1"/>
      <c r="B64" s="1">
        <f>IF(OR(B$52=0,INDEX('August'!$B$15:$AF$15,DAY(DATE(Jahr,9,0)))="",B15=""),0,IFERROR(IF(AND(INDEX(Arten,MATCH(INDEX('August'!$B$15:$AF$15,DAY(DATE(Jahr,9,0))),Codes,0))="Arbeit",INDEX(Arten,MATCH(B15,Codes,0))="Arbeit"),IF(ROUND((1+INDEX(Beginne,MATCH(B15,Codes,0))-INDEX(EndeRel,MATCH(INDEX('August'!$B$15:$AF$15,DAY(DATE(Jahr,9,0))),Codes,0)))*1440,0)&lt;660,1,0),0),0))</f>
      </c>
      <c r="C64" s="1">
        <f>IF(OR(C$52=0,B15="",C15=""),0,IFERROR(IF(AND(INDEX(Arten,MATCH(B15,Codes,0))="Arbeit",INDEX(Arten,MATCH(C15,Codes,0))="Arbeit"),IF(ROUND((1+INDEX(Beginne,MATCH(C15,Codes,0))-INDEX(EndeRel,MATCH(B15,Codes,0)))*1440,0)&lt;660,1,0),0),0))</f>
      </c>
      <c r="D64" s="1">
        <f>IF(OR(D$52=0,C15="",D15=""),0,IFERROR(IF(AND(INDEX(Arten,MATCH(C15,Codes,0))="Arbeit",INDEX(Arten,MATCH(D15,Codes,0))="Arbeit"),IF(ROUND((1+INDEX(Beginne,MATCH(D15,Codes,0))-INDEX(EndeRel,MATCH(C15,Codes,0)))*1440,0)&lt;660,1,0),0),0))</f>
      </c>
      <c r="E64" s="1">
        <f>IF(OR(E$52=0,D15="",E15=""),0,IFERROR(IF(AND(INDEX(Arten,MATCH(D15,Codes,0))="Arbeit",INDEX(Arten,MATCH(E15,Codes,0))="Arbeit"),IF(ROUND((1+INDEX(Beginne,MATCH(E15,Codes,0))-INDEX(EndeRel,MATCH(D15,Codes,0)))*1440,0)&lt;660,1,0),0),0))</f>
      </c>
      <c r="F64" s="1">
        <f>IF(OR(F$52=0,E15="",F15=""),0,IFERROR(IF(AND(INDEX(Arten,MATCH(E15,Codes,0))="Arbeit",INDEX(Arten,MATCH(F15,Codes,0))="Arbeit"),IF(ROUND((1+INDEX(Beginne,MATCH(F15,Codes,0))-INDEX(EndeRel,MATCH(E15,Codes,0)))*1440,0)&lt;660,1,0),0),0))</f>
      </c>
      <c r="G64" s="1">
        <f>IF(OR(G$52=0,F15="",G15=""),0,IFERROR(IF(AND(INDEX(Arten,MATCH(F15,Codes,0))="Arbeit",INDEX(Arten,MATCH(G15,Codes,0))="Arbeit"),IF(ROUND((1+INDEX(Beginne,MATCH(G15,Codes,0))-INDEX(EndeRel,MATCH(F15,Codes,0)))*1440,0)&lt;660,1,0),0),0))</f>
      </c>
      <c r="H64" s="1">
        <f>IF(OR(H$52=0,G15="",H15=""),0,IFERROR(IF(AND(INDEX(Arten,MATCH(G15,Codes,0))="Arbeit",INDEX(Arten,MATCH(H15,Codes,0))="Arbeit"),IF(ROUND((1+INDEX(Beginne,MATCH(H15,Codes,0))-INDEX(EndeRel,MATCH(G15,Codes,0)))*1440,0)&lt;660,1,0),0),0))</f>
      </c>
      <c r="I64" s="1">
        <f>IF(OR(I$52=0,H15="",I15=""),0,IFERROR(IF(AND(INDEX(Arten,MATCH(H15,Codes,0))="Arbeit",INDEX(Arten,MATCH(I15,Codes,0))="Arbeit"),IF(ROUND((1+INDEX(Beginne,MATCH(I15,Codes,0))-INDEX(EndeRel,MATCH(H15,Codes,0)))*1440,0)&lt;660,1,0),0),0))</f>
      </c>
      <c r="J64" s="1">
        <f>IF(OR(J$52=0,I15="",J15=""),0,IFERROR(IF(AND(INDEX(Arten,MATCH(I15,Codes,0))="Arbeit",INDEX(Arten,MATCH(J15,Codes,0))="Arbeit"),IF(ROUND((1+INDEX(Beginne,MATCH(J15,Codes,0))-INDEX(EndeRel,MATCH(I15,Codes,0)))*1440,0)&lt;660,1,0),0),0))</f>
      </c>
      <c r="K64" s="1">
        <f>IF(OR(K$52=0,J15="",K15=""),0,IFERROR(IF(AND(INDEX(Arten,MATCH(J15,Codes,0))="Arbeit",INDEX(Arten,MATCH(K15,Codes,0))="Arbeit"),IF(ROUND((1+INDEX(Beginne,MATCH(K15,Codes,0))-INDEX(EndeRel,MATCH(J15,Codes,0)))*1440,0)&lt;660,1,0),0),0))</f>
      </c>
      <c r="L64" s="1">
        <f>IF(OR(L$52=0,K15="",L15=""),0,IFERROR(IF(AND(INDEX(Arten,MATCH(K15,Codes,0))="Arbeit",INDEX(Arten,MATCH(L15,Codes,0))="Arbeit"),IF(ROUND((1+INDEX(Beginne,MATCH(L15,Codes,0))-INDEX(EndeRel,MATCH(K15,Codes,0)))*1440,0)&lt;660,1,0),0),0))</f>
      </c>
      <c r="M64" s="1">
        <f>IF(OR(M$52=0,L15="",M15=""),0,IFERROR(IF(AND(INDEX(Arten,MATCH(L15,Codes,0))="Arbeit",INDEX(Arten,MATCH(M15,Codes,0))="Arbeit"),IF(ROUND((1+INDEX(Beginne,MATCH(M15,Codes,0))-INDEX(EndeRel,MATCH(L15,Codes,0)))*1440,0)&lt;660,1,0),0),0))</f>
      </c>
      <c r="N64" s="1">
        <f>IF(OR(N$52=0,M15="",N15=""),0,IFERROR(IF(AND(INDEX(Arten,MATCH(M15,Codes,0))="Arbeit",INDEX(Arten,MATCH(N15,Codes,0))="Arbeit"),IF(ROUND((1+INDEX(Beginne,MATCH(N15,Codes,0))-INDEX(EndeRel,MATCH(M15,Codes,0)))*1440,0)&lt;660,1,0),0),0))</f>
      </c>
      <c r="O64" s="1">
        <f>IF(OR(O$52=0,N15="",O15=""),0,IFERROR(IF(AND(INDEX(Arten,MATCH(N15,Codes,0))="Arbeit",INDEX(Arten,MATCH(O15,Codes,0))="Arbeit"),IF(ROUND((1+INDEX(Beginne,MATCH(O15,Codes,0))-INDEX(EndeRel,MATCH(N15,Codes,0)))*1440,0)&lt;660,1,0),0),0))</f>
      </c>
      <c r="P64" s="1">
        <f>IF(OR(P$52=0,O15="",P15=""),0,IFERROR(IF(AND(INDEX(Arten,MATCH(O15,Codes,0))="Arbeit",INDEX(Arten,MATCH(P15,Codes,0))="Arbeit"),IF(ROUND((1+INDEX(Beginne,MATCH(P15,Codes,0))-INDEX(EndeRel,MATCH(O15,Codes,0)))*1440,0)&lt;660,1,0),0),0))</f>
      </c>
      <c r="Q64" s="1">
        <f>IF(OR(Q$52=0,P15="",Q15=""),0,IFERROR(IF(AND(INDEX(Arten,MATCH(P15,Codes,0))="Arbeit",INDEX(Arten,MATCH(Q15,Codes,0))="Arbeit"),IF(ROUND((1+INDEX(Beginne,MATCH(Q15,Codes,0))-INDEX(EndeRel,MATCH(P15,Codes,0)))*1440,0)&lt;660,1,0),0),0))</f>
      </c>
      <c r="R64" s="1">
        <f>IF(OR(R$52=0,Q15="",R15=""),0,IFERROR(IF(AND(INDEX(Arten,MATCH(Q15,Codes,0))="Arbeit",INDEX(Arten,MATCH(R15,Codes,0))="Arbeit"),IF(ROUND((1+INDEX(Beginne,MATCH(R15,Codes,0))-INDEX(EndeRel,MATCH(Q15,Codes,0)))*1440,0)&lt;660,1,0),0),0))</f>
      </c>
      <c r="S64" s="1">
        <f>IF(OR(S$52=0,R15="",S15=""),0,IFERROR(IF(AND(INDEX(Arten,MATCH(R15,Codes,0))="Arbeit",INDEX(Arten,MATCH(S15,Codes,0))="Arbeit"),IF(ROUND((1+INDEX(Beginne,MATCH(S15,Codes,0))-INDEX(EndeRel,MATCH(R15,Codes,0)))*1440,0)&lt;660,1,0),0),0))</f>
      </c>
      <c r="T64" s="1">
        <f>IF(OR(T$52=0,S15="",T15=""),0,IFERROR(IF(AND(INDEX(Arten,MATCH(S15,Codes,0))="Arbeit",INDEX(Arten,MATCH(T15,Codes,0))="Arbeit"),IF(ROUND((1+INDEX(Beginne,MATCH(T15,Codes,0))-INDEX(EndeRel,MATCH(S15,Codes,0)))*1440,0)&lt;660,1,0),0),0))</f>
      </c>
      <c r="U64" s="1">
        <f>IF(OR(U$52=0,T15="",U15=""),0,IFERROR(IF(AND(INDEX(Arten,MATCH(T15,Codes,0))="Arbeit",INDEX(Arten,MATCH(U15,Codes,0))="Arbeit"),IF(ROUND((1+INDEX(Beginne,MATCH(U15,Codes,0))-INDEX(EndeRel,MATCH(T15,Codes,0)))*1440,0)&lt;660,1,0),0),0))</f>
      </c>
      <c r="V64" s="1">
        <f>IF(OR(V$52=0,U15="",V15=""),0,IFERROR(IF(AND(INDEX(Arten,MATCH(U15,Codes,0))="Arbeit",INDEX(Arten,MATCH(V15,Codes,0))="Arbeit"),IF(ROUND((1+INDEX(Beginne,MATCH(V15,Codes,0))-INDEX(EndeRel,MATCH(U15,Codes,0)))*1440,0)&lt;660,1,0),0),0))</f>
      </c>
      <c r="W64" s="1">
        <f>IF(OR(W$52=0,V15="",W15=""),0,IFERROR(IF(AND(INDEX(Arten,MATCH(V15,Codes,0))="Arbeit",INDEX(Arten,MATCH(W15,Codes,0))="Arbeit"),IF(ROUND((1+INDEX(Beginne,MATCH(W15,Codes,0))-INDEX(EndeRel,MATCH(V15,Codes,0)))*1440,0)&lt;660,1,0),0),0))</f>
      </c>
      <c r="X64" s="1">
        <f>IF(OR(X$52=0,W15="",X15=""),0,IFERROR(IF(AND(INDEX(Arten,MATCH(W15,Codes,0))="Arbeit",INDEX(Arten,MATCH(X15,Codes,0))="Arbeit"),IF(ROUND((1+INDEX(Beginne,MATCH(X15,Codes,0))-INDEX(EndeRel,MATCH(W15,Codes,0)))*1440,0)&lt;660,1,0),0),0))</f>
      </c>
      <c r="Y64" s="1">
        <f>IF(OR(Y$52=0,X15="",Y15=""),0,IFERROR(IF(AND(INDEX(Arten,MATCH(X15,Codes,0))="Arbeit",INDEX(Arten,MATCH(Y15,Codes,0))="Arbeit"),IF(ROUND((1+INDEX(Beginne,MATCH(Y15,Codes,0))-INDEX(EndeRel,MATCH(X15,Codes,0)))*1440,0)&lt;660,1,0),0),0))</f>
      </c>
      <c r="Z64" s="1">
        <f>IF(OR(Z$52=0,Y15="",Z15=""),0,IFERROR(IF(AND(INDEX(Arten,MATCH(Y15,Codes,0))="Arbeit",INDEX(Arten,MATCH(Z15,Codes,0))="Arbeit"),IF(ROUND((1+INDEX(Beginne,MATCH(Z15,Codes,0))-INDEX(EndeRel,MATCH(Y15,Codes,0)))*1440,0)&lt;660,1,0),0),0))</f>
      </c>
      <c r="AA64" s="1">
        <f>IF(OR(AA$52=0,Z15="",AA15=""),0,IFERROR(IF(AND(INDEX(Arten,MATCH(Z15,Codes,0))="Arbeit",INDEX(Arten,MATCH(AA15,Codes,0))="Arbeit"),IF(ROUND((1+INDEX(Beginne,MATCH(AA15,Codes,0))-INDEX(EndeRel,MATCH(Z15,Codes,0)))*1440,0)&lt;660,1,0),0),0))</f>
      </c>
      <c r="AB64" s="1">
        <f>IF(OR(AB$52=0,AA15="",AB15=""),0,IFERROR(IF(AND(INDEX(Arten,MATCH(AA15,Codes,0))="Arbeit",INDEX(Arten,MATCH(AB15,Codes,0))="Arbeit"),IF(ROUND((1+INDEX(Beginne,MATCH(AB15,Codes,0))-INDEX(EndeRel,MATCH(AA15,Codes,0)))*1440,0)&lt;660,1,0),0),0))</f>
      </c>
      <c r="AC64" s="1">
        <f>IF(OR(AC$52=0,AB15="",AC15=""),0,IFERROR(IF(AND(INDEX(Arten,MATCH(AB15,Codes,0))="Arbeit",INDEX(Arten,MATCH(AC15,Codes,0))="Arbeit"),IF(ROUND((1+INDEX(Beginne,MATCH(AC15,Codes,0))-INDEX(EndeRel,MATCH(AB15,Codes,0)))*1440,0)&lt;660,1,0),0),0))</f>
      </c>
      <c r="AD64" s="1">
        <f>IF(OR(AD$52=0,AC15="",AD15=""),0,IFERROR(IF(AND(INDEX(Arten,MATCH(AC15,Codes,0))="Arbeit",INDEX(Arten,MATCH(AD15,Codes,0))="Arbeit"),IF(ROUND((1+INDEX(Beginne,MATCH(AD15,Codes,0))-INDEX(EndeRel,MATCH(AC15,Codes,0)))*1440,0)&lt;660,1,0),0),0))</f>
      </c>
      <c r="AE64" s="1">
        <f>IF(OR(AE$52=0,AD15="",AE15=""),0,IFERROR(IF(AND(INDEX(Arten,MATCH(AD15,Codes,0))="Arbeit",INDEX(Arten,MATCH(AE15,Codes,0))="Arbeit"),IF(ROUND((1+INDEX(Beginne,MATCH(AE15,Codes,0))-INDEX(EndeRel,MATCH(AD15,Codes,0)))*1440,0)&lt;660,1,0),0),0))</f>
      </c>
      <c r="AF64" s="1">
        <f>IF(OR(AF$52=0,AE15="",AF15=""),0,IFERROR(IF(AND(INDEX(Arten,MATCH(AE15,Codes,0))="Arbeit",INDEX(Arten,MATCH(AF15,Codes,0))="Arbeit"),IF(ROUND((1+INDEX(Beginne,MATCH(AF15,Codes,0))-INDEX(EndeRel,MATCH(AE15,Codes,0)))*1440,0)&lt;660,1,0),0),0))</f>
      </c>
    </row>
    <row r="65" hidden="1" spans="1:32" x14ac:dyDescent="0.25">
      <c r="A65" s="1"/>
      <c r="B65" s="1">
        <f>IF(OR(B$52=0,INDEX('August'!$B$16:$AF$16,DAY(DATE(Jahr,9,0)))="",B16=""),0,IFERROR(IF(AND(INDEX(Arten,MATCH(INDEX('August'!$B$16:$AF$16,DAY(DATE(Jahr,9,0))),Codes,0))="Arbeit",INDEX(Arten,MATCH(B16,Codes,0))="Arbeit"),IF(ROUND((1+INDEX(Beginne,MATCH(B16,Codes,0))-INDEX(EndeRel,MATCH(INDEX('August'!$B$16:$AF$16,DAY(DATE(Jahr,9,0))),Codes,0)))*1440,0)&lt;660,1,0),0),0))</f>
      </c>
      <c r="C65" s="1">
        <f>IF(OR(C$52=0,B16="",C16=""),0,IFERROR(IF(AND(INDEX(Arten,MATCH(B16,Codes,0))="Arbeit",INDEX(Arten,MATCH(C16,Codes,0))="Arbeit"),IF(ROUND((1+INDEX(Beginne,MATCH(C16,Codes,0))-INDEX(EndeRel,MATCH(B16,Codes,0)))*1440,0)&lt;660,1,0),0),0))</f>
      </c>
      <c r="D65" s="1">
        <f>IF(OR(D$52=0,C16="",D16=""),0,IFERROR(IF(AND(INDEX(Arten,MATCH(C16,Codes,0))="Arbeit",INDEX(Arten,MATCH(D16,Codes,0))="Arbeit"),IF(ROUND((1+INDEX(Beginne,MATCH(D16,Codes,0))-INDEX(EndeRel,MATCH(C16,Codes,0)))*1440,0)&lt;660,1,0),0),0))</f>
      </c>
      <c r="E65" s="1">
        <f>IF(OR(E$52=0,D16="",E16=""),0,IFERROR(IF(AND(INDEX(Arten,MATCH(D16,Codes,0))="Arbeit",INDEX(Arten,MATCH(E16,Codes,0))="Arbeit"),IF(ROUND((1+INDEX(Beginne,MATCH(E16,Codes,0))-INDEX(EndeRel,MATCH(D16,Codes,0)))*1440,0)&lt;660,1,0),0),0))</f>
      </c>
      <c r="F65" s="1">
        <f>IF(OR(F$52=0,E16="",F16=""),0,IFERROR(IF(AND(INDEX(Arten,MATCH(E16,Codes,0))="Arbeit",INDEX(Arten,MATCH(F16,Codes,0))="Arbeit"),IF(ROUND((1+INDEX(Beginne,MATCH(F16,Codes,0))-INDEX(EndeRel,MATCH(E16,Codes,0)))*1440,0)&lt;660,1,0),0),0))</f>
      </c>
      <c r="G65" s="1">
        <f>IF(OR(G$52=0,F16="",G16=""),0,IFERROR(IF(AND(INDEX(Arten,MATCH(F16,Codes,0))="Arbeit",INDEX(Arten,MATCH(G16,Codes,0))="Arbeit"),IF(ROUND((1+INDEX(Beginne,MATCH(G16,Codes,0))-INDEX(EndeRel,MATCH(F16,Codes,0)))*1440,0)&lt;660,1,0),0),0))</f>
      </c>
      <c r="H65" s="1">
        <f>IF(OR(H$52=0,G16="",H16=""),0,IFERROR(IF(AND(INDEX(Arten,MATCH(G16,Codes,0))="Arbeit",INDEX(Arten,MATCH(H16,Codes,0))="Arbeit"),IF(ROUND((1+INDEX(Beginne,MATCH(H16,Codes,0))-INDEX(EndeRel,MATCH(G16,Codes,0)))*1440,0)&lt;660,1,0),0),0))</f>
      </c>
      <c r="I65" s="1">
        <f>IF(OR(I$52=0,H16="",I16=""),0,IFERROR(IF(AND(INDEX(Arten,MATCH(H16,Codes,0))="Arbeit",INDEX(Arten,MATCH(I16,Codes,0))="Arbeit"),IF(ROUND((1+INDEX(Beginne,MATCH(I16,Codes,0))-INDEX(EndeRel,MATCH(H16,Codes,0)))*1440,0)&lt;660,1,0),0),0))</f>
      </c>
      <c r="J65" s="1">
        <f>IF(OR(J$52=0,I16="",J16=""),0,IFERROR(IF(AND(INDEX(Arten,MATCH(I16,Codes,0))="Arbeit",INDEX(Arten,MATCH(J16,Codes,0))="Arbeit"),IF(ROUND((1+INDEX(Beginne,MATCH(J16,Codes,0))-INDEX(EndeRel,MATCH(I16,Codes,0)))*1440,0)&lt;660,1,0),0),0))</f>
      </c>
      <c r="K65" s="1">
        <f>IF(OR(K$52=0,J16="",K16=""),0,IFERROR(IF(AND(INDEX(Arten,MATCH(J16,Codes,0))="Arbeit",INDEX(Arten,MATCH(K16,Codes,0))="Arbeit"),IF(ROUND((1+INDEX(Beginne,MATCH(K16,Codes,0))-INDEX(EndeRel,MATCH(J16,Codes,0)))*1440,0)&lt;660,1,0),0),0))</f>
      </c>
      <c r="L65" s="1">
        <f>IF(OR(L$52=0,K16="",L16=""),0,IFERROR(IF(AND(INDEX(Arten,MATCH(K16,Codes,0))="Arbeit",INDEX(Arten,MATCH(L16,Codes,0))="Arbeit"),IF(ROUND((1+INDEX(Beginne,MATCH(L16,Codes,0))-INDEX(EndeRel,MATCH(K16,Codes,0)))*1440,0)&lt;660,1,0),0),0))</f>
      </c>
      <c r="M65" s="1">
        <f>IF(OR(M$52=0,L16="",M16=""),0,IFERROR(IF(AND(INDEX(Arten,MATCH(L16,Codes,0))="Arbeit",INDEX(Arten,MATCH(M16,Codes,0))="Arbeit"),IF(ROUND((1+INDEX(Beginne,MATCH(M16,Codes,0))-INDEX(EndeRel,MATCH(L16,Codes,0)))*1440,0)&lt;660,1,0),0),0))</f>
      </c>
      <c r="N65" s="1">
        <f>IF(OR(N$52=0,M16="",N16=""),0,IFERROR(IF(AND(INDEX(Arten,MATCH(M16,Codes,0))="Arbeit",INDEX(Arten,MATCH(N16,Codes,0))="Arbeit"),IF(ROUND((1+INDEX(Beginne,MATCH(N16,Codes,0))-INDEX(EndeRel,MATCH(M16,Codes,0)))*1440,0)&lt;660,1,0),0),0))</f>
      </c>
      <c r="O65" s="1">
        <f>IF(OR(O$52=0,N16="",O16=""),0,IFERROR(IF(AND(INDEX(Arten,MATCH(N16,Codes,0))="Arbeit",INDEX(Arten,MATCH(O16,Codes,0))="Arbeit"),IF(ROUND((1+INDEX(Beginne,MATCH(O16,Codes,0))-INDEX(EndeRel,MATCH(N16,Codes,0)))*1440,0)&lt;660,1,0),0),0))</f>
      </c>
      <c r="P65" s="1">
        <f>IF(OR(P$52=0,O16="",P16=""),0,IFERROR(IF(AND(INDEX(Arten,MATCH(O16,Codes,0))="Arbeit",INDEX(Arten,MATCH(P16,Codes,0))="Arbeit"),IF(ROUND((1+INDEX(Beginne,MATCH(P16,Codes,0))-INDEX(EndeRel,MATCH(O16,Codes,0)))*1440,0)&lt;660,1,0),0),0))</f>
      </c>
      <c r="Q65" s="1">
        <f>IF(OR(Q$52=0,P16="",Q16=""),0,IFERROR(IF(AND(INDEX(Arten,MATCH(P16,Codes,0))="Arbeit",INDEX(Arten,MATCH(Q16,Codes,0))="Arbeit"),IF(ROUND((1+INDEX(Beginne,MATCH(Q16,Codes,0))-INDEX(EndeRel,MATCH(P16,Codes,0)))*1440,0)&lt;660,1,0),0),0))</f>
      </c>
      <c r="R65" s="1">
        <f>IF(OR(R$52=0,Q16="",R16=""),0,IFERROR(IF(AND(INDEX(Arten,MATCH(Q16,Codes,0))="Arbeit",INDEX(Arten,MATCH(R16,Codes,0))="Arbeit"),IF(ROUND((1+INDEX(Beginne,MATCH(R16,Codes,0))-INDEX(EndeRel,MATCH(Q16,Codes,0)))*1440,0)&lt;660,1,0),0),0))</f>
      </c>
      <c r="S65" s="1">
        <f>IF(OR(S$52=0,R16="",S16=""),0,IFERROR(IF(AND(INDEX(Arten,MATCH(R16,Codes,0))="Arbeit",INDEX(Arten,MATCH(S16,Codes,0))="Arbeit"),IF(ROUND((1+INDEX(Beginne,MATCH(S16,Codes,0))-INDEX(EndeRel,MATCH(R16,Codes,0)))*1440,0)&lt;660,1,0),0),0))</f>
      </c>
      <c r="T65" s="1">
        <f>IF(OR(T$52=0,S16="",T16=""),0,IFERROR(IF(AND(INDEX(Arten,MATCH(S16,Codes,0))="Arbeit",INDEX(Arten,MATCH(T16,Codes,0))="Arbeit"),IF(ROUND((1+INDEX(Beginne,MATCH(T16,Codes,0))-INDEX(EndeRel,MATCH(S16,Codes,0)))*1440,0)&lt;660,1,0),0),0))</f>
      </c>
      <c r="U65" s="1">
        <f>IF(OR(U$52=0,T16="",U16=""),0,IFERROR(IF(AND(INDEX(Arten,MATCH(T16,Codes,0))="Arbeit",INDEX(Arten,MATCH(U16,Codes,0))="Arbeit"),IF(ROUND((1+INDEX(Beginne,MATCH(U16,Codes,0))-INDEX(EndeRel,MATCH(T16,Codes,0)))*1440,0)&lt;660,1,0),0),0))</f>
      </c>
      <c r="V65" s="1">
        <f>IF(OR(V$52=0,U16="",V16=""),0,IFERROR(IF(AND(INDEX(Arten,MATCH(U16,Codes,0))="Arbeit",INDEX(Arten,MATCH(V16,Codes,0))="Arbeit"),IF(ROUND((1+INDEX(Beginne,MATCH(V16,Codes,0))-INDEX(EndeRel,MATCH(U16,Codes,0)))*1440,0)&lt;660,1,0),0),0))</f>
      </c>
      <c r="W65" s="1">
        <f>IF(OR(W$52=0,V16="",W16=""),0,IFERROR(IF(AND(INDEX(Arten,MATCH(V16,Codes,0))="Arbeit",INDEX(Arten,MATCH(W16,Codes,0))="Arbeit"),IF(ROUND((1+INDEX(Beginne,MATCH(W16,Codes,0))-INDEX(EndeRel,MATCH(V16,Codes,0)))*1440,0)&lt;660,1,0),0),0))</f>
      </c>
      <c r="X65" s="1">
        <f>IF(OR(X$52=0,W16="",X16=""),0,IFERROR(IF(AND(INDEX(Arten,MATCH(W16,Codes,0))="Arbeit",INDEX(Arten,MATCH(X16,Codes,0))="Arbeit"),IF(ROUND((1+INDEX(Beginne,MATCH(X16,Codes,0))-INDEX(EndeRel,MATCH(W16,Codes,0)))*1440,0)&lt;660,1,0),0),0))</f>
      </c>
      <c r="Y65" s="1">
        <f>IF(OR(Y$52=0,X16="",Y16=""),0,IFERROR(IF(AND(INDEX(Arten,MATCH(X16,Codes,0))="Arbeit",INDEX(Arten,MATCH(Y16,Codes,0))="Arbeit"),IF(ROUND((1+INDEX(Beginne,MATCH(Y16,Codes,0))-INDEX(EndeRel,MATCH(X16,Codes,0)))*1440,0)&lt;660,1,0),0),0))</f>
      </c>
      <c r="Z65" s="1">
        <f>IF(OR(Z$52=0,Y16="",Z16=""),0,IFERROR(IF(AND(INDEX(Arten,MATCH(Y16,Codes,0))="Arbeit",INDEX(Arten,MATCH(Z16,Codes,0))="Arbeit"),IF(ROUND((1+INDEX(Beginne,MATCH(Z16,Codes,0))-INDEX(EndeRel,MATCH(Y16,Codes,0)))*1440,0)&lt;660,1,0),0),0))</f>
      </c>
      <c r="AA65" s="1">
        <f>IF(OR(AA$52=0,Z16="",AA16=""),0,IFERROR(IF(AND(INDEX(Arten,MATCH(Z16,Codes,0))="Arbeit",INDEX(Arten,MATCH(AA16,Codes,0))="Arbeit"),IF(ROUND((1+INDEX(Beginne,MATCH(AA16,Codes,0))-INDEX(EndeRel,MATCH(Z16,Codes,0)))*1440,0)&lt;660,1,0),0),0))</f>
      </c>
      <c r="AB65" s="1">
        <f>IF(OR(AB$52=0,AA16="",AB16=""),0,IFERROR(IF(AND(INDEX(Arten,MATCH(AA16,Codes,0))="Arbeit",INDEX(Arten,MATCH(AB16,Codes,0))="Arbeit"),IF(ROUND((1+INDEX(Beginne,MATCH(AB16,Codes,0))-INDEX(EndeRel,MATCH(AA16,Codes,0)))*1440,0)&lt;660,1,0),0),0))</f>
      </c>
      <c r="AC65" s="1">
        <f>IF(OR(AC$52=0,AB16="",AC16=""),0,IFERROR(IF(AND(INDEX(Arten,MATCH(AB16,Codes,0))="Arbeit",INDEX(Arten,MATCH(AC16,Codes,0))="Arbeit"),IF(ROUND((1+INDEX(Beginne,MATCH(AC16,Codes,0))-INDEX(EndeRel,MATCH(AB16,Codes,0)))*1440,0)&lt;660,1,0),0),0))</f>
      </c>
      <c r="AD65" s="1">
        <f>IF(OR(AD$52=0,AC16="",AD16=""),0,IFERROR(IF(AND(INDEX(Arten,MATCH(AC16,Codes,0))="Arbeit",INDEX(Arten,MATCH(AD16,Codes,0))="Arbeit"),IF(ROUND((1+INDEX(Beginne,MATCH(AD16,Codes,0))-INDEX(EndeRel,MATCH(AC16,Codes,0)))*1440,0)&lt;660,1,0),0),0))</f>
      </c>
      <c r="AE65" s="1">
        <f>IF(OR(AE$52=0,AD16="",AE16=""),0,IFERROR(IF(AND(INDEX(Arten,MATCH(AD16,Codes,0))="Arbeit",INDEX(Arten,MATCH(AE16,Codes,0))="Arbeit"),IF(ROUND((1+INDEX(Beginne,MATCH(AE16,Codes,0))-INDEX(EndeRel,MATCH(AD16,Codes,0)))*1440,0)&lt;660,1,0),0),0))</f>
      </c>
      <c r="AF65" s="1">
        <f>IF(OR(AF$52=0,AE16="",AF16=""),0,IFERROR(IF(AND(INDEX(Arten,MATCH(AE16,Codes,0))="Arbeit",INDEX(Arten,MATCH(AF16,Codes,0))="Arbeit"),IF(ROUND((1+INDEX(Beginne,MATCH(AF16,Codes,0))-INDEX(EndeRel,MATCH(AE16,Codes,0)))*1440,0)&lt;660,1,0),0),0))</f>
      </c>
    </row>
    <row r="66" hidden="1" spans="1:32" x14ac:dyDescent="0.25">
      <c r="A66" s="1"/>
      <c r="B66" s="1">
        <f>IF(OR(B$52=0,INDEX('August'!$B$17:$AF$17,DAY(DATE(Jahr,9,0)))="",B17=""),0,IFERROR(IF(AND(INDEX(Arten,MATCH(INDEX('August'!$B$17:$AF$17,DAY(DATE(Jahr,9,0))),Codes,0))="Arbeit",INDEX(Arten,MATCH(B17,Codes,0))="Arbeit"),IF(ROUND((1+INDEX(Beginne,MATCH(B17,Codes,0))-INDEX(EndeRel,MATCH(INDEX('August'!$B$17:$AF$17,DAY(DATE(Jahr,9,0))),Codes,0)))*1440,0)&lt;660,1,0),0),0))</f>
      </c>
      <c r="C66" s="1">
        <f>IF(OR(C$52=0,B17="",C17=""),0,IFERROR(IF(AND(INDEX(Arten,MATCH(B17,Codes,0))="Arbeit",INDEX(Arten,MATCH(C17,Codes,0))="Arbeit"),IF(ROUND((1+INDEX(Beginne,MATCH(C17,Codes,0))-INDEX(EndeRel,MATCH(B17,Codes,0)))*1440,0)&lt;660,1,0),0),0))</f>
      </c>
      <c r="D66" s="1">
        <f>IF(OR(D$52=0,C17="",D17=""),0,IFERROR(IF(AND(INDEX(Arten,MATCH(C17,Codes,0))="Arbeit",INDEX(Arten,MATCH(D17,Codes,0))="Arbeit"),IF(ROUND((1+INDEX(Beginne,MATCH(D17,Codes,0))-INDEX(EndeRel,MATCH(C17,Codes,0)))*1440,0)&lt;660,1,0),0),0))</f>
      </c>
      <c r="E66" s="1">
        <f>IF(OR(E$52=0,D17="",E17=""),0,IFERROR(IF(AND(INDEX(Arten,MATCH(D17,Codes,0))="Arbeit",INDEX(Arten,MATCH(E17,Codes,0))="Arbeit"),IF(ROUND((1+INDEX(Beginne,MATCH(E17,Codes,0))-INDEX(EndeRel,MATCH(D17,Codes,0)))*1440,0)&lt;660,1,0),0),0))</f>
      </c>
      <c r="F66" s="1">
        <f>IF(OR(F$52=0,E17="",F17=""),0,IFERROR(IF(AND(INDEX(Arten,MATCH(E17,Codes,0))="Arbeit",INDEX(Arten,MATCH(F17,Codes,0))="Arbeit"),IF(ROUND((1+INDEX(Beginne,MATCH(F17,Codes,0))-INDEX(EndeRel,MATCH(E17,Codes,0)))*1440,0)&lt;660,1,0),0),0))</f>
      </c>
      <c r="G66" s="1">
        <f>IF(OR(G$52=0,F17="",G17=""),0,IFERROR(IF(AND(INDEX(Arten,MATCH(F17,Codes,0))="Arbeit",INDEX(Arten,MATCH(G17,Codes,0))="Arbeit"),IF(ROUND((1+INDEX(Beginne,MATCH(G17,Codes,0))-INDEX(EndeRel,MATCH(F17,Codes,0)))*1440,0)&lt;660,1,0),0),0))</f>
      </c>
      <c r="H66" s="1">
        <f>IF(OR(H$52=0,G17="",H17=""),0,IFERROR(IF(AND(INDEX(Arten,MATCH(G17,Codes,0))="Arbeit",INDEX(Arten,MATCH(H17,Codes,0))="Arbeit"),IF(ROUND((1+INDEX(Beginne,MATCH(H17,Codes,0))-INDEX(EndeRel,MATCH(G17,Codes,0)))*1440,0)&lt;660,1,0),0),0))</f>
      </c>
      <c r="I66" s="1">
        <f>IF(OR(I$52=0,H17="",I17=""),0,IFERROR(IF(AND(INDEX(Arten,MATCH(H17,Codes,0))="Arbeit",INDEX(Arten,MATCH(I17,Codes,0))="Arbeit"),IF(ROUND((1+INDEX(Beginne,MATCH(I17,Codes,0))-INDEX(EndeRel,MATCH(H17,Codes,0)))*1440,0)&lt;660,1,0),0),0))</f>
      </c>
      <c r="J66" s="1">
        <f>IF(OR(J$52=0,I17="",J17=""),0,IFERROR(IF(AND(INDEX(Arten,MATCH(I17,Codes,0))="Arbeit",INDEX(Arten,MATCH(J17,Codes,0))="Arbeit"),IF(ROUND((1+INDEX(Beginne,MATCH(J17,Codes,0))-INDEX(EndeRel,MATCH(I17,Codes,0)))*1440,0)&lt;660,1,0),0),0))</f>
      </c>
      <c r="K66" s="1">
        <f>IF(OR(K$52=0,J17="",K17=""),0,IFERROR(IF(AND(INDEX(Arten,MATCH(J17,Codes,0))="Arbeit",INDEX(Arten,MATCH(K17,Codes,0))="Arbeit"),IF(ROUND((1+INDEX(Beginne,MATCH(K17,Codes,0))-INDEX(EndeRel,MATCH(J17,Codes,0)))*1440,0)&lt;660,1,0),0),0))</f>
      </c>
      <c r="L66" s="1">
        <f>IF(OR(L$52=0,K17="",L17=""),0,IFERROR(IF(AND(INDEX(Arten,MATCH(K17,Codes,0))="Arbeit",INDEX(Arten,MATCH(L17,Codes,0))="Arbeit"),IF(ROUND((1+INDEX(Beginne,MATCH(L17,Codes,0))-INDEX(EndeRel,MATCH(K17,Codes,0)))*1440,0)&lt;660,1,0),0),0))</f>
      </c>
      <c r="M66" s="1">
        <f>IF(OR(M$52=0,L17="",M17=""),0,IFERROR(IF(AND(INDEX(Arten,MATCH(L17,Codes,0))="Arbeit",INDEX(Arten,MATCH(M17,Codes,0))="Arbeit"),IF(ROUND((1+INDEX(Beginne,MATCH(M17,Codes,0))-INDEX(EndeRel,MATCH(L17,Codes,0)))*1440,0)&lt;660,1,0),0),0))</f>
      </c>
      <c r="N66" s="1">
        <f>IF(OR(N$52=0,M17="",N17=""),0,IFERROR(IF(AND(INDEX(Arten,MATCH(M17,Codes,0))="Arbeit",INDEX(Arten,MATCH(N17,Codes,0))="Arbeit"),IF(ROUND((1+INDEX(Beginne,MATCH(N17,Codes,0))-INDEX(EndeRel,MATCH(M17,Codes,0)))*1440,0)&lt;660,1,0),0),0))</f>
      </c>
      <c r="O66" s="1">
        <f>IF(OR(O$52=0,N17="",O17=""),0,IFERROR(IF(AND(INDEX(Arten,MATCH(N17,Codes,0))="Arbeit",INDEX(Arten,MATCH(O17,Codes,0))="Arbeit"),IF(ROUND((1+INDEX(Beginne,MATCH(O17,Codes,0))-INDEX(EndeRel,MATCH(N17,Codes,0)))*1440,0)&lt;660,1,0),0),0))</f>
      </c>
      <c r="P66" s="1">
        <f>IF(OR(P$52=0,O17="",P17=""),0,IFERROR(IF(AND(INDEX(Arten,MATCH(O17,Codes,0))="Arbeit",INDEX(Arten,MATCH(P17,Codes,0))="Arbeit"),IF(ROUND((1+INDEX(Beginne,MATCH(P17,Codes,0))-INDEX(EndeRel,MATCH(O17,Codes,0)))*1440,0)&lt;660,1,0),0),0))</f>
      </c>
      <c r="Q66" s="1">
        <f>IF(OR(Q$52=0,P17="",Q17=""),0,IFERROR(IF(AND(INDEX(Arten,MATCH(P17,Codes,0))="Arbeit",INDEX(Arten,MATCH(Q17,Codes,0))="Arbeit"),IF(ROUND((1+INDEX(Beginne,MATCH(Q17,Codes,0))-INDEX(EndeRel,MATCH(P17,Codes,0)))*1440,0)&lt;660,1,0),0),0))</f>
      </c>
      <c r="R66" s="1">
        <f>IF(OR(R$52=0,Q17="",R17=""),0,IFERROR(IF(AND(INDEX(Arten,MATCH(Q17,Codes,0))="Arbeit",INDEX(Arten,MATCH(R17,Codes,0))="Arbeit"),IF(ROUND((1+INDEX(Beginne,MATCH(R17,Codes,0))-INDEX(EndeRel,MATCH(Q17,Codes,0)))*1440,0)&lt;660,1,0),0),0))</f>
      </c>
      <c r="S66" s="1">
        <f>IF(OR(S$52=0,R17="",S17=""),0,IFERROR(IF(AND(INDEX(Arten,MATCH(R17,Codes,0))="Arbeit",INDEX(Arten,MATCH(S17,Codes,0))="Arbeit"),IF(ROUND((1+INDEX(Beginne,MATCH(S17,Codes,0))-INDEX(EndeRel,MATCH(R17,Codes,0)))*1440,0)&lt;660,1,0),0),0))</f>
      </c>
      <c r="T66" s="1">
        <f>IF(OR(T$52=0,S17="",T17=""),0,IFERROR(IF(AND(INDEX(Arten,MATCH(S17,Codes,0))="Arbeit",INDEX(Arten,MATCH(T17,Codes,0))="Arbeit"),IF(ROUND((1+INDEX(Beginne,MATCH(T17,Codes,0))-INDEX(EndeRel,MATCH(S17,Codes,0)))*1440,0)&lt;660,1,0),0),0))</f>
      </c>
      <c r="U66" s="1">
        <f>IF(OR(U$52=0,T17="",U17=""),0,IFERROR(IF(AND(INDEX(Arten,MATCH(T17,Codes,0))="Arbeit",INDEX(Arten,MATCH(U17,Codes,0))="Arbeit"),IF(ROUND((1+INDEX(Beginne,MATCH(U17,Codes,0))-INDEX(EndeRel,MATCH(T17,Codes,0)))*1440,0)&lt;660,1,0),0),0))</f>
      </c>
      <c r="V66" s="1">
        <f>IF(OR(V$52=0,U17="",V17=""),0,IFERROR(IF(AND(INDEX(Arten,MATCH(U17,Codes,0))="Arbeit",INDEX(Arten,MATCH(V17,Codes,0))="Arbeit"),IF(ROUND((1+INDEX(Beginne,MATCH(V17,Codes,0))-INDEX(EndeRel,MATCH(U17,Codes,0)))*1440,0)&lt;660,1,0),0),0))</f>
      </c>
      <c r="W66" s="1">
        <f>IF(OR(W$52=0,V17="",W17=""),0,IFERROR(IF(AND(INDEX(Arten,MATCH(V17,Codes,0))="Arbeit",INDEX(Arten,MATCH(W17,Codes,0))="Arbeit"),IF(ROUND((1+INDEX(Beginne,MATCH(W17,Codes,0))-INDEX(EndeRel,MATCH(V17,Codes,0)))*1440,0)&lt;660,1,0),0),0))</f>
      </c>
      <c r="X66" s="1">
        <f>IF(OR(X$52=0,W17="",X17=""),0,IFERROR(IF(AND(INDEX(Arten,MATCH(W17,Codes,0))="Arbeit",INDEX(Arten,MATCH(X17,Codes,0))="Arbeit"),IF(ROUND((1+INDEX(Beginne,MATCH(X17,Codes,0))-INDEX(EndeRel,MATCH(W17,Codes,0)))*1440,0)&lt;660,1,0),0),0))</f>
      </c>
      <c r="Y66" s="1">
        <f>IF(OR(Y$52=0,X17="",Y17=""),0,IFERROR(IF(AND(INDEX(Arten,MATCH(X17,Codes,0))="Arbeit",INDEX(Arten,MATCH(Y17,Codes,0))="Arbeit"),IF(ROUND((1+INDEX(Beginne,MATCH(Y17,Codes,0))-INDEX(EndeRel,MATCH(X17,Codes,0)))*1440,0)&lt;660,1,0),0),0))</f>
      </c>
      <c r="Z66" s="1">
        <f>IF(OR(Z$52=0,Y17="",Z17=""),0,IFERROR(IF(AND(INDEX(Arten,MATCH(Y17,Codes,0))="Arbeit",INDEX(Arten,MATCH(Z17,Codes,0))="Arbeit"),IF(ROUND((1+INDEX(Beginne,MATCH(Z17,Codes,0))-INDEX(EndeRel,MATCH(Y17,Codes,0)))*1440,0)&lt;660,1,0),0),0))</f>
      </c>
      <c r="AA66" s="1">
        <f>IF(OR(AA$52=0,Z17="",AA17=""),0,IFERROR(IF(AND(INDEX(Arten,MATCH(Z17,Codes,0))="Arbeit",INDEX(Arten,MATCH(AA17,Codes,0))="Arbeit"),IF(ROUND((1+INDEX(Beginne,MATCH(AA17,Codes,0))-INDEX(EndeRel,MATCH(Z17,Codes,0)))*1440,0)&lt;660,1,0),0),0))</f>
      </c>
      <c r="AB66" s="1">
        <f>IF(OR(AB$52=0,AA17="",AB17=""),0,IFERROR(IF(AND(INDEX(Arten,MATCH(AA17,Codes,0))="Arbeit",INDEX(Arten,MATCH(AB17,Codes,0))="Arbeit"),IF(ROUND((1+INDEX(Beginne,MATCH(AB17,Codes,0))-INDEX(EndeRel,MATCH(AA17,Codes,0)))*1440,0)&lt;660,1,0),0),0))</f>
      </c>
      <c r="AC66" s="1">
        <f>IF(OR(AC$52=0,AB17="",AC17=""),0,IFERROR(IF(AND(INDEX(Arten,MATCH(AB17,Codes,0))="Arbeit",INDEX(Arten,MATCH(AC17,Codes,0))="Arbeit"),IF(ROUND((1+INDEX(Beginne,MATCH(AC17,Codes,0))-INDEX(EndeRel,MATCH(AB17,Codes,0)))*1440,0)&lt;660,1,0),0),0))</f>
      </c>
      <c r="AD66" s="1">
        <f>IF(OR(AD$52=0,AC17="",AD17=""),0,IFERROR(IF(AND(INDEX(Arten,MATCH(AC17,Codes,0))="Arbeit",INDEX(Arten,MATCH(AD17,Codes,0))="Arbeit"),IF(ROUND((1+INDEX(Beginne,MATCH(AD17,Codes,0))-INDEX(EndeRel,MATCH(AC17,Codes,0)))*1440,0)&lt;660,1,0),0),0))</f>
      </c>
      <c r="AE66" s="1">
        <f>IF(OR(AE$52=0,AD17="",AE17=""),0,IFERROR(IF(AND(INDEX(Arten,MATCH(AD17,Codes,0))="Arbeit",INDEX(Arten,MATCH(AE17,Codes,0))="Arbeit"),IF(ROUND((1+INDEX(Beginne,MATCH(AE17,Codes,0))-INDEX(EndeRel,MATCH(AD17,Codes,0)))*1440,0)&lt;660,1,0),0),0))</f>
      </c>
      <c r="AF66" s="1">
        <f>IF(OR(AF$52=0,AE17="",AF17=""),0,IFERROR(IF(AND(INDEX(Arten,MATCH(AE17,Codes,0))="Arbeit",INDEX(Arten,MATCH(AF17,Codes,0))="Arbeit"),IF(ROUND((1+INDEX(Beginne,MATCH(AF17,Codes,0))-INDEX(EndeRel,MATCH(AE17,Codes,0)))*1440,0)&lt;660,1,0),0),0))</f>
      </c>
    </row>
    <row r="67" hidden="1" spans="1:32" x14ac:dyDescent="0.25">
      <c r="A67" s="1"/>
      <c r="B67" s="1">
        <f>IF(OR(B$52=0,INDEX('August'!$B$18:$AF$18,DAY(DATE(Jahr,9,0)))="",B18=""),0,IFERROR(IF(AND(INDEX(Arten,MATCH(INDEX('August'!$B$18:$AF$18,DAY(DATE(Jahr,9,0))),Codes,0))="Arbeit",INDEX(Arten,MATCH(B18,Codes,0))="Arbeit"),IF(ROUND((1+INDEX(Beginne,MATCH(B18,Codes,0))-INDEX(EndeRel,MATCH(INDEX('August'!$B$18:$AF$18,DAY(DATE(Jahr,9,0))),Codes,0)))*1440,0)&lt;660,1,0),0),0))</f>
      </c>
      <c r="C67" s="1">
        <f>IF(OR(C$52=0,B18="",C18=""),0,IFERROR(IF(AND(INDEX(Arten,MATCH(B18,Codes,0))="Arbeit",INDEX(Arten,MATCH(C18,Codes,0))="Arbeit"),IF(ROUND((1+INDEX(Beginne,MATCH(C18,Codes,0))-INDEX(EndeRel,MATCH(B18,Codes,0)))*1440,0)&lt;660,1,0),0),0))</f>
      </c>
      <c r="D67" s="1">
        <f>IF(OR(D$52=0,C18="",D18=""),0,IFERROR(IF(AND(INDEX(Arten,MATCH(C18,Codes,0))="Arbeit",INDEX(Arten,MATCH(D18,Codes,0))="Arbeit"),IF(ROUND((1+INDEX(Beginne,MATCH(D18,Codes,0))-INDEX(EndeRel,MATCH(C18,Codes,0)))*1440,0)&lt;660,1,0),0),0))</f>
      </c>
      <c r="E67" s="1">
        <f>IF(OR(E$52=0,D18="",E18=""),0,IFERROR(IF(AND(INDEX(Arten,MATCH(D18,Codes,0))="Arbeit",INDEX(Arten,MATCH(E18,Codes,0))="Arbeit"),IF(ROUND((1+INDEX(Beginne,MATCH(E18,Codes,0))-INDEX(EndeRel,MATCH(D18,Codes,0)))*1440,0)&lt;660,1,0),0),0))</f>
      </c>
      <c r="F67" s="1">
        <f>IF(OR(F$52=0,E18="",F18=""),0,IFERROR(IF(AND(INDEX(Arten,MATCH(E18,Codes,0))="Arbeit",INDEX(Arten,MATCH(F18,Codes,0))="Arbeit"),IF(ROUND((1+INDEX(Beginne,MATCH(F18,Codes,0))-INDEX(EndeRel,MATCH(E18,Codes,0)))*1440,0)&lt;660,1,0),0),0))</f>
      </c>
      <c r="G67" s="1">
        <f>IF(OR(G$52=0,F18="",G18=""),0,IFERROR(IF(AND(INDEX(Arten,MATCH(F18,Codes,0))="Arbeit",INDEX(Arten,MATCH(G18,Codes,0))="Arbeit"),IF(ROUND((1+INDEX(Beginne,MATCH(G18,Codes,0))-INDEX(EndeRel,MATCH(F18,Codes,0)))*1440,0)&lt;660,1,0),0),0))</f>
      </c>
      <c r="H67" s="1">
        <f>IF(OR(H$52=0,G18="",H18=""),0,IFERROR(IF(AND(INDEX(Arten,MATCH(G18,Codes,0))="Arbeit",INDEX(Arten,MATCH(H18,Codes,0))="Arbeit"),IF(ROUND((1+INDEX(Beginne,MATCH(H18,Codes,0))-INDEX(EndeRel,MATCH(G18,Codes,0)))*1440,0)&lt;660,1,0),0),0))</f>
      </c>
      <c r="I67" s="1">
        <f>IF(OR(I$52=0,H18="",I18=""),0,IFERROR(IF(AND(INDEX(Arten,MATCH(H18,Codes,0))="Arbeit",INDEX(Arten,MATCH(I18,Codes,0))="Arbeit"),IF(ROUND((1+INDEX(Beginne,MATCH(I18,Codes,0))-INDEX(EndeRel,MATCH(H18,Codes,0)))*1440,0)&lt;660,1,0),0),0))</f>
      </c>
      <c r="J67" s="1">
        <f>IF(OR(J$52=0,I18="",J18=""),0,IFERROR(IF(AND(INDEX(Arten,MATCH(I18,Codes,0))="Arbeit",INDEX(Arten,MATCH(J18,Codes,0))="Arbeit"),IF(ROUND((1+INDEX(Beginne,MATCH(J18,Codes,0))-INDEX(EndeRel,MATCH(I18,Codes,0)))*1440,0)&lt;660,1,0),0),0))</f>
      </c>
      <c r="K67" s="1">
        <f>IF(OR(K$52=0,J18="",K18=""),0,IFERROR(IF(AND(INDEX(Arten,MATCH(J18,Codes,0))="Arbeit",INDEX(Arten,MATCH(K18,Codes,0))="Arbeit"),IF(ROUND((1+INDEX(Beginne,MATCH(K18,Codes,0))-INDEX(EndeRel,MATCH(J18,Codes,0)))*1440,0)&lt;660,1,0),0),0))</f>
      </c>
      <c r="L67" s="1">
        <f>IF(OR(L$52=0,K18="",L18=""),0,IFERROR(IF(AND(INDEX(Arten,MATCH(K18,Codes,0))="Arbeit",INDEX(Arten,MATCH(L18,Codes,0))="Arbeit"),IF(ROUND((1+INDEX(Beginne,MATCH(L18,Codes,0))-INDEX(EndeRel,MATCH(K18,Codes,0)))*1440,0)&lt;660,1,0),0),0))</f>
      </c>
      <c r="M67" s="1">
        <f>IF(OR(M$52=0,L18="",M18=""),0,IFERROR(IF(AND(INDEX(Arten,MATCH(L18,Codes,0))="Arbeit",INDEX(Arten,MATCH(M18,Codes,0))="Arbeit"),IF(ROUND((1+INDEX(Beginne,MATCH(M18,Codes,0))-INDEX(EndeRel,MATCH(L18,Codes,0)))*1440,0)&lt;660,1,0),0),0))</f>
      </c>
      <c r="N67" s="1">
        <f>IF(OR(N$52=0,M18="",N18=""),0,IFERROR(IF(AND(INDEX(Arten,MATCH(M18,Codes,0))="Arbeit",INDEX(Arten,MATCH(N18,Codes,0))="Arbeit"),IF(ROUND((1+INDEX(Beginne,MATCH(N18,Codes,0))-INDEX(EndeRel,MATCH(M18,Codes,0)))*1440,0)&lt;660,1,0),0),0))</f>
      </c>
      <c r="O67" s="1">
        <f>IF(OR(O$52=0,N18="",O18=""),0,IFERROR(IF(AND(INDEX(Arten,MATCH(N18,Codes,0))="Arbeit",INDEX(Arten,MATCH(O18,Codes,0))="Arbeit"),IF(ROUND((1+INDEX(Beginne,MATCH(O18,Codes,0))-INDEX(EndeRel,MATCH(N18,Codes,0)))*1440,0)&lt;660,1,0),0),0))</f>
      </c>
      <c r="P67" s="1">
        <f>IF(OR(P$52=0,O18="",P18=""),0,IFERROR(IF(AND(INDEX(Arten,MATCH(O18,Codes,0))="Arbeit",INDEX(Arten,MATCH(P18,Codes,0))="Arbeit"),IF(ROUND((1+INDEX(Beginne,MATCH(P18,Codes,0))-INDEX(EndeRel,MATCH(O18,Codes,0)))*1440,0)&lt;660,1,0),0),0))</f>
      </c>
      <c r="Q67" s="1">
        <f>IF(OR(Q$52=0,P18="",Q18=""),0,IFERROR(IF(AND(INDEX(Arten,MATCH(P18,Codes,0))="Arbeit",INDEX(Arten,MATCH(Q18,Codes,0))="Arbeit"),IF(ROUND((1+INDEX(Beginne,MATCH(Q18,Codes,0))-INDEX(EndeRel,MATCH(P18,Codes,0)))*1440,0)&lt;660,1,0),0),0))</f>
      </c>
      <c r="R67" s="1">
        <f>IF(OR(R$52=0,Q18="",R18=""),0,IFERROR(IF(AND(INDEX(Arten,MATCH(Q18,Codes,0))="Arbeit",INDEX(Arten,MATCH(R18,Codes,0))="Arbeit"),IF(ROUND((1+INDEX(Beginne,MATCH(R18,Codes,0))-INDEX(EndeRel,MATCH(Q18,Codes,0)))*1440,0)&lt;660,1,0),0),0))</f>
      </c>
      <c r="S67" s="1">
        <f>IF(OR(S$52=0,R18="",S18=""),0,IFERROR(IF(AND(INDEX(Arten,MATCH(R18,Codes,0))="Arbeit",INDEX(Arten,MATCH(S18,Codes,0))="Arbeit"),IF(ROUND((1+INDEX(Beginne,MATCH(S18,Codes,0))-INDEX(EndeRel,MATCH(R18,Codes,0)))*1440,0)&lt;660,1,0),0),0))</f>
      </c>
      <c r="T67" s="1">
        <f>IF(OR(T$52=0,S18="",T18=""),0,IFERROR(IF(AND(INDEX(Arten,MATCH(S18,Codes,0))="Arbeit",INDEX(Arten,MATCH(T18,Codes,0))="Arbeit"),IF(ROUND((1+INDEX(Beginne,MATCH(T18,Codes,0))-INDEX(EndeRel,MATCH(S18,Codes,0)))*1440,0)&lt;660,1,0),0),0))</f>
      </c>
      <c r="U67" s="1">
        <f>IF(OR(U$52=0,T18="",U18=""),0,IFERROR(IF(AND(INDEX(Arten,MATCH(T18,Codes,0))="Arbeit",INDEX(Arten,MATCH(U18,Codes,0))="Arbeit"),IF(ROUND((1+INDEX(Beginne,MATCH(U18,Codes,0))-INDEX(EndeRel,MATCH(T18,Codes,0)))*1440,0)&lt;660,1,0),0),0))</f>
      </c>
      <c r="V67" s="1">
        <f>IF(OR(V$52=0,U18="",V18=""),0,IFERROR(IF(AND(INDEX(Arten,MATCH(U18,Codes,0))="Arbeit",INDEX(Arten,MATCH(V18,Codes,0))="Arbeit"),IF(ROUND((1+INDEX(Beginne,MATCH(V18,Codes,0))-INDEX(EndeRel,MATCH(U18,Codes,0)))*1440,0)&lt;660,1,0),0),0))</f>
      </c>
      <c r="W67" s="1">
        <f>IF(OR(W$52=0,V18="",W18=""),0,IFERROR(IF(AND(INDEX(Arten,MATCH(V18,Codes,0))="Arbeit",INDEX(Arten,MATCH(W18,Codes,0))="Arbeit"),IF(ROUND((1+INDEX(Beginne,MATCH(W18,Codes,0))-INDEX(EndeRel,MATCH(V18,Codes,0)))*1440,0)&lt;660,1,0),0),0))</f>
      </c>
      <c r="X67" s="1">
        <f>IF(OR(X$52=0,W18="",X18=""),0,IFERROR(IF(AND(INDEX(Arten,MATCH(W18,Codes,0))="Arbeit",INDEX(Arten,MATCH(X18,Codes,0))="Arbeit"),IF(ROUND((1+INDEX(Beginne,MATCH(X18,Codes,0))-INDEX(EndeRel,MATCH(W18,Codes,0)))*1440,0)&lt;660,1,0),0),0))</f>
      </c>
      <c r="Y67" s="1">
        <f>IF(OR(Y$52=0,X18="",Y18=""),0,IFERROR(IF(AND(INDEX(Arten,MATCH(X18,Codes,0))="Arbeit",INDEX(Arten,MATCH(Y18,Codes,0))="Arbeit"),IF(ROUND((1+INDEX(Beginne,MATCH(Y18,Codes,0))-INDEX(EndeRel,MATCH(X18,Codes,0)))*1440,0)&lt;660,1,0),0),0))</f>
      </c>
      <c r="Z67" s="1">
        <f>IF(OR(Z$52=0,Y18="",Z18=""),0,IFERROR(IF(AND(INDEX(Arten,MATCH(Y18,Codes,0))="Arbeit",INDEX(Arten,MATCH(Z18,Codes,0))="Arbeit"),IF(ROUND((1+INDEX(Beginne,MATCH(Z18,Codes,0))-INDEX(EndeRel,MATCH(Y18,Codes,0)))*1440,0)&lt;660,1,0),0),0))</f>
      </c>
      <c r="AA67" s="1">
        <f>IF(OR(AA$52=0,Z18="",AA18=""),0,IFERROR(IF(AND(INDEX(Arten,MATCH(Z18,Codes,0))="Arbeit",INDEX(Arten,MATCH(AA18,Codes,0))="Arbeit"),IF(ROUND((1+INDEX(Beginne,MATCH(AA18,Codes,0))-INDEX(EndeRel,MATCH(Z18,Codes,0)))*1440,0)&lt;660,1,0),0),0))</f>
      </c>
      <c r="AB67" s="1">
        <f>IF(OR(AB$52=0,AA18="",AB18=""),0,IFERROR(IF(AND(INDEX(Arten,MATCH(AA18,Codes,0))="Arbeit",INDEX(Arten,MATCH(AB18,Codes,0))="Arbeit"),IF(ROUND((1+INDEX(Beginne,MATCH(AB18,Codes,0))-INDEX(EndeRel,MATCH(AA18,Codes,0)))*1440,0)&lt;660,1,0),0),0))</f>
      </c>
      <c r="AC67" s="1">
        <f>IF(OR(AC$52=0,AB18="",AC18=""),0,IFERROR(IF(AND(INDEX(Arten,MATCH(AB18,Codes,0))="Arbeit",INDEX(Arten,MATCH(AC18,Codes,0))="Arbeit"),IF(ROUND((1+INDEX(Beginne,MATCH(AC18,Codes,0))-INDEX(EndeRel,MATCH(AB18,Codes,0)))*1440,0)&lt;660,1,0),0),0))</f>
      </c>
      <c r="AD67" s="1">
        <f>IF(OR(AD$52=0,AC18="",AD18=""),0,IFERROR(IF(AND(INDEX(Arten,MATCH(AC18,Codes,0))="Arbeit",INDEX(Arten,MATCH(AD18,Codes,0))="Arbeit"),IF(ROUND((1+INDEX(Beginne,MATCH(AD18,Codes,0))-INDEX(EndeRel,MATCH(AC18,Codes,0)))*1440,0)&lt;660,1,0),0),0))</f>
      </c>
      <c r="AE67" s="1">
        <f>IF(OR(AE$52=0,AD18="",AE18=""),0,IFERROR(IF(AND(INDEX(Arten,MATCH(AD18,Codes,0))="Arbeit",INDEX(Arten,MATCH(AE18,Codes,0))="Arbeit"),IF(ROUND((1+INDEX(Beginne,MATCH(AE18,Codes,0))-INDEX(EndeRel,MATCH(AD18,Codes,0)))*1440,0)&lt;660,1,0),0),0))</f>
      </c>
      <c r="AF67" s="1">
        <f>IF(OR(AF$52=0,AE18="",AF18=""),0,IFERROR(IF(AND(INDEX(Arten,MATCH(AE18,Codes,0))="Arbeit",INDEX(Arten,MATCH(AF18,Codes,0))="Arbeit"),IF(ROUND((1+INDEX(Beginne,MATCH(AF18,Codes,0))-INDEX(EndeRel,MATCH(AE18,Codes,0)))*1440,0)&lt;660,1,0),0),0))</f>
      </c>
    </row>
    <row r="68" hidden="1" spans="1:32" x14ac:dyDescent="0.25">
      <c r="A68" s="1"/>
      <c r="B68" s="1">
        <f>IF(OR(B$52=0,INDEX('August'!$B$19:$AF$19,DAY(DATE(Jahr,9,0)))="",B19=""),0,IFERROR(IF(AND(INDEX(Arten,MATCH(INDEX('August'!$B$19:$AF$19,DAY(DATE(Jahr,9,0))),Codes,0))="Arbeit",INDEX(Arten,MATCH(B19,Codes,0))="Arbeit"),IF(ROUND((1+INDEX(Beginne,MATCH(B19,Codes,0))-INDEX(EndeRel,MATCH(INDEX('August'!$B$19:$AF$19,DAY(DATE(Jahr,9,0))),Codes,0)))*1440,0)&lt;660,1,0),0),0))</f>
      </c>
      <c r="C68" s="1">
        <f>IF(OR(C$52=0,B19="",C19=""),0,IFERROR(IF(AND(INDEX(Arten,MATCH(B19,Codes,0))="Arbeit",INDEX(Arten,MATCH(C19,Codes,0))="Arbeit"),IF(ROUND((1+INDEX(Beginne,MATCH(C19,Codes,0))-INDEX(EndeRel,MATCH(B19,Codes,0)))*1440,0)&lt;660,1,0),0),0))</f>
      </c>
      <c r="D68" s="1">
        <f>IF(OR(D$52=0,C19="",D19=""),0,IFERROR(IF(AND(INDEX(Arten,MATCH(C19,Codes,0))="Arbeit",INDEX(Arten,MATCH(D19,Codes,0))="Arbeit"),IF(ROUND((1+INDEX(Beginne,MATCH(D19,Codes,0))-INDEX(EndeRel,MATCH(C19,Codes,0)))*1440,0)&lt;660,1,0),0),0))</f>
      </c>
      <c r="E68" s="1">
        <f>IF(OR(E$52=0,D19="",E19=""),0,IFERROR(IF(AND(INDEX(Arten,MATCH(D19,Codes,0))="Arbeit",INDEX(Arten,MATCH(E19,Codes,0))="Arbeit"),IF(ROUND((1+INDEX(Beginne,MATCH(E19,Codes,0))-INDEX(EndeRel,MATCH(D19,Codes,0)))*1440,0)&lt;660,1,0),0),0))</f>
      </c>
      <c r="F68" s="1">
        <f>IF(OR(F$52=0,E19="",F19=""),0,IFERROR(IF(AND(INDEX(Arten,MATCH(E19,Codes,0))="Arbeit",INDEX(Arten,MATCH(F19,Codes,0))="Arbeit"),IF(ROUND((1+INDEX(Beginne,MATCH(F19,Codes,0))-INDEX(EndeRel,MATCH(E19,Codes,0)))*1440,0)&lt;660,1,0),0),0))</f>
      </c>
      <c r="G68" s="1">
        <f>IF(OR(G$52=0,F19="",G19=""),0,IFERROR(IF(AND(INDEX(Arten,MATCH(F19,Codes,0))="Arbeit",INDEX(Arten,MATCH(G19,Codes,0))="Arbeit"),IF(ROUND((1+INDEX(Beginne,MATCH(G19,Codes,0))-INDEX(EndeRel,MATCH(F19,Codes,0)))*1440,0)&lt;660,1,0),0),0))</f>
      </c>
      <c r="H68" s="1">
        <f>IF(OR(H$52=0,G19="",H19=""),0,IFERROR(IF(AND(INDEX(Arten,MATCH(G19,Codes,0))="Arbeit",INDEX(Arten,MATCH(H19,Codes,0))="Arbeit"),IF(ROUND((1+INDEX(Beginne,MATCH(H19,Codes,0))-INDEX(EndeRel,MATCH(G19,Codes,0)))*1440,0)&lt;660,1,0),0),0))</f>
      </c>
      <c r="I68" s="1">
        <f>IF(OR(I$52=0,H19="",I19=""),0,IFERROR(IF(AND(INDEX(Arten,MATCH(H19,Codes,0))="Arbeit",INDEX(Arten,MATCH(I19,Codes,0))="Arbeit"),IF(ROUND((1+INDEX(Beginne,MATCH(I19,Codes,0))-INDEX(EndeRel,MATCH(H19,Codes,0)))*1440,0)&lt;660,1,0),0),0))</f>
      </c>
      <c r="J68" s="1">
        <f>IF(OR(J$52=0,I19="",J19=""),0,IFERROR(IF(AND(INDEX(Arten,MATCH(I19,Codes,0))="Arbeit",INDEX(Arten,MATCH(J19,Codes,0))="Arbeit"),IF(ROUND((1+INDEX(Beginne,MATCH(J19,Codes,0))-INDEX(EndeRel,MATCH(I19,Codes,0)))*1440,0)&lt;660,1,0),0),0))</f>
      </c>
      <c r="K68" s="1">
        <f>IF(OR(K$52=0,J19="",K19=""),0,IFERROR(IF(AND(INDEX(Arten,MATCH(J19,Codes,0))="Arbeit",INDEX(Arten,MATCH(K19,Codes,0))="Arbeit"),IF(ROUND((1+INDEX(Beginne,MATCH(K19,Codes,0))-INDEX(EndeRel,MATCH(J19,Codes,0)))*1440,0)&lt;660,1,0),0),0))</f>
      </c>
      <c r="L68" s="1">
        <f>IF(OR(L$52=0,K19="",L19=""),0,IFERROR(IF(AND(INDEX(Arten,MATCH(K19,Codes,0))="Arbeit",INDEX(Arten,MATCH(L19,Codes,0))="Arbeit"),IF(ROUND((1+INDEX(Beginne,MATCH(L19,Codes,0))-INDEX(EndeRel,MATCH(K19,Codes,0)))*1440,0)&lt;660,1,0),0),0))</f>
      </c>
      <c r="M68" s="1">
        <f>IF(OR(M$52=0,L19="",M19=""),0,IFERROR(IF(AND(INDEX(Arten,MATCH(L19,Codes,0))="Arbeit",INDEX(Arten,MATCH(M19,Codes,0))="Arbeit"),IF(ROUND((1+INDEX(Beginne,MATCH(M19,Codes,0))-INDEX(EndeRel,MATCH(L19,Codes,0)))*1440,0)&lt;660,1,0),0),0))</f>
      </c>
      <c r="N68" s="1">
        <f>IF(OR(N$52=0,M19="",N19=""),0,IFERROR(IF(AND(INDEX(Arten,MATCH(M19,Codes,0))="Arbeit",INDEX(Arten,MATCH(N19,Codes,0))="Arbeit"),IF(ROUND((1+INDEX(Beginne,MATCH(N19,Codes,0))-INDEX(EndeRel,MATCH(M19,Codes,0)))*1440,0)&lt;660,1,0),0),0))</f>
      </c>
      <c r="O68" s="1">
        <f>IF(OR(O$52=0,N19="",O19=""),0,IFERROR(IF(AND(INDEX(Arten,MATCH(N19,Codes,0))="Arbeit",INDEX(Arten,MATCH(O19,Codes,0))="Arbeit"),IF(ROUND((1+INDEX(Beginne,MATCH(O19,Codes,0))-INDEX(EndeRel,MATCH(N19,Codes,0)))*1440,0)&lt;660,1,0),0),0))</f>
      </c>
      <c r="P68" s="1">
        <f>IF(OR(P$52=0,O19="",P19=""),0,IFERROR(IF(AND(INDEX(Arten,MATCH(O19,Codes,0))="Arbeit",INDEX(Arten,MATCH(P19,Codes,0))="Arbeit"),IF(ROUND((1+INDEX(Beginne,MATCH(P19,Codes,0))-INDEX(EndeRel,MATCH(O19,Codes,0)))*1440,0)&lt;660,1,0),0),0))</f>
      </c>
      <c r="Q68" s="1">
        <f>IF(OR(Q$52=0,P19="",Q19=""),0,IFERROR(IF(AND(INDEX(Arten,MATCH(P19,Codes,0))="Arbeit",INDEX(Arten,MATCH(Q19,Codes,0))="Arbeit"),IF(ROUND((1+INDEX(Beginne,MATCH(Q19,Codes,0))-INDEX(EndeRel,MATCH(P19,Codes,0)))*1440,0)&lt;660,1,0),0),0))</f>
      </c>
      <c r="R68" s="1">
        <f>IF(OR(R$52=0,Q19="",R19=""),0,IFERROR(IF(AND(INDEX(Arten,MATCH(Q19,Codes,0))="Arbeit",INDEX(Arten,MATCH(R19,Codes,0))="Arbeit"),IF(ROUND((1+INDEX(Beginne,MATCH(R19,Codes,0))-INDEX(EndeRel,MATCH(Q19,Codes,0)))*1440,0)&lt;660,1,0),0),0))</f>
      </c>
      <c r="S68" s="1">
        <f>IF(OR(S$52=0,R19="",S19=""),0,IFERROR(IF(AND(INDEX(Arten,MATCH(R19,Codes,0))="Arbeit",INDEX(Arten,MATCH(S19,Codes,0))="Arbeit"),IF(ROUND((1+INDEX(Beginne,MATCH(S19,Codes,0))-INDEX(EndeRel,MATCH(R19,Codes,0)))*1440,0)&lt;660,1,0),0),0))</f>
      </c>
      <c r="T68" s="1">
        <f>IF(OR(T$52=0,S19="",T19=""),0,IFERROR(IF(AND(INDEX(Arten,MATCH(S19,Codes,0))="Arbeit",INDEX(Arten,MATCH(T19,Codes,0))="Arbeit"),IF(ROUND((1+INDEX(Beginne,MATCH(T19,Codes,0))-INDEX(EndeRel,MATCH(S19,Codes,0)))*1440,0)&lt;660,1,0),0),0))</f>
      </c>
      <c r="U68" s="1">
        <f>IF(OR(U$52=0,T19="",U19=""),0,IFERROR(IF(AND(INDEX(Arten,MATCH(T19,Codes,0))="Arbeit",INDEX(Arten,MATCH(U19,Codes,0))="Arbeit"),IF(ROUND((1+INDEX(Beginne,MATCH(U19,Codes,0))-INDEX(EndeRel,MATCH(T19,Codes,0)))*1440,0)&lt;660,1,0),0),0))</f>
      </c>
      <c r="V68" s="1">
        <f>IF(OR(V$52=0,U19="",V19=""),0,IFERROR(IF(AND(INDEX(Arten,MATCH(U19,Codes,0))="Arbeit",INDEX(Arten,MATCH(V19,Codes,0))="Arbeit"),IF(ROUND((1+INDEX(Beginne,MATCH(V19,Codes,0))-INDEX(EndeRel,MATCH(U19,Codes,0)))*1440,0)&lt;660,1,0),0),0))</f>
      </c>
      <c r="W68" s="1">
        <f>IF(OR(W$52=0,V19="",W19=""),0,IFERROR(IF(AND(INDEX(Arten,MATCH(V19,Codes,0))="Arbeit",INDEX(Arten,MATCH(W19,Codes,0))="Arbeit"),IF(ROUND((1+INDEX(Beginne,MATCH(W19,Codes,0))-INDEX(EndeRel,MATCH(V19,Codes,0)))*1440,0)&lt;660,1,0),0),0))</f>
      </c>
      <c r="X68" s="1">
        <f>IF(OR(X$52=0,W19="",X19=""),0,IFERROR(IF(AND(INDEX(Arten,MATCH(W19,Codes,0))="Arbeit",INDEX(Arten,MATCH(X19,Codes,0))="Arbeit"),IF(ROUND((1+INDEX(Beginne,MATCH(X19,Codes,0))-INDEX(EndeRel,MATCH(W19,Codes,0)))*1440,0)&lt;660,1,0),0),0))</f>
      </c>
      <c r="Y68" s="1">
        <f>IF(OR(Y$52=0,X19="",Y19=""),0,IFERROR(IF(AND(INDEX(Arten,MATCH(X19,Codes,0))="Arbeit",INDEX(Arten,MATCH(Y19,Codes,0))="Arbeit"),IF(ROUND((1+INDEX(Beginne,MATCH(Y19,Codes,0))-INDEX(EndeRel,MATCH(X19,Codes,0)))*1440,0)&lt;660,1,0),0),0))</f>
      </c>
      <c r="Z68" s="1">
        <f>IF(OR(Z$52=0,Y19="",Z19=""),0,IFERROR(IF(AND(INDEX(Arten,MATCH(Y19,Codes,0))="Arbeit",INDEX(Arten,MATCH(Z19,Codes,0))="Arbeit"),IF(ROUND((1+INDEX(Beginne,MATCH(Z19,Codes,0))-INDEX(EndeRel,MATCH(Y19,Codes,0)))*1440,0)&lt;660,1,0),0),0))</f>
      </c>
      <c r="AA68" s="1">
        <f>IF(OR(AA$52=0,Z19="",AA19=""),0,IFERROR(IF(AND(INDEX(Arten,MATCH(Z19,Codes,0))="Arbeit",INDEX(Arten,MATCH(AA19,Codes,0))="Arbeit"),IF(ROUND((1+INDEX(Beginne,MATCH(AA19,Codes,0))-INDEX(EndeRel,MATCH(Z19,Codes,0)))*1440,0)&lt;660,1,0),0),0))</f>
      </c>
      <c r="AB68" s="1">
        <f>IF(OR(AB$52=0,AA19="",AB19=""),0,IFERROR(IF(AND(INDEX(Arten,MATCH(AA19,Codes,0))="Arbeit",INDEX(Arten,MATCH(AB19,Codes,0))="Arbeit"),IF(ROUND((1+INDEX(Beginne,MATCH(AB19,Codes,0))-INDEX(EndeRel,MATCH(AA19,Codes,0)))*1440,0)&lt;660,1,0),0),0))</f>
      </c>
      <c r="AC68" s="1">
        <f>IF(OR(AC$52=0,AB19="",AC19=""),0,IFERROR(IF(AND(INDEX(Arten,MATCH(AB19,Codes,0))="Arbeit",INDEX(Arten,MATCH(AC19,Codes,0))="Arbeit"),IF(ROUND((1+INDEX(Beginne,MATCH(AC19,Codes,0))-INDEX(EndeRel,MATCH(AB19,Codes,0)))*1440,0)&lt;660,1,0),0),0))</f>
      </c>
      <c r="AD68" s="1">
        <f>IF(OR(AD$52=0,AC19="",AD19=""),0,IFERROR(IF(AND(INDEX(Arten,MATCH(AC19,Codes,0))="Arbeit",INDEX(Arten,MATCH(AD19,Codes,0))="Arbeit"),IF(ROUND((1+INDEX(Beginne,MATCH(AD19,Codes,0))-INDEX(EndeRel,MATCH(AC19,Codes,0)))*1440,0)&lt;660,1,0),0),0))</f>
      </c>
      <c r="AE68" s="1">
        <f>IF(OR(AE$52=0,AD19="",AE19=""),0,IFERROR(IF(AND(INDEX(Arten,MATCH(AD19,Codes,0))="Arbeit",INDEX(Arten,MATCH(AE19,Codes,0))="Arbeit"),IF(ROUND((1+INDEX(Beginne,MATCH(AE19,Codes,0))-INDEX(EndeRel,MATCH(AD19,Codes,0)))*1440,0)&lt;660,1,0),0),0))</f>
      </c>
      <c r="AF68" s="1">
        <f>IF(OR(AF$52=0,AE19="",AF19=""),0,IFERROR(IF(AND(INDEX(Arten,MATCH(AE19,Codes,0))="Arbeit",INDEX(Arten,MATCH(AF19,Codes,0))="Arbeit"),IF(ROUND((1+INDEX(Beginne,MATCH(AF19,Codes,0))-INDEX(EndeRel,MATCH(AE19,Codes,0)))*1440,0)&lt;660,1,0),0),0))</f>
      </c>
    </row>
    <row r="69" hidden="1" spans="1:32" x14ac:dyDescent="0.25">
      <c r="A69" s="1"/>
      <c r="B69" s="1">
        <f>IF(OR(B$52=0,INDEX('August'!$B$20:$AF$20,DAY(DATE(Jahr,9,0)))="",B20=""),0,IFERROR(IF(AND(INDEX(Arten,MATCH(INDEX('August'!$B$20:$AF$20,DAY(DATE(Jahr,9,0))),Codes,0))="Arbeit",INDEX(Arten,MATCH(B20,Codes,0))="Arbeit"),IF(ROUND((1+INDEX(Beginne,MATCH(B20,Codes,0))-INDEX(EndeRel,MATCH(INDEX('August'!$B$20:$AF$20,DAY(DATE(Jahr,9,0))),Codes,0)))*1440,0)&lt;660,1,0),0),0))</f>
      </c>
      <c r="C69" s="1">
        <f>IF(OR(C$52=0,B20="",C20=""),0,IFERROR(IF(AND(INDEX(Arten,MATCH(B20,Codes,0))="Arbeit",INDEX(Arten,MATCH(C20,Codes,0))="Arbeit"),IF(ROUND((1+INDEX(Beginne,MATCH(C20,Codes,0))-INDEX(EndeRel,MATCH(B20,Codes,0)))*1440,0)&lt;660,1,0),0),0))</f>
      </c>
      <c r="D69" s="1">
        <f>IF(OR(D$52=0,C20="",D20=""),0,IFERROR(IF(AND(INDEX(Arten,MATCH(C20,Codes,0))="Arbeit",INDEX(Arten,MATCH(D20,Codes,0))="Arbeit"),IF(ROUND((1+INDEX(Beginne,MATCH(D20,Codes,0))-INDEX(EndeRel,MATCH(C20,Codes,0)))*1440,0)&lt;660,1,0),0),0))</f>
      </c>
      <c r="E69" s="1">
        <f>IF(OR(E$52=0,D20="",E20=""),0,IFERROR(IF(AND(INDEX(Arten,MATCH(D20,Codes,0))="Arbeit",INDEX(Arten,MATCH(E20,Codes,0))="Arbeit"),IF(ROUND((1+INDEX(Beginne,MATCH(E20,Codes,0))-INDEX(EndeRel,MATCH(D20,Codes,0)))*1440,0)&lt;660,1,0),0),0))</f>
      </c>
      <c r="F69" s="1">
        <f>IF(OR(F$52=0,E20="",F20=""),0,IFERROR(IF(AND(INDEX(Arten,MATCH(E20,Codes,0))="Arbeit",INDEX(Arten,MATCH(F20,Codes,0))="Arbeit"),IF(ROUND((1+INDEX(Beginne,MATCH(F20,Codes,0))-INDEX(EndeRel,MATCH(E20,Codes,0)))*1440,0)&lt;660,1,0),0),0))</f>
      </c>
      <c r="G69" s="1">
        <f>IF(OR(G$52=0,F20="",G20=""),0,IFERROR(IF(AND(INDEX(Arten,MATCH(F20,Codes,0))="Arbeit",INDEX(Arten,MATCH(G20,Codes,0))="Arbeit"),IF(ROUND((1+INDEX(Beginne,MATCH(G20,Codes,0))-INDEX(EndeRel,MATCH(F20,Codes,0)))*1440,0)&lt;660,1,0),0),0))</f>
      </c>
      <c r="H69" s="1">
        <f>IF(OR(H$52=0,G20="",H20=""),0,IFERROR(IF(AND(INDEX(Arten,MATCH(G20,Codes,0))="Arbeit",INDEX(Arten,MATCH(H20,Codes,0))="Arbeit"),IF(ROUND((1+INDEX(Beginne,MATCH(H20,Codes,0))-INDEX(EndeRel,MATCH(G20,Codes,0)))*1440,0)&lt;660,1,0),0),0))</f>
      </c>
      <c r="I69" s="1">
        <f>IF(OR(I$52=0,H20="",I20=""),0,IFERROR(IF(AND(INDEX(Arten,MATCH(H20,Codes,0))="Arbeit",INDEX(Arten,MATCH(I20,Codes,0))="Arbeit"),IF(ROUND((1+INDEX(Beginne,MATCH(I20,Codes,0))-INDEX(EndeRel,MATCH(H20,Codes,0)))*1440,0)&lt;660,1,0),0),0))</f>
      </c>
      <c r="J69" s="1">
        <f>IF(OR(J$52=0,I20="",J20=""),0,IFERROR(IF(AND(INDEX(Arten,MATCH(I20,Codes,0))="Arbeit",INDEX(Arten,MATCH(J20,Codes,0))="Arbeit"),IF(ROUND((1+INDEX(Beginne,MATCH(J20,Codes,0))-INDEX(EndeRel,MATCH(I20,Codes,0)))*1440,0)&lt;660,1,0),0),0))</f>
      </c>
      <c r="K69" s="1">
        <f>IF(OR(K$52=0,J20="",K20=""),0,IFERROR(IF(AND(INDEX(Arten,MATCH(J20,Codes,0))="Arbeit",INDEX(Arten,MATCH(K20,Codes,0))="Arbeit"),IF(ROUND((1+INDEX(Beginne,MATCH(K20,Codes,0))-INDEX(EndeRel,MATCH(J20,Codes,0)))*1440,0)&lt;660,1,0),0),0))</f>
      </c>
      <c r="L69" s="1">
        <f>IF(OR(L$52=0,K20="",L20=""),0,IFERROR(IF(AND(INDEX(Arten,MATCH(K20,Codes,0))="Arbeit",INDEX(Arten,MATCH(L20,Codes,0))="Arbeit"),IF(ROUND((1+INDEX(Beginne,MATCH(L20,Codes,0))-INDEX(EndeRel,MATCH(K20,Codes,0)))*1440,0)&lt;660,1,0),0),0))</f>
      </c>
      <c r="M69" s="1">
        <f>IF(OR(M$52=0,L20="",M20=""),0,IFERROR(IF(AND(INDEX(Arten,MATCH(L20,Codes,0))="Arbeit",INDEX(Arten,MATCH(M20,Codes,0))="Arbeit"),IF(ROUND((1+INDEX(Beginne,MATCH(M20,Codes,0))-INDEX(EndeRel,MATCH(L20,Codes,0)))*1440,0)&lt;660,1,0),0),0))</f>
      </c>
      <c r="N69" s="1">
        <f>IF(OR(N$52=0,M20="",N20=""),0,IFERROR(IF(AND(INDEX(Arten,MATCH(M20,Codes,0))="Arbeit",INDEX(Arten,MATCH(N20,Codes,0))="Arbeit"),IF(ROUND((1+INDEX(Beginne,MATCH(N20,Codes,0))-INDEX(EndeRel,MATCH(M20,Codes,0)))*1440,0)&lt;660,1,0),0),0))</f>
      </c>
      <c r="O69" s="1">
        <f>IF(OR(O$52=0,N20="",O20=""),0,IFERROR(IF(AND(INDEX(Arten,MATCH(N20,Codes,0))="Arbeit",INDEX(Arten,MATCH(O20,Codes,0))="Arbeit"),IF(ROUND((1+INDEX(Beginne,MATCH(O20,Codes,0))-INDEX(EndeRel,MATCH(N20,Codes,0)))*1440,0)&lt;660,1,0),0),0))</f>
      </c>
      <c r="P69" s="1">
        <f>IF(OR(P$52=0,O20="",P20=""),0,IFERROR(IF(AND(INDEX(Arten,MATCH(O20,Codes,0))="Arbeit",INDEX(Arten,MATCH(P20,Codes,0))="Arbeit"),IF(ROUND((1+INDEX(Beginne,MATCH(P20,Codes,0))-INDEX(EndeRel,MATCH(O20,Codes,0)))*1440,0)&lt;660,1,0),0),0))</f>
      </c>
      <c r="Q69" s="1">
        <f>IF(OR(Q$52=0,P20="",Q20=""),0,IFERROR(IF(AND(INDEX(Arten,MATCH(P20,Codes,0))="Arbeit",INDEX(Arten,MATCH(Q20,Codes,0))="Arbeit"),IF(ROUND((1+INDEX(Beginne,MATCH(Q20,Codes,0))-INDEX(EndeRel,MATCH(P20,Codes,0)))*1440,0)&lt;660,1,0),0),0))</f>
      </c>
      <c r="R69" s="1">
        <f>IF(OR(R$52=0,Q20="",R20=""),0,IFERROR(IF(AND(INDEX(Arten,MATCH(Q20,Codes,0))="Arbeit",INDEX(Arten,MATCH(R20,Codes,0))="Arbeit"),IF(ROUND((1+INDEX(Beginne,MATCH(R20,Codes,0))-INDEX(EndeRel,MATCH(Q20,Codes,0)))*1440,0)&lt;660,1,0),0),0))</f>
      </c>
      <c r="S69" s="1">
        <f>IF(OR(S$52=0,R20="",S20=""),0,IFERROR(IF(AND(INDEX(Arten,MATCH(R20,Codes,0))="Arbeit",INDEX(Arten,MATCH(S20,Codes,0))="Arbeit"),IF(ROUND((1+INDEX(Beginne,MATCH(S20,Codes,0))-INDEX(EndeRel,MATCH(R20,Codes,0)))*1440,0)&lt;660,1,0),0),0))</f>
      </c>
      <c r="T69" s="1">
        <f>IF(OR(T$52=0,S20="",T20=""),0,IFERROR(IF(AND(INDEX(Arten,MATCH(S20,Codes,0))="Arbeit",INDEX(Arten,MATCH(T20,Codes,0))="Arbeit"),IF(ROUND((1+INDEX(Beginne,MATCH(T20,Codes,0))-INDEX(EndeRel,MATCH(S20,Codes,0)))*1440,0)&lt;660,1,0),0),0))</f>
      </c>
      <c r="U69" s="1">
        <f>IF(OR(U$52=0,T20="",U20=""),0,IFERROR(IF(AND(INDEX(Arten,MATCH(T20,Codes,0))="Arbeit",INDEX(Arten,MATCH(U20,Codes,0))="Arbeit"),IF(ROUND((1+INDEX(Beginne,MATCH(U20,Codes,0))-INDEX(EndeRel,MATCH(T20,Codes,0)))*1440,0)&lt;660,1,0),0),0))</f>
      </c>
      <c r="V69" s="1">
        <f>IF(OR(V$52=0,U20="",V20=""),0,IFERROR(IF(AND(INDEX(Arten,MATCH(U20,Codes,0))="Arbeit",INDEX(Arten,MATCH(V20,Codes,0))="Arbeit"),IF(ROUND((1+INDEX(Beginne,MATCH(V20,Codes,0))-INDEX(EndeRel,MATCH(U20,Codes,0)))*1440,0)&lt;660,1,0),0),0))</f>
      </c>
      <c r="W69" s="1">
        <f>IF(OR(W$52=0,V20="",W20=""),0,IFERROR(IF(AND(INDEX(Arten,MATCH(V20,Codes,0))="Arbeit",INDEX(Arten,MATCH(W20,Codes,0))="Arbeit"),IF(ROUND((1+INDEX(Beginne,MATCH(W20,Codes,0))-INDEX(EndeRel,MATCH(V20,Codes,0)))*1440,0)&lt;660,1,0),0),0))</f>
      </c>
      <c r="X69" s="1">
        <f>IF(OR(X$52=0,W20="",X20=""),0,IFERROR(IF(AND(INDEX(Arten,MATCH(W20,Codes,0))="Arbeit",INDEX(Arten,MATCH(X20,Codes,0))="Arbeit"),IF(ROUND((1+INDEX(Beginne,MATCH(X20,Codes,0))-INDEX(EndeRel,MATCH(W20,Codes,0)))*1440,0)&lt;660,1,0),0),0))</f>
      </c>
      <c r="Y69" s="1">
        <f>IF(OR(Y$52=0,X20="",Y20=""),0,IFERROR(IF(AND(INDEX(Arten,MATCH(X20,Codes,0))="Arbeit",INDEX(Arten,MATCH(Y20,Codes,0))="Arbeit"),IF(ROUND((1+INDEX(Beginne,MATCH(Y20,Codes,0))-INDEX(EndeRel,MATCH(X20,Codes,0)))*1440,0)&lt;660,1,0),0),0))</f>
      </c>
      <c r="Z69" s="1">
        <f>IF(OR(Z$52=0,Y20="",Z20=""),0,IFERROR(IF(AND(INDEX(Arten,MATCH(Y20,Codes,0))="Arbeit",INDEX(Arten,MATCH(Z20,Codes,0))="Arbeit"),IF(ROUND((1+INDEX(Beginne,MATCH(Z20,Codes,0))-INDEX(EndeRel,MATCH(Y20,Codes,0)))*1440,0)&lt;660,1,0),0),0))</f>
      </c>
      <c r="AA69" s="1">
        <f>IF(OR(AA$52=0,Z20="",AA20=""),0,IFERROR(IF(AND(INDEX(Arten,MATCH(Z20,Codes,0))="Arbeit",INDEX(Arten,MATCH(AA20,Codes,0))="Arbeit"),IF(ROUND((1+INDEX(Beginne,MATCH(AA20,Codes,0))-INDEX(EndeRel,MATCH(Z20,Codes,0)))*1440,0)&lt;660,1,0),0),0))</f>
      </c>
      <c r="AB69" s="1">
        <f>IF(OR(AB$52=0,AA20="",AB20=""),0,IFERROR(IF(AND(INDEX(Arten,MATCH(AA20,Codes,0))="Arbeit",INDEX(Arten,MATCH(AB20,Codes,0))="Arbeit"),IF(ROUND((1+INDEX(Beginne,MATCH(AB20,Codes,0))-INDEX(EndeRel,MATCH(AA20,Codes,0)))*1440,0)&lt;660,1,0),0),0))</f>
      </c>
      <c r="AC69" s="1">
        <f>IF(OR(AC$52=0,AB20="",AC20=""),0,IFERROR(IF(AND(INDEX(Arten,MATCH(AB20,Codes,0))="Arbeit",INDEX(Arten,MATCH(AC20,Codes,0))="Arbeit"),IF(ROUND((1+INDEX(Beginne,MATCH(AC20,Codes,0))-INDEX(EndeRel,MATCH(AB20,Codes,0)))*1440,0)&lt;660,1,0),0),0))</f>
      </c>
      <c r="AD69" s="1">
        <f>IF(OR(AD$52=0,AC20="",AD20=""),0,IFERROR(IF(AND(INDEX(Arten,MATCH(AC20,Codes,0))="Arbeit",INDEX(Arten,MATCH(AD20,Codes,0))="Arbeit"),IF(ROUND((1+INDEX(Beginne,MATCH(AD20,Codes,0))-INDEX(EndeRel,MATCH(AC20,Codes,0)))*1440,0)&lt;660,1,0),0),0))</f>
      </c>
      <c r="AE69" s="1">
        <f>IF(OR(AE$52=0,AD20="",AE20=""),0,IFERROR(IF(AND(INDEX(Arten,MATCH(AD20,Codes,0))="Arbeit",INDEX(Arten,MATCH(AE20,Codes,0))="Arbeit"),IF(ROUND((1+INDEX(Beginne,MATCH(AE20,Codes,0))-INDEX(EndeRel,MATCH(AD20,Codes,0)))*1440,0)&lt;660,1,0),0),0))</f>
      </c>
      <c r="AF69" s="1">
        <f>IF(OR(AF$52=0,AE20="",AF20=""),0,IFERROR(IF(AND(INDEX(Arten,MATCH(AE20,Codes,0))="Arbeit",INDEX(Arten,MATCH(AF20,Codes,0))="Arbeit"),IF(ROUND((1+INDEX(Beginne,MATCH(AF20,Codes,0))-INDEX(EndeRel,MATCH(AE20,Codes,0)))*1440,0)&lt;660,1,0),0),0))</f>
      </c>
    </row>
    <row r="70" hidden="1" spans="1:32" x14ac:dyDescent="0.25">
      <c r="A70" s="1"/>
      <c r="B70" s="1">
        <f>IF(OR(B$52=0,INDEX('August'!$B$21:$AF$21,DAY(DATE(Jahr,9,0)))="",B21=""),0,IFERROR(IF(AND(INDEX(Arten,MATCH(INDEX('August'!$B$21:$AF$21,DAY(DATE(Jahr,9,0))),Codes,0))="Arbeit",INDEX(Arten,MATCH(B21,Codes,0))="Arbeit"),IF(ROUND((1+INDEX(Beginne,MATCH(B21,Codes,0))-INDEX(EndeRel,MATCH(INDEX('August'!$B$21:$AF$21,DAY(DATE(Jahr,9,0))),Codes,0)))*1440,0)&lt;660,1,0),0),0))</f>
      </c>
      <c r="C70" s="1">
        <f>IF(OR(C$52=0,B21="",C21=""),0,IFERROR(IF(AND(INDEX(Arten,MATCH(B21,Codes,0))="Arbeit",INDEX(Arten,MATCH(C21,Codes,0))="Arbeit"),IF(ROUND((1+INDEX(Beginne,MATCH(C21,Codes,0))-INDEX(EndeRel,MATCH(B21,Codes,0)))*1440,0)&lt;660,1,0),0),0))</f>
      </c>
      <c r="D70" s="1">
        <f>IF(OR(D$52=0,C21="",D21=""),0,IFERROR(IF(AND(INDEX(Arten,MATCH(C21,Codes,0))="Arbeit",INDEX(Arten,MATCH(D21,Codes,0))="Arbeit"),IF(ROUND((1+INDEX(Beginne,MATCH(D21,Codes,0))-INDEX(EndeRel,MATCH(C21,Codes,0)))*1440,0)&lt;660,1,0),0),0))</f>
      </c>
      <c r="E70" s="1">
        <f>IF(OR(E$52=0,D21="",E21=""),0,IFERROR(IF(AND(INDEX(Arten,MATCH(D21,Codes,0))="Arbeit",INDEX(Arten,MATCH(E21,Codes,0))="Arbeit"),IF(ROUND((1+INDEX(Beginne,MATCH(E21,Codes,0))-INDEX(EndeRel,MATCH(D21,Codes,0)))*1440,0)&lt;660,1,0),0),0))</f>
      </c>
      <c r="F70" s="1">
        <f>IF(OR(F$52=0,E21="",F21=""),0,IFERROR(IF(AND(INDEX(Arten,MATCH(E21,Codes,0))="Arbeit",INDEX(Arten,MATCH(F21,Codes,0))="Arbeit"),IF(ROUND((1+INDEX(Beginne,MATCH(F21,Codes,0))-INDEX(EndeRel,MATCH(E21,Codes,0)))*1440,0)&lt;660,1,0),0),0))</f>
      </c>
      <c r="G70" s="1">
        <f>IF(OR(G$52=0,F21="",G21=""),0,IFERROR(IF(AND(INDEX(Arten,MATCH(F21,Codes,0))="Arbeit",INDEX(Arten,MATCH(G21,Codes,0))="Arbeit"),IF(ROUND((1+INDEX(Beginne,MATCH(G21,Codes,0))-INDEX(EndeRel,MATCH(F21,Codes,0)))*1440,0)&lt;660,1,0),0),0))</f>
      </c>
      <c r="H70" s="1">
        <f>IF(OR(H$52=0,G21="",H21=""),0,IFERROR(IF(AND(INDEX(Arten,MATCH(G21,Codes,0))="Arbeit",INDEX(Arten,MATCH(H21,Codes,0))="Arbeit"),IF(ROUND((1+INDEX(Beginne,MATCH(H21,Codes,0))-INDEX(EndeRel,MATCH(G21,Codes,0)))*1440,0)&lt;660,1,0),0),0))</f>
      </c>
      <c r="I70" s="1">
        <f>IF(OR(I$52=0,H21="",I21=""),0,IFERROR(IF(AND(INDEX(Arten,MATCH(H21,Codes,0))="Arbeit",INDEX(Arten,MATCH(I21,Codes,0))="Arbeit"),IF(ROUND((1+INDEX(Beginne,MATCH(I21,Codes,0))-INDEX(EndeRel,MATCH(H21,Codes,0)))*1440,0)&lt;660,1,0),0),0))</f>
      </c>
      <c r="J70" s="1">
        <f>IF(OR(J$52=0,I21="",J21=""),0,IFERROR(IF(AND(INDEX(Arten,MATCH(I21,Codes,0))="Arbeit",INDEX(Arten,MATCH(J21,Codes,0))="Arbeit"),IF(ROUND((1+INDEX(Beginne,MATCH(J21,Codes,0))-INDEX(EndeRel,MATCH(I21,Codes,0)))*1440,0)&lt;660,1,0),0),0))</f>
      </c>
      <c r="K70" s="1">
        <f>IF(OR(K$52=0,J21="",K21=""),0,IFERROR(IF(AND(INDEX(Arten,MATCH(J21,Codes,0))="Arbeit",INDEX(Arten,MATCH(K21,Codes,0))="Arbeit"),IF(ROUND((1+INDEX(Beginne,MATCH(K21,Codes,0))-INDEX(EndeRel,MATCH(J21,Codes,0)))*1440,0)&lt;660,1,0),0),0))</f>
      </c>
      <c r="L70" s="1">
        <f>IF(OR(L$52=0,K21="",L21=""),0,IFERROR(IF(AND(INDEX(Arten,MATCH(K21,Codes,0))="Arbeit",INDEX(Arten,MATCH(L21,Codes,0))="Arbeit"),IF(ROUND((1+INDEX(Beginne,MATCH(L21,Codes,0))-INDEX(EndeRel,MATCH(K21,Codes,0)))*1440,0)&lt;660,1,0),0),0))</f>
      </c>
      <c r="M70" s="1">
        <f>IF(OR(M$52=0,L21="",M21=""),0,IFERROR(IF(AND(INDEX(Arten,MATCH(L21,Codes,0))="Arbeit",INDEX(Arten,MATCH(M21,Codes,0))="Arbeit"),IF(ROUND((1+INDEX(Beginne,MATCH(M21,Codes,0))-INDEX(EndeRel,MATCH(L21,Codes,0)))*1440,0)&lt;660,1,0),0),0))</f>
      </c>
      <c r="N70" s="1">
        <f>IF(OR(N$52=0,M21="",N21=""),0,IFERROR(IF(AND(INDEX(Arten,MATCH(M21,Codes,0))="Arbeit",INDEX(Arten,MATCH(N21,Codes,0))="Arbeit"),IF(ROUND((1+INDEX(Beginne,MATCH(N21,Codes,0))-INDEX(EndeRel,MATCH(M21,Codes,0)))*1440,0)&lt;660,1,0),0),0))</f>
      </c>
      <c r="O70" s="1">
        <f>IF(OR(O$52=0,N21="",O21=""),0,IFERROR(IF(AND(INDEX(Arten,MATCH(N21,Codes,0))="Arbeit",INDEX(Arten,MATCH(O21,Codes,0))="Arbeit"),IF(ROUND((1+INDEX(Beginne,MATCH(O21,Codes,0))-INDEX(EndeRel,MATCH(N21,Codes,0)))*1440,0)&lt;660,1,0),0),0))</f>
      </c>
      <c r="P70" s="1">
        <f>IF(OR(P$52=0,O21="",P21=""),0,IFERROR(IF(AND(INDEX(Arten,MATCH(O21,Codes,0))="Arbeit",INDEX(Arten,MATCH(P21,Codes,0))="Arbeit"),IF(ROUND((1+INDEX(Beginne,MATCH(P21,Codes,0))-INDEX(EndeRel,MATCH(O21,Codes,0)))*1440,0)&lt;660,1,0),0),0))</f>
      </c>
      <c r="Q70" s="1">
        <f>IF(OR(Q$52=0,P21="",Q21=""),0,IFERROR(IF(AND(INDEX(Arten,MATCH(P21,Codes,0))="Arbeit",INDEX(Arten,MATCH(Q21,Codes,0))="Arbeit"),IF(ROUND((1+INDEX(Beginne,MATCH(Q21,Codes,0))-INDEX(EndeRel,MATCH(P21,Codes,0)))*1440,0)&lt;660,1,0),0),0))</f>
      </c>
      <c r="R70" s="1">
        <f>IF(OR(R$52=0,Q21="",R21=""),0,IFERROR(IF(AND(INDEX(Arten,MATCH(Q21,Codes,0))="Arbeit",INDEX(Arten,MATCH(R21,Codes,0))="Arbeit"),IF(ROUND((1+INDEX(Beginne,MATCH(R21,Codes,0))-INDEX(EndeRel,MATCH(Q21,Codes,0)))*1440,0)&lt;660,1,0),0),0))</f>
      </c>
      <c r="S70" s="1">
        <f>IF(OR(S$52=0,R21="",S21=""),0,IFERROR(IF(AND(INDEX(Arten,MATCH(R21,Codes,0))="Arbeit",INDEX(Arten,MATCH(S21,Codes,0))="Arbeit"),IF(ROUND((1+INDEX(Beginne,MATCH(S21,Codes,0))-INDEX(EndeRel,MATCH(R21,Codes,0)))*1440,0)&lt;660,1,0),0),0))</f>
      </c>
      <c r="T70" s="1">
        <f>IF(OR(T$52=0,S21="",T21=""),0,IFERROR(IF(AND(INDEX(Arten,MATCH(S21,Codes,0))="Arbeit",INDEX(Arten,MATCH(T21,Codes,0))="Arbeit"),IF(ROUND((1+INDEX(Beginne,MATCH(T21,Codes,0))-INDEX(EndeRel,MATCH(S21,Codes,0)))*1440,0)&lt;660,1,0),0),0))</f>
      </c>
      <c r="U70" s="1">
        <f>IF(OR(U$52=0,T21="",U21=""),0,IFERROR(IF(AND(INDEX(Arten,MATCH(T21,Codes,0))="Arbeit",INDEX(Arten,MATCH(U21,Codes,0))="Arbeit"),IF(ROUND((1+INDEX(Beginne,MATCH(U21,Codes,0))-INDEX(EndeRel,MATCH(T21,Codes,0)))*1440,0)&lt;660,1,0),0),0))</f>
      </c>
      <c r="V70" s="1">
        <f>IF(OR(V$52=0,U21="",V21=""),0,IFERROR(IF(AND(INDEX(Arten,MATCH(U21,Codes,0))="Arbeit",INDEX(Arten,MATCH(V21,Codes,0))="Arbeit"),IF(ROUND((1+INDEX(Beginne,MATCH(V21,Codes,0))-INDEX(EndeRel,MATCH(U21,Codes,0)))*1440,0)&lt;660,1,0),0),0))</f>
      </c>
      <c r="W70" s="1">
        <f>IF(OR(W$52=0,V21="",W21=""),0,IFERROR(IF(AND(INDEX(Arten,MATCH(V21,Codes,0))="Arbeit",INDEX(Arten,MATCH(W21,Codes,0))="Arbeit"),IF(ROUND((1+INDEX(Beginne,MATCH(W21,Codes,0))-INDEX(EndeRel,MATCH(V21,Codes,0)))*1440,0)&lt;660,1,0),0),0))</f>
      </c>
      <c r="X70" s="1">
        <f>IF(OR(X$52=0,W21="",X21=""),0,IFERROR(IF(AND(INDEX(Arten,MATCH(W21,Codes,0))="Arbeit",INDEX(Arten,MATCH(X21,Codes,0))="Arbeit"),IF(ROUND((1+INDEX(Beginne,MATCH(X21,Codes,0))-INDEX(EndeRel,MATCH(W21,Codes,0)))*1440,0)&lt;660,1,0),0),0))</f>
      </c>
      <c r="Y70" s="1">
        <f>IF(OR(Y$52=0,X21="",Y21=""),0,IFERROR(IF(AND(INDEX(Arten,MATCH(X21,Codes,0))="Arbeit",INDEX(Arten,MATCH(Y21,Codes,0))="Arbeit"),IF(ROUND((1+INDEX(Beginne,MATCH(Y21,Codes,0))-INDEX(EndeRel,MATCH(X21,Codes,0)))*1440,0)&lt;660,1,0),0),0))</f>
      </c>
      <c r="Z70" s="1">
        <f>IF(OR(Z$52=0,Y21="",Z21=""),0,IFERROR(IF(AND(INDEX(Arten,MATCH(Y21,Codes,0))="Arbeit",INDEX(Arten,MATCH(Z21,Codes,0))="Arbeit"),IF(ROUND((1+INDEX(Beginne,MATCH(Z21,Codes,0))-INDEX(EndeRel,MATCH(Y21,Codes,0)))*1440,0)&lt;660,1,0),0),0))</f>
      </c>
      <c r="AA70" s="1">
        <f>IF(OR(AA$52=0,Z21="",AA21=""),0,IFERROR(IF(AND(INDEX(Arten,MATCH(Z21,Codes,0))="Arbeit",INDEX(Arten,MATCH(AA21,Codes,0))="Arbeit"),IF(ROUND((1+INDEX(Beginne,MATCH(AA21,Codes,0))-INDEX(EndeRel,MATCH(Z21,Codes,0)))*1440,0)&lt;660,1,0),0),0))</f>
      </c>
      <c r="AB70" s="1">
        <f>IF(OR(AB$52=0,AA21="",AB21=""),0,IFERROR(IF(AND(INDEX(Arten,MATCH(AA21,Codes,0))="Arbeit",INDEX(Arten,MATCH(AB21,Codes,0))="Arbeit"),IF(ROUND((1+INDEX(Beginne,MATCH(AB21,Codes,0))-INDEX(EndeRel,MATCH(AA21,Codes,0)))*1440,0)&lt;660,1,0),0),0))</f>
      </c>
      <c r="AC70" s="1">
        <f>IF(OR(AC$52=0,AB21="",AC21=""),0,IFERROR(IF(AND(INDEX(Arten,MATCH(AB21,Codes,0))="Arbeit",INDEX(Arten,MATCH(AC21,Codes,0))="Arbeit"),IF(ROUND((1+INDEX(Beginne,MATCH(AC21,Codes,0))-INDEX(EndeRel,MATCH(AB21,Codes,0)))*1440,0)&lt;660,1,0),0),0))</f>
      </c>
      <c r="AD70" s="1">
        <f>IF(OR(AD$52=0,AC21="",AD21=""),0,IFERROR(IF(AND(INDEX(Arten,MATCH(AC21,Codes,0))="Arbeit",INDEX(Arten,MATCH(AD21,Codes,0))="Arbeit"),IF(ROUND((1+INDEX(Beginne,MATCH(AD21,Codes,0))-INDEX(EndeRel,MATCH(AC21,Codes,0)))*1440,0)&lt;660,1,0),0),0))</f>
      </c>
      <c r="AE70" s="1">
        <f>IF(OR(AE$52=0,AD21="",AE21=""),0,IFERROR(IF(AND(INDEX(Arten,MATCH(AD21,Codes,0))="Arbeit",INDEX(Arten,MATCH(AE21,Codes,0))="Arbeit"),IF(ROUND((1+INDEX(Beginne,MATCH(AE21,Codes,0))-INDEX(EndeRel,MATCH(AD21,Codes,0)))*1440,0)&lt;660,1,0),0),0))</f>
      </c>
      <c r="AF70" s="1">
        <f>IF(OR(AF$52=0,AE21="",AF21=""),0,IFERROR(IF(AND(INDEX(Arten,MATCH(AE21,Codes,0))="Arbeit",INDEX(Arten,MATCH(AF21,Codes,0))="Arbeit"),IF(ROUND((1+INDEX(Beginne,MATCH(AF21,Codes,0))-INDEX(EndeRel,MATCH(AE21,Codes,0)))*1440,0)&lt;660,1,0),0),0))</f>
      </c>
    </row>
    <row r="71" hidden="1" spans="1:32" x14ac:dyDescent="0.25">
      <c r="A71" s="1"/>
      <c r="B71" s="1">
        <f>IF(OR(B$52=0,INDEX('August'!$B$22:$AF$22,DAY(DATE(Jahr,9,0)))="",B22=""),0,IFERROR(IF(AND(INDEX(Arten,MATCH(INDEX('August'!$B$22:$AF$22,DAY(DATE(Jahr,9,0))),Codes,0))="Arbeit",INDEX(Arten,MATCH(B22,Codes,0))="Arbeit"),IF(ROUND((1+INDEX(Beginne,MATCH(B22,Codes,0))-INDEX(EndeRel,MATCH(INDEX('August'!$B$22:$AF$22,DAY(DATE(Jahr,9,0))),Codes,0)))*1440,0)&lt;660,1,0),0),0))</f>
      </c>
      <c r="C71" s="1">
        <f>IF(OR(C$52=0,B22="",C22=""),0,IFERROR(IF(AND(INDEX(Arten,MATCH(B22,Codes,0))="Arbeit",INDEX(Arten,MATCH(C22,Codes,0))="Arbeit"),IF(ROUND((1+INDEX(Beginne,MATCH(C22,Codes,0))-INDEX(EndeRel,MATCH(B22,Codes,0)))*1440,0)&lt;660,1,0),0),0))</f>
      </c>
      <c r="D71" s="1">
        <f>IF(OR(D$52=0,C22="",D22=""),0,IFERROR(IF(AND(INDEX(Arten,MATCH(C22,Codes,0))="Arbeit",INDEX(Arten,MATCH(D22,Codes,0))="Arbeit"),IF(ROUND((1+INDEX(Beginne,MATCH(D22,Codes,0))-INDEX(EndeRel,MATCH(C22,Codes,0)))*1440,0)&lt;660,1,0),0),0))</f>
      </c>
      <c r="E71" s="1">
        <f>IF(OR(E$52=0,D22="",E22=""),0,IFERROR(IF(AND(INDEX(Arten,MATCH(D22,Codes,0))="Arbeit",INDEX(Arten,MATCH(E22,Codes,0))="Arbeit"),IF(ROUND((1+INDEX(Beginne,MATCH(E22,Codes,0))-INDEX(EndeRel,MATCH(D22,Codes,0)))*1440,0)&lt;660,1,0),0),0))</f>
      </c>
      <c r="F71" s="1">
        <f>IF(OR(F$52=0,E22="",F22=""),0,IFERROR(IF(AND(INDEX(Arten,MATCH(E22,Codes,0))="Arbeit",INDEX(Arten,MATCH(F22,Codes,0))="Arbeit"),IF(ROUND((1+INDEX(Beginne,MATCH(F22,Codes,0))-INDEX(EndeRel,MATCH(E22,Codes,0)))*1440,0)&lt;660,1,0),0),0))</f>
      </c>
      <c r="G71" s="1">
        <f>IF(OR(G$52=0,F22="",G22=""),0,IFERROR(IF(AND(INDEX(Arten,MATCH(F22,Codes,0))="Arbeit",INDEX(Arten,MATCH(G22,Codes,0))="Arbeit"),IF(ROUND((1+INDEX(Beginne,MATCH(G22,Codes,0))-INDEX(EndeRel,MATCH(F22,Codes,0)))*1440,0)&lt;660,1,0),0),0))</f>
      </c>
      <c r="H71" s="1">
        <f>IF(OR(H$52=0,G22="",H22=""),0,IFERROR(IF(AND(INDEX(Arten,MATCH(G22,Codes,0))="Arbeit",INDEX(Arten,MATCH(H22,Codes,0))="Arbeit"),IF(ROUND((1+INDEX(Beginne,MATCH(H22,Codes,0))-INDEX(EndeRel,MATCH(G22,Codes,0)))*1440,0)&lt;660,1,0),0),0))</f>
      </c>
      <c r="I71" s="1">
        <f>IF(OR(I$52=0,H22="",I22=""),0,IFERROR(IF(AND(INDEX(Arten,MATCH(H22,Codes,0))="Arbeit",INDEX(Arten,MATCH(I22,Codes,0))="Arbeit"),IF(ROUND((1+INDEX(Beginne,MATCH(I22,Codes,0))-INDEX(EndeRel,MATCH(H22,Codes,0)))*1440,0)&lt;660,1,0),0),0))</f>
      </c>
      <c r="J71" s="1">
        <f>IF(OR(J$52=0,I22="",J22=""),0,IFERROR(IF(AND(INDEX(Arten,MATCH(I22,Codes,0))="Arbeit",INDEX(Arten,MATCH(J22,Codes,0))="Arbeit"),IF(ROUND((1+INDEX(Beginne,MATCH(J22,Codes,0))-INDEX(EndeRel,MATCH(I22,Codes,0)))*1440,0)&lt;660,1,0),0),0))</f>
      </c>
      <c r="K71" s="1">
        <f>IF(OR(K$52=0,J22="",K22=""),0,IFERROR(IF(AND(INDEX(Arten,MATCH(J22,Codes,0))="Arbeit",INDEX(Arten,MATCH(K22,Codes,0))="Arbeit"),IF(ROUND((1+INDEX(Beginne,MATCH(K22,Codes,0))-INDEX(EndeRel,MATCH(J22,Codes,0)))*1440,0)&lt;660,1,0),0),0))</f>
      </c>
      <c r="L71" s="1">
        <f>IF(OR(L$52=0,K22="",L22=""),0,IFERROR(IF(AND(INDEX(Arten,MATCH(K22,Codes,0))="Arbeit",INDEX(Arten,MATCH(L22,Codes,0))="Arbeit"),IF(ROUND((1+INDEX(Beginne,MATCH(L22,Codes,0))-INDEX(EndeRel,MATCH(K22,Codes,0)))*1440,0)&lt;660,1,0),0),0))</f>
      </c>
      <c r="M71" s="1">
        <f>IF(OR(M$52=0,L22="",M22=""),0,IFERROR(IF(AND(INDEX(Arten,MATCH(L22,Codes,0))="Arbeit",INDEX(Arten,MATCH(M22,Codes,0))="Arbeit"),IF(ROUND((1+INDEX(Beginne,MATCH(M22,Codes,0))-INDEX(EndeRel,MATCH(L22,Codes,0)))*1440,0)&lt;660,1,0),0),0))</f>
      </c>
      <c r="N71" s="1">
        <f>IF(OR(N$52=0,M22="",N22=""),0,IFERROR(IF(AND(INDEX(Arten,MATCH(M22,Codes,0))="Arbeit",INDEX(Arten,MATCH(N22,Codes,0))="Arbeit"),IF(ROUND((1+INDEX(Beginne,MATCH(N22,Codes,0))-INDEX(EndeRel,MATCH(M22,Codes,0)))*1440,0)&lt;660,1,0),0),0))</f>
      </c>
      <c r="O71" s="1">
        <f>IF(OR(O$52=0,N22="",O22=""),0,IFERROR(IF(AND(INDEX(Arten,MATCH(N22,Codes,0))="Arbeit",INDEX(Arten,MATCH(O22,Codes,0))="Arbeit"),IF(ROUND((1+INDEX(Beginne,MATCH(O22,Codes,0))-INDEX(EndeRel,MATCH(N22,Codes,0)))*1440,0)&lt;660,1,0),0),0))</f>
      </c>
      <c r="P71" s="1">
        <f>IF(OR(P$52=0,O22="",P22=""),0,IFERROR(IF(AND(INDEX(Arten,MATCH(O22,Codes,0))="Arbeit",INDEX(Arten,MATCH(P22,Codes,0))="Arbeit"),IF(ROUND((1+INDEX(Beginne,MATCH(P22,Codes,0))-INDEX(EndeRel,MATCH(O22,Codes,0)))*1440,0)&lt;660,1,0),0),0))</f>
      </c>
      <c r="Q71" s="1">
        <f>IF(OR(Q$52=0,P22="",Q22=""),0,IFERROR(IF(AND(INDEX(Arten,MATCH(P22,Codes,0))="Arbeit",INDEX(Arten,MATCH(Q22,Codes,0))="Arbeit"),IF(ROUND((1+INDEX(Beginne,MATCH(Q22,Codes,0))-INDEX(EndeRel,MATCH(P22,Codes,0)))*1440,0)&lt;660,1,0),0),0))</f>
      </c>
      <c r="R71" s="1">
        <f>IF(OR(R$52=0,Q22="",R22=""),0,IFERROR(IF(AND(INDEX(Arten,MATCH(Q22,Codes,0))="Arbeit",INDEX(Arten,MATCH(R22,Codes,0))="Arbeit"),IF(ROUND((1+INDEX(Beginne,MATCH(R22,Codes,0))-INDEX(EndeRel,MATCH(Q22,Codes,0)))*1440,0)&lt;660,1,0),0),0))</f>
      </c>
      <c r="S71" s="1">
        <f>IF(OR(S$52=0,R22="",S22=""),0,IFERROR(IF(AND(INDEX(Arten,MATCH(R22,Codes,0))="Arbeit",INDEX(Arten,MATCH(S22,Codes,0))="Arbeit"),IF(ROUND((1+INDEX(Beginne,MATCH(S22,Codes,0))-INDEX(EndeRel,MATCH(R22,Codes,0)))*1440,0)&lt;660,1,0),0),0))</f>
      </c>
      <c r="T71" s="1">
        <f>IF(OR(T$52=0,S22="",T22=""),0,IFERROR(IF(AND(INDEX(Arten,MATCH(S22,Codes,0))="Arbeit",INDEX(Arten,MATCH(T22,Codes,0))="Arbeit"),IF(ROUND((1+INDEX(Beginne,MATCH(T22,Codes,0))-INDEX(EndeRel,MATCH(S22,Codes,0)))*1440,0)&lt;660,1,0),0),0))</f>
      </c>
      <c r="U71" s="1">
        <f>IF(OR(U$52=0,T22="",U22=""),0,IFERROR(IF(AND(INDEX(Arten,MATCH(T22,Codes,0))="Arbeit",INDEX(Arten,MATCH(U22,Codes,0))="Arbeit"),IF(ROUND((1+INDEX(Beginne,MATCH(U22,Codes,0))-INDEX(EndeRel,MATCH(T22,Codes,0)))*1440,0)&lt;660,1,0),0),0))</f>
      </c>
      <c r="V71" s="1">
        <f>IF(OR(V$52=0,U22="",V22=""),0,IFERROR(IF(AND(INDEX(Arten,MATCH(U22,Codes,0))="Arbeit",INDEX(Arten,MATCH(V22,Codes,0))="Arbeit"),IF(ROUND((1+INDEX(Beginne,MATCH(V22,Codes,0))-INDEX(EndeRel,MATCH(U22,Codes,0)))*1440,0)&lt;660,1,0),0),0))</f>
      </c>
      <c r="W71" s="1">
        <f>IF(OR(W$52=0,V22="",W22=""),0,IFERROR(IF(AND(INDEX(Arten,MATCH(V22,Codes,0))="Arbeit",INDEX(Arten,MATCH(W22,Codes,0))="Arbeit"),IF(ROUND((1+INDEX(Beginne,MATCH(W22,Codes,0))-INDEX(EndeRel,MATCH(V22,Codes,0)))*1440,0)&lt;660,1,0),0),0))</f>
      </c>
      <c r="X71" s="1">
        <f>IF(OR(X$52=0,W22="",X22=""),0,IFERROR(IF(AND(INDEX(Arten,MATCH(W22,Codes,0))="Arbeit",INDEX(Arten,MATCH(X22,Codes,0))="Arbeit"),IF(ROUND((1+INDEX(Beginne,MATCH(X22,Codes,0))-INDEX(EndeRel,MATCH(W22,Codes,0)))*1440,0)&lt;660,1,0),0),0))</f>
      </c>
      <c r="Y71" s="1">
        <f>IF(OR(Y$52=0,X22="",Y22=""),0,IFERROR(IF(AND(INDEX(Arten,MATCH(X22,Codes,0))="Arbeit",INDEX(Arten,MATCH(Y22,Codes,0))="Arbeit"),IF(ROUND((1+INDEX(Beginne,MATCH(Y22,Codes,0))-INDEX(EndeRel,MATCH(X22,Codes,0)))*1440,0)&lt;660,1,0),0),0))</f>
      </c>
      <c r="Z71" s="1">
        <f>IF(OR(Z$52=0,Y22="",Z22=""),0,IFERROR(IF(AND(INDEX(Arten,MATCH(Y22,Codes,0))="Arbeit",INDEX(Arten,MATCH(Z22,Codes,0))="Arbeit"),IF(ROUND((1+INDEX(Beginne,MATCH(Z22,Codes,0))-INDEX(EndeRel,MATCH(Y22,Codes,0)))*1440,0)&lt;660,1,0),0),0))</f>
      </c>
      <c r="AA71" s="1">
        <f>IF(OR(AA$52=0,Z22="",AA22=""),0,IFERROR(IF(AND(INDEX(Arten,MATCH(Z22,Codes,0))="Arbeit",INDEX(Arten,MATCH(AA22,Codes,0))="Arbeit"),IF(ROUND((1+INDEX(Beginne,MATCH(AA22,Codes,0))-INDEX(EndeRel,MATCH(Z22,Codes,0)))*1440,0)&lt;660,1,0),0),0))</f>
      </c>
      <c r="AB71" s="1">
        <f>IF(OR(AB$52=0,AA22="",AB22=""),0,IFERROR(IF(AND(INDEX(Arten,MATCH(AA22,Codes,0))="Arbeit",INDEX(Arten,MATCH(AB22,Codes,0))="Arbeit"),IF(ROUND((1+INDEX(Beginne,MATCH(AB22,Codes,0))-INDEX(EndeRel,MATCH(AA22,Codes,0)))*1440,0)&lt;660,1,0),0),0))</f>
      </c>
      <c r="AC71" s="1">
        <f>IF(OR(AC$52=0,AB22="",AC22=""),0,IFERROR(IF(AND(INDEX(Arten,MATCH(AB22,Codes,0))="Arbeit",INDEX(Arten,MATCH(AC22,Codes,0))="Arbeit"),IF(ROUND((1+INDEX(Beginne,MATCH(AC22,Codes,0))-INDEX(EndeRel,MATCH(AB22,Codes,0)))*1440,0)&lt;660,1,0),0),0))</f>
      </c>
      <c r="AD71" s="1">
        <f>IF(OR(AD$52=0,AC22="",AD22=""),0,IFERROR(IF(AND(INDEX(Arten,MATCH(AC22,Codes,0))="Arbeit",INDEX(Arten,MATCH(AD22,Codes,0))="Arbeit"),IF(ROUND((1+INDEX(Beginne,MATCH(AD22,Codes,0))-INDEX(EndeRel,MATCH(AC22,Codes,0)))*1440,0)&lt;660,1,0),0),0))</f>
      </c>
      <c r="AE71" s="1">
        <f>IF(OR(AE$52=0,AD22="",AE22=""),0,IFERROR(IF(AND(INDEX(Arten,MATCH(AD22,Codes,0))="Arbeit",INDEX(Arten,MATCH(AE22,Codes,0))="Arbeit"),IF(ROUND((1+INDEX(Beginne,MATCH(AE22,Codes,0))-INDEX(EndeRel,MATCH(AD22,Codes,0)))*1440,0)&lt;660,1,0),0),0))</f>
      </c>
      <c r="AF71" s="1">
        <f>IF(OR(AF$52=0,AE22="",AF22=""),0,IFERROR(IF(AND(INDEX(Arten,MATCH(AE22,Codes,0))="Arbeit",INDEX(Arten,MATCH(AF22,Codes,0))="Arbeit"),IF(ROUND((1+INDEX(Beginne,MATCH(AF22,Codes,0))-INDEX(EndeRel,MATCH(AE22,Codes,0)))*1440,0)&lt;660,1,0),0),0))</f>
      </c>
    </row>
    <row r="72" hidden="1" spans="1:32" x14ac:dyDescent="0.25">
      <c r="A72" s="1"/>
      <c r="B72" s="1">
        <f>IF(OR(B$52=0,INDEX('August'!$B$23:$AF$23,DAY(DATE(Jahr,9,0)))="",B23=""),0,IFERROR(IF(AND(INDEX(Arten,MATCH(INDEX('August'!$B$23:$AF$23,DAY(DATE(Jahr,9,0))),Codes,0))="Arbeit",INDEX(Arten,MATCH(B23,Codes,0))="Arbeit"),IF(ROUND((1+INDEX(Beginne,MATCH(B23,Codes,0))-INDEX(EndeRel,MATCH(INDEX('August'!$B$23:$AF$23,DAY(DATE(Jahr,9,0))),Codes,0)))*1440,0)&lt;660,1,0),0),0))</f>
      </c>
      <c r="C72" s="1">
        <f>IF(OR(C$52=0,B23="",C23=""),0,IFERROR(IF(AND(INDEX(Arten,MATCH(B23,Codes,0))="Arbeit",INDEX(Arten,MATCH(C23,Codes,0))="Arbeit"),IF(ROUND((1+INDEX(Beginne,MATCH(C23,Codes,0))-INDEX(EndeRel,MATCH(B23,Codes,0)))*1440,0)&lt;660,1,0),0),0))</f>
      </c>
      <c r="D72" s="1">
        <f>IF(OR(D$52=0,C23="",D23=""),0,IFERROR(IF(AND(INDEX(Arten,MATCH(C23,Codes,0))="Arbeit",INDEX(Arten,MATCH(D23,Codes,0))="Arbeit"),IF(ROUND((1+INDEX(Beginne,MATCH(D23,Codes,0))-INDEX(EndeRel,MATCH(C23,Codes,0)))*1440,0)&lt;660,1,0),0),0))</f>
      </c>
      <c r="E72" s="1">
        <f>IF(OR(E$52=0,D23="",E23=""),0,IFERROR(IF(AND(INDEX(Arten,MATCH(D23,Codes,0))="Arbeit",INDEX(Arten,MATCH(E23,Codes,0))="Arbeit"),IF(ROUND((1+INDEX(Beginne,MATCH(E23,Codes,0))-INDEX(EndeRel,MATCH(D23,Codes,0)))*1440,0)&lt;660,1,0),0),0))</f>
      </c>
      <c r="F72" s="1">
        <f>IF(OR(F$52=0,E23="",F23=""),0,IFERROR(IF(AND(INDEX(Arten,MATCH(E23,Codes,0))="Arbeit",INDEX(Arten,MATCH(F23,Codes,0))="Arbeit"),IF(ROUND((1+INDEX(Beginne,MATCH(F23,Codes,0))-INDEX(EndeRel,MATCH(E23,Codes,0)))*1440,0)&lt;660,1,0),0),0))</f>
      </c>
      <c r="G72" s="1">
        <f>IF(OR(G$52=0,F23="",G23=""),0,IFERROR(IF(AND(INDEX(Arten,MATCH(F23,Codes,0))="Arbeit",INDEX(Arten,MATCH(G23,Codes,0))="Arbeit"),IF(ROUND((1+INDEX(Beginne,MATCH(G23,Codes,0))-INDEX(EndeRel,MATCH(F23,Codes,0)))*1440,0)&lt;660,1,0),0),0))</f>
      </c>
      <c r="H72" s="1">
        <f>IF(OR(H$52=0,G23="",H23=""),0,IFERROR(IF(AND(INDEX(Arten,MATCH(G23,Codes,0))="Arbeit",INDEX(Arten,MATCH(H23,Codes,0))="Arbeit"),IF(ROUND((1+INDEX(Beginne,MATCH(H23,Codes,0))-INDEX(EndeRel,MATCH(G23,Codes,0)))*1440,0)&lt;660,1,0),0),0))</f>
      </c>
      <c r="I72" s="1">
        <f>IF(OR(I$52=0,H23="",I23=""),0,IFERROR(IF(AND(INDEX(Arten,MATCH(H23,Codes,0))="Arbeit",INDEX(Arten,MATCH(I23,Codes,0))="Arbeit"),IF(ROUND((1+INDEX(Beginne,MATCH(I23,Codes,0))-INDEX(EndeRel,MATCH(H23,Codes,0)))*1440,0)&lt;660,1,0),0),0))</f>
      </c>
      <c r="J72" s="1">
        <f>IF(OR(J$52=0,I23="",J23=""),0,IFERROR(IF(AND(INDEX(Arten,MATCH(I23,Codes,0))="Arbeit",INDEX(Arten,MATCH(J23,Codes,0))="Arbeit"),IF(ROUND((1+INDEX(Beginne,MATCH(J23,Codes,0))-INDEX(EndeRel,MATCH(I23,Codes,0)))*1440,0)&lt;660,1,0),0),0))</f>
      </c>
      <c r="K72" s="1">
        <f>IF(OR(K$52=0,J23="",K23=""),0,IFERROR(IF(AND(INDEX(Arten,MATCH(J23,Codes,0))="Arbeit",INDEX(Arten,MATCH(K23,Codes,0))="Arbeit"),IF(ROUND((1+INDEX(Beginne,MATCH(K23,Codes,0))-INDEX(EndeRel,MATCH(J23,Codes,0)))*1440,0)&lt;660,1,0),0),0))</f>
      </c>
      <c r="L72" s="1">
        <f>IF(OR(L$52=0,K23="",L23=""),0,IFERROR(IF(AND(INDEX(Arten,MATCH(K23,Codes,0))="Arbeit",INDEX(Arten,MATCH(L23,Codes,0))="Arbeit"),IF(ROUND((1+INDEX(Beginne,MATCH(L23,Codes,0))-INDEX(EndeRel,MATCH(K23,Codes,0)))*1440,0)&lt;660,1,0),0),0))</f>
      </c>
      <c r="M72" s="1">
        <f>IF(OR(M$52=0,L23="",M23=""),0,IFERROR(IF(AND(INDEX(Arten,MATCH(L23,Codes,0))="Arbeit",INDEX(Arten,MATCH(M23,Codes,0))="Arbeit"),IF(ROUND((1+INDEX(Beginne,MATCH(M23,Codes,0))-INDEX(EndeRel,MATCH(L23,Codes,0)))*1440,0)&lt;660,1,0),0),0))</f>
      </c>
      <c r="N72" s="1">
        <f>IF(OR(N$52=0,M23="",N23=""),0,IFERROR(IF(AND(INDEX(Arten,MATCH(M23,Codes,0))="Arbeit",INDEX(Arten,MATCH(N23,Codes,0))="Arbeit"),IF(ROUND((1+INDEX(Beginne,MATCH(N23,Codes,0))-INDEX(EndeRel,MATCH(M23,Codes,0)))*1440,0)&lt;660,1,0),0),0))</f>
      </c>
      <c r="O72" s="1">
        <f>IF(OR(O$52=0,N23="",O23=""),0,IFERROR(IF(AND(INDEX(Arten,MATCH(N23,Codes,0))="Arbeit",INDEX(Arten,MATCH(O23,Codes,0))="Arbeit"),IF(ROUND((1+INDEX(Beginne,MATCH(O23,Codes,0))-INDEX(EndeRel,MATCH(N23,Codes,0)))*1440,0)&lt;660,1,0),0),0))</f>
      </c>
      <c r="P72" s="1">
        <f>IF(OR(P$52=0,O23="",P23=""),0,IFERROR(IF(AND(INDEX(Arten,MATCH(O23,Codes,0))="Arbeit",INDEX(Arten,MATCH(P23,Codes,0))="Arbeit"),IF(ROUND((1+INDEX(Beginne,MATCH(P23,Codes,0))-INDEX(EndeRel,MATCH(O23,Codes,0)))*1440,0)&lt;660,1,0),0),0))</f>
      </c>
      <c r="Q72" s="1">
        <f>IF(OR(Q$52=0,P23="",Q23=""),0,IFERROR(IF(AND(INDEX(Arten,MATCH(P23,Codes,0))="Arbeit",INDEX(Arten,MATCH(Q23,Codes,0))="Arbeit"),IF(ROUND((1+INDEX(Beginne,MATCH(Q23,Codes,0))-INDEX(EndeRel,MATCH(P23,Codes,0)))*1440,0)&lt;660,1,0),0),0))</f>
      </c>
      <c r="R72" s="1">
        <f>IF(OR(R$52=0,Q23="",R23=""),0,IFERROR(IF(AND(INDEX(Arten,MATCH(Q23,Codes,0))="Arbeit",INDEX(Arten,MATCH(R23,Codes,0))="Arbeit"),IF(ROUND((1+INDEX(Beginne,MATCH(R23,Codes,0))-INDEX(EndeRel,MATCH(Q23,Codes,0)))*1440,0)&lt;660,1,0),0),0))</f>
      </c>
      <c r="S72" s="1">
        <f>IF(OR(S$52=0,R23="",S23=""),0,IFERROR(IF(AND(INDEX(Arten,MATCH(R23,Codes,0))="Arbeit",INDEX(Arten,MATCH(S23,Codes,0))="Arbeit"),IF(ROUND((1+INDEX(Beginne,MATCH(S23,Codes,0))-INDEX(EndeRel,MATCH(R23,Codes,0)))*1440,0)&lt;660,1,0),0),0))</f>
      </c>
      <c r="T72" s="1">
        <f>IF(OR(T$52=0,S23="",T23=""),0,IFERROR(IF(AND(INDEX(Arten,MATCH(S23,Codes,0))="Arbeit",INDEX(Arten,MATCH(T23,Codes,0))="Arbeit"),IF(ROUND((1+INDEX(Beginne,MATCH(T23,Codes,0))-INDEX(EndeRel,MATCH(S23,Codes,0)))*1440,0)&lt;660,1,0),0),0))</f>
      </c>
      <c r="U72" s="1">
        <f>IF(OR(U$52=0,T23="",U23=""),0,IFERROR(IF(AND(INDEX(Arten,MATCH(T23,Codes,0))="Arbeit",INDEX(Arten,MATCH(U23,Codes,0))="Arbeit"),IF(ROUND((1+INDEX(Beginne,MATCH(U23,Codes,0))-INDEX(EndeRel,MATCH(T23,Codes,0)))*1440,0)&lt;660,1,0),0),0))</f>
      </c>
      <c r="V72" s="1">
        <f>IF(OR(V$52=0,U23="",V23=""),0,IFERROR(IF(AND(INDEX(Arten,MATCH(U23,Codes,0))="Arbeit",INDEX(Arten,MATCH(V23,Codes,0))="Arbeit"),IF(ROUND((1+INDEX(Beginne,MATCH(V23,Codes,0))-INDEX(EndeRel,MATCH(U23,Codes,0)))*1440,0)&lt;660,1,0),0),0))</f>
      </c>
      <c r="W72" s="1">
        <f>IF(OR(W$52=0,V23="",W23=""),0,IFERROR(IF(AND(INDEX(Arten,MATCH(V23,Codes,0))="Arbeit",INDEX(Arten,MATCH(W23,Codes,0))="Arbeit"),IF(ROUND((1+INDEX(Beginne,MATCH(W23,Codes,0))-INDEX(EndeRel,MATCH(V23,Codes,0)))*1440,0)&lt;660,1,0),0),0))</f>
      </c>
      <c r="X72" s="1">
        <f>IF(OR(X$52=0,W23="",X23=""),0,IFERROR(IF(AND(INDEX(Arten,MATCH(W23,Codes,0))="Arbeit",INDEX(Arten,MATCH(X23,Codes,0))="Arbeit"),IF(ROUND((1+INDEX(Beginne,MATCH(X23,Codes,0))-INDEX(EndeRel,MATCH(W23,Codes,0)))*1440,0)&lt;660,1,0),0),0))</f>
      </c>
      <c r="Y72" s="1">
        <f>IF(OR(Y$52=0,X23="",Y23=""),0,IFERROR(IF(AND(INDEX(Arten,MATCH(X23,Codes,0))="Arbeit",INDEX(Arten,MATCH(Y23,Codes,0))="Arbeit"),IF(ROUND((1+INDEX(Beginne,MATCH(Y23,Codes,0))-INDEX(EndeRel,MATCH(X23,Codes,0)))*1440,0)&lt;660,1,0),0),0))</f>
      </c>
      <c r="Z72" s="1">
        <f>IF(OR(Z$52=0,Y23="",Z23=""),0,IFERROR(IF(AND(INDEX(Arten,MATCH(Y23,Codes,0))="Arbeit",INDEX(Arten,MATCH(Z23,Codes,0))="Arbeit"),IF(ROUND((1+INDEX(Beginne,MATCH(Z23,Codes,0))-INDEX(EndeRel,MATCH(Y23,Codes,0)))*1440,0)&lt;660,1,0),0),0))</f>
      </c>
      <c r="AA72" s="1">
        <f>IF(OR(AA$52=0,Z23="",AA23=""),0,IFERROR(IF(AND(INDEX(Arten,MATCH(Z23,Codes,0))="Arbeit",INDEX(Arten,MATCH(AA23,Codes,0))="Arbeit"),IF(ROUND((1+INDEX(Beginne,MATCH(AA23,Codes,0))-INDEX(EndeRel,MATCH(Z23,Codes,0)))*1440,0)&lt;660,1,0),0),0))</f>
      </c>
      <c r="AB72" s="1">
        <f>IF(OR(AB$52=0,AA23="",AB23=""),0,IFERROR(IF(AND(INDEX(Arten,MATCH(AA23,Codes,0))="Arbeit",INDEX(Arten,MATCH(AB23,Codes,0))="Arbeit"),IF(ROUND((1+INDEX(Beginne,MATCH(AB23,Codes,0))-INDEX(EndeRel,MATCH(AA23,Codes,0)))*1440,0)&lt;660,1,0),0),0))</f>
      </c>
      <c r="AC72" s="1">
        <f>IF(OR(AC$52=0,AB23="",AC23=""),0,IFERROR(IF(AND(INDEX(Arten,MATCH(AB23,Codes,0))="Arbeit",INDEX(Arten,MATCH(AC23,Codes,0))="Arbeit"),IF(ROUND((1+INDEX(Beginne,MATCH(AC23,Codes,0))-INDEX(EndeRel,MATCH(AB23,Codes,0)))*1440,0)&lt;660,1,0),0),0))</f>
      </c>
      <c r="AD72" s="1">
        <f>IF(OR(AD$52=0,AC23="",AD23=""),0,IFERROR(IF(AND(INDEX(Arten,MATCH(AC23,Codes,0))="Arbeit",INDEX(Arten,MATCH(AD23,Codes,0))="Arbeit"),IF(ROUND((1+INDEX(Beginne,MATCH(AD23,Codes,0))-INDEX(EndeRel,MATCH(AC23,Codes,0)))*1440,0)&lt;660,1,0),0),0))</f>
      </c>
      <c r="AE72" s="1">
        <f>IF(OR(AE$52=0,AD23="",AE23=""),0,IFERROR(IF(AND(INDEX(Arten,MATCH(AD23,Codes,0))="Arbeit",INDEX(Arten,MATCH(AE23,Codes,0))="Arbeit"),IF(ROUND((1+INDEX(Beginne,MATCH(AE23,Codes,0))-INDEX(EndeRel,MATCH(AD23,Codes,0)))*1440,0)&lt;660,1,0),0),0))</f>
      </c>
      <c r="AF72" s="1">
        <f>IF(OR(AF$52=0,AE23="",AF23=""),0,IFERROR(IF(AND(INDEX(Arten,MATCH(AE23,Codes,0))="Arbeit",INDEX(Arten,MATCH(AF23,Codes,0))="Arbeit"),IF(ROUND((1+INDEX(Beginne,MATCH(AF23,Codes,0))-INDEX(EndeRel,MATCH(AE23,Codes,0)))*1440,0)&lt;660,1,0),0),0))</f>
      </c>
    </row>
    <row r="73" hidden="1" spans="1:32" x14ac:dyDescent="0.25">
      <c r="A73" s="1"/>
      <c r="B73" s="1">
        <f>IF(OR(B$52=0,INDEX('August'!$B$24:$AF$24,DAY(DATE(Jahr,9,0)))="",B24=""),0,IFERROR(IF(AND(INDEX(Arten,MATCH(INDEX('August'!$B$24:$AF$24,DAY(DATE(Jahr,9,0))),Codes,0))="Arbeit",INDEX(Arten,MATCH(B24,Codes,0))="Arbeit"),IF(ROUND((1+INDEX(Beginne,MATCH(B24,Codes,0))-INDEX(EndeRel,MATCH(INDEX('August'!$B$24:$AF$24,DAY(DATE(Jahr,9,0))),Codes,0)))*1440,0)&lt;660,1,0),0),0))</f>
      </c>
      <c r="C73" s="1">
        <f>IF(OR(C$52=0,B24="",C24=""),0,IFERROR(IF(AND(INDEX(Arten,MATCH(B24,Codes,0))="Arbeit",INDEX(Arten,MATCH(C24,Codes,0))="Arbeit"),IF(ROUND((1+INDEX(Beginne,MATCH(C24,Codes,0))-INDEX(EndeRel,MATCH(B24,Codes,0)))*1440,0)&lt;660,1,0),0),0))</f>
      </c>
      <c r="D73" s="1">
        <f>IF(OR(D$52=0,C24="",D24=""),0,IFERROR(IF(AND(INDEX(Arten,MATCH(C24,Codes,0))="Arbeit",INDEX(Arten,MATCH(D24,Codes,0))="Arbeit"),IF(ROUND((1+INDEX(Beginne,MATCH(D24,Codes,0))-INDEX(EndeRel,MATCH(C24,Codes,0)))*1440,0)&lt;660,1,0),0),0))</f>
      </c>
      <c r="E73" s="1">
        <f>IF(OR(E$52=0,D24="",E24=""),0,IFERROR(IF(AND(INDEX(Arten,MATCH(D24,Codes,0))="Arbeit",INDEX(Arten,MATCH(E24,Codes,0))="Arbeit"),IF(ROUND((1+INDEX(Beginne,MATCH(E24,Codes,0))-INDEX(EndeRel,MATCH(D24,Codes,0)))*1440,0)&lt;660,1,0),0),0))</f>
      </c>
      <c r="F73" s="1">
        <f>IF(OR(F$52=0,E24="",F24=""),0,IFERROR(IF(AND(INDEX(Arten,MATCH(E24,Codes,0))="Arbeit",INDEX(Arten,MATCH(F24,Codes,0))="Arbeit"),IF(ROUND((1+INDEX(Beginne,MATCH(F24,Codes,0))-INDEX(EndeRel,MATCH(E24,Codes,0)))*1440,0)&lt;660,1,0),0),0))</f>
      </c>
      <c r="G73" s="1">
        <f>IF(OR(G$52=0,F24="",G24=""),0,IFERROR(IF(AND(INDEX(Arten,MATCH(F24,Codes,0))="Arbeit",INDEX(Arten,MATCH(G24,Codes,0))="Arbeit"),IF(ROUND((1+INDEX(Beginne,MATCH(G24,Codes,0))-INDEX(EndeRel,MATCH(F24,Codes,0)))*1440,0)&lt;660,1,0),0),0))</f>
      </c>
      <c r="H73" s="1">
        <f>IF(OR(H$52=0,G24="",H24=""),0,IFERROR(IF(AND(INDEX(Arten,MATCH(G24,Codes,0))="Arbeit",INDEX(Arten,MATCH(H24,Codes,0))="Arbeit"),IF(ROUND((1+INDEX(Beginne,MATCH(H24,Codes,0))-INDEX(EndeRel,MATCH(G24,Codes,0)))*1440,0)&lt;660,1,0),0),0))</f>
      </c>
      <c r="I73" s="1">
        <f>IF(OR(I$52=0,H24="",I24=""),0,IFERROR(IF(AND(INDEX(Arten,MATCH(H24,Codes,0))="Arbeit",INDEX(Arten,MATCH(I24,Codes,0))="Arbeit"),IF(ROUND((1+INDEX(Beginne,MATCH(I24,Codes,0))-INDEX(EndeRel,MATCH(H24,Codes,0)))*1440,0)&lt;660,1,0),0),0))</f>
      </c>
      <c r="J73" s="1">
        <f>IF(OR(J$52=0,I24="",J24=""),0,IFERROR(IF(AND(INDEX(Arten,MATCH(I24,Codes,0))="Arbeit",INDEX(Arten,MATCH(J24,Codes,0))="Arbeit"),IF(ROUND((1+INDEX(Beginne,MATCH(J24,Codes,0))-INDEX(EndeRel,MATCH(I24,Codes,0)))*1440,0)&lt;660,1,0),0),0))</f>
      </c>
      <c r="K73" s="1">
        <f>IF(OR(K$52=0,J24="",K24=""),0,IFERROR(IF(AND(INDEX(Arten,MATCH(J24,Codes,0))="Arbeit",INDEX(Arten,MATCH(K24,Codes,0))="Arbeit"),IF(ROUND((1+INDEX(Beginne,MATCH(K24,Codes,0))-INDEX(EndeRel,MATCH(J24,Codes,0)))*1440,0)&lt;660,1,0),0),0))</f>
      </c>
      <c r="L73" s="1">
        <f>IF(OR(L$52=0,K24="",L24=""),0,IFERROR(IF(AND(INDEX(Arten,MATCH(K24,Codes,0))="Arbeit",INDEX(Arten,MATCH(L24,Codes,0))="Arbeit"),IF(ROUND((1+INDEX(Beginne,MATCH(L24,Codes,0))-INDEX(EndeRel,MATCH(K24,Codes,0)))*1440,0)&lt;660,1,0),0),0))</f>
      </c>
      <c r="M73" s="1">
        <f>IF(OR(M$52=0,L24="",M24=""),0,IFERROR(IF(AND(INDEX(Arten,MATCH(L24,Codes,0))="Arbeit",INDEX(Arten,MATCH(M24,Codes,0))="Arbeit"),IF(ROUND((1+INDEX(Beginne,MATCH(M24,Codes,0))-INDEX(EndeRel,MATCH(L24,Codes,0)))*1440,0)&lt;660,1,0),0),0))</f>
      </c>
      <c r="N73" s="1">
        <f>IF(OR(N$52=0,M24="",N24=""),0,IFERROR(IF(AND(INDEX(Arten,MATCH(M24,Codes,0))="Arbeit",INDEX(Arten,MATCH(N24,Codes,0))="Arbeit"),IF(ROUND((1+INDEX(Beginne,MATCH(N24,Codes,0))-INDEX(EndeRel,MATCH(M24,Codes,0)))*1440,0)&lt;660,1,0),0),0))</f>
      </c>
      <c r="O73" s="1">
        <f>IF(OR(O$52=0,N24="",O24=""),0,IFERROR(IF(AND(INDEX(Arten,MATCH(N24,Codes,0))="Arbeit",INDEX(Arten,MATCH(O24,Codes,0))="Arbeit"),IF(ROUND((1+INDEX(Beginne,MATCH(O24,Codes,0))-INDEX(EndeRel,MATCH(N24,Codes,0)))*1440,0)&lt;660,1,0),0),0))</f>
      </c>
      <c r="P73" s="1">
        <f>IF(OR(P$52=0,O24="",P24=""),0,IFERROR(IF(AND(INDEX(Arten,MATCH(O24,Codes,0))="Arbeit",INDEX(Arten,MATCH(P24,Codes,0))="Arbeit"),IF(ROUND((1+INDEX(Beginne,MATCH(P24,Codes,0))-INDEX(EndeRel,MATCH(O24,Codes,0)))*1440,0)&lt;660,1,0),0),0))</f>
      </c>
      <c r="Q73" s="1">
        <f>IF(OR(Q$52=0,P24="",Q24=""),0,IFERROR(IF(AND(INDEX(Arten,MATCH(P24,Codes,0))="Arbeit",INDEX(Arten,MATCH(Q24,Codes,0))="Arbeit"),IF(ROUND((1+INDEX(Beginne,MATCH(Q24,Codes,0))-INDEX(EndeRel,MATCH(P24,Codes,0)))*1440,0)&lt;660,1,0),0),0))</f>
      </c>
      <c r="R73" s="1">
        <f>IF(OR(R$52=0,Q24="",R24=""),0,IFERROR(IF(AND(INDEX(Arten,MATCH(Q24,Codes,0))="Arbeit",INDEX(Arten,MATCH(R24,Codes,0))="Arbeit"),IF(ROUND((1+INDEX(Beginne,MATCH(R24,Codes,0))-INDEX(EndeRel,MATCH(Q24,Codes,0)))*1440,0)&lt;660,1,0),0),0))</f>
      </c>
      <c r="S73" s="1">
        <f>IF(OR(S$52=0,R24="",S24=""),0,IFERROR(IF(AND(INDEX(Arten,MATCH(R24,Codes,0))="Arbeit",INDEX(Arten,MATCH(S24,Codes,0))="Arbeit"),IF(ROUND((1+INDEX(Beginne,MATCH(S24,Codes,0))-INDEX(EndeRel,MATCH(R24,Codes,0)))*1440,0)&lt;660,1,0),0),0))</f>
      </c>
      <c r="T73" s="1">
        <f>IF(OR(T$52=0,S24="",T24=""),0,IFERROR(IF(AND(INDEX(Arten,MATCH(S24,Codes,0))="Arbeit",INDEX(Arten,MATCH(T24,Codes,0))="Arbeit"),IF(ROUND((1+INDEX(Beginne,MATCH(T24,Codes,0))-INDEX(EndeRel,MATCH(S24,Codes,0)))*1440,0)&lt;660,1,0),0),0))</f>
      </c>
      <c r="U73" s="1">
        <f>IF(OR(U$52=0,T24="",U24=""),0,IFERROR(IF(AND(INDEX(Arten,MATCH(T24,Codes,0))="Arbeit",INDEX(Arten,MATCH(U24,Codes,0))="Arbeit"),IF(ROUND((1+INDEX(Beginne,MATCH(U24,Codes,0))-INDEX(EndeRel,MATCH(T24,Codes,0)))*1440,0)&lt;660,1,0),0),0))</f>
      </c>
      <c r="V73" s="1">
        <f>IF(OR(V$52=0,U24="",V24=""),0,IFERROR(IF(AND(INDEX(Arten,MATCH(U24,Codes,0))="Arbeit",INDEX(Arten,MATCH(V24,Codes,0))="Arbeit"),IF(ROUND((1+INDEX(Beginne,MATCH(V24,Codes,0))-INDEX(EndeRel,MATCH(U24,Codes,0)))*1440,0)&lt;660,1,0),0),0))</f>
      </c>
      <c r="W73" s="1">
        <f>IF(OR(W$52=0,V24="",W24=""),0,IFERROR(IF(AND(INDEX(Arten,MATCH(V24,Codes,0))="Arbeit",INDEX(Arten,MATCH(W24,Codes,0))="Arbeit"),IF(ROUND((1+INDEX(Beginne,MATCH(W24,Codes,0))-INDEX(EndeRel,MATCH(V24,Codes,0)))*1440,0)&lt;660,1,0),0),0))</f>
      </c>
      <c r="X73" s="1">
        <f>IF(OR(X$52=0,W24="",X24=""),0,IFERROR(IF(AND(INDEX(Arten,MATCH(W24,Codes,0))="Arbeit",INDEX(Arten,MATCH(X24,Codes,0))="Arbeit"),IF(ROUND((1+INDEX(Beginne,MATCH(X24,Codes,0))-INDEX(EndeRel,MATCH(W24,Codes,0)))*1440,0)&lt;660,1,0),0),0))</f>
      </c>
      <c r="Y73" s="1">
        <f>IF(OR(Y$52=0,X24="",Y24=""),0,IFERROR(IF(AND(INDEX(Arten,MATCH(X24,Codes,0))="Arbeit",INDEX(Arten,MATCH(Y24,Codes,0))="Arbeit"),IF(ROUND((1+INDEX(Beginne,MATCH(Y24,Codes,0))-INDEX(EndeRel,MATCH(X24,Codes,0)))*1440,0)&lt;660,1,0),0),0))</f>
      </c>
      <c r="Z73" s="1">
        <f>IF(OR(Z$52=0,Y24="",Z24=""),0,IFERROR(IF(AND(INDEX(Arten,MATCH(Y24,Codes,0))="Arbeit",INDEX(Arten,MATCH(Z24,Codes,0))="Arbeit"),IF(ROUND((1+INDEX(Beginne,MATCH(Z24,Codes,0))-INDEX(EndeRel,MATCH(Y24,Codes,0)))*1440,0)&lt;660,1,0),0),0))</f>
      </c>
      <c r="AA73" s="1">
        <f>IF(OR(AA$52=0,Z24="",AA24=""),0,IFERROR(IF(AND(INDEX(Arten,MATCH(Z24,Codes,0))="Arbeit",INDEX(Arten,MATCH(AA24,Codes,0))="Arbeit"),IF(ROUND((1+INDEX(Beginne,MATCH(AA24,Codes,0))-INDEX(EndeRel,MATCH(Z24,Codes,0)))*1440,0)&lt;660,1,0),0),0))</f>
      </c>
      <c r="AB73" s="1">
        <f>IF(OR(AB$52=0,AA24="",AB24=""),0,IFERROR(IF(AND(INDEX(Arten,MATCH(AA24,Codes,0))="Arbeit",INDEX(Arten,MATCH(AB24,Codes,0))="Arbeit"),IF(ROUND((1+INDEX(Beginne,MATCH(AB24,Codes,0))-INDEX(EndeRel,MATCH(AA24,Codes,0)))*1440,0)&lt;660,1,0),0),0))</f>
      </c>
      <c r="AC73" s="1">
        <f>IF(OR(AC$52=0,AB24="",AC24=""),0,IFERROR(IF(AND(INDEX(Arten,MATCH(AB24,Codes,0))="Arbeit",INDEX(Arten,MATCH(AC24,Codes,0))="Arbeit"),IF(ROUND((1+INDEX(Beginne,MATCH(AC24,Codes,0))-INDEX(EndeRel,MATCH(AB24,Codes,0)))*1440,0)&lt;660,1,0),0),0))</f>
      </c>
      <c r="AD73" s="1">
        <f>IF(OR(AD$52=0,AC24="",AD24=""),0,IFERROR(IF(AND(INDEX(Arten,MATCH(AC24,Codes,0))="Arbeit",INDEX(Arten,MATCH(AD24,Codes,0))="Arbeit"),IF(ROUND((1+INDEX(Beginne,MATCH(AD24,Codes,0))-INDEX(EndeRel,MATCH(AC24,Codes,0)))*1440,0)&lt;660,1,0),0),0))</f>
      </c>
      <c r="AE73" s="1">
        <f>IF(OR(AE$52=0,AD24="",AE24=""),0,IFERROR(IF(AND(INDEX(Arten,MATCH(AD24,Codes,0))="Arbeit",INDEX(Arten,MATCH(AE24,Codes,0))="Arbeit"),IF(ROUND((1+INDEX(Beginne,MATCH(AE24,Codes,0))-INDEX(EndeRel,MATCH(AD24,Codes,0)))*1440,0)&lt;660,1,0),0),0))</f>
      </c>
      <c r="AF73" s="1">
        <f>IF(OR(AF$52=0,AE24="",AF24=""),0,IFERROR(IF(AND(INDEX(Arten,MATCH(AE24,Codes,0))="Arbeit",INDEX(Arten,MATCH(AF24,Codes,0))="Arbeit"),IF(ROUND((1+INDEX(Beginne,MATCH(AF24,Codes,0))-INDEX(EndeRel,MATCH(AE24,Codes,0)))*1440,0)&lt;660,1,0),0),0))</f>
      </c>
    </row>
    <row r="74" hidden="1" spans="1:32" x14ac:dyDescent="0.25">
      <c r="A74" s="1"/>
      <c r="B74" s="1">
        <f>IF(OR(B$52=0,INDEX('August'!$B$25:$AF$25,DAY(DATE(Jahr,9,0)))="",B25=""),0,IFERROR(IF(AND(INDEX(Arten,MATCH(INDEX('August'!$B$25:$AF$25,DAY(DATE(Jahr,9,0))),Codes,0))="Arbeit",INDEX(Arten,MATCH(B25,Codes,0))="Arbeit"),IF(ROUND((1+INDEX(Beginne,MATCH(B25,Codes,0))-INDEX(EndeRel,MATCH(INDEX('August'!$B$25:$AF$25,DAY(DATE(Jahr,9,0))),Codes,0)))*1440,0)&lt;660,1,0),0),0))</f>
      </c>
      <c r="C74" s="1">
        <f>IF(OR(C$52=0,B25="",C25=""),0,IFERROR(IF(AND(INDEX(Arten,MATCH(B25,Codes,0))="Arbeit",INDEX(Arten,MATCH(C25,Codes,0))="Arbeit"),IF(ROUND((1+INDEX(Beginne,MATCH(C25,Codes,0))-INDEX(EndeRel,MATCH(B25,Codes,0)))*1440,0)&lt;660,1,0),0),0))</f>
      </c>
      <c r="D74" s="1">
        <f>IF(OR(D$52=0,C25="",D25=""),0,IFERROR(IF(AND(INDEX(Arten,MATCH(C25,Codes,0))="Arbeit",INDEX(Arten,MATCH(D25,Codes,0))="Arbeit"),IF(ROUND((1+INDEX(Beginne,MATCH(D25,Codes,0))-INDEX(EndeRel,MATCH(C25,Codes,0)))*1440,0)&lt;660,1,0),0),0))</f>
      </c>
      <c r="E74" s="1">
        <f>IF(OR(E$52=0,D25="",E25=""),0,IFERROR(IF(AND(INDEX(Arten,MATCH(D25,Codes,0))="Arbeit",INDEX(Arten,MATCH(E25,Codes,0))="Arbeit"),IF(ROUND((1+INDEX(Beginne,MATCH(E25,Codes,0))-INDEX(EndeRel,MATCH(D25,Codes,0)))*1440,0)&lt;660,1,0),0),0))</f>
      </c>
      <c r="F74" s="1">
        <f>IF(OR(F$52=0,E25="",F25=""),0,IFERROR(IF(AND(INDEX(Arten,MATCH(E25,Codes,0))="Arbeit",INDEX(Arten,MATCH(F25,Codes,0))="Arbeit"),IF(ROUND((1+INDEX(Beginne,MATCH(F25,Codes,0))-INDEX(EndeRel,MATCH(E25,Codes,0)))*1440,0)&lt;660,1,0),0),0))</f>
      </c>
      <c r="G74" s="1">
        <f>IF(OR(G$52=0,F25="",G25=""),0,IFERROR(IF(AND(INDEX(Arten,MATCH(F25,Codes,0))="Arbeit",INDEX(Arten,MATCH(G25,Codes,0))="Arbeit"),IF(ROUND((1+INDEX(Beginne,MATCH(G25,Codes,0))-INDEX(EndeRel,MATCH(F25,Codes,0)))*1440,0)&lt;660,1,0),0),0))</f>
      </c>
      <c r="H74" s="1">
        <f>IF(OR(H$52=0,G25="",H25=""),0,IFERROR(IF(AND(INDEX(Arten,MATCH(G25,Codes,0))="Arbeit",INDEX(Arten,MATCH(H25,Codes,0))="Arbeit"),IF(ROUND((1+INDEX(Beginne,MATCH(H25,Codes,0))-INDEX(EndeRel,MATCH(G25,Codes,0)))*1440,0)&lt;660,1,0),0),0))</f>
      </c>
      <c r="I74" s="1">
        <f>IF(OR(I$52=0,H25="",I25=""),0,IFERROR(IF(AND(INDEX(Arten,MATCH(H25,Codes,0))="Arbeit",INDEX(Arten,MATCH(I25,Codes,0))="Arbeit"),IF(ROUND((1+INDEX(Beginne,MATCH(I25,Codes,0))-INDEX(EndeRel,MATCH(H25,Codes,0)))*1440,0)&lt;660,1,0),0),0))</f>
      </c>
      <c r="J74" s="1">
        <f>IF(OR(J$52=0,I25="",J25=""),0,IFERROR(IF(AND(INDEX(Arten,MATCH(I25,Codes,0))="Arbeit",INDEX(Arten,MATCH(J25,Codes,0))="Arbeit"),IF(ROUND((1+INDEX(Beginne,MATCH(J25,Codes,0))-INDEX(EndeRel,MATCH(I25,Codes,0)))*1440,0)&lt;660,1,0),0),0))</f>
      </c>
      <c r="K74" s="1">
        <f>IF(OR(K$52=0,J25="",K25=""),0,IFERROR(IF(AND(INDEX(Arten,MATCH(J25,Codes,0))="Arbeit",INDEX(Arten,MATCH(K25,Codes,0))="Arbeit"),IF(ROUND((1+INDEX(Beginne,MATCH(K25,Codes,0))-INDEX(EndeRel,MATCH(J25,Codes,0)))*1440,0)&lt;660,1,0),0),0))</f>
      </c>
      <c r="L74" s="1">
        <f>IF(OR(L$52=0,K25="",L25=""),0,IFERROR(IF(AND(INDEX(Arten,MATCH(K25,Codes,0))="Arbeit",INDEX(Arten,MATCH(L25,Codes,0))="Arbeit"),IF(ROUND((1+INDEX(Beginne,MATCH(L25,Codes,0))-INDEX(EndeRel,MATCH(K25,Codes,0)))*1440,0)&lt;660,1,0),0),0))</f>
      </c>
      <c r="M74" s="1">
        <f>IF(OR(M$52=0,L25="",M25=""),0,IFERROR(IF(AND(INDEX(Arten,MATCH(L25,Codes,0))="Arbeit",INDEX(Arten,MATCH(M25,Codes,0))="Arbeit"),IF(ROUND((1+INDEX(Beginne,MATCH(M25,Codes,0))-INDEX(EndeRel,MATCH(L25,Codes,0)))*1440,0)&lt;660,1,0),0),0))</f>
      </c>
      <c r="N74" s="1">
        <f>IF(OR(N$52=0,M25="",N25=""),0,IFERROR(IF(AND(INDEX(Arten,MATCH(M25,Codes,0))="Arbeit",INDEX(Arten,MATCH(N25,Codes,0))="Arbeit"),IF(ROUND((1+INDEX(Beginne,MATCH(N25,Codes,0))-INDEX(EndeRel,MATCH(M25,Codes,0)))*1440,0)&lt;660,1,0),0),0))</f>
      </c>
      <c r="O74" s="1">
        <f>IF(OR(O$52=0,N25="",O25=""),0,IFERROR(IF(AND(INDEX(Arten,MATCH(N25,Codes,0))="Arbeit",INDEX(Arten,MATCH(O25,Codes,0))="Arbeit"),IF(ROUND((1+INDEX(Beginne,MATCH(O25,Codes,0))-INDEX(EndeRel,MATCH(N25,Codes,0)))*1440,0)&lt;660,1,0),0),0))</f>
      </c>
      <c r="P74" s="1">
        <f>IF(OR(P$52=0,O25="",P25=""),0,IFERROR(IF(AND(INDEX(Arten,MATCH(O25,Codes,0))="Arbeit",INDEX(Arten,MATCH(P25,Codes,0))="Arbeit"),IF(ROUND((1+INDEX(Beginne,MATCH(P25,Codes,0))-INDEX(EndeRel,MATCH(O25,Codes,0)))*1440,0)&lt;660,1,0),0),0))</f>
      </c>
      <c r="Q74" s="1">
        <f>IF(OR(Q$52=0,P25="",Q25=""),0,IFERROR(IF(AND(INDEX(Arten,MATCH(P25,Codes,0))="Arbeit",INDEX(Arten,MATCH(Q25,Codes,0))="Arbeit"),IF(ROUND((1+INDEX(Beginne,MATCH(Q25,Codes,0))-INDEX(EndeRel,MATCH(P25,Codes,0)))*1440,0)&lt;660,1,0),0),0))</f>
      </c>
      <c r="R74" s="1">
        <f>IF(OR(R$52=0,Q25="",R25=""),0,IFERROR(IF(AND(INDEX(Arten,MATCH(Q25,Codes,0))="Arbeit",INDEX(Arten,MATCH(R25,Codes,0))="Arbeit"),IF(ROUND((1+INDEX(Beginne,MATCH(R25,Codes,0))-INDEX(EndeRel,MATCH(Q25,Codes,0)))*1440,0)&lt;660,1,0),0),0))</f>
      </c>
      <c r="S74" s="1">
        <f>IF(OR(S$52=0,R25="",S25=""),0,IFERROR(IF(AND(INDEX(Arten,MATCH(R25,Codes,0))="Arbeit",INDEX(Arten,MATCH(S25,Codes,0))="Arbeit"),IF(ROUND((1+INDEX(Beginne,MATCH(S25,Codes,0))-INDEX(EndeRel,MATCH(R25,Codes,0)))*1440,0)&lt;660,1,0),0),0))</f>
      </c>
      <c r="T74" s="1">
        <f>IF(OR(T$52=0,S25="",T25=""),0,IFERROR(IF(AND(INDEX(Arten,MATCH(S25,Codes,0))="Arbeit",INDEX(Arten,MATCH(T25,Codes,0))="Arbeit"),IF(ROUND((1+INDEX(Beginne,MATCH(T25,Codes,0))-INDEX(EndeRel,MATCH(S25,Codes,0)))*1440,0)&lt;660,1,0),0),0))</f>
      </c>
      <c r="U74" s="1">
        <f>IF(OR(U$52=0,T25="",U25=""),0,IFERROR(IF(AND(INDEX(Arten,MATCH(T25,Codes,0))="Arbeit",INDEX(Arten,MATCH(U25,Codes,0))="Arbeit"),IF(ROUND((1+INDEX(Beginne,MATCH(U25,Codes,0))-INDEX(EndeRel,MATCH(T25,Codes,0)))*1440,0)&lt;660,1,0),0),0))</f>
      </c>
      <c r="V74" s="1">
        <f>IF(OR(V$52=0,U25="",V25=""),0,IFERROR(IF(AND(INDEX(Arten,MATCH(U25,Codes,0))="Arbeit",INDEX(Arten,MATCH(V25,Codes,0))="Arbeit"),IF(ROUND((1+INDEX(Beginne,MATCH(V25,Codes,0))-INDEX(EndeRel,MATCH(U25,Codes,0)))*1440,0)&lt;660,1,0),0),0))</f>
      </c>
      <c r="W74" s="1">
        <f>IF(OR(W$52=0,V25="",W25=""),0,IFERROR(IF(AND(INDEX(Arten,MATCH(V25,Codes,0))="Arbeit",INDEX(Arten,MATCH(W25,Codes,0))="Arbeit"),IF(ROUND((1+INDEX(Beginne,MATCH(W25,Codes,0))-INDEX(EndeRel,MATCH(V25,Codes,0)))*1440,0)&lt;660,1,0),0),0))</f>
      </c>
      <c r="X74" s="1">
        <f>IF(OR(X$52=0,W25="",X25=""),0,IFERROR(IF(AND(INDEX(Arten,MATCH(W25,Codes,0))="Arbeit",INDEX(Arten,MATCH(X25,Codes,0))="Arbeit"),IF(ROUND((1+INDEX(Beginne,MATCH(X25,Codes,0))-INDEX(EndeRel,MATCH(W25,Codes,0)))*1440,0)&lt;660,1,0),0),0))</f>
      </c>
      <c r="Y74" s="1">
        <f>IF(OR(Y$52=0,X25="",Y25=""),0,IFERROR(IF(AND(INDEX(Arten,MATCH(X25,Codes,0))="Arbeit",INDEX(Arten,MATCH(Y25,Codes,0))="Arbeit"),IF(ROUND((1+INDEX(Beginne,MATCH(Y25,Codes,0))-INDEX(EndeRel,MATCH(X25,Codes,0)))*1440,0)&lt;660,1,0),0),0))</f>
      </c>
      <c r="Z74" s="1">
        <f>IF(OR(Z$52=0,Y25="",Z25=""),0,IFERROR(IF(AND(INDEX(Arten,MATCH(Y25,Codes,0))="Arbeit",INDEX(Arten,MATCH(Z25,Codes,0))="Arbeit"),IF(ROUND((1+INDEX(Beginne,MATCH(Z25,Codes,0))-INDEX(EndeRel,MATCH(Y25,Codes,0)))*1440,0)&lt;660,1,0),0),0))</f>
      </c>
      <c r="AA74" s="1">
        <f>IF(OR(AA$52=0,Z25="",AA25=""),0,IFERROR(IF(AND(INDEX(Arten,MATCH(Z25,Codes,0))="Arbeit",INDEX(Arten,MATCH(AA25,Codes,0))="Arbeit"),IF(ROUND((1+INDEX(Beginne,MATCH(AA25,Codes,0))-INDEX(EndeRel,MATCH(Z25,Codes,0)))*1440,0)&lt;660,1,0),0),0))</f>
      </c>
      <c r="AB74" s="1">
        <f>IF(OR(AB$52=0,AA25="",AB25=""),0,IFERROR(IF(AND(INDEX(Arten,MATCH(AA25,Codes,0))="Arbeit",INDEX(Arten,MATCH(AB25,Codes,0))="Arbeit"),IF(ROUND((1+INDEX(Beginne,MATCH(AB25,Codes,0))-INDEX(EndeRel,MATCH(AA25,Codes,0)))*1440,0)&lt;660,1,0),0),0))</f>
      </c>
      <c r="AC74" s="1">
        <f>IF(OR(AC$52=0,AB25="",AC25=""),0,IFERROR(IF(AND(INDEX(Arten,MATCH(AB25,Codes,0))="Arbeit",INDEX(Arten,MATCH(AC25,Codes,0))="Arbeit"),IF(ROUND((1+INDEX(Beginne,MATCH(AC25,Codes,0))-INDEX(EndeRel,MATCH(AB25,Codes,0)))*1440,0)&lt;660,1,0),0),0))</f>
      </c>
      <c r="AD74" s="1">
        <f>IF(OR(AD$52=0,AC25="",AD25=""),0,IFERROR(IF(AND(INDEX(Arten,MATCH(AC25,Codes,0))="Arbeit",INDEX(Arten,MATCH(AD25,Codes,0))="Arbeit"),IF(ROUND((1+INDEX(Beginne,MATCH(AD25,Codes,0))-INDEX(EndeRel,MATCH(AC25,Codes,0)))*1440,0)&lt;660,1,0),0),0))</f>
      </c>
      <c r="AE74" s="1">
        <f>IF(OR(AE$52=0,AD25="",AE25=""),0,IFERROR(IF(AND(INDEX(Arten,MATCH(AD25,Codes,0))="Arbeit",INDEX(Arten,MATCH(AE25,Codes,0))="Arbeit"),IF(ROUND((1+INDEX(Beginne,MATCH(AE25,Codes,0))-INDEX(EndeRel,MATCH(AD25,Codes,0)))*1440,0)&lt;660,1,0),0),0))</f>
      </c>
      <c r="AF74" s="1">
        <f>IF(OR(AF$52=0,AE25="",AF25=""),0,IFERROR(IF(AND(INDEX(Arten,MATCH(AE25,Codes,0))="Arbeit",INDEX(Arten,MATCH(AF25,Codes,0))="Arbeit"),IF(ROUND((1+INDEX(Beginne,MATCH(AF25,Codes,0))-INDEX(EndeRel,MATCH(AE25,Codes,0)))*1440,0)&lt;660,1,0),0),0))</f>
      </c>
    </row>
    <row r="75" hidden="1" spans="1:32" x14ac:dyDescent="0.25">
      <c r="A75" s="1"/>
      <c r="B75" s="1">
        <f>IF(OR(B$52=0,INDEX('August'!$B$26:$AF$26,DAY(DATE(Jahr,9,0)))="",B26=""),0,IFERROR(IF(AND(INDEX(Arten,MATCH(INDEX('August'!$B$26:$AF$26,DAY(DATE(Jahr,9,0))),Codes,0))="Arbeit",INDEX(Arten,MATCH(B26,Codes,0))="Arbeit"),IF(ROUND((1+INDEX(Beginne,MATCH(B26,Codes,0))-INDEX(EndeRel,MATCH(INDEX('August'!$B$26:$AF$26,DAY(DATE(Jahr,9,0))),Codes,0)))*1440,0)&lt;660,1,0),0),0))</f>
      </c>
      <c r="C75" s="1">
        <f>IF(OR(C$52=0,B26="",C26=""),0,IFERROR(IF(AND(INDEX(Arten,MATCH(B26,Codes,0))="Arbeit",INDEX(Arten,MATCH(C26,Codes,0))="Arbeit"),IF(ROUND((1+INDEX(Beginne,MATCH(C26,Codes,0))-INDEX(EndeRel,MATCH(B26,Codes,0)))*1440,0)&lt;660,1,0),0),0))</f>
      </c>
      <c r="D75" s="1">
        <f>IF(OR(D$52=0,C26="",D26=""),0,IFERROR(IF(AND(INDEX(Arten,MATCH(C26,Codes,0))="Arbeit",INDEX(Arten,MATCH(D26,Codes,0))="Arbeit"),IF(ROUND((1+INDEX(Beginne,MATCH(D26,Codes,0))-INDEX(EndeRel,MATCH(C26,Codes,0)))*1440,0)&lt;660,1,0),0),0))</f>
      </c>
      <c r="E75" s="1">
        <f>IF(OR(E$52=0,D26="",E26=""),0,IFERROR(IF(AND(INDEX(Arten,MATCH(D26,Codes,0))="Arbeit",INDEX(Arten,MATCH(E26,Codes,0))="Arbeit"),IF(ROUND((1+INDEX(Beginne,MATCH(E26,Codes,0))-INDEX(EndeRel,MATCH(D26,Codes,0)))*1440,0)&lt;660,1,0),0),0))</f>
      </c>
      <c r="F75" s="1">
        <f>IF(OR(F$52=0,E26="",F26=""),0,IFERROR(IF(AND(INDEX(Arten,MATCH(E26,Codes,0))="Arbeit",INDEX(Arten,MATCH(F26,Codes,0))="Arbeit"),IF(ROUND((1+INDEX(Beginne,MATCH(F26,Codes,0))-INDEX(EndeRel,MATCH(E26,Codes,0)))*1440,0)&lt;660,1,0),0),0))</f>
      </c>
      <c r="G75" s="1">
        <f>IF(OR(G$52=0,F26="",G26=""),0,IFERROR(IF(AND(INDEX(Arten,MATCH(F26,Codes,0))="Arbeit",INDEX(Arten,MATCH(G26,Codes,0))="Arbeit"),IF(ROUND((1+INDEX(Beginne,MATCH(G26,Codes,0))-INDEX(EndeRel,MATCH(F26,Codes,0)))*1440,0)&lt;660,1,0),0),0))</f>
      </c>
      <c r="H75" s="1">
        <f>IF(OR(H$52=0,G26="",H26=""),0,IFERROR(IF(AND(INDEX(Arten,MATCH(G26,Codes,0))="Arbeit",INDEX(Arten,MATCH(H26,Codes,0))="Arbeit"),IF(ROUND((1+INDEX(Beginne,MATCH(H26,Codes,0))-INDEX(EndeRel,MATCH(G26,Codes,0)))*1440,0)&lt;660,1,0),0),0))</f>
      </c>
      <c r="I75" s="1">
        <f>IF(OR(I$52=0,H26="",I26=""),0,IFERROR(IF(AND(INDEX(Arten,MATCH(H26,Codes,0))="Arbeit",INDEX(Arten,MATCH(I26,Codes,0))="Arbeit"),IF(ROUND((1+INDEX(Beginne,MATCH(I26,Codes,0))-INDEX(EndeRel,MATCH(H26,Codes,0)))*1440,0)&lt;660,1,0),0),0))</f>
      </c>
      <c r="J75" s="1">
        <f>IF(OR(J$52=0,I26="",J26=""),0,IFERROR(IF(AND(INDEX(Arten,MATCH(I26,Codes,0))="Arbeit",INDEX(Arten,MATCH(J26,Codes,0))="Arbeit"),IF(ROUND((1+INDEX(Beginne,MATCH(J26,Codes,0))-INDEX(EndeRel,MATCH(I26,Codes,0)))*1440,0)&lt;660,1,0),0),0))</f>
      </c>
      <c r="K75" s="1">
        <f>IF(OR(K$52=0,J26="",K26=""),0,IFERROR(IF(AND(INDEX(Arten,MATCH(J26,Codes,0))="Arbeit",INDEX(Arten,MATCH(K26,Codes,0))="Arbeit"),IF(ROUND((1+INDEX(Beginne,MATCH(K26,Codes,0))-INDEX(EndeRel,MATCH(J26,Codes,0)))*1440,0)&lt;660,1,0),0),0))</f>
      </c>
      <c r="L75" s="1">
        <f>IF(OR(L$52=0,K26="",L26=""),0,IFERROR(IF(AND(INDEX(Arten,MATCH(K26,Codes,0))="Arbeit",INDEX(Arten,MATCH(L26,Codes,0))="Arbeit"),IF(ROUND((1+INDEX(Beginne,MATCH(L26,Codes,0))-INDEX(EndeRel,MATCH(K26,Codes,0)))*1440,0)&lt;660,1,0),0),0))</f>
      </c>
      <c r="M75" s="1">
        <f>IF(OR(M$52=0,L26="",M26=""),0,IFERROR(IF(AND(INDEX(Arten,MATCH(L26,Codes,0))="Arbeit",INDEX(Arten,MATCH(M26,Codes,0))="Arbeit"),IF(ROUND((1+INDEX(Beginne,MATCH(M26,Codes,0))-INDEX(EndeRel,MATCH(L26,Codes,0)))*1440,0)&lt;660,1,0),0),0))</f>
      </c>
      <c r="N75" s="1">
        <f>IF(OR(N$52=0,M26="",N26=""),0,IFERROR(IF(AND(INDEX(Arten,MATCH(M26,Codes,0))="Arbeit",INDEX(Arten,MATCH(N26,Codes,0))="Arbeit"),IF(ROUND((1+INDEX(Beginne,MATCH(N26,Codes,0))-INDEX(EndeRel,MATCH(M26,Codes,0)))*1440,0)&lt;660,1,0),0),0))</f>
      </c>
      <c r="O75" s="1">
        <f>IF(OR(O$52=0,N26="",O26=""),0,IFERROR(IF(AND(INDEX(Arten,MATCH(N26,Codes,0))="Arbeit",INDEX(Arten,MATCH(O26,Codes,0))="Arbeit"),IF(ROUND((1+INDEX(Beginne,MATCH(O26,Codes,0))-INDEX(EndeRel,MATCH(N26,Codes,0)))*1440,0)&lt;660,1,0),0),0))</f>
      </c>
      <c r="P75" s="1">
        <f>IF(OR(P$52=0,O26="",P26=""),0,IFERROR(IF(AND(INDEX(Arten,MATCH(O26,Codes,0))="Arbeit",INDEX(Arten,MATCH(P26,Codes,0))="Arbeit"),IF(ROUND((1+INDEX(Beginne,MATCH(P26,Codes,0))-INDEX(EndeRel,MATCH(O26,Codes,0)))*1440,0)&lt;660,1,0),0),0))</f>
      </c>
      <c r="Q75" s="1">
        <f>IF(OR(Q$52=0,P26="",Q26=""),0,IFERROR(IF(AND(INDEX(Arten,MATCH(P26,Codes,0))="Arbeit",INDEX(Arten,MATCH(Q26,Codes,0))="Arbeit"),IF(ROUND((1+INDEX(Beginne,MATCH(Q26,Codes,0))-INDEX(EndeRel,MATCH(P26,Codes,0)))*1440,0)&lt;660,1,0),0),0))</f>
      </c>
      <c r="R75" s="1">
        <f>IF(OR(R$52=0,Q26="",R26=""),0,IFERROR(IF(AND(INDEX(Arten,MATCH(Q26,Codes,0))="Arbeit",INDEX(Arten,MATCH(R26,Codes,0))="Arbeit"),IF(ROUND((1+INDEX(Beginne,MATCH(R26,Codes,0))-INDEX(EndeRel,MATCH(Q26,Codes,0)))*1440,0)&lt;660,1,0),0),0))</f>
      </c>
      <c r="S75" s="1">
        <f>IF(OR(S$52=0,R26="",S26=""),0,IFERROR(IF(AND(INDEX(Arten,MATCH(R26,Codes,0))="Arbeit",INDEX(Arten,MATCH(S26,Codes,0))="Arbeit"),IF(ROUND((1+INDEX(Beginne,MATCH(S26,Codes,0))-INDEX(EndeRel,MATCH(R26,Codes,0)))*1440,0)&lt;660,1,0),0),0))</f>
      </c>
      <c r="T75" s="1">
        <f>IF(OR(T$52=0,S26="",T26=""),0,IFERROR(IF(AND(INDEX(Arten,MATCH(S26,Codes,0))="Arbeit",INDEX(Arten,MATCH(T26,Codes,0))="Arbeit"),IF(ROUND((1+INDEX(Beginne,MATCH(T26,Codes,0))-INDEX(EndeRel,MATCH(S26,Codes,0)))*1440,0)&lt;660,1,0),0),0))</f>
      </c>
      <c r="U75" s="1">
        <f>IF(OR(U$52=0,T26="",U26=""),0,IFERROR(IF(AND(INDEX(Arten,MATCH(T26,Codes,0))="Arbeit",INDEX(Arten,MATCH(U26,Codes,0))="Arbeit"),IF(ROUND((1+INDEX(Beginne,MATCH(U26,Codes,0))-INDEX(EndeRel,MATCH(T26,Codes,0)))*1440,0)&lt;660,1,0),0),0))</f>
      </c>
      <c r="V75" s="1">
        <f>IF(OR(V$52=0,U26="",V26=""),0,IFERROR(IF(AND(INDEX(Arten,MATCH(U26,Codes,0))="Arbeit",INDEX(Arten,MATCH(V26,Codes,0))="Arbeit"),IF(ROUND((1+INDEX(Beginne,MATCH(V26,Codes,0))-INDEX(EndeRel,MATCH(U26,Codes,0)))*1440,0)&lt;660,1,0),0),0))</f>
      </c>
      <c r="W75" s="1">
        <f>IF(OR(W$52=0,V26="",W26=""),0,IFERROR(IF(AND(INDEX(Arten,MATCH(V26,Codes,0))="Arbeit",INDEX(Arten,MATCH(W26,Codes,0))="Arbeit"),IF(ROUND((1+INDEX(Beginne,MATCH(W26,Codes,0))-INDEX(EndeRel,MATCH(V26,Codes,0)))*1440,0)&lt;660,1,0),0),0))</f>
      </c>
      <c r="X75" s="1">
        <f>IF(OR(X$52=0,W26="",X26=""),0,IFERROR(IF(AND(INDEX(Arten,MATCH(W26,Codes,0))="Arbeit",INDEX(Arten,MATCH(X26,Codes,0))="Arbeit"),IF(ROUND((1+INDEX(Beginne,MATCH(X26,Codes,0))-INDEX(EndeRel,MATCH(W26,Codes,0)))*1440,0)&lt;660,1,0),0),0))</f>
      </c>
      <c r="Y75" s="1">
        <f>IF(OR(Y$52=0,X26="",Y26=""),0,IFERROR(IF(AND(INDEX(Arten,MATCH(X26,Codes,0))="Arbeit",INDEX(Arten,MATCH(Y26,Codes,0))="Arbeit"),IF(ROUND((1+INDEX(Beginne,MATCH(Y26,Codes,0))-INDEX(EndeRel,MATCH(X26,Codes,0)))*1440,0)&lt;660,1,0),0),0))</f>
      </c>
      <c r="Z75" s="1">
        <f>IF(OR(Z$52=0,Y26="",Z26=""),0,IFERROR(IF(AND(INDEX(Arten,MATCH(Y26,Codes,0))="Arbeit",INDEX(Arten,MATCH(Z26,Codes,0))="Arbeit"),IF(ROUND((1+INDEX(Beginne,MATCH(Z26,Codes,0))-INDEX(EndeRel,MATCH(Y26,Codes,0)))*1440,0)&lt;660,1,0),0),0))</f>
      </c>
      <c r="AA75" s="1">
        <f>IF(OR(AA$52=0,Z26="",AA26=""),0,IFERROR(IF(AND(INDEX(Arten,MATCH(Z26,Codes,0))="Arbeit",INDEX(Arten,MATCH(AA26,Codes,0))="Arbeit"),IF(ROUND((1+INDEX(Beginne,MATCH(AA26,Codes,0))-INDEX(EndeRel,MATCH(Z26,Codes,0)))*1440,0)&lt;660,1,0),0),0))</f>
      </c>
      <c r="AB75" s="1">
        <f>IF(OR(AB$52=0,AA26="",AB26=""),0,IFERROR(IF(AND(INDEX(Arten,MATCH(AA26,Codes,0))="Arbeit",INDEX(Arten,MATCH(AB26,Codes,0))="Arbeit"),IF(ROUND((1+INDEX(Beginne,MATCH(AB26,Codes,0))-INDEX(EndeRel,MATCH(AA26,Codes,0)))*1440,0)&lt;660,1,0),0),0))</f>
      </c>
      <c r="AC75" s="1">
        <f>IF(OR(AC$52=0,AB26="",AC26=""),0,IFERROR(IF(AND(INDEX(Arten,MATCH(AB26,Codes,0))="Arbeit",INDEX(Arten,MATCH(AC26,Codes,0))="Arbeit"),IF(ROUND((1+INDEX(Beginne,MATCH(AC26,Codes,0))-INDEX(EndeRel,MATCH(AB26,Codes,0)))*1440,0)&lt;660,1,0),0),0))</f>
      </c>
      <c r="AD75" s="1">
        <f>IF(OR(AD$52=0,AC26="",AD26=""),0,IFERROR(IF(AND(INDEX(Arten,MATCH(AC26,Codes,0))="Arbeit",INDEX(Arten,MATCH(AD26,Codes,0))="Arbeit"),IF(ROUND((1+INDEX(Beginne,MATCH(AD26,Codes,0))-INDEX(EndeRel,MATCH(AC26,Codes,0)))*1440,0)&lt;660,1,0),0),0))</f>
      </c>
      <c r="AE75" s="1">
        <f>IF(OR(AE$52=0,AD26="",AE26=""),0,IFERROR(IF(AND(INDEX(Arten,MATCH(AD26,Codes,0))="Arbeit",INDEX(Arten,MATCH(AE26,Codes,0))="Arbeit"),IF(ROUND((1+INDEX(Beginne,MATCH(AE26,Codes,0))-INDEX(EndeRel,MATCH(AD26,Codes,0)))*1440,0)&lt;660,1,0),0),0))</f>
      </c>
      <c r="AF75" s="1">
        <f>IF(OR(AF$52=0,AE26="",AF26=""),0,IFERROR(IF(AND(INDEX(Arten,MATCH(AE26,Codes,0))="Arbeit",INDEX(Arten,MATCH(AF26,Codes,0))="Arbeit"),IF(ROUND((1+INDEX(Beginne,MATCH(AF26,Codes,0))-INDEX(EndeRel,MATCH(AE26,Codes,0)))*1440,0)&lt;660,1,0),0),0))</f>
      </c>
    </row>
    <row r="76" hidden="1" spans="1:32" x14ac:dyDescent="0.25">
      <c r="A76" s="1"/>
      <c r="B76" s="1">
        <f>IF(OR(B$52=0,INDEX('August'!$B$27:$AF$27,DAY(DATE(Jahr,9,0)))="",B27=""),0,IFERROR(IF(AND(INDEX(Arten,MATCH(INDEX('August'!$B$27:$AF$27,DAY(DATE(Jahr,9,0))),Codes,0))="Arbeit",INDEX(Arten,MATCH(B27,Codes,0))="Arbeit"),IF(ROUND((1+INDEX(Beginne,MATCH(B27,Codes,0))-INDEX(EndeRel,MATCH(INDEX('August'!$B$27:$AF$27,DAY(DATE(Jahr,9,0))),Codes,0)))*1440,0)&lt;660,1,0),0),0))</f>
      </c>
      <c r="C76" s="1">
        <f>IF(OR(C$52=0,B27="",C27=""),0,IFERROR(IF(AND(INDEX(Arten,MATCH(B27,Codes,0))="Arbeit",INDEX(Arten,MATCH(C27,Codes,0))="Arbeit"),IF(ROUND((1+INDEX(Beginne,MATCH(C27,Codes,0))-INDEX(EndeRel,MATCH(B27,Codes,0)))*1440,0)&lt;660,1,0),0),0))</f>
      </c>
      <c r="D76" s="1">
        <f>IF(OR(D$52=0,C27="",D27=""),0,IFERROR(IF(AND(INDEX(Arten,MATCH(C27,Codes,0))="Arbeit",INDEX(Arten,MATCH(D27,Codes,0))="Arbeit"),IF(ROUND((1+INDEX(Beginne,MATCH(D27,Codes,0))-INDEX(EndeRel,MATCH(C27,Codes,0)))*1440,0)&lt;660,1,0),0),0))</f>
      </c>
      <c r="E76" s="1">
        <f>IF(OR(E$52=0,D27="",E27=""),0,IFERROR(IF(AND(INDEX(Arten,MATCH(D27,Codes,0))="Arbeit",INDEX(Arten,MATCH(E27,Codes,0))="Arbeit"),IF(ROUND((1+INDEX(Beginne,MATCH(E27,Codes,0))-INDEX(EndeRel,MATCH(D27,Codes,0)))*1440,0)&lt;660,1,0),0),0))</f>
      </c>
      <c r="F76" s="1">
        <f>IF(OR(F$52=0,E27="",F27=""),0,IFERROR(IF(AND(INDEX(Arten,MATCH(E27,Codes,0))="Arbeit",INDEX(Arten,MATCH(F27,Codes,0))="Arbeit"),IF(ROUND((1+INDEX(Beginne,MATCH(F27,Codes,0))-INDEX(EndeRel,MATCH(E27,Codes,0)))*1440,0)&lt;660,1,0),0),0))</f>
      </c>
      <c r="G76" s="1">
        <f>IF(OR(G$52=0,F27="",G27=""),0,IFERROR(IF(AND(INDEX(Arten,MATCH(F27,Codes,0))="Arbeit",INDEX(Arten,MATCH(G27,Codes,0))="Arbeit"),IF(ROUND((1+INDEX(Beginne,MATCH(G27,Codes,0))-INDEX(EndeRel,MATCH(F27,Codes,0)))*1440,0)&lt;660,1,0),0),0))</f>
      </c>
      <c r="H76" s="1">
        <f>IF(OR(H$52=0,G27="",H27=""),0,IFERROR(IF(AND(INDEX(Arten,MATCH(G27,Codes,0))="Arbeit",INDEX(Arten,MATCH(H27,Codes,0))="Arbeit"),IF(ROUND((1+INDEX(Beginne,MATCH(H27,Codes,0))-INDEX(EndeRel,MATCH(G27,Codes,0)))*1440,0)&lt;660,1,0),0),0))</f>
      </c>
      <c r="I76" s="1">
        <f>IF(OR(I$52=0,H27="",I27=""),0,IFERROR(IF(AND(INDEX(Arten,MATCH(H27,Codes,0))="Arbeit",INDEX(Arten,MATCH(I27,Codes,0))="Arbeit"),IF(ROUND((1+INDEX(Beginne,MATCH(I27,Codes,0))-INDEX(EndeRel,MATCH(H27,Codes,0)))*1440,0)&lt;660,1,0),0),0))</f>
      </c>
      <c r="J76" s="1">
        <f>IF(OR(J$52=0,I27="",J27=""),0,IFERROR(IF(AND(INDEX(Arten,MATCH(I27,Codes,0))="Arbeit",INDEX(Arten,MATCH(J27,Codes,0))="Arbeit"),IF(ROUND((1+INDEX(Beginne,MATCH(J27,Codes,0))-INDEX(EndeRel,MATCH(I27,Codes,0)))*1440,0)&lt;660,1,0),0),0))</f>
      </c>
      <c r="K76" s="1">
        <f>IF(OR(K$52=0,J27="",K27=""),0,IFERROR(IF(AND(INDEX(Arten,MATCH(J27,Codes,0))="Arbeit",INDEX(Arten,MATCH(K27,Codes,0))="Arbeit"),IF(ROUND((1+INDEX(Beginne,MATCH(K27,Codes,0))-INDEX(EndeRel,MATCH(J27,Codes,0)))*1440,0)&lt;660,1,0),0),0))</f>
      </c>
      <c r="L76" s="1">
        <f>IF(OR(L$52=0,K27="",L27=""),0,IFERROR(IF(AND(INDEX(Arten,MATCH(K27,Codes,0))="Arbeit",INDEX(Arten,MATCH(L27,Codes,0))="Arbeit"),IF(ROUND((1+INDEX(Beginne,MATCH(L27,Codes,0))-INDEX(EndeRel,MATCH(K27,Codes,0)))*1440,0)&lt;660,1,0),0),0))</f>
      </c>
      <c r="M76" s="1">
        <f>IF(OR(M$52=0,L27="",M27=""),0,IFERROR(IF(AND(INDEX(Arten,MATCH(L27,Codes,0))="Arbeit",INDEX(Arten,MATCH(M27,Codes,0))="Arbeit"),IF(ROUND((1+INDEX(Beginne,MATCH(M27,Codes,0))-INDEX(EndeRel,MATCH(L27,Codes,0)))*1440,0)&lt;660,1,0),0),0))</f>
      </c>
      <c r="N76" s="1">
        <f>IF(OR(N$52=0,M27="",N27=""),0,IFERROR(IF(AND(INDEX(Arten,MATCH(M27,Codes,0))="Arbeit",INDEX(Arten,MATCH(N27,Codes,0))="Arbeit"),IF(ROUND((1+INDEX(Beginne,MATCH(N27,Codes,0))-INDEX(EndeRel,MATCH(M27,Codes,0)))*1440,0)&lt;660,1,0),0),0))</f>
      </c>
      <c r="O76" s="1">
        <f>IF(OR(O$52=0,N27="",O27=""),0,IFERROR(IF(AND(INDEX(Arten,MATCH(N27,Codes,0))="Arbeit",INDEX(Arten,MATCH(O27,Codes,0))="Arbeit"),IF(ROUND((1+INDEX(Beginne,MATCH(O27,Codes,0))-INDEX(EndeRel,MATCH(N27,Codes,0)))*1440,0)&lt;660,1,0),0),0))</f>
      </c>
      <c r="P76" s="1">
        <f>IF(OR(P$52=0,O27="",P27=""),0,IFERROR(IF(AND(INDEX(Arten,MATCH(O27,Codes,0))="Arbeit",INDEX(Arten,MATCH(P27,Codes,0))="Arbeit"),IF(ROUND((1+INDEX(Beginne,MATCH(P27,Codes,0))-INDEX(EndeRel,MATCH(O27,Codes,0)))*1440,0)&lt;660,1,0),0),0))</f>
      </c>
      <c r="Q76" s="1">
        <f>IF(OR(Q$52=0,P27="",Q27=""),0,IFERROR(IF(AND(INDEX(Arten,MATCH(P27,Codes,0))="Arbeit",INDEX(Arten,MATCH(Q27,Codes,0))="Arbeit"),IF(ROUND((1+INDEX(Beginne,MATCH(Q27,Codes,0))-INDEX(EndeRel,MATCH(P27,Codes,0)))*1440,0)&lt;660,1,0),0),0))</f>
      </c>
      <c r="R76" s="1">
        <f>IF(OR(R$52=0,Q27="",R27=""),0,IFERROR(IF(AND(INDEX(Arten,MATCH(Q27,Codes,0))="Arbeit",INDEX(Arten,MATCH(R27,Codes,0))="Arbeit"),IF(ROUND((1+INDEX(Beginne,MATCH(R27,Codes,0))-INDEX(EndeRel,MATCH(Q27,Codes,0)))*1440,0)&lt;660,1,0),0),0))</f>
      </c>
      <c r="S76" s="1">
        <f>IF(OR(S$52=0,R27="",S27=""),0,IFERROR(IF(AND(INDEX(Arten,MATCH(R27,Codes,0))="Arbeit",INDEX(Arten,MATCH(S27,Codes,0))="Arbeit"),IF(ROUND((1+INDEX(Beginne,MATCH(S27,Codes,0))-INDEX(EndeRel,MATCH(R27,Codes,0)))*1440,0)&lt;660,1,0),0),0))</f>
      </c>
      <c r="T76" s="1">
        <f>IF(OR(T$52=0,S27="",T27=""),0,IFERROR(IF(AND(INDEX(Arten,MATCH(S27,Codes,0))="Arbeit",INDEX(Arten,MATCH(T27,Codes,0))="Arbeit"),IF(ROUND((1+INDEX(Beginne,MATCH(T27,Codes,0))-INDEX(EndeRel,MATCH(S27,Codes,0)))*1440,0)&lt;660,1,0),0),0))</f>
      </c>
      <c r="U76" s="1">
        <f>IF(OR(U$52=0,T27="",U27=""),0,IFERROR(IF(AND(INDEX(Arten,MATCH(T27,Codes,0))="Arbeit",INDEX(Arten,MATCH(U27,Codes,0))="Arbeit"),IF(ROUND((1+INDEX(Beginne,MATCH(U27,Codes,0))-INDEX(EndeRel,MATCH(T27,Codes,0)))*1440,0)&lt;660,1,0),0),0))</f>
      </c>
      <c r="V76" s="1">
        <f>IF(OR(V$52=0,U27="",V27=""),0,IFERROR(IF(AND(INDEX(Arten,MATCH(U27,Codes,0))="Arbeit",INDEX(Arten,MATCH(V27,Codes,0))="Arbeit"),IF(ROUND((1+INDEX(Beginne,MATCH(V27,Codes,0))-INDEX(EndeRel,MATCH(U27,Codes,0)))*1440,0)&lt;660,1,0),0),0))</f>
      </c>
      <c r="W76" s="1">
        <f>IF(OR(W$52=0,V27="",W27=""),0,IFERROR(IF(AND(INDEX(Arten,MATCH(V27,Codes,0))="Arbeit",INDEX(Arten,MATCH(W27,Codes,0))="Arbeit"),IF(ROUND((1+INDEX(Beginne,MATCH(W27,Codes,0))-INDEX(EndeRel,MATCH(V27,Codes,0)))*1440,0)&lt;660,1,0),0),0))</f>
      </c>
      <c r="X76" s="1">
        <f>IF(OR(X$52=0,W27="",X27=""),0,IFERROR(IF(AND(INDEX(Arten,MATCH(W27,Codes,0))="Arbeit",INDEX(Arten,MATCH(X27,Codes,0))="Arbeit"),IF(ROUND((1+INDEX(Beginne,MATCH(X27,Codes,0))-INDEX(EndeRel,MATCH(W27,Codes,0)))*1440,0)&lt;660,1,0),0),0))</f>
      </c>
      <c r="Y76" s="1">
        <f>IF(OR(Y$52=0,X27="",Y27=""),0,IFERROR(IF(AND(INDEX(Arten,MATCH(X27,Codes,0))="Arbeit",INDEX(Arten,MATCH(Y27,Codes,0))="Arbeit"),IF(ROUND((1+INDEX(Beginne,MATCH(Y27,Codes,0))-INDEX(EndeRel,MATCH(X27,Codes,0)))*1440,0)&lt;660,1,0),0),0))</f>
      </c>
      <c r="Z76" s="1">
        <f>IF(OR(Z$52=0,Y27="",Z27=""),0,IFERROR(IF(AND(INDEX(Arten,MATCH(Y27,Codes,0))="Arbeit",INDEX(Arten,MATCH(Z27,Codes,0))="Arbeit"),IF(ROUND((1+INDEX(Beginne,MATCH(Z27,Codes,0))-INDEX(EndeRel,MATCH(Y27,Codes,0)))*1440,0)&lt;660,1,0),0),0))</f>
      </c>
      <c r="AA76" s="1">
        <f>IF(OR(AA$52=0,Z27="",AA27=""),0,IFERROR(IF(AND(INDEX(Arten,MATCH(Z27,Codes,0))="Arbeit",INDEX(Arten,MATCH(AA27,Codes,0))="Arbeit"),IF(ROUND((1+INDEX(Beginne,MATCH(AA27,Codes,0))-INDEX(EndeRel,MATCH(Z27,Codes,0)))*1440,0)&lt;660,1,0),0),0))</f>
      </c>
      <c r="AB76" s="1">
        <f>IF(OR(AB$52=0,AA27="",AB27=""),0,IFERROR(IF(AND(INDEX(Arten,MATCH(AA27,Codes,0))="Arbeit",INDEX(Arten,MATCH(AB27,Codes,0))="Arbeit"),IF(ROUND((1+INDEX(Beginne,MATCH(AB27,Codes,0))-INDEX(EndeRel,MATCH(AA27,Codes,0)))*1440,0)&lt;660,1,0),0),0))</f>
      </c>
      <c r="AC76" s="1">
        <f>IF(OR(AC$52=0,AB27="",AC27=""),0,IFERROR(IF(AND(INDEX(Arten,MATCH(AB27,Codes,0))="Arbeit",INDEX(Arten,MATCH(AC27,Codes,0))="Arbeit"),IF(ROUND((1+INDEX(Beginne,MATCH(AC27,Codes,0))-INDEX(EndeRel,MATCH(AB27,Codes,0)))*1440,0)&lt;660,1,0),0),0))</f>
      </c>
      <c r="AD76" s="1">
        <f>IF(OR(AD$52=0,AC27="",AD27=""),0,IFERROR(IF(AND(INDEX(Arten,MATCH(AC27,Codes,0))="Arbeit",INDEX(Arten,MATCH(AD27,Codes,0))="Arbeit"),IF(ROUND((1+INDEX(Beginne,MATCH(AD27,Codes,0))-INDEX(EndeRel,MATCH(AC27,Codes,0)))*1440,0)&lt;660,1,0),0),0))</f>
      </c>
      <c r="AE76" s="1">
        <f>IF(OR(AE$52=0,AD27="",AE27=""),0,IFERROR(IF(AND(INDEX(Arten,MATCH(AD27,Codes,0))="Arbeit",INDEX(Arten,MATCH(AE27,Codes,0))="Arbeit"),IF(ROUND((1+INDEX(Beginne,MATCH(AE27,Codes,0))-INDEX(EndeRel,MATCH(AD27,Codes,0)))*1440,0)&lt;660,1,0),0),0))</f>
      </c>
      <c r="AF76" s="1">
        <f>IF(OR(AF$52=0,AE27="",AF27=""),0,IFERROR(IF(AND(INDEX(Arten,MATCH(AE27,Codes,0))="Arbeit",INDEX(Arten,MATCH(AF27,Codes,0))="Arbeit"),IF(ROUND((1+INDEX(Beginne,MATCH(AF27,Codes,0))-INDEX(EndeRel,MATCH(AE27,Codes,0)))*1440,0)&lt;660,1,0),0),0))</f>
      </c>
    </row>
    <row r="77" hidden="1" spans="1:32" x14ac:dyDescent="0.25">
      <c r="A77" s="1"/>
      <c r="B77" s="1">
        <f>IF(OR(B$52=0,INDEX('August'!$B$28:$AF$28,DAY(DATE(Jahr,9,0)))="",B28=""),0,IFERROR(IF(AND(INDEX(Arten,MATCH(INDEX('August'!$B$28:$AF$28,DAY(DATE(Jahr,9,0))),Codes,0))="Arbeit",INDEX(Arten,MATCH(B28,Codes,0))="Arbeit"),IF(ROUND((1+INDEX(Beginne,MATCH(B28,Codes,0))-INDEX(EndeRel,MATCH(INDEX('August'!$B$28:$AF$28,DAY(DATE(Jahr,9,0))),Codes,0)))*1440,0)&lt;660,1,0),0),0))</f>
      </c>
      <c r="C77" s="1">
        <f>IF(OR(C$52=0,B28="",C28=""),0,IFERROR(IF(AND(INDEX(Arten,MATCH(B28,Codes,0))="Arbeit",INDEX(Arten,MATCH(C28,Codes,0))="Arbeit"),IF(ROUND((1+INDEX(Beginne,MATCH(C28,Codes,0))-INDEX(EndeRel,MATCH(B28,Codes,0)))*1440,0)&lt;660,1,0),0),0))</f>
      </c>
      <c r="D77" s="1">
        <f>IF(OR(D$52=0,C28="",D28=""),0,IFERROR(IF(AND(INDEX(Arten,MATCH(C28,Codes,0))="Arbeit",INDEX(Arten,MATCH(D28,Codes,0))="Arbeit"),IF(ROUND((1+INDEX(Beginne,MATCH(D28,Codes,0))-INDEX(EndeRel,MATCH(C28,Codes,0)))*1440,0)&lt;660,1,0),0),0))</f>
      </c>
      <c r="E77" s="1">
        <f>IF(OR(E$52=0,D28="",E28=""),0,IFERROR(IF(AND(INDEX(Arten,MATCH(D28,Codes,0))="Arbeit",INDEX(Arten,MATCH(E28,Codes,0))="Arbeit"),IF(ROUND((1+INDEX(Beginne,MATCH(E28,Codes,0))-INDEX(EndeRel,MATCH(D28,Codes,0)))*1440,0)&lt;660,1,0),0),0))</f>
      </c>
      <c r="F77" s="1">
        <f>IF(OR(F$52=0,E28="",F28=""),0,IFERROR(IF(AND(INDEX(Arten,MATCH(E28,Codes,0))="Arbeit",INDEX(Arten,MATCH(F28,Codes,0))="Arbeit"),IF(ROUND((1+INDEX(Beginne,MATCH(F28,Codes,0))-INDEX(EndeRel,MATCH(E28,Codes,0)))*1440,0)&lt;660,1,0),0),0))</f>
      </c>
      <c r="G77" s="1">
        <f>IF(OR(G$52=0,F28="",G28=""),0,IFERROR(IF(AND(INDEX(Arten,MATCH(F28,Codes,0))="Arbeit",INDEX(Arten,MATCH(G28,Codes,0))="Arbeit"),IF(ROUND((1+INDEX(Beginne,MATCH(G28,Codes,0))-INDEX(EndeRel,MATCH(F28,Codes,0)))*1440,0)&lt;660,1,0),0),0))</f>
      </c>
      <c r="H77" s="1">
        <f>IF(OR(H$52=0,G28="",H28=""),0,IFERROR(IF(AND(INDEX(Arten,MATCH(G28,Codes,0))="Arbeit",INDEX(Arten,MATCH(H28,Codes,0))="Arbeit"),IF(ROUND((1+INDEX(Beginne,MATCH(H28,Codes,0))-INDEX(EndeRel,MATCH(G28,Codes,0)))*1440,0)&lt;660,1,0),0),0))</f>
      </c>
      <c r="I77" s="1">
        <f>IF(OR(I$52=0,H28="",I28=""),0,IFERROR(IF(AND(INDEX(Arten,MATCH(H28,Codes,0))="Arbeit",INDEX(Arten,MATCH(I28,Codes,0))="Arbeit"),IF(ROUND((1+INDEX(Beginne,MATCH(I28,Codes,0))-INDEX(EndeRel,MATCH(H28,Codes,0)))*1440,0)&lt;660,1,0),0),0))</f>
      </c>
      <c r="J77" s="1">
        <f>IF(OR(J$52=0,I28="",J28=""),0,IFERROR(IF(AND(INDEX(Arten,MATCH(I28,Codes,0))="Arbeit",INDEX(Arten,MATCH(J28,Codes,0))="Arbeit"),IF(ROUND((1+INDEX(Beginne,MATCH(J28,Codes,0))-INDEX(EndeRel,MATCH(I28,Codes,0)))*1440,0)&lt;660,1,0),0),0))</f>
      </c>
      <c r="K77" s="1">
        <f>IF(OR(K$52=0,J28="",K28=""),0,IFERROR(IF(AND(INDEX(Arten,MATCH(J28,Codes,0))="Arbeit",INDEX(Arten,MATCH(K28,Codes,0))="Arbeit"),IF(ROUND((1+INDEX(Beginne,MATCH(K28,Codes,0))-INDEX(EndeRel,MATCH(J28,Codes,0)))*1440,0)&lt;660,1,0),0),0))</f>
      </c>
      <c r="L77" s="1">
        <f>IF(OR(L$52=0,K28="",L28=""),0,IFERROR(IF(AND(INDEX(Arten,MATCH(K28,Codes,0))="Arbeit",INDEX(Arten,MATCH(L28,Codes,0))="Arbeit"),IF(ROUND((1+INDEX(Beginne,MATCH(L28,Codes,0))-INDEX(EndeRel,MATCH(K28,Codes,0)))*1440,0)&lt;660,1,0),0),0))</f>
      </c>
      <c r="M77" s="1">
        <f>IF(OR(M$52=0,L28="",M28=""),0,IFERROR(IF(AND(INDEX(Arten,MATCH(L28,Codes,0))="Arbeit",INDEX(Arten,MATCH(M28,Codes,0))="Arbeit"),IF(ROUND((1+INDEX(Beginne,MATCH(M28,Codes,0))-INDEX(EndeRel,MATCH(L28,Codes,0)))*1440,0)&lt;660,1,0),0),0))</f>
      </c>
      <c r="N77" s="1">
        <f>IF(OR(N$52=0,M28="",N28=""),0,IFERROR(IF(AND(INDEX(Arten,MATCH(M28,Codes,0))="Arbeit",INDEX(Arten,MATCH(N28,Codes,0))="Arbeit"),IF(ROUND((1+INDEX(Beginne,MATCH(N28,Codes,0))-INDEX(EndeRel,MATCH(M28,Codes,0)))*1440,0)&lt;660,1,0),0),0))</f>
      </c>
      <c r="O77" s="1">
        <f>IF(OR(O$52=0,N28="",O28=""),0,IFERROR(IF(AND(INDEX(Arten,MATCH(N28,Codes,0))="Arbeit",INDEX(Arten,MATCH(O28,Codes,0))="Arbeit"),IF(ROUND((1+INDEX(Beginne,MATCH(O28,Codes,0))-INDEX(EndeRel,MATCH(N28,Codes,0)))*1440,0)&lt;660,1,0),0),0))</f>
      </c>
      <c r="P77" s="1">
        <f>IF(OR(P$52=0,O28="",P28=""),0,IFERROR(IF(AND(INDEX(Arten,MATCH(O28,Codes,0))="Arbeit",INDEX(Arten,MATCH(P28,Codes,0))="Arbeit"),IF(ROUND((1+INDEX(Beginne,MATCH(P28,Codes,0))-INDEX(EndeRel,MATCH(O28,Codes,0)))*1440,0)&lt;660,1,0),0),0))</f>
      </c>
      <c r="Q77" s="1">
        <f>IF(OR(Q$52=0,P28="",Q28=""),0,IFERROR(IF(AND(INDEX(Arten,MATCH(P28,Codes,0))="Arbeit",INDEX(Arten,MATCH(Q28,Codes,0))="Arbeit"),IF(ROUND((1+INDEX(Beginne,MATCH(Q28,Codes,0))-INDEX(EndeRel,MATCH(P28,Codes,0)))*1440,0)&lt;660,1,0),0),0))</f>
      </c>
      <c r="R77" s="1">
        <f>IF(OR(R$52=0,Q28="",R28=""),0,IFERROR(IF(AND(INDEX(Arten,MATCH(Q28,Codes,0))="Arbeit",INDEX(Arten,MATCH(R28,Codes,0))="Arbeit"),IF(ROUND((1+INDEX(Beginne,MATCH(R28,Codes,0))-INDEX(EndeRel,MATCH(Q28,Codes,0)))*1440,0)&lt;660,1,0),0),0))</f>
      </c>
      <c r="S77" s="1">
        <f>IF(OR(S$52=0,R28="",S28=""),0,IFERROR(IF(AND(INDEX(Arten,MATCH(R28,Codes,0))="Arbeit",INDEX(Arten,MATCH(S28,Codes,0))="Arbeit"),IF(ROUND((1+INDEX(Beginne,MATCH(S28,Codes,0))-INDEX(EndeRel,MATCH(R28,Codes,0)))*1440,0)&lt;660,1,0),0),0))</f>
      </c>
      <c r="T77" s="1">
        <f>IF(OR(T$52=0,S28="",T28=""),0,IFERROR(IF(AND(INDEX(Arten,MATCH(S28,Codes,0))="Arbeit",INDEX(Arten,MATCH(T28,Codes,0))="Arbeit"),IF(ROUND((1+INDEX(Beginne,MATCH(T28,Codes,0))-INDEX(EndeRel,MATCH(S28,Codes,0)))*1440,0)&lt;660,1,0),0),0))</f>
      </c>
      <c r="U77" s="1">
        <f>IF(OR(U$52=0,T28="",U28=""),0,IFERROR(IF(AND(INDEX(Arten,MATCH(T28,Codes,0))="Arbeit",INDEX(Arten,MATCH(U28,Codes,0))="Arbeit"),IF(ROUND((1+INDEX(Beginne,MATCH(U28,Codes,0))-INDEX(EndeRel,MATCH(T28,Codes,0)))*1440,0)&lt;660,1,0),0),0))</f>
      </c>
      <c r="V77" s="1">
        <f>IF(OR(V$52=0,U28="",V28=""),0,IFERROR(IF(AND(INDEX(Arten,MATCH(U28,Codes,0))="Arbeit",INDEX(Arten,MATCH(V28,Codes,0))="Arbeit"),IF(ROUND((1+INDEX(Beginne,MATCH(V28,Codes,0))-INDEX(EndeRel,MATCH(U28,Codes,0)))*1440,0)&lt;660,1,0),0),0))</f>
      </c>
      <c r="W77" s="1">
        <f>IF(OR(W$52=0,V28="",W28=""),0,IFERROR(IF(AND(INDEX(Arten,MATCH(V28,Codes,0))="Arbeit",INDEX(Arten,MATCH(W28,Codes,0))="Arbeit"),IF(ROUND((1+INDEX(Beginne,MATCH(W28,Codes,0))-INDEX(EndeRel,MATCH(V28,Codes,0)))*1440,0)&lt;660,1,0),0),0))</f>
      </c>
      <c r="X77" s="1">
        <f>IF(OR(X$52=0,W28="",X28=""),0,IFERROR(IF(AND(INDEX(Arten,MATCH(W28,Codes,0))="Arbeit",INDEX(Arten,MATCH(X28,Codes,0))="Arbeit"),IF(ROUND((1+INDEX(Beginne,MATCH(X28,Codes,0))-INDEX(EndeRel,MATCH(W28,Codes,0)))*1440,0)&lt;660,1,0),0),0))</f>
      </c>
      <c r="Y77" s="1">
        <f>IF(OR(Y$52=0,X28="",Y28=""),0,IFERROR(IF(AND(INDEX(Arten,MATCH(X28,Codes,0))="Arbeit",INDEX(Arten,MATCH(Y28,Codes,0))="Arbeit"),IF(ROUND((1+INDEX(Beginne,MATCH(Y28,Codes,0))-INDEX(EndeRel,MATCH(X28,Codes,0)))*1440,0)&lt;660,1,0),0),0))</f>
      </c>
      <c r="Z77" s="1">
        <f>IF(OR(Z$52=0,Y28="",Z28=""),0,IFERROR(IF(AND(INDEX(Arten,MATCH(Y28,Codes,0))="Arbeit",INDEX(Arten,MATCH(Z28,Codes,0))="Arbeit"),IF(ROUND((1+INDEX(Beginne,MATCH(Z28,Codes,0))-INDEX(EndeRel,MATCH(Y28,Codes,0)))*1440,0)&lt;660,1,0),0),0))</f>
      </c>
      <c r="AA77" s="1">
        <f>IF(OR(AA$52=0,Z28="",AA28=""),0,IFERROR(IF(AND(INDEX(Arten,MATCH(Z28,Codes,0))="Arbeit",INDEX(Arten,MATCH(AA28,Codes,0))="Arbeit"),IF(ROUND((1+INDEX(Beginne,MATCH(AA28,Codes,0))-INDEX(EndeRel,MATCH(Z28,Codes,0)))*1440,0)&lt;660,1,0),0),0))</f>
      </c>
      <c r="AB77" s="1">
        <f>IF(OR(AB$52=0,AA28="",AB28=""),0,IFERROR(IF(AND(INDEX(Arten,MATCH(AA28,Codes,0))="Arbeit",INDEX(Arten,MATCH(AB28,Codes,0))="Arbeit"),IF(ROUND((1+INDEX(Beginne,MATCH(AB28,Codes,0))-INDEX(EndeRel,MATCH(AA28,Codes,0)))*1440,0)&lt;660,1,0),0),0))</f>
      </c>
      <c r="AC77" s="1">
        <f>IF(OR(AC$52=0,AB28="",AC28=""),0,IFERROR(IF(AND(INDEX(Arten,MATCH(AB28,Codes,0))="Arbeit",INDEX(Arten,MATCH(AC28,Codes,0))="Arbeit"),IF(ROUND((1+INDEX(Beginne,MATCH(AC28,Codes,0))-INDEX(EndeRel,MATCH(AB28,Codes,0)))*1440,0)&lt;660,1,0),0),0))</f>
      </c>
      <c r="AD77" s="1">
        <f>IF(OR(AD$52=0,AC28="",AD28=""),0,IFERROR(IF(AND(INDEX(Arten,MATCH(AC28,Codes,0))="Arbeit",INDEX(Arten,MATCH(AD28,Codes,0))="Arbeit"),IF(ROUND((1+INDEX(Beginne,MATCH(AD28,Codes,0))-INDEX(EndeRel,MATCH(AC28,Codes,0)))*1440,0)&lt;660,1,0),0),0))</f>
      </c>
      <c r="AE77" s="1">
        <f>IF(OR(AE$52=0,AD28="",AE28=""),0,IFERROR(IF(AND(INDEX(Arten,MATCH(AD28,Codes,0))="Arbeit",INDEX(Arten,MATCH(AE28,Codes,0))="Arbeit"),IF(ROUND((1+INDEX(Beginne,MATCH(AE28,Codes,0))-INDEX(EndeRel,MATCH(AD28,Codes,0)))*1440,0)&lt;660,1,0),0),0))</f>
      </c>
      <c r="AF77" s="1">
        <f>IF(OR(AF$52=0,AE28="",AF28=""),0,IFERROR(IF(AND(INDEX(Arten,MATCH(AE28,Codes,0))="Arbeit",INDEX(Arten,MATCH(AF28,Codes,0))="Arbeit"),IF(ROUND((1+INDEX(Beginne,MATCH(AF28,Codes,0))-INDEX(EndeRel,MATCH(AE28,Codes,0)))*1440,0)&lt;660,1,0),0),0))</f>
      </c>
    </row>
    <row r="78" hidden="1" spans="1:32" x14ac:dyDescent="0.25">
      <c r="A78" s="1"/>
      <c r="B78" s="1">
        <f>IF(OR(B$52=0,INDEX('August'!$B$29:$AF$29,DAY(DATE(Jahr,9,0)))="",B29=""),0,IFERROR(IF(AND(INDEX(Arten,MATCH(INDEX('August'!$B$29:$AF$29,DAY(DATE(Jahr,9,0))),Codes,0))="Arbeit",INDEX(Arten,MATCH(B29,Codes,0))="Arbeit"),IF(ROUND((1+INDEX(Beginne,MATCH(B29,Codes,0))-INDEX(EndeRel,MATCH(INDEX('August'!$B$29:$AF$29,DAY(DATE(Jahr,9,0))),Codes,0)))*1440,0)&lt;660,1,0),0),0))</f>
      </c>
      <c r="C78" s="1">
        <f>IF(OR(C$52=0,B29="",C29=""),0,IFERROR(IF(AND(INDEX(Arten,MATCH(B29,Codes,0))="Arbeit",INDEX(Arten,MATCH(C29,Codes,0))="Arbeit"),IF(ROUND((1+INDEX(Beginne,MATCH(C29,Codes,0))-INDEX(EndeRel,MATCH(B29,Codes,0)))*1440,0)&lt;660,1,0),0),0))</f>
      </c>
      <c r="D78" s="1">
        <f>IF(OR(D$52=0,C29="",D29=""),0,IFERROR(IF(AND(INDEX(Arten,MATCH(C29,Codes,0))="Arbeit",INDEX(Arten,MATCH(D29,Codes,0))="Arbeit"),IF(ROUND((1+INDEX(Beginne,MATCH(D29,Codes,0))-INDEX(EndeRel,MATCH(C29,Codes,0)))*1440,0)&lt;660,1,0),0),0))</f>
      </c>
      <c r="E78" s="1">
        <f>IF(OR(E$52=0,D29="",E29=""),0,IFERROR(IF(AND(INDEX(Arten,MATCH(D29,Codes,0))="Arbeit",INDEX(Arten,MATCH(E29,Codes,0))="Arbeit"),IF(ROUND((1+INDEX(Beginne,MATCH(E29,Codes,0))-INDEX(EndeRel,MATCH(D29,Codes,0)))*1440,0)&lt;660,1,0),0),0))</f>
      </c>
      <c r="F78" s="1">
        <f>IF(OR(F$52=0,E29="",F29=""),0,IFERROR(IF(AND(INDEX(Arten,MATCH(E29,Codes,0))="Arbeit",INDEX(Arten,MATCH(F29,Codes,0))="Arbeit"),IF(ROUND((1+INDEX(Beginne,MATCH(F29,Codes,0))-INDEX(EndeRel,MATCH(E29,Codes,0)))*1440,0)&lt;660,1,0),0),0))</f>
      </c>
      <c r="G78" s="1">
        <f>IF(OR(G$52=0,F29="",G29=""),0,IFERROR(IF(AND(INDEX(Arten,MATCH(F29,Codes,0))="Arbeit",INDEX(Arten,MATCH(G29,Codes,0))="Arbeit"),IF(ROUND((1+INDEX(Beginne,MATCH(G29,Codes,0))-INDEX(EndeRel,MATCH(F29,Codes,0)))*1440,0)&lt;660,1,0),0),0))</f>
      </c>
      <c r="H78" s="1">
        <f>IF(OR(H$52=0,G29="",H29=""),0,IFERROR(IF(AND(INDEX(Arten,MATCH(G29,Codes,0))="Arbeit",INDEX(Arten,MATCH(H29,Codes,0))="Arbeit"),IF(ROUND((1+INDEX(Beginne,MATCH(H29,Codes,0))-INDEX(EndeRel,MATCH(G29,Codes,0)))*1440,0)&lt;660,1,0),0),0))</f>
      </c>
      <c r="I78" s="1">
        <f>IF(OR(I$52=0,H29="",I29=""),0,IFERROR(IF(AND(INDEX(Arten,MATCH(H29,Codes,0))="Arbeit",INDEX(Arten,MATCH(I29,Codes,0))="Arbeit"),IF(ROUND((1+INDEX(Beginne,MATCH(I29,Codes,0))-INDEX(EndeRel,MATCH(H29,Codes,0)))*1440,0)&lt;660,1,0),0),0))</f>
      </c>
      <c r="J78" s="1">
        <f>IF(OR(J$52=0,I29="",J29=""),0,IFERROR(IF(AND(INDEX(Arten,MATCH(I29,Codes,0))="Arbeit",INDEX(Arten,MATCH(J29,Codes,0))="Arbeit"),IF(ROUND((1+INDEX(Beginne,MATCH(J29,Codes,0))-INDEX(EndeRel,MATCH(I29,Codes,0)))*1440,0)&lt;660,1,0),0),0))</f>
      </c>
      <c r="K78" s="1">
        <f>IF(OR(K$52=0,J29="",K29=""),0,IFERROR(IF(AND(INDEX(Arten,MATCH(J29,Codes,0))="Arbeit",INDEX(Arten,MATCH(K29,Codes,0))="Arbeit"),IF(ROUND((1+INDEX(Beginne,MATCH(K29,Codes,0))-INDEX(EndeRel,MATCH(J29,Codes,0)))*1440,0)&lt;660,1,0),0),0))</f>
      </c>
      <c r="L78" s="1">
        <f>IF(OR(L$52=0,K29="",L29=""),0,IFERROR(IF(AND(INDEX(Arten,MATCH(K29,Codes,0))="Arbeit",INDEX(Arten,MATCH(L29,Codes,0))="Arbeit"),IF(ROUND((1+INDEX(Beginne,MATCH(L29,Codes,0))-INDEX(EndeRel,MATCH(K29,Codes,0)))*1440,0)&lt;660,1,0),0),0))</f>
      </c>
      <c r="M78" s="1">
        <f>IF(OR(M$52=0,L29="",M29=""),0,IFERROR(IF(AND(INDEX(Arten,MATCH(L29,Codes,0))="Arbeit",INDEX(Arten,MATCH(M29,Codes,0))="Arbeit"),IF(ROUND((1+INDEX(Beginne,MATCH(M29,Codes,0))-INDEX(EndeRel,MATCH(L29,Codes,0)))*1440,0)&lt;660,1,0),0),0))</f>
      </c>
      <c r="N78" s="1">
        <f>IF(OR(N$52=0,M29="",N29=""),0,IFERROR(IF(AND(INDEX(Arten,MATCH(M29,Codes,0))="Arbeit",INDEX(Arten,MATCH(N29,Codes,0))="Arbeit"),IF(ROUND((1+INDEX(Beginne,MATCH(N29,Codes,0))-INDEX(EndeRel,MATCH(M29,Codes,0)))*1440,0)&lt;660,1,0),0),0))</f>
      </c>
      <c r="O78" s="1">
        <f>IF(OR(O$52=0,N29="",O29=""),0,IFERROR(IF(AND(INDEX(Arten,MATCH(N29,Codes,0))="Arbeit",INDEX(Arten,MATCH(O29,Codes,0))="Arbeit"),IF(ROUND((1+INDEX(Beginne,MATCH(O29,Codes,0))-INDEX(EndeRel,MATCH(N29,Codes,0)))*1440,0)&lt;660,1,0),0),0))</f>
      </c>
      <c r="P78" s="1">
        <f>IF(OR(P$52=0,O29="",P29=""),0,IFERROR(IF(AND(INDEX(Arten,MATCH(O29,Codes,0))="Arbeit",INDEX(Arten,MATCH(P29,Codes,0))="Arbeit"),IF(ROUND((1+INDEX(Beginne,MATCH(P29,Codes,0))-INDEX(EndeRel,MATCH(O29,Codes,0)))*1440,0)&lt;660,1,0),0),0))</f>
      </c>
      <c r="Q78" s="1">
        <f>IF(OR(Q$52=0,P29="",Q29=""),0,IFERROR(IF(AND(INDEX(Arten,MATCH(P29,Codes,0))="Arbeit",INDEX(Arten,MATCH(Q29,Codes,0))="Arbeit"),IF(ROUND((1+INDEX(Beginne,MATCH(Q29,Codes,0))-INDEX(EndeRel,MATCH(P29,Codes,0)))*1440,0)&lt;660,1,0),0),0))</f>
      </c>
      <c r="R78" s="1">
        <f>IF(OR(R$52=0,Q29="",R29=""),0,IFERROR(IF(AND(INDEX(Arten,MATCH(Q29,Codes,0))="Arbeit",INDEX(Arten,MATCH(R29,Codes,0))="Arbeit"),IF(ROUND((1+INDEX(Beginne,MATCH(R29,Codes,0))-INDEX(EndeRel,MATCH(Q29,Codes,0)))*1440,0)&lt;660,1,0),0),0))</f>
      </c>
      <c r="S78" s="1">
        <f>IF(OR(S$52=0,R29="",S29=""),0,IFERROR(IF(AND(INDEX(Arten,MATCH(R29,Codes,0))="Arbeit",INDEX(Arten,MATCH(S29,Codes,0))="Arbeit"),IF(ROUND((1+INDEX(Beginne,MATCH(S29,Codes,0))-INDEX(EndeRel,MATCH(R29,Codes,0)))*1440,0)&lt;660,1,0),0),0))</f>
      </c>
      <c r="T78" s="1">
        <f>IF(OR(T$52=0,S29="",T29=""),0,IFERROR(IF(AND(INDEX(Arten,MATCH(S29,Codes,0))="Arbeit",INDEX(Arten,MATCH(T29,Codes,0))="Arbeit"),IF(ROUND((1+INDEX(Beginne,MATCH(T29,Codes,0))-INDEX(EndeRel,MATCH(S29,Codes,0)))*1440,0)&lt;660,1,0),0),0))</f>
      </c>
      <c r="U78" s="1">
        <f>IF(OR(U$52=0,T29="",U29=""),0,IFERROR(IF(AND(INDEX(Arten,MATCH(T29,Codes,0))="Arbeit",INDEX(Arten,MATCH(U29,Codes,0))="Arbeit"),IF(ROUND((1+INDEX(Beginne,MATCH(U29,Codes,0))-INDEX(EndeRel,MATCH(T29,Codes,0)))*1440,0)&lt;660,1,0),0),0))</f>
      </c>
      <c r="V78" s="1">
        <f>IF(OR(V$52=0,U29="",V29=""),0,IFERROR(IF(AND(INDEX(Arten,MATCH(U29,Codes,0))="Arbeit",INDEX(Arten,MATCH(V29,Codes,0))="Arbeit"),IF(ROUND((1+INDEX(Beginne,MATCH(V29,Codes,0))-INDEX(EndeRel,MATCH(U29,Codes,0)))*1440,0)&lt;660,1,0),0),0))</f>
      </c>
      <c r="W78" s="1">
        <f>IF(OR(W$52=0,V29="",W29=""),0,IFERROR(IF(AND(INDEX(Arten,MATCH(V29,Codes,0))="Arbeit",INDEX(Arten,MATCH(W29,Codes,0))="Arbeit"),IF(ROUND((1+INDEX(Beginne,MATCH(W29,Codes,0))-INDEX(EndeRel,MATCH(V29,Codes,0)))*1440,0)&lt;660,1,0),0),0))</f>
      </c>
      <c r="X78" s="1">
        <f>IF(OR(X$52=0,W29="",X29=""),0,IFERROR(IF(AND(INDEX(Arten,MATCH(W29,Codes,0))="Arbeit",INDEX(Arten,MATCH(X29,Codes,0))="Arbeit"),IF(ROUND((1+INDEX(Beginne,MATCH(X29,Codes,0))-INDEX(EndeRel,MATCH(W29,Codes,0)))*1440,0)&lt;660,1,0),0),0))</f>
      </c>
      <c r="Y78" s="1">
        <f>IF(OR(Y$52=0,X29="",Y29=""),0,IFERROR(IF(AND(INDEX(Arten,MATCH(X29,Codes,0))="Arbeit",INDEX(Arten,MATCH(Y29,Codes,0))="Arbeit"),IF(ROUND((1+INDEX(Beginne,MATCH(Y29,Codes,0))-INDEX(EndeRel,MATCH(X29,Codes,0)))*1440,0)&lt;660,1,0),0),0))</f>
      </c>
      <c r="Z78" s="1">
        <f>IF(OR(Z$52=0,Y29="",Z29=""),0,IFERROR(IF(AND(INDEX(Arten,MATCH(Y29,Codes,0))="Arbeit",INDEX(Arten,MATCH(Z29,Codes,0))="Arbeit"),IF(ROUND((1+INDEX(Beginne,MATCH(Z29,Codes,0))-INDEX(EndeRel,MATCH(Y29,Codes,0)))*1440,0)&lt;660,1,0),0),0))</f>
      </c>
      <c r="AA78" s="1">
        <f>IF(OR(AA$52=0,Z29="",AA29=""),0,IFERROR(IF(AND(INDEX(Arten,MATCH(Z29,Codes,0))="Arbeit",INDEX(Arten,MATCH(AA29,Codes,0))="Arbeit"),IF(ROUND((1+INDEX(Beginne,MATCH(AA29,Codes,0))-INDEX(EndeRel,MATCH(Z29,Codes,0)))*1440,0)&lt;660,1,0),0),0))</f>
      </c>
      <c r="AB78" s="1">
        <f>IF(OR(AB$52=0,AA29="",AB29=""),0,IFERROR(IF(AND(INDEX(Arten,MATCH(AA29,Codes,0))="Arbeit",INDEX(Arten,MATCH(AB29,Codes,0))="Arbeit"),IF(ROUND((1+INDEX(Beginne,MATCH(AB29,Codes,0))-INDEX(EndeRel,MATCH(AA29,Codes,0)))*1440,0)&lt;660,1,0),0),0))</f>
      </c>
      <c r="AC78" s="1">
        <f>IF(OR(AC$52=0,AB29="",AC29=""),0,IFERROR(IF(AND(INDEX(Arten,MATCH(AB29,Codes,0))="Arbeit",INDEX(Arten,MATCH(AC29,Codes,0))="Arbeit"),IF(ROUND((1+INDEX(Beginne,MATCH(AC29,Codes,0))-INDEX(EndeRel,MATCH(AB29,Codes,0)))*1440,0)&lt;660,1,0),0),0))</f>
      </c>
      <c r="AD78" s="1">
        <f>IF(OR(AD$52=0,AC29="",AD29=""),0,IFERROR(IF(AND(INDEX(Arten,MATCH(AC29,Codes,0))="Arbeit",INDEX(Arten,MATCH(AD29,Codes,0))="Arbeit"),IF(ROUND((1+INDEX(Beginne,MATCH(AD29,Codes,0))-INDEX(EndeRel,MATCH(AC29,Codes,0)))*1440,0)&lt;660,1,0),0),0))</f>
      </c>
      <c r="AE78" s="1">
        <f>IF(OR(AE$52=0,AD29="",AE29=""),0,IFERROR(IF(AND(INDEX(Arten,MATCH(AD29,Codes,0))="Arbeit",INDEX(Arten,MATCH(AE29,Codes,0))="Arbeit"),IF(ROUND((1+INDEX(Beginne,MATCH(AE29,Codes,0))-INDEX(EndeRel,MATCH(AD29,Codes,0)))*1440,0)&lt;660,1,0),0),0))</f>
      </c>
      <c r="AF78" s="1">
        <f>IF(OR(AF$52=0,AE29="",AF29=""),0,IFERROR(IF(AND(INDEX(Arten,MATCH(AE29,Codes,0))="Arbeit",INDEX(Arten,MATCH(AF29,Codes,0))="Arbeit"),IF(ROUND((1+INDEX(Beginne,MATCH(AF29,Codes,0))-INDEX(EndeRel,MATCH(AE29,Codes,0)))*1440,0)&lt;660,1,0),0),0))</f>
      </c>
    </row>
    <row r="79" hidden="1" spans="1:32" x14ac:dyDescent="0.25">
      <c r="A79" s="1"/>
      <c r="B79" s="1">
        <f>IF(OR(B$52=0,INDEX('August'!$B$30:$AF$30,DAY(DATE(Jahr,9,0)))="",B30=""),0,IFERROR(IF(AND(INDEX(Arten,MATCH(INDEX('August'!$B$30:$AF$30,DAY(DATE(Jahr,9,0))),Codes,0))="Arbeit",INDEX(Arten,MATCH(B30,Codes,0))="Arbeit"),IF(ROUND((1+INDEX(Beginne,MATCH(B30,Codes,0))-INDEX(EndeRel,MATCH(INDEX('August'!$B$30:$AF$30,DAY(DATE(Jahr,9,0))),Codes,0)))*1440,0)&lt;660,1,0),0),0))</f>
      </c>
      <c r="C79" s="1">
        <f>IF(OR(C$52=0,B30="",C30=""),0,IFERROR(IF(AND(INDEX(Arten,MATCH(B30,Codes,0))="Arbeit",INDEX(Arten,MATCH(C30,Codes,0))="Arbeit"),IF(ROUND((1+INDEX(Beginne,MATCH(C30,Codes,0))-INDEX(EndeRel,MATCH(B30,Codes,0)))*1440,0)&lt;660,1,0),0),0))</f>
      </c>
      <c r="D79" s="1">
        <f>IF(OR(D$52=0,C30="",D30=""),0,IFERROR(IF(AND(INDEX(Arten,MATCH(C30,Codes,0))="Arbeit",INDEX(Arten,MATCH(D30,Codes,0))="Arbeit"),IF(ROUND((1+INDEX(Beginne,MATCH(D30,Codes,0))-INDEX(EndeRel,MATCH(C30,Codes,0)))*1440,0)&lt;660,1,0),0),0))</f>
      </c>
      <c r="E79" s="1">
        <f>IF(OR(E$52=0,D30="",E30=""),0,IFERROR(IF(AND(INDEX(Arten,MATCH(D30,Codes,0))="Arbeit",INDEX(Arten,MATCH(E30,Codes,0))="Arbeit"),IF(ROUND((1+INDEX(Beginne,MATCH(E30,Codes,0))-INDEX(EndeRel,MATCH(D30,Codes,0)))*1440,0)&lt;660,1,0),0),0))</f>
      </c>
      <c r="F79" s="1">
        <f>IF(OR(F$52=0,E30="",F30=""),0,IFERROR(IF(AND(INDEX(Arten,MATCH(E30,Codes,0))="Arbeit",INDEX(Arten,MATCH(F30,Codes,0))="Arbeit"),IF(ROUND((1+INDEX(Beginne,MATCH(F30,Codes,0))-INDEX(EndeRel,MATCH(E30,Codes,0)))*1440,0)&lt;660,1,0),0),0))</f>
      </c>
      <c r="G79" s="1">
        <f>IF(OR(G$52=0,F30="",G30=""),0,IFERROR(IF(AND(INDEX(Arten,MATCH(F30,Codes,0))="Arbeit",INDEX(Arten,MATCH(G30,Codes,0))="Arbeit"),IF(ROUND((1+INDEX(Beginne,MATCH(G30,Codes,0))-INDEX(EndeRel,MATCH(F30,Codes,0)))*1440,0)&lt;660,1,0),0),0))</f>
      </c>
      <c r="H79" s="1">
        <f>IF(OR(H$52=0,G30="",H30=""),0,IFERROR(IF(AND(INDEX(Arten,MATCH(G30,Codes,0))="Arbeit",INDEX(Arten,MATCH(H30,Codes,0))="Arbeit"),IF(ROUND((1+INDEX(Beginne,MATCH(H30,Codes,0))-INDEX(EndeRel,MATCH(G30,Codes,0)))*1440,0)&lt;660,1,0),0),0))</f>
      </c>
      <c r="I79" s="1">
        <f>IF(OR(I$52=0,H30="",I30=""),0,IFERROR(IF(AND(INDEX(Arten,MATCH(H30,Codes,0))="Arbeit",INDEX(Arten,MATCH(I30,Codes,0))="Arbeit"),IF(ROUND((1+INDEX(Beginne,MATCH(I30,Codes,0))-INDEX(EndeRel,MATCH(H30,Codes,0)))*1440,0)&lt;660,1,0),0),0))</f>
      </c>
      <c r="J79" s="1">
        <f>IF(OR(J$52=0,I30="",J30=""),0,IFERROR(IF(AND(INDEX(Arten,MATCH(I30,Codes,0))="Arbeit",INDEX(Arten,MATCH(J30,Codes,0))="Arbeit"),IF(ROUND((1+INDEX(Beginne,MATCH(J30,Codes,0))-INDEX(EndeRel,MATCH(I30,Codes,0)))*1440,0)&lt;660,1,0),0),0))</f>
      </c>
      <c r="K79" s="1">
        <f>IF(OR(K$52=0,J30="",K30=""),0,IFERROR(IF(AND(INDEX(Arten,MATCH(J30,Codes,0))="Arbeit",INDEX(Arten,MATCH(K30,Codes,0))="Arbeit"),IF(ROUND((1+INDEX(Beginne,MATCH(K30,Codes,0))-INDEX(EndeRel,MATCH(J30,Codes,0)))*1440,0)&lt;660,1,0),0),0))</f>
      </c>
      <c r="L79" s="1">
        <f>IF(OR(L$52=0,K30="",L30=""),0,IFERROR(IF(AND(INDEX(Arten,MATCH(K30,Codes,0))="Arbeit",INDEX(Arten,MATCH(L30,Codes,0))="Arbeit"),IF(ROUND((1+INDEX(Beginne,MATCH(L30,Codes,0))-INDEX(EndeRel,MATCH(K30,Codes,0)))*1440,0)&lt;660,1,0),0),0))</f>
      </c>
      <c r="M79" s="1">
        <f>IF(OR(M$52=0,L30="",M30=""),0,IFERROR(IF(AND(INDEX(Arten,MATCH(L30,Codes,0))="Arbeit",INDEX(Arten,MATCH(M30,Codes,0))="Arbeit"),IF(ROUND((1+INDEX(Beginne,MATCH(M30,Codes,0))-INDEX(EndeRel,MATCH(L30,Codes,0)))*1440,0)&lt;660,1,0),0),0))</f>
      </c>
      <c r="N79" s="1">
        <f>IF(OR(N$52=0,M30="",N30=""),0,IFERROR(IF(AND(INDEX(Arten,MATCH(M30,Codes,0))="Arbeit",INDEX(Arten,MATCH(N30,Codes,0))="Arbeit"),IF(ROUND((1+INDEX(Beginne,MATCH(N30,Codes,0))-INDEX(EndeRel,MATCH(M30,Codes,0)))*1440,0)&lt;660,1,0),0),0))</f>
      </c>
      <c r="O79" s="1">
        <f>IF(OR(O$52=0,N30="",O30=""),0,IFERROR(IF(AND(INDEX(Arten,MATCH(N30,Codes,0))="Arbeit",INDEX(Arten,MATCH(O30,Codes,0))="Arbeit"),IF(ROUND((1+INDEX(Beginne,MATCH(O30,Codes,0))-INDEX(EndeRel,MATCH(N30,Codes,0)))*1440,0)&lt;660,1,0),0),0))</f>
      </c>
      <c r="P79" s="1">
        <f>IF(OR(P$52=0,O30="",P30=""),0,IFERROR(IF(AND(INDEX(Arten,MATCH(O30,Codes,0))="Arbeit",INDEX(Arten,MATCH(P30,Codes,0))="Arbeit"),IF(ROUND((1+INDEX(Beginne,MATCH(P30,Codes,0))-INDEX(EndeRel,MATCH(O30,Codes,0)))*1440,0)&lt;660,1,0),0),0))</f>
      </c>
      <c r="Q79" s="1">
        <f>IF(OR(Q$52=0,P30="",Q30=""),0,IFERROR(IF(AND(INDEX(Arten,MATCH(P30,Codes,0))="Arbeit",INDEX(Arten,MATCH(Q30,Codes,0))="Arbeit"),IF(ROUND((1+INDEX(Beginne,MATCH(Q30,Codes,0))-INDEX(EndeRel,MATCH(P30,Codes,0)))*1440,0)&lt;660,1,0),0),0))</f>
      </c>
      <c r="R79" s="1">
        <f>IF(OR(R$52=0,Q30="",R30=""),0,IFERROR(IF(AND(INDEX(Arten,MATCH(Q30,Codes,0))="Arbeit",INDEX(Arten,MATCH(R30,Codes,0))="Arbeit"),IF(ROUND((1+INDEX(Beginne,MATCH(R30,Codes,0))-INDEX(EndeRel,MATCH(Q30,Codes,0)))*1440,0)&lt;660,1,0),0),0))</f>
      </c>
      <c r="S79" s="1">
        <f>IF(OR(S$52=0,R30="",S30=""),0,IFERROR(IF(AND(INDEX(Arten,MATCH(R30,Codes,0))="Arbeit",INDEX(Arten,MATCH(S30,Codes,0))="Arbeit"),IF(ROUND((1+INDEX(Beginne,MATCH(S30,Codes,0))-INDEX(EndeRel,MATCH(R30,Codes,0)))*1440,0)&lt;660,1,0),0),0))</f>
      </c>
      <c r="T79" s="1">
        <f>IF(OR(T$52=0,S30="",T30=""),0,IFERROR(IF(AND(INDEX(Arten,MATCH(S30,Codes,0))="Arbeit",INDEX(Arten,MATCH(T30,Codes,0))="Arbeit"),IF(ROUND((1+INDEX(Beginne,MATCH(T30,Codes,0))-INDEX(EndeRel,MATCH(S30,Codes,0)))*1440,0)&lt;660,1,0),0),0))</f>
      </c>
      <c r="U79" s="1">
        <f>IF(OR(U$52=0,T30="",U30=""),0,IFERROR(IF(AND(INDEX(Arten,MATCH(T30,Codes,0))="Arbeit",INDEX(Arten,MATCH(U30,Codes,0))="Arbeit"),IF(ROUND((1+INDEX(Beginne,MATCH(U30,Codes,0))-INDEX(EndeRel,MATCH(T30,Codes,0)))*1440,0)&lt;660,1,0),0),0))</f>
      </c>
      <c r="V79" s="1">
        <f>IF(OR(V$52=0,U30="",V30=""),0,IFERROR(IF(AND(INDEX(Arten,MATCH(U30,Codes,0))="Arbeit",INDEX(Arten,MATCH(V30,Codes,0))="Arbeit"),IF(ROUND((1+INDEX(Beginne,MATCH(V30,Codes,0))-INDEX(EndeRel,MATCH(U30,Codes,0)))*1440,0)&lt;660,1,0),0),0))</f>
      </c>
      <c r="W79" s="1">
        <f>IF(OR(W$52=0,V30="",W30=""),0,IFERROR(IF(AND(INDEX(Arten,MATCH(V30,Codes,0))="Arbeit",INDEX(Arten,MATCH(W30,Codes,0))="Arbeit"),IF(ROUND((1+INDEX(Beginne,MATCH(W30,Codes,0))-INDEX(EndeRel,MATCH(V30,Codes,0)))*1440,0)&lt;660,1,0),0),0))</f>
      </c>
      <c r="X79" s="1">
        <f>IF(OR(X$52=0,W30="",X30=""),0,IFERROR(IF(AND(INDEX(Arten,MATCH(W30,Codes,0))="Arbeit",INDEX(Arten,MATCH(X30,Codes,0))="Arbeit"),IF(ROUND((1+INDEX(Beginne,MATCH(X30,Codes,0))-INDEX(EndeRel,MATCH(W30,Codes,0)))*1440,0)&lt;660,1,0),0),0))</f>
      </c>
      <c r="Y79" s="1">
        <f>IF(OR(Y$52=0,X30="",Y30=""),0,IFERROR(IF(AND(INDEX(Arten,MATCH(X30,Codes,0))="Arbeit",INDEX(Arten,MATCH(Y30,Codes,0))="Arbeit"),IF(ROUND((1+INDEX(Beginne,MATCH(Y30,Codes,0))-INDEX(EndeRel,MATCH(X30,Codes,0)))*1440,0)&lt;660,1,0),0),0))</f>
      </c>
      <c r="Z79" s="1">
        <f>IF(OR(Z$52=0,Y30="",Z30=""),0,IFERROR(IF(AND(INDEX(Arten,MATCH(Y30,Codes,0))="Arbeit",INDEX(Arten,MATCH(Z30,Codes,0))="Arbeit"),IF(ROUND((1+INDEX(Beginne,MATCH(Z30,Codes,0))-INDEX(EndeRel,MATCH(Y30,Codes,0)))*1440,0)&lt;660,1,0),0),0))</f>
      </c>
      <c r="AA79" s="1">
        <f>IF(OR(AA$52=0,Z30="",AA30=""),0,IFERROR(IF(AND(INDEX(Arten,MATCH(Z30,Codes,0))="Arbeit",INDEX(Arten,MATCH(AA30,Codes,0))="Arbeit"),IF(ROUND((1+INDEX(Beginne,MATCH(AA30,Codes,0))-INDEX(EndeRel,MATCH(Z30,Codes,0)))*1440,0)&lt;660,1,0),0),0))</f>
      </c>
      <c r="AB79" s="1">
        <f>IF(OR(AB$52=0,AA30="",AB30=""),0,IFERROR(IF(AND(INDEX(Arten,MATCH(AA30,Codes,0))="Arbeit",INDEX(Arten,MATCH(AB30,Codes,0))="Arbeit"),IF(ROUND((1+INDEX(Beginne,MATCH(AB30,Codes,0))-INDEX(EndeRel,MATCH(AA30,Codes,0)))*1440,0)&lt;660,1,0),0),0))</f>
      </c>
      <c r="AC79" s="1">
        <f>IF(OR(AC$52=0,AB30="",AC30=""),0,IFERROR(IF(AND(INDEX(Arten,MATCH(AB30,Codes,0))="Arbeit",INDEX(Arten,MATCH(AC30,Codes,0))="Arbeit"),IF(ROUND((1+INDEX(Beginne,MATCH(AC30,Codes,0))-INDEX(EndeRel,MATCH(AB30,Codes,0)))*1440,0)&lt;660,1,0),0),0))</f>
      </c>
      <c r="AD79" s="1">
        <f>IF(OR(AD$52=0,AC30="",AD30=""),0,IFERROR(IF(AND(INDEX(Arten,MATCH(AC30,Codes,0))="Arbeit",INDEX(Arten,MATCH(AD30,Codes,0))="Arbeit"),IF(ROUND((1+INDEX(Beginne,MATCH(AD30,Codes,0))-INDEX(EndeRel,MATCH(AC30,Codes,0)))*1440,0)&lt;660,1,0),0),0))</f>
      </c>
      <c r="AE79" s="1">
        <f>IF(OR(AE$52=0,AD30="",AE30=""),0,IFERROR(IF(AND(INDEX(Arten,MATCH(AD30,Codes,0))="Arbeit",INDEX(Arten,MATCH(AE30,Codes,0))="Arbeit"),IF(ROUND((1+INDEX(Beginne,MATCH(AE30,Codes,0))-INDEX(EndeRel,MATCH(AD30,Codes,0)))*1440,0)&lt;660,1,0),0),0))</f>
      </c>
      <c r="AF79" s="1">
        <f>IF(OR(AF$52=0,AE30="",AF30=""),0,IFERROR(IF(AND(INDEX(Arten,MATCH(AE30,Codes,0))="Arbeit",INDEX(Arten,MATCH(AF30,Codes,0))="Arbeit"),IF(ROUND((1+INDEX(Beginne,MATCH(AF30,Codes,0))-INDEX(EndeRel,MATCH(AE30,Codes,0)))*1440,0)&lt;660,1,0),0),0))</f>
      </c>
    </row>
    <row r="80" hidden="1" spans="1:32" x14ac:dyDescent="0.25">
      <c r="A80" s="1"/>
      <c r="B80" s="1">
        <f>IF(OR(B$52=0,INDEX('August'!$B$31:$AF$31,DAY(DATE(Jahr,9,0)))="",B31=""),0,IFERROR(IF(AND(INDEX(Arten,MATCH(INDEX('August'!$B$31:$AF$31,DAY(DATE(Jahr,9,0))),Codes,0))="Arbeit",INDEX(Arten,MATCH(B31,Codes,0))="Arbeit"),IF(ROUND((1+INDEX(Beginne,MATCH(B31,Codes,0))-INDEX(EndeRel,MATCH(INDEX('August'!$B$31:$AF$31,DAY(DATE(Jahr,9,0))),Codes,0)))*1440,0)&lt;660,1,0),0),0))</f>
      </c>
      <c r="C80" s="1">
        <f>IF(OR(C$52=0,B31="",C31=""),0,IFERROR(IF(AND(INDEX(Arten,MATCH(B31,Codes,0))="Arbeit",INDEX(Arten,MATCH(C31,Codes,0))="Arbeit"),IF(ROUND((1+INDEX(Beginne,MATCH(C31,Codes,0))-INDEX(EndeRel,MATCH(B31,Codes,0)))*1440,0)&lt;660,1,0),0),0))</f>
      </c>
      <c r="D80" s="1">
        <f>IF(OR(D$52=0,C31="",D31=""),0,IFERROR(IF(AND(INDEX(Arten,MATCH(C31,Codes,0))="Arbeit",INDEX(Arten,MATCH(D31,Codes,0))="Arbeit"),IF(ROUND((1+INDEX(Beginne,MATCH(D31,Codes,0))-INDEX(EndeRel,MATCH(C31,Codes,0)))*1440,0)&lt;660,1,0),0),0))</f>
      </c>
      <c r="E80" s="1">
        <f>IF(OR(E$52=0,D31="",E31=""),0,IFERROR(IF(AND(INDEX(Arten,MATCH(D31,Codes,0))="Arbeit",INDEX(Arten,MATCH(E31,Codes,0))="Arbeit"),IF(ROUND((1+INDEX(Beginne,MATCH(E31,Codes,0))-INDEX(EndeRel,MATCH(D31,Codes,0)))*1440,0)&lt;660,1,0),0),0))</f>
      </c>
      <c r="F80" s="1">
        <f>IF(OR(F$52=0,E31="",F31=""),0,IFERROR(IF(AND(INDEX(Arten,MATCH(E31,Codes,0))="Arbeit",INDEX(Arten,MATCH(F31,Codes,0))="Arbeit"),IF(ROUND((1+INDEX(Beginne,MATCH(F31,Codes,0))-INDEX(EndeRel,MATCH(E31,Codes,0)))*1440,0)&lt;660,1,0),0),0))</f>
      </c>
      <c r="G80" s="1">
        <f>IF(OR(G$52=0,F31="",G31=""),0,IFERROR(IF(AND(INDEX(Arten,MATCH(F31,Codes,0))="Arbeit",INDEX(Arten,MATCH(G31,Codes,0))="Arbeit"),IF(ROUND((1+INDEX(Beginne,MATCH(G31,Codes,0))-INDEX(EndeRel,MATCH(F31,Codes,0)))*1440,0)&lt;660,1,0),0),0))</f>
      </c>
      <c r="H80" s="1">
        <f>IF(OR(H$52=0,G31="",H31=""),0,IFERROR(IF(AND(INDEX(Arten,MATCH(G31,Codes,0))="Arbeit",INDEX(Arten,MATCH(H31,Codes,0))="Arbeit"),IF(ROUND((1+INDEX(Beginne,MATCH(H31,Codes,0))-INDEX(EndeRel,MATCH(G31,Codes,0)))*1440,0)&lt;660,1,0),0),0))</f>
      </c>
      <c r="I80" s="1">
        <f>IF(OR(I$52=0,H31="",I31=""),0,IFERROR(IF(AND(INDEX(Arten,MATCH(H31,Codes,0))="Arbeit",INDEX(Arten,MATCH(I31,Codes,0))="Arbeit"),IF(ROUND((1+INDEX(Beginne,MATCH(I31,Codes,0))-INDEX(EndeRel,MATCH(H31,Codes,0)))*1440,0)&lt;660,1,0),0),0))</f>
      </c>
      <c r="J80" s="1">
        <f>IF(OR(J$52=0,I31="",J31=""),0,IFERROR(IF(AND(INDEX(Arten,MATCH(I31,Codes,0))="Arbeit",INDEX(Arten,MATCH(J31,Codes,0))="Arbeit"),IF(ROUND((1+INDEX(Beginne,MATCH(J31,Codes,0))-INDEX(EndeRel,MATCH(I31,Codes,0)))*1440,0)&lt;660,1,0),0),0))</f>
      </c>
      <c r="K80" s="1">
        <f>IF(OR(K$52=0,J31="",K31=""),0,IFERROR(IF(AND(INDEX(Arten,MATCH(J31,Codes,0))="Arbeit",INDEX(Arten,MATCH(K31,Codes,0))="Arbeit"),IF(ROUND((1+INDEX(Beginne,MATCH(K31,Codes,0))-INDEX(EndeRel,MATCH(J31,Codes,0)))*1440,0)&lt;660,1,0),0),0))</f>
      </c>
      <c r="L80" s="1">
        <f>IF(OR(L$52=0,K31="",L31=""),0,IFERROR(IF(AND(INDEX(Arten,MATCH(K31,Codes,0))="Arbeit",INDEX(Arten,MATCH(L31,Codes,0))="Arbeit"),IF(ROUND((1+INDEX(Beginne,MATCH(L31,Codes,0))-INDEX(EndeRel,MATCH(K31,Codes,0)))*1440,0)&lt;660,1,0),0),0))</f>
      </c>
      <c r="M80" s="1">
        <f>IF(OR(M$52=0,L31="",M31=""),0,IFERROR(IF(AND(INDEX(Arten,MATCH(L31,Codes,0))="Arbeit",INDEX(Arten,MATCH(M31,Codes,0))="Arbeit"),IF(ROUND((1+INDEX(Beginne,MATCH(M31,Codes,0))-INDEX(EndeRel,MATCH(L31,Codes,0)))*1440,0)&lt;660,1,0),0),0))</f>
      </c>
      <c r="N80" s="1">
        <f>IF(OR(N$52=0,M31="",N31=""),0,IFERROR(IF(AND(INDEX(Arten,MATCH(M31,Codes,0))="Arbeit",INDEX(Arten,MATCH(N31,Codes,0))="Arbeit"),IF(ROUND((1+INDEX(Beginne,MATCH(N31,Codes,0))-INDEX(EndeRel,MATCH(M31,Codes,0)))*1440,0)&lt;660,1,0),0),0))</f>
      </c>
      <c r="O80" s="1">
        <f>IF(OR(O$52=0,N31="",O31=""),0,IFERROR(IF(AND(INDEX(Arten,MATCH(N31,Codes,0))="Arbeit",INDEX(Arten,MATCH(O31,Codes,0))="Arbeit"),IF(ROUND((1+INDEX(Beginne,MATCH(O31,Codes,0))-INDEX(EndeRel,MATCH(N31,Codes,0)))*1440,0)&lt;660,1,0),0),0))</f>
      </c>
      <c r="P80" s="1">
        <f>IF(OR(P$52=0,O31="",P31=""),0,IFERROR(IF(AND(INDEX(Arten,MATCH(O31,Codes,0))="Arbeit",INDEX(Arten,MATCH(P31,Codes,0))="Arbeit"),IF(ROUND((1+INDEX(Beginne,MATCH(P31,Codes,0))-INDEX(EndeRel,MATCH(O31,Codes,0)))*1440,0)&lt;660,1,0),0),0))</f>
      </c>
      <c r="Q80" s="1">
        <f>IF(OR(Q$52=0,P31="",Q31=""),0,IFERROR(IF(AND(INDEX(Arten,MATCH(P31,Codes,0))="Arbeit",INDEX(Arten,MATCH(Q31,Codes,0))="Arbeit"),IF(ROUND((1+INDEX(Beginne,MATCH(Q31,Codes,0))-INDEX(EndeRel,MATCH(P31,Codes,0)))*1440,0)&lt;660,1,0),0),0))</f>
      </c>
      <c r="R80" s="1">
        <f>IF(OR(R$52=0,Q31="",R31=""),0,IFERROR(IF(AND(INDEX(Arten,MATCH(Q31,Codes,0))="Arbeit",INDEX(Arten,MATCH(R31,Codes,0))="Arbeit"),IF(ROUND((1+INDEX(Beginne,MATCH(R31,Codes,0))-INDEX(EndeRel,MATCH(Q31,Codes,0)))*1440,0)&lt;660,1,0),0),0))</f>
      </c>
      <c r="S80" s="1">
        <f>IF(OR(S$52=0,R31="",S31=""),0,IFERROR(IF(AND(INDEX(Arten,MATCH(R31,Codes,0))="Arbeit",INDEX(Arten,MATCH(S31,Codes,0))="Arbeit"),IF(ROUND((1+INDEX(Beginne,MATCH(S31,Codes,0))-INDEX(EndeRel,MATCH(R31,Codes,0)))*1440,0)&lt;660,1,0),0),0))</f>
      </c>
      <c r="T80" s="1">
        <f>IF(OR(T$52=0,S31="",T31=""),0,IFERROR(IF(AND(INDEX(Arten,MATCH(S31,Codes,0))="Arbeit",INDEX(Arten,MATCH(T31,Codes,0))="Arbeit"),IF(ROUND((1+INDEX(Beginne,MATCH(T31,Codes,0))-INDEX(EndeRel,MATCH(S31,Codes,0)))*1440,0)&lt;660,1,0),0),0))</f>
      </c>
      <c r="U80" s="1">
        <f>IF(OR(U$52=0,T31="",U31=""),0,IFERROR(IF(AND(INDEX(Arten,MATCH(T31,Codes,0))="Arbeit",INDEX(Arten,MATCH(U31,Codes,0))="Arbeit"),IF(ROUND((1+INDEX(Beginne,MATCH(U31,Codes,0))-INDEX(EndeRel,MATCH(T31,Codes,0)))*1440,0)&lt;660,1,0),0),0))</f>
      </c>
      <c r="V80" s="1">
        <f>IF(OR(V$52=0,U31="",V31=""),0,IFERROR(IF(AND(INDEX(Arten,MATCH(U31,Codes,0))="Arbeit",INDEX(Arten,MATCH(V31,Codes,0))="Arbeit"),IF(ROUND((1+INDEX(Beginne,MATCH(V31,Codes,0))-INDEX(EndeRel,MATCH(U31,Codes,0)))*1440,0)&lt;660,1,0),0),0))</f>
      </c>
      <c r="W80" s="1">
        <f>IF(OR(W$52=0,V31="",W31=""),0,IFERROR(IF(AND(INDEX(Arten,MATCH(V31,Codes,0))="Arbeit",INDEX(Arten,MATCH(W31,Codes,0))="Arbeit"),IF(ROUND((1+INDEX(Beginne,MATCH(W31,Codes,0))-INDEX(EndeRel,MATCH(V31,Codes,0)))*1440,0)&lt;660,1,0),0),0))</f>
      </c>
      <c r="X80" s="1">
        <f>IF(OR(X$52=0,W31="",X31=""),0,IFERROR(IF(AND(INDEX(Arten,MATCH(W31,Codes,0))="Arbeit",INDEX(Arten,MATCH(X31,Codes,0))="Arbeit"),IF(ROUND((1+INDEX(Beginne,MATCH(X31,Codes,0))-INDEX(EndeRel,MATCH(W31,Codes,0)))*1440,0)&lt;660,1,0),0),0))</f>
      </c>
      <c r="Y80" s="1">
        <f>IF(OR(Y$52=0,X31="",Y31=""),0,IFERROR(IF(AND(INDEX(Arten,MATCH(X31,Codes,0))="Arbeit",INDEX(Arten,MATCH(Y31,Codes,0))="Arbeit"),IF(ROUND((1+INDEX(Beginne,MATCH(Y31,Codes,0))-INDEX(EndeRel,MATCH(X31,Codes,0)))*1440,0)&lt;660,1,0),0),0))</f>
      </c>
      <c r="Z80" s="1">
        <f>IF(OR(Z$52=0,Y31="",Z31=""),0,IFERROR(IF(AND(INDEX(Arten,MATCH(Y31,Codes,0))="Arbeit",INDEX(Arten,MATCH(Z31,Codes,0))="Arbeit"),IF(ROUND((1+INDEX(Beginne,MATCH(Z31,Codes,0))-INDEX(EndeRel,MATCH(Y31,Codes,0)))*1440,0)&lt;660,1,0),0),0))</f>
      </c>
      <c r="AA80" s="1">
        <f>IF(OR(AA$52=0,Z31="",AA31=""),0,IFERROR(IF(AND(INDEX(Arten,MATCH(Z31,Codes,0))="Arbeit",INDEX(Arten,MATCH(AA31,Codes,0))="Arbeit"),IF(ROUND((1+INDEX(Beginne,MATCH(AA31,Codes,0))-INDEX(EndeRel,MATCH(Z31,Codes,0)))*1440,0)&lt;660,1,0),0),0))</f>
      </c>
      <c r="AB80" s="1">
        <f>IF(OR(AB$52=0,AA31="",AB31=""),0,IFERROR(IF(AND(INDEX(Arten,MATCH(AA31,Codes,0))="Arbeit",INDEX(Arten,MATCH(AB31,Codes,0))="Arbeit"),IF(ROUND((1+INDEX(Beginne,MATCH(AB31,Codes,0))-INDEX(EndeRel,MATCH(AA31,Codes,0)))*1440,0)&lt;660,1,0),0),0))</f>
      </c>
      <c r="AC80" s="1">
        <f>IF(OR(AC$52=0,AB31="",AC31=""),0,IFERROR(IF(AND(INDEX(Arten,MATCH(AB31,Codes,0))="Arbeit",INDEX(Arten,MATCH(AC31,Codes,0))="Arbeit"),IF(ROUND((1+INDEX(Beginne,MATCH(AC31,Codes,0))-INDEX(EndeRel,MATCH(AB31,Codes,0)))*1440,0)&lt;660,1,0),0),0))</f>
      </c>
      <c r="AD80" s="1">
        <f>IF(OR(AD$52=0,AC31="",AD31=""),0,IFERROR(IF(AND(INDEX(Arten,MATCH(AC31,Codes,0))="Arbeit",INDEX(Arten,MATCH(AD31,Codes,0))="Arbeit"),IF(ROUND((1+INDEX(Beginne,MATCH(AD31,Codes,0))-INDEX(EndeRel,MATCH(AC31,Codes,0)))*1440,0)&lt;660,1,0),0),0))</f>
      </c>
      <c r="AE80" s="1">
        <f>IF(OR(AE$52=0,AD31="",AE31=""),0,IFERROR(IF(AND(INDEX(Arten,MATCH(AD31,Codes,0))="Arbeit",INDEX(Arten,MATCH(AE31,Codes,0))="Arbeit"),IF(ROUND((1+INDEX(Beginne,MATCH(AE31,Codes,0))-INDEX(EndeRel,MATCH(AD31,Codes,0)))*1440,0)&lt;660,1,0),0),0))</f>
      </c>
      <c r="AF80" s="1">
        <f>IF(OR(AF$52=0,AE31="",AF31=""),0,IFERROR(IF(AND(INDEX(Arten,MATCH(AE31,Codes,0))="Arbeit",INDEX(Arten,MATCH(AF31,Codes,0))="Arbeit"),IF(ROUND((1+INDEX(Beginne,MATCH(AF31,Codes,0))-INDEX(EndeRel,MATCH(AE31,Codes,0)))*1440,0)&lt;660,1,0),0),0))</f>
      </c>
    </row>
    <row r="81" hidden="1" spans="1:32" x14ac:dyDescent="0.25">
      <c r="A81" s="1"/>
      <c r="B81" s="1">
        <f>IF(OR(B$52=0,INDEX('August'!$B$32:$AF$32,DAY(DATE(Jahr,9,0)))="",B32=""),0,IFERROR(IF(AND(INDEX(Arten,MATCH(INDEX('August'!$B$32:$AF$32,DAY(DATE(Jahr,9,0))),Codes,0))="Arbeit",INDEX(Arten,MATCH(B32,Codes,0))="Arbeit"),IF(ROUND((1+INDEX(Beginne,MATCH(B32,Codes,0))-INDEX(EndeRel,MATCH(INDEX('August'!$B$32:$AF$32,DAY(DATE(Jahr,9,0))),Codes,0)))*1440,0)&lt;660,1,0),0),0))</f>
      </c>
      <c r="C81" s="1">
        <f>IF(OR(C$52=0,B32="",C32=""),0,IFERROR(IF(AND(INDEX(Arten,MATCH(B32,Codes,0))="Arbeit",INDEX(Arten,MATCH(C32,Codes,0))="Arbeit"),IF(ROUND((1+INDEX(Beginne,MATCH(C32,Codes,0))-INDEX(EndeRel,MATCH(B32,Codes,0)))*1440,0)&lt;660,1,0),0),0))</f>
      </c>
      <c r="D81" s="1">
        <f>IF(OR(D$52=0,C32="",D32=""),0,IFERROR(IF(AND(INDEX(Arten,MATCH(C32,Codes,0))="Arbeit",INDEX(Arten,MATCH(D32,Codes,0))="Arbeit"),IF(ROUND((1+INDEX(Beginne,MATCH(D32,Codes,0))-INDEX(EndeRel,MATCH(C32,Codes,0)))*1440,0)&lt;660,1,0),0),0))</f>
      </c>
      <c r="E81" s="1">
        <f>IF(OR(E$52=0,D32="",E32=""),0,IFERROR(IF(AND(INDEX(Arten,MATCH(D32,Codes,0))="Arbeit",INDEX(Arten,MATCH(E32,Codes,0))="Arbeit"),IF(ROUND((1+INDEX(Beginne,MATCH(E32,Codes,0))-INDEX(EndeRel,MATCH(D32,Codes,0)))*1440,0)&lt;660,1,0),0),0))</f>
      </c>
      <c r="F81" s="1">
        <f>IF(OR(F$52=0,E32="",F32=""),0,IFERROR(IF(AND(INDEX(Arten,MATCH(E32,Codes,0))="Arbeit",INDEX(Arten,MATCH(F32,Codes,0))="Arbeit"),IF(ROUND((1+INDEX(Beginne,MATCH(F32,Codes,0))-INDEX(EndeRel,MATCH(E32,Codes,0)))*1440,0)&lt;660,1,0),0),0))</f>
      </c>
      <c r="G81" s="1">
        <f>IF(OR(G$52=0,F32="",G32=""),0,IFERROR(IF(AND(INDEX(Arten,MATCH(F32,Codes,0))="Arbeit",INDEX(Arten,MATCH(G32,Codes,0))="Arbeit"),IF(ROUND((1+INDEX(Beginne,MATCH(G32,Codes,0))-INDEX(EndeRel,MATCH(F32,Codes,0)))*1440,0)&lt;660,1,0),0),0))</f>
      </c>
      <c r="H81" s="1">
        <f>IF(OR(H$52=0,G32="",H32=""),0,IFERROR(IF(AND(INDEX(Arten,MATCH(G32,Codes,0))="Arbeit",INDEX(Arten,MATCH(H32,Codes,0))="Arbeit"),IF(ROUND((1+INDEX(Beginne,MATCH(H32,Codes,0))-INDEX(EndeRel,MATCH(G32,Codes,0)))*1440,0)&lt;660,1,0),0),0))</f>
      </c>
      <c r="I81" s="1">
        <f>IF(OR(I$52=0,H32="",I32=""),0,IFERROR(IF(AND(INDEX(Arten,MATCH(H32,Codes,0))="Arbeit",INDEX(Arten,MATCH(I32,Codes,0))="Arbeit"),IF(ROUND((1+INDEX(Beginne,MATCH(I32,Codes,0))-INDEX(EndeRel,MATCH(H32,Codes,0)))*1440,0)&lt;660,1,0),0),0))</f>
      </c>
      <c r="J81" s="1">
        <f>IF(OR(J$52=0,I32="",J32=""),0,IFERROR(IF(AND(INDEX(Arten,MATCH(I32,Codes,0))="Arbeit",INDEX(Arten,MATCH(J32,Codes,0))="Arbeit"),IF(ROUND((1+INDEX(Beginne,MATCH(J32,Codes,0))-INDEX(EndeRel,MATCH(I32,Codes,0)))*1440,0)&lt;660,1,0),0),0))</f>
      </c>
      <c r="K81" s="1">
        <f>IF(OR(K$52=0,J32="",K32=""),0,IFERROR(IF(AND(INDEX(Arten,MATCH(J32,Codes,0))="Arbeit",INDEX(Arten,MATCH(K32,Codes,0))="Arbeit"),IF(ROUND((1+INDEX(Beginne,MATCH(K32,Codes,0))-INDEX(EndeRel,MATCH(J32,Codes,0)))*1440,0)&lt;660,1,0),0),0))</f>
      </c>
      <c r="L81" s="1">
        <f>IF(OR(L$52=0,K32="",L32=""),0,IFERROR(IF(AND(INDEX(Arten,MATCH(K32,Codes,0))="Arbeit",INDEX(Arten,MATCH(L32,Codes,0))="Arbeit"),IF(ROUND((1+INDEX(Beginne,MATCH(L32,Codes,0))-INDEX(EndeRel,MATCH(K32,Codes,0)))*1440,0)&lt;660,1,0),0),0))</f>
      </c>
      <c r="M81" s="1">
        <f>IF(OR(M$52=0,L32="",M32=""),0,IFERROR(IF(AND(INDEX(Arten,MATCH(L32,Codes,0))="Arbeit",INDEX(Arten,MATCH(M32,Codes,0))="Arbeit"),IF(ROUND((1+INDEX(Beginne,MATCH(M32,Codes,0))-INDEX(EndeRel,MATCH(L32,Codes,0)))*1440,0)&lt;660,1,0),0),0))</f>
      </c>
      <c r="N81" s="1">
        <f>IF(OR(N$52=0,M32="",N32=""),0,IFERROR(IF(AND(INDEX(Arten,MATCH(M32,Codes,0))="Arbeit",INDEX(Arten,MATCH(N32,Codes,0))="Arbeit"),IF(ROUND((1+INDEX(Beginne,MATCH(N32,Codes,0))-INDEX(EndeRel,MATCH(M32,Codes,0)))*1440,0)&lt;660,1,0),0),0))</f>
      </c>
      <c r="O81" s="1">
        <f>IF(OR(O$52=0,N32="",O32=""),0,IFERROR(IF(AND(INDEX(Arten,MATCH(N32,Codes,0))="Arbeit",INDEX(Arten,MATCH(O32,Codes,0))="Arbeit"),IF(ROUND((1+INDEX(Beginne,MATCH(O32,Codes,0))-INDEX(EndeRel,MATCH(N32,Codes,0)))*1440,0)&lt;660,1,0),0),0))</f>
      </c>
      <c r="P81" s="1">
        <f>IF(OR(P$52=0,O32="",P32=""),0,IFERROR(IF(AND(INDEX(Arten,MATCH(O32,Codes,0))="Arbeit",INDEX(Arten,MATCH(P32,Codes,0))="Arbeit"),IF(ROUND((1+INDEX(Beginne,MATCH(P32,Codes,0))-INDEX(EndeRel,MATCH(O32,Codes,0)))*1440,0)&lt;660,1,0),0),0))</f>
      </c>
      <c r="Q81" s="1">
        <f>IF(OR(Q$52=0,P32="",Q32=""),0,IFERROR(IF(AND(INDEX(Arten,MATCH(P32,Codes,0))="Arbeit",INDEX(Arten,MATCH(Q32,Codes,0))="Arbeit"),IF(ROUND((1+INDEX(Beginne,MATCH(Q32,Codes,0))-INDEX(EndeRel,MATCH(P32,Codes,0)))*1440,0)&lt;660,1,0),0),0))</f>
      </c>
      <c r="R81" s="1">
        <f>IF(OR(R$52=0,Q32="",R32=""),0,IFERROR(IF(AND(INDEX(Arten,MATCH(Q32,Codes,0))="Arbeit",INDEX(Arten,MATCH(R32,Codes,0))="Arbeit"),IF(ROUND((1+INDEX(Beginne,MATCH(R32,Codes,0))-INDEX(EndeRel,MATCH(Q32,Codes,0)))*1440,0)&lt;660,1,0),0),0))</f>
      </c>
      <c r="S81" s="1">
        <f>IF(OR(S$52=0,R32="",S32=""),0,IFERROR(IF(AND(INDEX(Arten,MATCH(R32,Codes,0))="Arbeit",INDEX(Arten,MATCH(S32,Codes,0))="Arbeit"),IF(ROUND((1+INDEX(Beginne,MATCH(S32,Codes,0))-INDEX(EndeRel,MATCH(R32,Codes,0)))*1440,0)&lt;660,1,0),0),0))</f>
      </c>
      <c r="T81" s="1">
        <f>IF(OR(T$52=0,S32="",T32=""),0,IFERROR(IF(AND(INDEX(Arten,MATCH(S32,Codes,0))="Arbeit",INDEX(Arten,MATCH(T32,Codes,0))="Arbeit"),IF(ROUND((1+INDEX(Beginne,MATCH(T32,Codes,0))-INDEX(EndeRel,MATCH(S32,Codes,0)))*1440,0)&lt;660,1,0),0),0))</f>
      </c>
      <c r="U81" s="1">
        <f>IF(OR(U$52=0,T32="",U32=""),0,IFERROR(IF(AND(INDEX(Arten,MATCH(T32,Codes,0))="Arbeit",INDEX(Arten,MATCH(U32,Codes,0))="Arbeit"),IF(ROUND((1+INDEX(Beginne,MATCH(U32,Codes,0))-INDEX(EndeRel,MATCH(T32,Codes,0)))*1440,0)&lt;660,1,0),0),0))</f>
      </c>
      <c r="V81" s="1">
        <f>IF(OR(V$52=0,U32="",V32=""),0,IFERROR(IF(AND(INDEX(Arten,MATCH(U32,Codes,0))="Arbeit",INDEX(Arten,MATCH(V32,Codes,0))="Arbeit"),IF(ROUND((1+INDEX(Beginne,MATCH(V32,Codes,0))-INDEX(EndeRel,MATCH(U32,Codes,0)))*1440,0)&lt;660,1,0),0),0))</f>
      </c>
      <c r="W81" s="1">
        <f>IF(OR(W$52=0,V32="",W32=""),0,IFERROR(IF(AND(INDEX(Arten,MATCH(V32,Codes,0))="Arbeit",INDEX(Arten,MATCH(W32,Codes,0))="Arbeit"),IF(ROUND((1+INDEX(Beginne,MATCH(W32,Codes,0))-INDEX(EndeRel,MATCH(V32,Codes,0)))*1440,0)&lt;660,1,0),0),0))</f>
      </c>
      <c r="X81" s="1">
        <f>IF(OR(X$52=0,W32="",X32=""),0,IFERROR(IF(AND(INDEX(Arten,MATCH(W32,Codes,0))="Arbeit",INDEX(Arten,MATCH(X32,Codes,0))="Arbeit"),IF(ROUND((1+INDEX(Beginne,MATCH(X32,Codes,0))-INDEX(EndeRel,MATCH(W32,Codes,0)))*1440,0)&lt;660,1,0),0),0))</f>
      </c>
      <c r="Y81" s="1">
        <f>IF(OR(Y$52=0,X32="",Y32=""),0,IFERROR(IF(AND(INDEX(Arten,MATCH(X32,Codes,0))="Arbeit",INDEX(Arten,MATCH(Y32,Codes,0))="Arbeit"),IF(ROUND((1+INDEX(Beginne,MATCH(Y32,Codes,0))-INDEX(EndeRel,MATCH(X32,Codes,0)))*1440,0)&lt;660,1,0),0),0))</f>
      </c>
      <c r="Z81" s="1">
        <f>IF(OR(Z$52=0,Y32="",Z32=""),0,IFERROR(IF(AND(INDEX(Arten,MATCH(Y32,Codes,0))="Arbeit",INDEX(Arten,MATCH(Z32,Codes,0))="Arbeit"),IF(ROUND((1+INDEX(Beginne,MATCH(Z32,Codes,0))-INDEX(EndeRel,MATCH(Y32,Codes,0)))*1440,0)&lt;660,1,0),0),0))</f>
      </c>
      <c r="AA81" s="1">
        <f>IF(OR(AA$52=0,Z32="",AA32=""),0,IFERROR(IF(AND(INDEX(Arten,MATCH(Z32,Codes,0))="Arbeit",INDEX(Arten,MATCH(AA32,Codes,0))="Arbeit"),IF(ROUND((1+INDEX(Beginne,MATCH(AA32,Codes,0))-INDEX(EndeRel,MATCH(Z32,Codes,0)))*1440,0)&lt;660,1,0),0),0))</f>
      </c>
      <c r="AB81" s="1">
        <f>IF(OR(AB$52=0,AA32="",AB32=""),0,IFERROR(IF(AND(INDEX(Arten,MATCH(AA32,Codes,0))="Arbeit",INDEX(Arten,MATCH(AB32,Codes,0))="Arbeit"),IF(ROUND((1+INDEX(Beginne,MATCH(AB32,Codes,0))-INDEX(EndeRel,MATCH(AA32,Codes,0)))*1440,0)&lt;660,1,0),0),0))</f>
      </c>
      <c r="AC81" s="1">
        <f>IF(OR(AC$52=0,AB32="",AC32=""),0,IFERROR(IF(AND(INDEX(Arten,MATCH(AB32,Codes,0))="Arbeit",INDEX(Arten,MATCH(AC32,Codes,0))="Arbeit"),IF(ROUND((1+INDEX(Beginne,MATCH(AC32,Codes,0))-INDEX(EndeRel,MATCH(AB32,Codes,0)))*1440,0)&lt;660,1,0),0),0))</f>
      </c>
      <c r="AD81" s="1">
        <f>IF(OR(AD$52=0,AC32="",AD32=""),0,IFERROR(IF(AND(INDEX(Arten,MATCH(AC32,Codes,0))="Arbeit",INDEX(Arten,MATCH(AD32,Codes,0))="Arbeit"),IF(ROUND((1+INDEX(Beginne,MATCH(AD32,Codes,0))-INDEX(EndeRel,MATCH(AC32,Codes,0)))*1440,0)&lt;660,1,0),0),0))</f>
      </c>
      <c r="AE81" s="1">
        <f>IF(OR(AE$52=0,AD32="",AE32=""),0,IFERROR(IF(AND(INDEX(Arten,MATCH(AD32,Codes,0))="Arbeit",INDEX(Arten,MATCH(AE32,Codes,0))="Arbeit"),IF(ROUND((1+INDEX(Beginne,MATCH(AE32,Codes,0))-INDEX(EndeRel,MATCH(AD32,Codes,0)))*1440,0)&lt;660,1,0),0),0))</f>
      </c>
      <c r="AF81" s="1">
        <f>IF(OR(AF$52=0,AE32="",AF32=""),0,IFERROR(IF(AND(INDEX(Arten,MATCH(AE32,Codes,0))="Arbeit",INDEX(Arten,MATCH(AF32,Codes,0))="Arbeit"),IF(ROUND((1+INDEX(Beginne,MATCH(AF32,Codes,0))-INDEX(EndeRel,MATCH(AE32,Codes,0)))*1440,0)&lt;660,1,0),0),0))</f>
      </c>
    </row>
    <row r="82" hidden="1" spans="1:32" x14ac:dyDescent="0.25">
      <c r="A82" s="1"/>
      <c r="B82" s="1">
        <f>IF(OR(B$52=0,INDEX('August'!$B$33:$AF$33,DAY(DATE(Jahr,9,0)))="",B33=""),0,IFERROR(IF(AND(INDEX(Arten,MATCH(INDEX('August'!$B$33:$AF$33,DAY(DATE(Jahr,9,0))),Codes,0))="Arbeit",INDEX(Arten,MATCH(B33,Codes,0))="Arbeit"),IF(ROUND((1+INDEX(Beginne,MATCH(B33,Codes,0))-INDEX(EndeRel,MATCH(INDEX('August'!$B$33:$AF$33,DAY(DATE(Jahr,9,0))),Codes,0)))*1440,0)&lt;660,1,0),0),0))</f>
      </c>
      <c r="C82" s="1">
        <f>IF(OR(C$52=0,B33="",C33=""),0,IFERROR(IF(AND(INDEX(Arten,MATCH(B33,Codes,0))="Arbeit",INDEX(Arten,MATCH(C33,Codes,0))="Arbeit"),IF(ROUND((1+INDEX(Beginne,MATCH(C33,Codes,0))-INDEX(EndeRel,MATCH(B33,Codes,0)))*1440,0)&lt;660,1,0),0),0))</f>
      </c>
      <c r="D82" s="1">
        <f>IF(OR(D$52=0,C33="",D33=""),0,IFERROR(IF(AND(INDEX(Arten,MATCH(C33,Codes,0))="Arbeit",INDEX(Arten,MATCH(D33,Codes,0))="Arbeit"),IF(ROUND((1+INDEX(Beginne,MATCH(D33,Codes,0))-INDEX(EndeRel,MATCH(C33,Codes,0)))*1440,0)&lt;660,1,0),0),0))</f>
      </c>
      <c r="E82" s="1">
        <f>IF(OR(E$52=0,D33="",E33=""),0,IFERROR(IF(AND(INDEX(Arten,MATCH(D33,Codes,0))="Arbeit",INDEX(Arten,MATCH(E33,Codes,0))="Arbeit"),IF(ROUND((1+INDEX(Beginne,MATCH(E33,Codes,0))-INDEX(EndeRel,MATCH(D33,Codes,0)))*1440,0)&lt;660,1,0),0),0))</f>
      </c>
      <c r="F82" s="1">
        <f>IF(OR(F$52=0,E33="",F33=""),0,IFERROR(IF(AND(INDEX(Arten,MATCH(E33,Codes,0))="Arbeit",INDEX(Arten,MATCH(F33,Codes,0))="Arbeit"),IF(ROUND((1+INDEX(Beginne,MATCH(F33,Codes,0))-INDEX(EndeRel,MATCH(E33,Codes,0)))*1440,0)&lt;660,1,0),0),0))</f>
      </c>
      <c r="G82" s="1">
        <f>IF(OR(G$52=0,F33="",G33=""),0,IFERROR(IF(AND(INDEX(Arten,MATCH(F33,Codes,0))="Arbeit",INDEX(Arten,MATCH(G33,Codes,0))="Arbeit"),IF(ROUND((1+INDEX(Beginne,MATCH(G33,Codes,0))-INDEX(EndeRel,MATCH(F33,Codes,0)))*1440,0)&lt;660,1,0),0),0))</f>
      </c>
      <c r="H82" s="1">
        <f>IF(OR(H$52=0,G33="",H33=""),0,IFERROR(IF(AND(INDEX(Arten,MATCH(G33,Codes,0))="Arbeit",INDEX(Arten,MATCH(H33,Codes,0))="Arbeit"),IF(ROUND((1+INDEX(Beginne,MATCH(H33,Codes,0))-INDEX(EndeRel,MATCH(G33,Codes,0)))*1440,0)&lt;660,1,0),0),0))</f>
      </c>
      <c r="I82" s="1">
        <f>IF(OR(I$52=0,H33="",I33=""),0,IFERROR(IF(AND(INDEX(Arten,MATCH(H33,Codes,0))="Arbeit",INDEX(Arten,MATCH(I33,Codes,0))="Arbeit"),IF(ROUND((1+INDEX(Beginne,MATCH(I33,Codes,0))-INDEX(EndeRel,MATCH(H33,Codes,0)))*1440,0)&lt;660,1,0),0),0))</f>
      </c>
      <c r="J82" s="1">
        <f>IF(OR(J$52=0,I33="",J33=""),0,IFERROR(IF(AND(INDEX(Arten,MATCH(I33,Codes,0))="Arbeit",INDEX(Arten,MATCH(J33,Codes,0))="Arbeit"),IF(ROUND((1+INDEX(Beginne,MATCH(J33,Codes,0))-INDEX(EndeRel,MATCH(I33,Codes,0)))*1440,0)&lt;660,1,0),0),0))</f>
      </c>
      <c r="K82" s="1">
        <f>IF(OR(K$52=0,J33="",K33=""),0,IFERROR(IF(AND(INDEX(Arten,MATCH(J33,Codes,0))="Arbeit",INDEX(Arten,MATCH(K33,Codes,0))="Arbeit"),IF(ROUND((1+INDEX(Beginne,MATCH(K33,Codes,0))-INDEX(EndeRel,MATCH(J33,Codes,0)))*1440,0)&lt;660,1,0),0),0))</f>
      </c>
      <c r="L82" s="1">
        <f>IF(OR(L$52=0,K33="",L33=""),0,IFERROR(IF(AND(INDEX(Arten,MATCH(K33,Codes,0))="Arbeit",INDEX(Arten,MATCH(L33,Codes,0))="Arbeit"),IF(ROUND((1+INDEX(Beginne,MATCH(L33,Codes,0))-INDEX(EndeRel,MATCH(K33,Codes,0)))*1440,0)&lt;660,1,0),0),0))</f>
      </c>
      <c r="M82" s="1">
        <f>IF(OR(M$52=0,L33="",M33=""),0,IFERROR(IF(AND(INDEX(Arten,MATCH(L33,Codes,0))="Arbeit",INDEX(Arten,MATCH(M33,Codes,0))="Arbeit"),IF(ROUND((1+INDEX(Beginne,MATCH(M33,Codes,0))-INDEX(EndeRel,MATCH(L33,Codes,0)))*1440,0)&lt;660,1,0),0),0))</f>
      </c>
      <c r="N82" s="1">
        <f>IF(OR(N$52=0,M33="",N33=""),0,IFERROR(IF(AND(INDEX(Arten,MATCH(M33,Codes,0))="Arbeit",INDEX(Arten,MATCH(N33,Codes,0))="Arbeit"),IF(ROUND((1+INDEX(Beginne,MATCH(N33,Codes,0))-INDEX(EndeRel,MATCH(M33,Codes,0)))*1440,0)&lt;660,1,0),0),0))</f>
      </c>
      <c r="O82" s="1">
        <f>IF(OR(O$52=0,N33="",O33=""),0,IFERROR(IF(AND(INDEX(Arten,MATCH(N33,Codes,0))="Arbeit",INDEX(Arten,MATCH(O33,Codes,0))="Arbeit"),IF(ROUND((1+INDEX(Beginne,MATCH(O33,Codes,0))-INDEX(EndeRel,MATCH(N33,Codes,0)))*1440,0)&lt;660,1,0),0),0))</f>
      </c>
      <c r="P82" s="1">
        <f>IF(OR(P$52=0,O33="",P33=""),0,IFERROR(IF(AND(INDEX(Arten,MATCH(O33,Codes,0))="Arbeit",INDEX(Arten,MATCH(P33,Codes,0))="Arbeit"),IF(ROUND((1+INDEX(Beginne,MATCH(P33,Codes,0))-INDEX(EndeRel,MATCH(O33,Codes,0)))*1440,0)&lt;660,1,0),0),0))</f>
      </c>
      <c r="Q82" s="1">
        <f>IF(OR(Q$52=0,P33="",Q33=""),0,IFERROR(IF(AND(INDEX(Arten,MATCH(P33,Codes,0))="Arbeit",INDEX(Arten,MATCH(Q33,Codes,0))="Arbeit"),IF(ROUND((1+INDEX(Beginne,MATCH(Q33,Codes,0))-INDEX(EndeRel,MATCH(P33,Codes,0)))*1440,0)&lt;660,1,0),0),0))</f>
      </c>
      <c r="R82" s="1">
        <f>IF(OR(R$52=0,Q33="",R33=""),0,IFERROR(IF(AND(INDEX(Arten,MATCH(Q33,Codes,0))="Arbeit",INDEX(Arten,MATCH(R33,Codes,0))="Arbeit"),IF(ROUND((1+INDEX(Beginne,MATCH(R33,Codes,0))-INDEX(EndeRel,MATCH(Q33,Codes,0)))*1440,0)&lt;660,1,0),0),0))</f>
      </c>
      <c r="S82" s="1">
        <f>IF(OR(S$52=0,R33="",S33=""),0,IFERROR(IF(AND(INDEX(Arten,MATCH(R33,Codes,0))="Arbeit",INDEX(Arten,MATCH(S33,Codes,0))="Arbeit"),IF(ROUND((1+INDEX(Beginne,MATCH(S33,Codes,0))-INDEX(EndeRel,MATCH(R33,Codes,0)))*1440,0)&lt;660,1,0),0),0))</f>
      </c>
      <c r="T82" s="1">
        <f>IF(OR(T$52=0,S33="",T33=""),0,IFERROR(IF(AND(INDEX(Arten,MATCH(S33,Codes,0))="Arbeit",INDEX(Arten,MATCH(T33,Codes,0))="Arbeit"),IF(ROUND((1+INDEX(Beginne,MATCH(T33,Codes,0))-INDEX(EndeRel,MATCH(S33,Codes,0)))*1440,0)&lt;660,1,0),0),0))</f>
      </c>
      <c r="U82" s="1">
        <f>IF(OR(U$52=0,T33="",U33=""),0,IFERROR(IF(AND(INDEX(Arten,MATCH(T33,Codes,0))="Arbeit",INDEX(Arten,MATCH(U33,Codes,0))="Arbeit"),IF(ROUND((1+INDEX(Beginne,MATCH(U33,Codes,0))-INDEX(EndeRel,MATCH(T33,Codes,0)))*1440,0)&lt;660,1,0),0),0))</f>
      </c>
      <c r="V82" s="1">
        <f>IF(OR(V$52=0,U33="",V33=""),0,IFERROR(IF(AND(INDEX(Arten,MATCH(U33,Codes,0))="Arbeit",INDEX(Arten,MATCH(V33,Codes,0))="Arbeit"),IF(ROUND((1+INDEX(Beginne,MATCH(V33,Codes,0))-INDEX(EndeRel,MATCH(U33,Codes,0)))*1440,0)&lt;660,1,0),0),0))</f>
      </c>
      <c r="W82" s="1">
        <f>IF(OR(W$52=0,V33="",W33=""),0,IFERROR(IF(AND(INDEX(Arten,MATCH(V33,Codes,0))="Arbeit",INDEX(Arten,MATCH(W33,Codes,0))="Arbeit"),IF(ROUND((1+INDEX(Beginne,MATCH(W33,Codes,0))-INDEX(EndeRel,MATCH(V33,Codes,0)))*1440,0)&lt;660,1,0),0),0))</f>
      </c>
      <c r="X82" s="1">
        <f>IF(OR(X$52=0,W33="",X33=""),0,IFERROR(IF(AND(INDEX(Arten,MATCH(W33,Codes,0))="Arbeit",INDEX(Arten,MATCH(X33,Codes,0))="Arbeit"),IF(ROUND((1+INDEX(Beginne,MATCH(X33,Codes,0))-INDEX(EndeRel,MATCH(W33,Codes,0)))*1440,0)&lt;660,1,0),0),0))</f>
      </c>
      <c r="Y82" s="1">
        <f>IF(OR(Y$52=0,X33="",Y33=""),0,IFERROR(IF(AND(INDEX(Arten,MATCH(X33,Codes,0))="Arbeit",INDEX(Arten,MATCH(Y33,Codes,0))="Arbeit"),IF(ROUND((1+INDEX(Beginne,MATCH(Y33,Codes,0))-INDEX(EndeRel,MATCH(X33,Codes,0)))*1440,0)&lt;660,1,0),0),0))</f>
      </c>
      <c r="Z82" s="1">
        <f>IF(OR(Z$52=0,Y33="",Z33=""),0,IFERROR(IF(AND(INDEX(Arten,MATCH(Y33,Codes,0))="Arbeit",INDEX(Arten,MATCH(Z33,Codes,0))="Arbeit"),IF(ROUND((1+INDEX(Beginne,MATCH(Z33,Codes,0))-INDEX(EndeRel,MATCH(Y33,Codes,0)))*1440,0)&lt;660,1,0),0),0))</f>
      </c>
      <c r="AA82" s="1">
        <f>IF(OR(AA$52=0,Z33="",AA33=""),0,IFERROR(IF(AND(INDEX(Arten,MATCH(Z33,Codes,0))="Arbeit",INDEX(Arten,MATCH(AA33,Codes,0))="Arbeit"),IF(ROUND((1+INDEX(Beginne,MATCH(AA33,Codes,0))-INDEX(EndeRel,MATCH(Z33,Codes,0)))*1440,0)&lt;660,1,0),0),0))</f>
      </c>
      <c r="AB82" s="1">
        <f>IF(OR(AB$52=0,AA33="",AB33=""),0,IFERROR(IF(AND(INDEX(Arten,MATCH(AA33,Codes,0))="Arbeit",INDEX(Arten,MATCH(AB33,Codes,0))="Arbeit"),IF(ROUND((1+INDEX(Beginne,MATCH(AB33,Codes,0))-INDEX(EndeRel,MATCH(AA33,Codes,0)))*1440,0)&lt;660,1,0),0),0))</f>
      </c>
      <c r="AC82" s="1">
        <f>IF(OR(AC$52=0,AB33="",AC33=""),0,IFERROR(IF(AND(INDEX(Arten,MATCH(AB33,Codes,0))="Arbeit",INDEX(Arten,MATCH(AC33,Codes,0))="Arbeit"),IF(ROUND((1+INDEX(Beginne,MATCH(AC33,Codes,0))-INDEX(EndeRel,MATCH(AB33,Codes,0)))*1440,0)&lt;660,1,0),0),0))</f>
      </c>
      <c r="AD82" s="1">
        <f>IF(OR(AD$52=0,AC33="",AD33=""),0,IFERROR(IF(AND(INDEX(Arten,MATCH(AC33,Codes,0))="Arbeit",INDEX(Arten,MATCH(AD33,Codes,0))="Arbeit"),IF(ROUND((1+INDEX(Beginne,MATCH(AD33,Codes,0))-INDEX(EndeRel,MATCH(AC33,Codes,0)))*1440,0)&lt;660,1,0),0),0))</f>
      </c>
      <c r="AE82" s="1">
        <f>IF(OR(AE$52=0,AD33="",AE33=""),0,IFERROR(IF(AND(INDEX(Arten,MATCH(AD33,Codes,0))="Arbeit",INDEX(Arten,MATCH(AE33,Codes,0))="Arbeit"),IF(ROUND((1+INDEX(Beginne,MATCH(AE33,Codes,0))-INDEX(EndeRel,MATCH(AD33,Codes,0)))*1440,0)&lt;660,1,0),0),0))</f>
      </c>
      <c r="AF82" s="1">
        <f>IF(OR(AF$52=0,AE33="",AF33=""),0,IFERROR(IF(AND(INDEX(Arten,MATCH(AE33,Codes,0))="Arbeit",INDEX(Arten,MATCH(AF33,Codes,0))="Arbeit"),IF(ROUND((1+INDEX(Beginne,MATCH(AF33,Codes,0))-INDEX(EndeRel,MATCH(AE33,Codes,0)))*1440,0)&lt;660,1,0),0),0))</f>
      </c>
    </row>
    <row r="83" hidden="1" spans="1:32" x14ac:dyDescent="0.25">
      <c r="A83" s="1"/>
      <c r="B83" s="1">
        <f>IF(OR(B$52=0,INDEX('August'!$B$34:$AF$34,DAY(DATE(Jahr,9,0)))="",B34=""),0,IFERROR(IF(AND(INDEX(Arten,MATCH(INDEX('August'!$B$34:$AF$34,DAY(DATE(Jahr,9,0))),Codes,0))="Arbeit",INDEX(Arten,MATCH(B34,Codes,0))="Arbeit"),IF(ROUND((1+INDEX(Beginne,MATCH(B34,Codes,0))-INDEX(EndeRel,MATCH(INDEX('August'!$B$34:$AF$34,DAY(DATE(Jahr,9,0))),Codes,0)))*1440,0)&lt;660,1,0),0),0))</f>
      </c>
      <c r="C83" s="1">
        <f>IF(OR(C$52=0,B34="",C34=""),0,IFERROR(IF(AND(INDEX(Arten,MATCH(B34,Codes,0))="Arbeit",INDEX(Arten,MATCH(C34,Codes,0))="Arbeit"),IF(ROUND((1+INDEX(Beginne,MATCH(C34,Codes,0))-INDEX(EndeRel,MATCH(B34,Codes,0)))*1440,0)&lt;660,1,0),0),0))</f>
      </c>
      <c r="D83" s="1">
        <f>IF(OR(D$52=0,C34="",D34=""),0,IFERROR(IF(AND(INDEX(Arten,MATCH(C34,Codes,0))="Arbeit",INDEX(Arten,MATCH(D34,Codes,0))="Arbeit"),IF(ROUND((1+INDEX(Beginne,MATCH(D34,Codes,0))-INDEX(EndeRel,MATCH(C34,Codes,0)))*1440,0)&lt;660,1,0),0),0))</f>
      </c>
      <c r="E83" s="1">
        <f>IF(OR(E$52=0,D34="",E34=""),0,IFERROR(IF(AND(INDEX(Arten,MATCH(D34,Codes,0))="Arbeit",INDEX(Arten,MATCH(E34,Codes,0))="Arbeit"),IF(ROUND((1+INDEX(Beginne,MATCH(E34,Codes,0))-INDEX(EndeRel,MATCH(D34,Codes,0)))*1440,0)&lt;660,1,0),0),0))</f>
      </c>
      <c r="F83" s="1">
        <f>IF(OR(F$52=0,E34="",F34=""),0,IFERROR(IF(AND(INDEX(Arten,MATCH(E34,Codes,0))="Arbeit",INDEX(Arten,MATCH(F34,Codes,0))="Arbeit"),IF(ROUND((1+INDEX(Beginne,MATCH(F34,Codes,0))-INDEX(EndeRel,MATCH(E34,Codes,0)))*1440,0)&lt;660,1,0),0),0))</f>
      </c>
      <c r="G83" s="1">
        <f>IF(OR(G$52=0,F34="",G34=""),0,IFERROR(IF(AND(INDEX(Arten,MATCH(F34,Codes,0))="Arbeit",INDEX(Arten,MATCH(G34,Codes,0))="Arbeit"),IF(ROUND((1+INDEX(Beginne,MATCH(G34,Codes,0))-INDEX(EndeRel,MATCH(F34,Codes,0)))*1440,0)&lt;660,1,0),0),0))</f>
      </c>
      <c r="H83" s="1">
        <f>IF(OR(H$52=0,G34="",H34=""),0,IFERROR(IF(AND(INDEX(Arten,MATCH(G34,Codes,0))="Arbeit",INDEX(Arten,MATCH(H34,Codes,0))="Arbeit"),IF(ROUND((1+INDEX(Beginne,MATCH(H34,Codes,0))-INDEX(EndeRel,MATCH(G34,Codes,0)))*1440,0)&lt;660,1,0),0),0))</f>
      </c>
      <c r="I83" s="1">
        <f>IF(OR(I$52=0,H34="",I34=""),0,IFERROR(IF(AND(INDEX(Arten,MATCH(H34,Codes,0))="Arbeit",INDEX(Arten,MATCH(I34,Codes,0))="Arbeit"),IF(ROUND((1+INDEX(Beginne,MATCH(I34,Codes,0))-INDEX(EndeRel,MATCH(H34,Codes,0)))*1440,0)&lt;660,1,0),0),0))</f>
      </c>
      <c r="J83" s="1">
        <f>IF(OR(J$52=0,I34="",J34=""),0,IFERROR(IF(AND(INDEX(Arten,MATCH(I34,Codes,0))="Arbeit",INDEX(Arten,MATCH(J34,Codes,0))="Arbeit"),IF(ROUND((1+INDEX(Beginne,MATCH(J34,Codes,0))-INDEX(EndeRel,MATCH(I34,Codes,0)))*1440,0)&lt;660,1,0),0),0))</f>
      </c>
      <c r="K83" s="1">
        <f>IF(OR(K$52=0,J34="",K34=""),0,IFERROR(IF(AND(INDEX(Arten,MATCH(J34,Codes,0))="Arbeit",INDEX(Arten,MATCH(K34,Codes,0))="Arbeit"),IF(ROUND((1+INDEX(Beginne,MATCH(K34,Codes,0))-INDEX(EndeRel,MATCH(J34,Codes,0)))*1440,0)&lt;660,1,0),0),0))</f>
      </c>
      <c r="L83" s="1">
        <f>IF(OR(L$52=0,K34="",L34=""),0,IFERROR(IF(AND(INDEX(Arten,MATCH(K34,Codes,0))="Arbeit",INDEX(Arten,MATCH(L34,Codes,0))="Arbeit"),IF(ROUND((1+INDEX(Beginne,MATCH(L34,Codes,0))-INDEX(EndeRel,MATCH(K34,Codes,0)))*1440,0)&lt;660,1,0),0),0))</f>
      </c>
      <c r="M83" s="1">
        <f>IF(OR(M$52=0,L34="",M34=""),0,IFERROR(IF(AND(INDEX(Arten,MATCH(L34,Codes,0))="Arbeit",INDEX(Arten,MATCH(M34,Codes,0))="Arbeit"),IF(ROUND((1+INDEX(Beginne,MATCH(M34,Codes,0))-INDEX(EndeRel,MATCH(L34,Codes,0)))*1440,0)&lt;660,1,0),0),0))</f>
      </c>
      <c r="N83" s="1">
        <f>IF(OR(N$52=0,M34="",N34=""),0,IFERROR(IF(AND(INDEX(Arten,MATCH(M34,Codes,0))="Arbeit",INDEX(Arten,MATCH(N34,Codes,0))="Arbeit"),IF(ROUND((1+INDEX(Beginne,MATCH(N34,Codes,0))-INDEX(EndeRel,MATCH(M34,Codes,0)))*1440,0)&lt;660,1,0),0),0))</f>
      </c>
      <c r="O83" s="1">
        <f>IF(OR(O$52=0,N34="",O34=""),0,IFERROR(IF(AND(INDEX(Arten,MATCH(N34,Codes,0))="Arbeit",INDEX(Arten,MATCH(O34,Codes,0))="Arbeit"),IF(ROUND((1+INDEX(Beginne,MATCH(O34,Codes,0))-INDEX(EndeRel,MATCH(N34,Codes,0)))*1440,0)&lt;660,1,0),0),0))</f>
      </c>
      <c r="P83" s="1">
        <f>IF(OR(P$52=0,O34="",P34=""),0,IFERROR(IF(AND(INDEX(Arten,MATCH(O34,Codes,0))="Arbeit",INDEX(Arten,MATCH(P34,Codes,0))="Arbeit"),IF(ROUND((1+INDEX(Beginne,MATCH(P34,Codes,0))-INDEX(EndeRel,MATCH(O34,Codes,0)))*1440,0)&lt;660,1,0),0),0))</f>
      </c>
      <c r="Q83" s="1">
        <f>IF(OR(Q$52=0,P34="",Q34=""),0,IFERROR(IF(AND(INDEX(Arten,MATCH(P34,Codes,0))="Arbeit",INDEX(Arten,MATCH(Q34,Codes,0))="Arbeit"),IF(ROUND((1+INDEX(Beginne,MATCH(Q34,Codes,0))-INDEX(EndeRel,MATCH(P34,Codes,0)))*1440,0)&lt;660,1,0),0),0))</f>
      </c>
      <c r="R83" s="1">
        <f>IF(OR(R$52=0,Q34="",R34=""),0,IFERROR(IF(AND(INDEX(Arten,MATCH(Q34,Codes,0))="Arbeit",INDEX(Arten,MATCH(R34,Codes,0))="Arbeit"),IF(ROUND((1+INDEX(Beginne,MATCH(R34,Codes,0))-INDEX(EndeRel,MATCH(Q34,Codes,0)))*1440,0)&lt;660,1,0),0),0))</f>
      </c>
      <c r="S83" s="1">
        <f>IF(OR(S$52=0,R34="",S34=""),0,IFERROR(IF(AND(INDEX(Arten,MATCH(R34,Codes,0))="Arbeit",INDEX(Arten,MATCH(S34,Codes,0))="Arbeit"),IF(ROUND((1+INDEX(Beginne,MATCH(S34,Codes,0))-INDEX(EndeRel,MATCH(R34,Codes,0)))*1440,0)&lt;660,1,0),0),0))</f>
      </c>
      <c r="T83" s="1">
        <f>IF(OR(T$52=0,S34="",T34=""),0,IFERROR(IF(AND(INDEX(Arten,MATCH(S34,Codes,0))="Arbeit",INDEX(Arten,MATCH(T34,Codes,0))="Arbeit"),IF(ROUND((1+INDEX(Beginne,MATCH(T34,Codes,0))-INDEX(EndeRel,MATCH(S34,Codes,0)))*1440,0)&lt;660,1,0),0),0))</f>
      </c>
      <c r="U83" s="1">
        <f>IF(OR(U$52=0,T34="",U34=""),0,IFERROR(IF(AND(INDEX(Arten,MATCH(T34,Codes,0))="Arbeit",INDEX(Arten,MATCH(U34,Codes,0))="Arbeit"),IF(ROUND((1+INDEX(Beginne,MATCH(U34,Codes,0))-INDEX(EndeRel,MATCH(T34,Codes,0)))*1440,0)&lt;660,1,0),0),0))</f>
      </c>
      <c r="V83" s="1">
        <f>IF(OR(V$52=0,U34="",V34=""),0,IFERROR(IF(AND(INDEX(Arten,MATCH(U34,Codes,0))="Arbeit",INDEX(Arten,MATCH(V34,Codes,0))="Arbeit"),IF(ROUND((1+INDEX(Beginne,MATCH(V34,Codes,0))-INDEX(EndeRel,MATCH(U34,Codes,0)))*1440,0)&lt;660,1,0),0),0))</f>
      </c>
      <c r="W83" s="1">
        <f>IF(OR(W$52=0,V34="",W34=""),0,IFERROR(IF(AND(INDEX(Arten,MATCH(V34,Codes,0))="Arbeit",INDEX(Arten,MATCH(W34,Codes,0))="Arbeit"),IF(ROUND((1+INDEX(Beginne,MATCH(W34,Codes,0))-INDEX(EndeRel,MATCH(V34,Codes,0)))*1440,0)&lt;660,1,0),0),0))</f>
      </c>
      <c r="X83" s="1">
        <f>IF(OR(X$52=0,W34="",X34=""),0,IFERROR(IF(AND(INDEX(Arten,MATCH(W34,Codes,0))="Arbeit",INDEX(Arten,MATCH(X34,Codes,0))="Arbeit"),IF(ROUND((1+INDEX(Beginne,MATCH(X34,Codes,0))-INDEX(EndeRel,MATCH(W34,Codes,0)))*1440,0)&lt;660,1,0),0),0))</f>
      </c>
      <c r="Y83" s="1">
        <f>IF(OR(Y$52=0,X34="",Y34=""),0,IFERROR(IF(AND(INDEX(Arten,MATCH(X34,Codes,0))="Arbeit",INDEX(Arten,MATCH(Y34,Codes,0))="Arbeit"),IF(ROUND((1+INDEX(Beginne,MATCH(Y34,Codes,0))-INDEX(EndeRel,MATCH(X34,Codes,0)))*1440,0)&lt;660,1,0),0),0))</f>
      </c>
      <c r="Z83" s="1">
        <f>IF(OR(Z$52=0,Y34="",Z34=""),0,IFERROR(IF(AND(INDEX(Arten,MATCH(Y34,Codes,0))="Arbeit",INDEX(Arten,MATCH(Z34,Codes,0))="Arbeit"),IF(ROUND((1+INDEX(Beginne,MATCH(Z34,Codes,0))-INDEX(EndeRel,MATCH(Y34,Codes,0)))*1440,0)&lt;660,1,0),0),0))</f>
      </c>
      <c r="AA83" s="1">
        <f>IF(OR(AA$52=0,Z34="",AA34=""),0,IFERROR(IF(AND(INDEX(Arten,MATCH(Z34,Codes,0))="Arbeit",INDEX(Arten,MATCH(AA34,Codes,0))="Arbeit"),IF(ROUND((1+INDEX(Beginne,MATCH(AA34,Codes,0))-INDEX(EndeRel,MATCH(Z34,Codes,0)))*1440,0)&lt;660,1,0),0),0))</f>
      </c>
      <c r="AB83" s="1">
        <f>IF(OR(AB$52=0,AA34="",AB34=""),0,IFERROR(IF(AND(INDEX(Arten,MATCH(AA34,Codes,0))="Arbeit",INDEX(Arten,MATCH(AB34,Codes,0))="Arbeit"),IF(ROUND((1+INDEX(Beginne,MATCH(AB34,Codes,0))-INDEX(EndeRel,MATCH(AA34,Codes,0)))*1440,0)&lt;660,1,0),0),0))</f>
      </c>
      <c r="AC83" s="1">
        <f>IF(OR(AC$52=0,AB34="",AC34=""),0,IFERROR(IF(AND(INDEX(Arten,MATCH(AB34,Codes,0))="Arbeit",INDEX(Arten,MATCH(AC34,Codes,0))="Arbeit"),IF(ROUND((1+INDEX(Beginne,MATCH(AC34,Codes,0))-INDEX(EndeRel,MATCH(AB34,Codes,0)))*1440,0)&lt;660,1,0),0),0))</f>
      </c>
      <c r="AD83" s="1">
        <f>IF(OR(AD$52=0,AC34="",AD34=""),0,IFERROR(IF(AND(INDEX(Arten,MATCH(AC34,Codes,0))="Arbeit",INDEX(Arten,MATCH(AD34,Codes,0))="Arbeit"),IF(ROUND((1+INDEX(Beginne,MATCH(AD34,Codes,0))-INDEX(EndeRel,MATCH(AC34,Codes,0)))*1440,0)&lt;660,1,0),0),0))</f>
      </c>
      <c r="AE83" s="1">
        <f>IF(OR(AE$52=0,AD34="",AE34=""),0,IFERROR(IF(AND(INDEX(Arten,MATCH(AD34,Codes,0))="Arbeit",INDEX(Arten,MATCH(AE34,Codes,0))="Arbeit"),IF(ROUND((1+INDEX(Beginne,MATCH(AE34,Codes,0))-INDEX(EndeRel,MATCH(AD34,Codes,0)))*1440,0)&lt;660,1,0),0),0))</f>
      </c>
      <c r="AF83" s="1">
        <f>IF(OR(AF$52=0,AE34="",AF34=""),0,IFERROR(IF(AND(INDEX(Arten,MATCH(AE34,Codes,0))="Arbeit",INDEX(Arten,MATCH(AF34,Codes,0))="Arbeit"),IF(ROUND((1+INDEX(Beginne,MATCH(AF34,Codes,0))-INDEX(EndeRel,MATCH(AE34,Codes,0)))*1440,0)&lt;660,1,0),0),0))</f>
      </c>
    </row>
    <row r="84" hidden="1" spans="1:32" x14ac:dyDescent="0.25">
      <c r="A84" s="1"/>
      <c r="B84" s="1">
        <f>IF(OR(B$52=0,INDEX('August'!$B$35:$AF$35,DAY(DATE(Jahr,9,0)))="",B35=""),0,IFERROR(IF(AND(INDEX(Arten,MATCH(INDEX('August'!$B$35:$AF$35,DAY(DATE(Jahr,9,0))),Codes,0))="Arbeit",INDEX(Arten,MATCH(B35,Codes,0))="Arbeit"),IF(ROUND((1+INDEX(Beginne,MATCH(B35,Codes,0))-INDEX(EndeRel,MATCH(INDEX('August'!$B$35:$AF$35,DAY(DATE(Jahr,9,0))),Codes,0)))*1440,0)&lt;660,1,0),0),0))</f>
      </c>
      <c r="C84" s="1">
        <f>IF(OR(C$52=0,B35="",C35=""),0,IFERROR(IF(AND(INDEX(Arten,MATCH(B35,Codes,0))="Arbeit",INDEX(Arten,MATCH(C35,Codes,0))="Arbeit"),IF(ROUND((1+INDEX(Beginne,MATCH(C35,Codes,0))-INDEX(EndeRel,MATCH(B35,Codes,0)))*1440,0)&lt;660,1,0),0),0))</f>
      </c>
      <c r="D84" s="1">
        <f>IF(OR(D$52=0,C35="",D35=""),0,IFERROR(IF(AND(INDEX(Arten,MATCH(C35,Codes,0))="Arbeit",INDEX(Arten,MATCH(D35,Codes,0))="Arbeit"),IF(ROUND((1+INDEX(Beginne,MATCH(D35,Codes,0))-INDEX(EndeRel,MATCH(C35,Codes,0)))*1440,0)&lt;660,1,0),0),0))</f>
      </c>
      <c r="E84" s="1">
        <f>IF(OR(E$52=0,D35="",E35=""),0,IFERROR(IF(AND(INDEX(Arten,MATCH(D35,Codes,0))="Arbeit",INDEX(Arten,MATCH(E35,Codes,0))="Arbeit"),IF(ROUND((1+INDEX(Beginne,MATCH(E35,Codes,0))-INDEX(EndeRel,MATCH(D35,Codes,0)))*1440,0)&lt;660,1,0),0),0))</f>
      </c>
      <c r="F84" s="1">
        <f>IF(OR(F$52=0,E35="",F35=""),0,IFERROR(IF(AND(INDEX(Arten,MATCH(E35,Codes,0))="Arbeit",INDEX(Arten,MATCH(F35,Codes,0))="Arbeit"),IF(ROUND((1+INDEX(Beginne,MATCH(F35,Codes,0))-INDEX(EndeRel,MATCH(E35,Codes,0)))*1440,0)&lt;660,1,0),0),0))</f>
      </c>
      <c r="G84" s="1">
        <f>IF(OR(G$52=0,F35="",G35=""),0,IFERROR(IF(AND(INDEX(Arten,MATCH(F35,Codes,0))="Arbeit",INDEX(Arten,MATCH(G35,Codes,0))="Arbeit"),IF(ROUND((1+INDEX(Beginne,MATCH(G35,Codes,0))-INDEX(EndeRel,MATCH(F35,Codes,0)))*1440,0)&lt;660,1,0),0),0))</f>
      </c>
      <c r="H84" s="1">
        <f>IF(OR(H$52=0,G35="",H35=""),0,IFERROR(IF(AND(INDEX(Arten,MATCH(G35,Codes,0))="Arbeit",INDEX(Arten,MATCH(H35,Codes,0))="Arbeit"),IF(ROUND((1+INDEX(Beginne,MATCH(H35,Codes,0))-INDEX(EndeRel,MATCH(G35,Codes,0)))*1440,0)&lt;660,1,0),0),0))</f>
      </c>
      <c r="I84" s="1">
        <f>IF(OR(I$52=0,H35="",I35=""),0,IFERROR(IF(AND(INDEX(Arten,MATCH(H35,Codes,0))="Arbeit",INDEX(Arten,MATCH(I35,Codes,0))="Arbeit"),IF(ROUND((1+INDEX(Beginne,MATCH(I35,Codes,0))-INDEX(EndeRel,MATCH(H35,Codes,0)))*1440,0)&lt;660,1,0),0),0))</f>
      </c>
      <c r="J84" s="1">
        <f>IF(OR(J$52=0,I35="",J35=""),0,IFERROR(IF(AND(INDEX(Arten,MATCH(I35,Codes,0))="Arbeit",INDEX(Arten,MATCH(J35,Codes,0))="Arbeit"),IF(ROUND((1+INDEX(Beginne,MATCH(J35,Codes,0))-INDEX(EndeRel,MATCH(I35,Codes,0)))*1440,0)&lt;660,1,0),0),0))</f>
      </c>
      <c r="K84" s="1">
        <f>IF(OR(K$52=0,J35="",K35=""),0,IFERROR(IF(AND(INDEX(Arten,MATCH(J35,Codes,0))="Arbeit",INDEX(Arten,MATCH(K35,Codes,0))="Arbeit"),IF(ROUND((1+INDEX(Beginne,MATCH(K35,Codes,0))-INDEX(EndeRel,MATCH(J35,Codes,0)))*1440,0)&lt;660,1,0),0),0))</f>
      </c>
      <c r="L84" s="1">
        <f>IF(OR(L$52=0,K35="",L35=""),0,IFERROR(IF(AND(INDEX(Arten,MATCH(K35,Codes,0))="Arbeit",INDEX(Arten,MATCH(L35,Codes,0))="Arbeit"),IF(ROUND((1+INDEX(Beginne,MATCH(L35,Codes,0))-INDEX(EndeRel,MATCH(K35,Codes,0)))*1440,0)&lt;660,1,0),0),0))</f>
      </c>
      <c r="M84" s="1">
        <f>IF(OR(M$52=0,L35="",M35=""),0,IFERROR(IF(AND(INDEX(Arten,MATCH(L35,Codes,0))="Arbeit",INDEX(Arten,MATCH(M35,Codes,0))="Arbeit"),IF(ROUND((1+INDEX(Beginne,MATCH(M35,Codes,0))-INDEX(EndeRel,MATCH(L35,Codes,0)))*1440,0)&lt;660,1,0),0),0))</f>
      </c>
      <c r="N84" s="1">
        <f>IF(OR(N$52=0,M35="",N35=""),0,IFERROR(IF(AND(INDEX(Arten,MATCH(M35,Codes,0))="Arbeit",INDEX(Arten,MATCH(N35,Codes,0))="Arbeit"),IF(ROUND((1+INDEX(Beginne,MATCH(N35,Codes,0))-INDEX(EndeRel,MATCH(M35,Codes,0)))*1440,0)&lt;660,1,0),0),0))</f>
      </c>
      <c r="O84" s="1">
        <f>IF(OR(O$52=0,N35="",O35=""),0,IFERROR(IF(AND(INDEX(Arten,MATCH(N35,Codes,0))="Arbeit",INDEX(Arten,MATCH(O35,Codes,0))="Arbeit"),IF(ROUND((1+INDEX(Beginne,MATCH(O35,Codes,0))-INDEX(EndeRel,MATCH(N35,Codes,0)))*1440,0)&lt;660,1,0),0),0))</f>
      </c>
      <c r="P84" s="1">
        <f>IF(OR(P$52=0,O35="",P35=""),0,IFERROR(IF(AND(INDEX(Arten,MATCH(O35,Codes,0))="Arbeit",INDEX(Arten,MATCH(P35,Codes,0))="Arbeit"),IF(ROUND((1+INDEX(Beginne,MATCH(P35,Codes,0))-INDEX(EndeRel,MATCH(O35,Codes,0)))*1440,0)&lt;660,1,0),0),0))</f>
      </c>
      <c r="Q84" s="1">
        <f>IF(OR(Q$52=0,P35="",Q35=""),0,IFERROR(IF(AND(INDEX(Arten,MATCH(P35,Codes,0))="Arbeit",INDEX(Arten,MATCH(Q35,Codes,0))="Arbeit"),IF(ROUND((1+INDEX(Beginne,MATCH(Q35,Codes,0))-INDEX(EndeRel,MATCH(P35,Codes,0)))*1440,0)&lt;660,1,0),0),0))</f>
      </c>
      <c r="R84" s="1">
        <f>IF(OR(R$52=0,Q35="",R35=""),0,IFERROR(IF(AND(INDEX(Arten,MATCH(Q35,Codes,0))="Arbeit",INDEX(Arten,MATCH(R35,Codes,0))="Arbeit"),IF(ROUND((1+INDEX(Beginne,MATCH(R35,Codes,0))-INDEX(EndeRel,MATCH(Q35,Codes,0)))*1440,0)&lt;660,1,0),0),0))</f>
      </c>
      <c r="S84" s="1">
        <f>IF(OR(S$52=0,R35="",S35=""),0,IFERROR(IF(AND(INDEX(Arten,MATCH(R35,Codes,0))="Arbeit",INDEX(Arten,MATCH(S35,Codes,0))="Arbeit"),IF(ROUND((1+INDEX(Beginne,MATCH(S35,Codes,0))-INDEX(EndeRel,MATCH(R35,Codes,0)))*1440,0)&lt;660,1,0),0),0))</f>
      </c>
      <c r="T84" s="1">
        <f>IF(OR(T$52=0,S35="",T35=""),0,IFERROR(IF(AND(INDEX(Arten,MATCH(S35,Codes,0))="Arbeit",INDEX(Arten,MATCH(T35,Codes,0))="Arbeit"),IF(ROUND((1+INDEX(Beginne,MATCH(T35,Codes,0))-INDEX(EndeRel,MATCH(S35,Codes,0)))*1440,0)&lt;660,1,0),0),0))</f>
      </c>
      <c r="U84" s="1">
        <f>IF(OR(U$52=0,T35="",U35=""),0,IFERROR(IF(AND(INDEX(Arten,MATCH(T35,Codes,0))="Arbeit",INDEX(Arten,MATCH(U35,Codes,0))="Arbeit"),IF(ROUND((1+INDEX(Beginne,MATCH(U35,Codes,0))-INDEX(EndeRel,MATCH(T35,Codes,0)))*1440,0)&lt;660,1,0),0),0))</f>
      </c>
      <c r="V84" s="1">
        <f>IF(OR(V$52=0,U35="",V35=""),0,IFERROR(IF(AND(INDEX(Arten,MATCH(U35,Codes,0))="Arbeit",INDEX(Arten,MATCH(V35,Codes,0))="Arbeit"),IF(ROUND((1+INDEX(Beginne,MATCH(V35,Codes,0))-INDEX(EndeRel,MATCH(U35,Codes,0)))*1440,0)&lt;660,1,0),0),0))</f>
      </c>
      <c r="W84" s="1">
        <f>IF(OR(W$52=0,V35="",W35=""),0,IFERROR(IF(AND(INDEX(Arten,MATCH(V35,Codes,0))="Arbeit",INDEX(Arten,MATCH(W35,Codes,0))="Arbeit"),IF(ROUND((1+INDEX(Beginne,MATCH(W35,Codes,0))-INDEX(EndeRel,MATCH(V35,Codes,0)))*1440,0)&lt;660,1,0),0),0))</f>
      </c>
      <c r="X84" s="1">
        <f>IF(OR(X$52=0,W35="",X35=""),0,IFERROR(IF(AND(INDEX(Arten,MATCH(W35,Codes,0))="Arbeit",INDEX(Arten,MATCH(X35,Codes,0))="Arbeit"),IF(ROUND((1+INDEX(Beginne,MATCH(X35,Codes,0))-INDEX(EndeRel,MATCH(W35,Codes,0)))*1440,0)&lt;660,1,0),0),0))</f>
      </c>
      <c r="Y84" s="1">
        <f>IF(OR(Y$52=0,X35="",Y35=""),0,IFERROR(IF(AND(INDEX(Arten,MATCH(X35,Codes,0))="Arbeit",INDEX(Arten,MATCH(Y35,Codes,0))="Arbeit"),IF(ROUND((1+INDEX(Beginne,MATCH(Y35,Codes,0))-INDEX(EndeRel,MATCH(X35,Codes,0)))*1440,0)&lt;660,1,0),0),0))</f>
      </c>
      <c r="Z84" s="1">
        <f>IF(OR(Z$52=0,Y35="",Z35=""),0,IFERROR(IF(AND(INDEX(Arten,MATCH(Y35,Codes,0))="Arbeit",INDEX(Arten,MATCH(Z35,Codes,0))="Arbeit"),IF(ROUND((1+INDEX(Beginne,MATCH(Z35,Codes,0))-INDEX(EndeRel,MATCH(Y35,Codes,0)))*1440,0)&lt;660,1,0),0),0))</f>
      </c>
      <c r="AA84" s="1">
        <f>IF(OR(AA$52=0,Z35="",AA35=""),0,IFERROR(IF(AND(INDEX(Arten,MATCH(Z35,Codes,0))="Arbeit",INDEX(Arten,MATCH(AA35,Codes,0))="Arbeit"),IF(ROUND((1+INDEX(Beginne,MATCH(AA35,Codes,0))-INDEX(EndeRel,MATCH(Z35,Codes,0)))*1440,0)&lt;660,1,0),0),0))</f>
      </c>
      <c r="AB84" s="1">
        <f>IF(OR(AB$52=0,AA35="",AB35=""),0,IFERROR(IF(AND(INDEX(Arten,MATCH(AA35,Codes,0))="Arbeit",INDEX(Arten,MATCH(AB35,Codes,0))="Arbeit"),IF(ROUND((1+INDEX(Beginne,MATCH(AB35,Codes,0))-INDEX(EndeRel,MATCH(AA35,Codes,0)))*1440,0)&lt;660,1,0),0),0))</f>
      </c>
      <c r="AC84" s="1">
        <f>IF(OR(AC$52=0,AB35="",AC35=""),0,IFERROR(IF(AND(INDEX(Arten,MATCH(AB35,Codes,0))="Arbeit",INDEX(Arten,MATCH(AC35,Codes,0))="Arbeit"),IF(ROUND((1+INDEX(Beginne,MATCH(AC35,Codes,0))-INDEX(EndeRel,MATCH(AB35,Codes,0)))*1440,0)&lt;660,1,0),0),0))</f>
      </c>
      <c r="AD84" s="1">
        <f>IF(OR(AD$52=0,AC35="",AD35=""),0,IFERROR(IF(AND(INDEX(Arten,MATCH(AC35,Codes,0))="Arbeit",INDEX(Arten,MATCH(AD35,Codes,0))="Arbeit"),IF(ROUND((1+INDEX(Beginne,MATCH(AD35,Codes,0))-INDEX(EndeRel,MATCH(AC35,Codes,0)))*1440,0)&lt;660,1,0),0),0))</f>
      </c>
      <c r="AE84" s="1">
        <f>IF(OR(AE$52=0,AD35="",AE35=""),0,IFERROR(IF(AND(INDEX(Arten,MATCH(AD35,Codes,0))="Arbeit",INDEX(Arten,MATCH(AE35,Codes,0))="Arbeit"),IF(ROUND((1+INDEX(Beginne,MATCH(AE35,Codes,0))-INDEX(EndeRel,MATCH(AD35,Codes,0)))*1440,0)&lt;660,1,0),0),0))</f>
      </c>
      <c r="AF84" s="1">
        <f>IF(OR(AF$52=0,AE35="",AF35=""),0,IFERROR(IF(AND(INDEX(Arten,MATCH(AE35,Codes,0))="Arbeit",INDEX(Arten,MATCH(AF35,Codes,0))="Arbeit"),IF(ROUND((1+INDEX(Beginne,MATCH(AF35,Codes,0))-INDEX(EndeRel,MATCH(AE35,Codes,0)))*1440,0)&lt;660,1,0),0),0))</f>
      </c>
    </row>
    <row r="86" hidden="1" spans="1:32" x14ac:dyDescent="0.25">
      <c r="A86" s="1"/>
      <c r="B86" s="1">
        <f>IF($AM38="","",IF(OR(B$51&gt;=6,B$50=1),N(INDEX(MinFrei,MATCH(1,ArbeitNr,0))),N(INDEX(MinWerktag,MATCH(1,ArbeitNr,0)))))</f>
      </c>
      <c r="C86" s="1">
        <f>IF($AM38="","",IF(OR(C$51&gt;=6,C$50=1),N(INDEX(MinFrei,MATCH(1,ArbeitNr,0))),N(INDEX(MinWerktag,MATCH(1,ArbeitNr,0)))))</f>
      </c>
      <c r="D86" s="1">
        <f>IF($AM38="","",IF(OR(D$51&gt;=6,D$50=1),N(INDEX(MinFrei,MATCH(1,ArbeitNr,0))),N(INDEX(MinWerktag,MATCH(1,ArbeitNr,0)))))</f>
      </c>
      <c r="E86" s="1">
        <f>IF($AM38="","",IF(OR(E$51&gt;=6,E$50=1),N(INDEX(MinFrei,MATCH(1,ArbeitNr,0))),N(INDEX(MinWerktag,MATCH(1,ArbeitNr,0)))))</f>
      </c>
      <c r="F86" s="1">
        <f>IF($AM38="","",IF(OR(F$51&gt;=6,F$50=1),N(INDEX(MinFrei,MATCH(1,ArbeitNr,0))),N(INDEX(MinWerktag,MATCH(1,ArbeitNr,0)))))</f>
      </c>
      <c r="G86" s="1">
        <f>IF($AM38="","",IF(OR(G$51&gt;=6,G$50=1),N(INDEX(MinFrei,MATCH(1,ArbeitNr,0))),N(INDEX(MinWerktag,MATCH(1,ArbeitNr,0)))))</f>
      </c>
      <c r="H86" s="1">
        <f>IF($AM38="","",IF(OR(H$51&gt;=6,H$50=1),N(INDEX(MinFrei,MATCH(1,ArbeitNr,0))),N(INDEX(MinWerktag,MATCH(1,ArbeitNr,0)))))</f>
      </c>
      <c r="I86" s="1">
        <f>IF($AM38="","",IF(OR(I$51&gt;=6,I$50=1),N(INDEX(MinFrei,MATCH(1,ArbeitNr,0))),N(INDEX(MinWerktag,MATCH(1,ArbeitNr,0)))))</f>
      </c>
      <c r="J86" s="1">
        <f>IF($AM38="","",IF(OR(J$51&gt;=6,J$50=1),N(INDEX(MinFrei,MATCH(1,ArbeitNr,0))),N(INDEX(MinWerktag,MATCH(1,ArbeitNr,0)))))</f>
      </c>
      <c r="K86" s="1">
        <f>IF($AM38="","",IF(OR(K$51&gt;=6,K$50=1),N(INDEX(MinFrei,MATCH(1,ArbeitNr,0))),N(INDEX(MinWerktag,MATCH(1,ArbeitNr,0)))))</f>
      </c>
      <c r="L86" s="1">
        <f>IF($AM38="","",IF(OR(L$51&gt;=6,L$50=1),N(INDEX(MinFrei,MATCH(1,ArbeitNr,0))),N(INDEX(MinWerktag,MATCH(1,ArbeitNr,0)))))</f>
      </c>
      <c r="M86" s="1">
        <f>IF($AM38="","",IF(OR(M$51&gt;=6,M$50=1),N(INDEX(MinFrei,MATCH(1,ArbeitNr,0))),N(INDEX(MinWerktag,MATCH(1,ArbeitNr,0)))))</f>
      </c>
      <c r="N86" s="1">
        <f>IF($AM38="","",IF(OR(N$51&gt;=6,N$50=1),N(INDEX(MinFrei,MATCH(1,ArbeitNr,0))),N(INDEX(MinWerktag,MATCH(1,ArbeitNr,0)))))</f>
      </c>
      <c r="O86" s="1">
        <f>IF($AM38="","",IF(OR(O$51&gt;=6,O$50=1),N(INDEX(MinFrei,MATCH(1,ArbeitNr,0))),N(INDEX(MinWerktag,MATCH(1,ArbeitNr,0)))))</f>
      </c>
      <c r="P86" s="1">
        <f>IF($AM38="","",IF(OR(P$51&gt;=6,P$50=1),N(INDEX(MinFrei,MATCH(1,ArbeitNr,0))),N(INDEX(MinWerktag,MATCH(1,ArbeitNr,0)))))</f>
      </c>
      <c r="Q86" s="1">
        <f>IF($AM38="","",IF(OR(Q$51&gt;=6,Q$50=1),N(INDEX(MinFrei,MATCH(1,ArbeitNr,0))),N(INDEX(MinWerktag,MATCH(1,ArbeitNr,0)))))</f>
      </c>
      <c r="R86" s="1">
        <f>IF($AM38="","",IF(OR(R$51&gt;=6,R$50=1),N(INDEX(MinFrei,MATCH(1,ArbeitNr,0))),N(INDEX(MinWerktag,MATCH(1,ArbeitNr,0)))))</f>
      </c>
      <c r="S86" s="1">
        <f>IF($AM38="","",IF(OR(S$51&gt;=6,S$50=1),N(INDEX(MinFrei,MATCH(1,ArbeitNr,0))),N(INDEX(MinWerktag,MATCH(1,ArbeitNr,0)))))</f>
      </c>
      <c r="T86" s="1">
        <f>IF($AM38="","",IF(OR(T$51&gt;=6,T$50=1),N(INDEX(MinFrei,MATCH(1,ArbeitNr,0))),N(INDEX(MinWerktag,MATCH(1,ArbeitNr,0)))))</f>
      </c>
      <c r="U86" s="1">
        <f>IF($AM38="","",IF(OR(U$51&gt;=6,U$50=1),N(INDEX(MinFrei,MATCH(1,ArbeitNr,0))),N(INDEX(MinWerktag,MATCH(1,ArbeitNr,0)))))</f>
      </c>
      <c r="V86" s="1">
        <f>IF($AM38="","",IF(OR(V$51&gt;=6,V$50=1),N(INDEX(MinFrei,MATCH(1,ArbeitNr,0))),N(INDEX(MinWerktag,MATCH(1,ArbeitNr,0)))))</f>
      </c>
      <c r="W86" s="1">
        <f>IF($AM38="","",IF(OR(W$51&gt;=6,W$50=1),N(INDEX(MinFrei,MATCH(1,ArbeitNr,0))),N(INDEX(MinWerktag,MATCH(1,ArbeitNr,0)))))</f>
      </c>
      <c r="X86" s="1">
        <f>IF($AM38="","",IF(OR(X$51&gt;=6,X$50=1),N(INDEX(MinFrei,MATCH(1,ArbeitNr,0))),N(INDEX(MinWerktag,MATCH(1,ArbeitNr,0)))))</f>
      </c>
      <c r="Y86" s="1">
        <f>IF($AM38="","",IF(OR(Y$51&gt;=6,Y$50=1),N(INDEX(MinFrei,MATCH(1,ArbeitNr,0))),N(INDEX(MinWerktag,MATCH(1,ArbeitNr,0)))))</f>
      </c>
      <c r="Z86" s="1">
        <f>IF($AM38="","",IF(OR(Z$51&gt;=6,Z$50=1),N(INDEX(MinFrei,MATCH(1,ArbeitNr,0))),N(INDEX(MinWerktag,MATCH(1,ArbeitNr,0)))))</f>
      </c>
      <c r="AA86" s="1">
        <f>IF($AM38="","",IF(OR(AA$51&gt;=6,AA$50=1),N(INDEX(MinFrei,MATCH(1,ArbeitNr,0))),N(INDEX(MinWerktag,MATCH(1,ArbeitNr,0)))))</f>
      </c>
      <c r="AB86" s="1">
        <f>IF($AM38="","",IF(OR(AB$51&gt;=6,AB$50=1),N(INDEX(MinFrei,MATCH(1,ArbeitNr,0))),N(INDEX(MinWerktag,MATCH(1,ArbeitNr,0)))))</f>
      </c>
      <c r="AC86" s="1">
        <f>IF($AM38="","",IF(OR(AC$51&gt;=6,AC$50=1),N(INDEX(MinFrei,MATCH(1,ArbeitNr,0))),N(INDEX(MinWerktag,MATCH(1,ArbeitNr,0)))))</f>
      </c>
      <c r="AD86" s="1">
        <f>IF($AM38="","",IF(OR(AD$51&gt;=6,AD$50=1),N(INDEX(MinFrei,MATCH(1,ArbeitNr,0))),N(INDEX(MinWerktag,MATCH(1,ArbeitNr,0)))))</f>
      </c>
      <c r="AE86" s="1">
        <f>IF($AM38="","",IF(OR(AE$51&gt;=6,AE$50=1),N(INDEX(MinFrei,MATCH(1,ArbeitNr,0))),N(INDEX(MinWerktag,MATCH(1,ArbeitNr,0)))))</f>
      </c>
      <c r="AF86" s="1">
        <f>IF($AM38="","",IF(OR(AF$51&gt;=6,AF$50=1),N(INDEX(MinFrei,MATCH(1,ArbeitNr,0))),N(INDEX(MinWerktag,MATCH(1,ArbeitNr,0)))))</f>
      </c>
    </row>
    <row r="87" hidden="1" spans="1:32" x14ac:dyDescent="0.25">
      <c r="A87" s="1"/>
      <c r="B87" s="1">
        <f>IF($AM39="","",IF(OR(B$51&gt;=6,B$50=1),N(INDEX(MinFrei,MATCH(2,ArbeitNr,0))),N(INDEX(MinWerktag,MATCH(2,ArbeitNr,0)))))</f>
      </c>
      <c r="C87" s="1">
        <f>IF($AM39="","",IF(OR(C$51&gt;=6,C$50=1),N(INDEX(MinFrei,MATCH(2,ArbeitNr,0))),N(INDEX(MinWerktag,MATCH(2,ArbeitNr,0)))))</f>
      </c>
      <c r="D87" s="1">
        <f>IF($AM39="","",IF(OR(D$51&gt;=6,D$50=1),N(INDEX(MinFrei,MATCH(2,ArbeitNr,0))),N(INDEX(MinWerktag,MATCH(2,ArbeitNr,0)))))</f>
      </c>
      <c r="E87" s="1">
        <f>IF($AM39="","",IF(OR(E$51&gt;=6,E$50=1),N(INDEX(MinFrei,MATCH(2,ArbeitNr,0))),N(INDEX(MinWerktag,MATCH(2,ArbeitNr,0)))))</f>
      </c>
      <c r="F87" s="1">
        <f>IF($AM39="","",IF(OR(F$51&gt;=6,F$50=1),N(INDEX(MinFrei,MATCH(2,ArbeitNr,0))),N(INDEX(MinWerktag,MATCH(2,ArbeitNr,0)))))</f>
      </c>
      <c r="G87" s="1">
        <f>IF($AM39="","",IF(OR(G$51&gt;=6,G$50=1),N(INDEX(MinFrei,MATCH(2,ArbeitNr,0))),N(INDEX(MinWerktag,MATCH(2,ArbeitNr,0)))))</f>
      </c>
      <c r="H87" s="1">
        <f>IF($AM39="","",IF(OR(H$51&gt;=6,H$50=1),N(INDEX(MinFrei,MATCH(2,ArbeitNr,0))),N(INDEX(MinWerktag,MATCH(2,ArbeitNr,0)))))</f>
      </c>
      <c r="I87" s="1">
        <f>IF($AM39="","",IF(OR(I$51&gt;=6,I$50=1),N(INDEX(MinFrei,MATCH(2,ArbeitNr,0))),N(INDEX(MinWerktag,MATCH(2,ArbeitNr,0)))))</f>
      </c>
      <c r="J87" s="1">
        <f>IF($AM39="","",IF(OR(J$51&gt;=6,J$50=1),N(INDEX(MinFrei,MATCH(2,ArbeitNr,0))),N(INDEX(MinWerktag,MATCH(2,ArbeitNr,0)))))</f>
      </c>
      <c r="K87" s="1">
        <f>IF($AM39="","",IF(OR(K$51&gt;=6,K$50=1),N(INDEX(MinFrei,MATCH(2,ArbeitNr,0))),N(INDEX(MinWerktag,MATCH(2,ArbeitNr,0)))))</f>
      </c>
      <c r="L87" s="1">
        <f>IF($AM39="","",IF(OR(L$51&gt;=6,L$50=1),N(INDEX(MinFrei,MATCH(2,ArbeitNr,0))),N(INDEX(MinWerktag,MATCH(2,ArbeitNr,0)))))</f>
      </c>
      <c r="M87" s="1">
        <f>IF($AM39="","",IF(OR(M$51&gt;=6,M$50=1),N(INDEX(MinFrei,MATCH(2,ArbeitNr,0))),N(INDEX(MinWerktag,MATCH(2,ArbeitNr,0)))))</f>
      </c>
      <c r="N87" s="1">
        <f>IF($AM39="","",IF(OR(N$51&gt;=6,N$50=1),N(INDEX(MinFrei,MATCH(2,ArbeitNr,0))),N(INDEX(MinWerktag,MATCH(2,ArbeitNr,0)))))</f>
      </c>
      <c r="O87" s="1">
        <f>IF($AM39="","",IF(OR(O$51&gt;=6,O$50=1),N(INDEX(MinFrei,MATCH(2,ArbeitNr,0))),N(INDEX(MinWerktag,MATCH(2,ArbeitNr,0)))))</f>
      </c>
      <c r="P87" s="1">
        <f>IF($AM39="","",IF(OR(P$51&gt;=6,P$50=1),N(INDEX(MinFrei,MATCH(2,ArbeitNr,0))),N(INDEX(MinWerktag,MATCH(2,ArbeitNr,0)))))</f>
      </c>
      <c r="Q87" s="1">
        <f>IF($AM39="","",IF(OR(Q$51&gt;=6,Q$50=1),N(INDEX(MinFrei,MATCH(2,ArbeitNr,0))),N(INDEX(MinWerktag,MATCH(2,ArbeitNr,0)))))</f>
      </c>
      <c r="R87" s="1">
        <f>IF($AM39="","",IF(OR(R$51&gt;=6,R$50=1),N(INDEX(MinFrei,MATCH(2,ArbeitNr,0))),N(INDEX(MinWerktag,MATCH(2,ArbeitNr,0)))))</f>
      </c>
      <c r="S87" s="1">
        <f>IF($AM39="","",IF(OR(S$51&gt;=6,S$50=1),N(INDEX(MinFrei,MATCH(2,ArbeitNr,0))),N(INDEX(MinWerktag,MATCH(2,ArbeitNr,0)))))</f>
      </c>
      <c r="T87" s="1">
        <f>IF($AM39="","",IF(OR(T$51&gt;=6,T$50=1),N(INDEX(MinFrei,MATCH(2,ArbeitNr,0))),N(INDEX(MinWerktag,MATCH(2,ArbeitNr,0)))))</f>
      </c>
      <c r="U87" s="1">
        <f>IF($AM39="","",IF(OR(U$51&gt;=6,U$50=1),N(INDEX(MinFrei,MATCH(2,ArbeitNr,0))),N(INDEX(MinWerktag,MATCH(2,ArbeitNr,0)))))</f>
      </c>
      <c r="V87" s="1">
        <f>IF($AM39="","",IF(OR(V$51&gt;=6,V$50=1),N(INDEX(MinFrei,MATCH(2,ArbeitNr,0))),N(INDEX(MinWerktag,MATCH(2,ArbeitNr,0)))))</f>
      </c>
      <c r="W87" s="1">
        <f>IF($AM39="","",IF(OR(W$51&gt;=6,W$50=1),N(INDEX(MinFrei,MATCH(2,ArbeitNr,0))),N(INDEX(MinWerktag,MATCH(2,ArbeitNr,0)))))</f>
      </c>
      <c r="X87" s="1">
        <f>IF($AM39="","",IF(OR(X$51&gt;=6,X$50=1),N(INDEX(MinFrei,MATCH(2,ArbeitNr,0))),N(INDEX(MinWerktag,MATCH(2,ArbeitNr,0)))))</f>
      </c>
      <c r="Y87" s="1">
        <f>IF($AM39="","",IF(OR(Y$51&gt;=6,Y$50=1),N(INDEX(MinFrei,MATCH(2,ArbeitNr,0))),N(INDEX(MinWerktag,MATCH(2,ArbeitNr,0)))))</f>
      </c>
      <c r="Z87" s="1">
        <f>IF($AM39="","",IF(OR(Z$51&gt;=6,Z$50=1),N(INDEX(MinFrei,MATCH(2,ArbeitNr,0))),N(INDEX(MinWerktag,MATCH(2,ArbeitNr,0)))))</f>
      </c>
      <c r="AA87" s="1">
        <f>IF($AM39="","",IF(OR(AA$51&gt;=6,AA$50=1),N(INDEX(MinFrei,MATCH(2,ArbeitNr,0))),N(INDEX(MinWerktag,MATCH(2,ArbeitNr,0)))))</f>
      </c>
      <c r="AB87" s="1">
        <f>IF($AM39="","",IF(OR(AB$51&gt;=6,AB$50=1),N(INDEX(MinFrei,MATCH(2,ArbeitNr,0))),N(INDEX(MinWerktag,MATCH(2,ArbeitNr,0)))))</f>
      </c>
      <c r="AC87" s="1">
        <f>IF($AM39="","",IF(OR(AC$51&gt;=6,AC$50=1),N(INDEX(MinFrei,MATCH(2,ArbeitNr,0))),N(INDEX(MinWerktag,MATCH(2,ArbeitNr,0)))))</f>
      </c>
      <c r="AD87" s="1">
        <f>IF($AM39="","",IF(OR(AD$51&gt;=6,AD$50=1),N(INDEX(MinFrei,MATCH(2,ArbeitNr,0))),N(INDEX(MinWerktag,MATCH(2,ArbeitNr,0)))))</f>
      </c>
      <c r="AE87" s="1">
        <f>IF($AM39="","",IF(OR(AE$51&gt;=6,AE$50=1),N(INDEX(MinFrei,MATCH(2,ArbeitNr,0))),N(INDEX(MinWerktag,MATCH(2,ArbeitNr,0)))))</f>
      </c>
      <c r="AF87" s="1">
        <f>IF($AM39="","",IF(OR(AF$51&gt;=6,AF$50=1),N(INDEX(MinFrei,MATCH(2,ArbeitNr,0))),N(INDEX(MinWerktag,MATCH(2,ArbeitNr,0)))))</f>
      </c>
    </row>
    <row r="88" hidden="1" spans="1:32" x14ac:dyDescent="0.25">
      <c r="A88" s="1"/>
      <c r="B88" s="1">
        <f>IF($AM40="","",IF(OR(B$51&gt;=6,B$50=1),N(INDEX(MinFrei,MATCH(3,ArbeitNr,0))),N(INDEX(MinWerktag,MATCH(3,ArbeitNr,0)))))</f>
      </c>
      <c r="C88" s="1">
        <f>IF($AM40="","",IF(OR(C$51&gt;=6,C$50=1),N(INDEX(MinFrei,MATCH(3,ArbeitNr,0))),N(INDEX(MinWerktag,MATCH(3,ArbeitNr,0)))))</f>
      </c>
      <c r="D88" s="1">
        <f>IF($AM40="","",IF(OR(D$51&gt;=6,D$50=1),N(INDEX(MinFrei,MATCH(3,ArbeitNr,0))),N(INDEX(MinWerktag,MATCH(3,ArbeitNr,0)))))</f>
      </c>
      <c r="E88" s="1">
        <f>IF($AM40="","",IF(OR(E$51&gt;=6,E$50=1),N(INDEX(MinFrei,MATCH(3,ArbeitNr,0))),N(INDEX(MinWerktag,MATCH(3,ArbeitNr,0)))))</f>
      </c>
      <c r="F88" s="1">
        <f>IF($AM40="","",IF(OR(F$51&gt;=6,F$50=1),N(INDEX(MinFrei,MATCH(3,ArbeitNr,0))),N(INDEX(MinWerktag,MATCH(3,ArbeitNr,0)))))</f>
      </c>
      <c r="G88" s="1">
        <f>IF($AM40="","",IF(OR(G$51&gt;=6,G$50=1),N(INDEX(MinFrei,MATCH(3,ArbeitNr,0))),N(INDEX(MinWerktag,MATCH(3,ArbeitNr,0)))))</f>
      </c>
      <c r="H88" s="1">
        <f>IF($AM40="","",IF(OR(H$51&gt;=6,H$50=1),N(INDEX(MinFrei,MATCH(3,ArbeitNr,0))),N(INDEX(MinWerktag,MATCH(3,ArbeitNr,0)))))</f>
      </c>
      <c r="I88" s="1">
        <f>IF($AM40="","",IF(OR(I$51&gt;=6,I$50=1),N(INDEX(MinFrei,MATCH(3,ArbeitNr,0))),N(INDEX(MinWerktag,MATCH(3,ArbeitNr,0)))))</f>
      </c>
      <c r="J88" s="1">
        <f>IF($AM40="","",IF(OR(J$51&gt;=6,J$50=1),N(INDEX(MinFrei,MATCH(3,ArbeitNr,0))),N(INDEX(MinWerktag,MATCH(3,ArbeitNr,0)))))</f>
      </c>
      <c r="K88" s="1">
        <f>IF($AM40="","",IF(OR(K$51&gt;=6,K$50=1),N(INDEX(MinFrei,MATCH(3,ArbeitNr,0))),N(INDEX(MinWerktag,MATCH(3,ArbeitNr,0)))))</f>
      </c>
      <c r="L88" s="1">
        <f>IF($AM40="","",IF(OR(L$51&gt;=6,L$50=1),N(INDEX(MinFrei,MATCH(3,ArbeitNr,0))),N(INDEX(MinWerktag,MATCH(3,ArbeitNr,0)))))</f>
      </c>
      <c r="M88" s="1">
        <f>IF($AM40="","",IF(OR(M$51&gt;=6,M$50=1),N(INDEX(MinFrei,MATCH(3,ArbeitNr,0))),N(INDEX(MinWerktag,MATCH(3,ArbeitNr,0)))))</f>
      </c>
      <c r="N88" s="1">
        <f>IF($AM40="","",IF(OR(N$51&gt;=6,N$50=1),N(INDEX(MinFrei,MATCH(3,ArbeitNr,0))),N(INDEX(MinWerktag,MATCH(3,ArbeitNr,0)))))</f>
      </c>
      <c r="O88" s="1">
        <f>IF($AM40="","",IF(OR(O$51&gt;=6,O$50=1),N(INDEX(MinFrei,MATCH(3,ArbeitNr,0))),N(INDEX(MinWerktag,MATCH(3,ArbeitNr,0)))))</f>
      </c>
      <c r="P88" s="1">
        <f>IF($AM40="","",IF(OR(P$51&gt;=6,P$50=1),N(INDEX(MinFrei,MATCH(3,ArbeitNr,0))),N(INDEX(MinWerktag,MATCH(3,ArbeitNr,0)))))</f>
      </c>
      <c r="Q88" s="1">
        <f>IF($AM40="","",IF(OR(Q$51&gt;=6,Q$50=1),N(INDEX(MinFrei,MATCH(3,ArbeitNr,0))),N(INDEX(MinWerktag,MATCH(3,ArbeitNr,0)))))</f>
      </c>
      <c r="R88" s="1">
        <f>IF($AM40="","",IF(OR(R$51&gt;=6,R$50=1),N(INDEX(MinFrei,MATCH(3,ArbeitNr,0))),N(INDEX(MinWerktag,MATCH(3,ArbeitNr,0)))))</f>
      </c>
      <c r="S88" s="1">
        <f>IF($AM40="","",IF(OR(S$51&gt;=6,S$50=1),N(INDEX(MinFrei,MATCH(3,ArbeitNr,0))),N(INDEX(MinWerktag,MATCH(3,ArbeitNr,0)))))</f>
      </c>
      <c r="T88" s="1">
        <f>IF($AM40="","",IF(OR(T$51&gt;=6,T$50=1),N(INDEX(MinFrei,MATCH(3,ArbeitNr,0))),N(INDEX(MinWerktag,MATCH(3,ArbeitNr,0)))))</f>
      </c>
      <c r="U88" s="1">
        <f>IF($AM40="","",IF(OR(U$51&gt;=6,U$50=1),N(INDEX(MinFrei,MATCH(3,ArbeitNr,0))),N(INDEX(MinWerktag,MATCH(3,ArbeitNr,0)))))</f>
      </c>
      <c r="V88" s="1">
        <f>IF($AM40="","",IF(OR(V$51&gt;=6,V$50=1),N(INDEX(MinFrei,MATCH(3,ArbeitNr,0))),N(INDEX(MinWerktag,MATCH(3,ArbeitNr,0)))))</f>
      </c>
      <c r="W88" s="1">
        <f>IF($AM40="","",IF(OR(W$51&gt;=6,W$50=1),N(INDEX(MinFrei,MATCH(3,ArbeitNr,0))),N(INDEX(MinWerktag,MATCH(3,ArbeitNr,0)))))</f>
      </c>
      <c r="X88" s="1">
        <f>IF($AM40="","",IF(OR(X$51&gt;=6,X$50=1),N(INDEX(MinFrei,MATCH(3,ArbeitNr,0))),N(INDEX(MinWerktag,MATCH(3,ArbeitNr,0)))))</f>
      </c>
      <c r="Y88" s="1">
        <f>IF($AM40="","",IF(OR(Y$51&gt;=6,Y$50=1),N(INDEX(MinFrei,MATCH(3,ArbeitNr,0))),N(INDEX(MinWerktag,MATCH(3,ArbeitNr,0)))))</f>
      </c>
      <c r="Z88" s="1">
        <f>IF($AM40="","",IF(OR(Z$51&gt;=6,Z$50=1),N(INDEX(MinFrei,MATCH(3,ArbeitNr,0))),N(INDEX(MinWerktag,MATCH(3,ArbeitNr,0)))))</f>
      </c>
      <c r="AA88" s="1">
        <f>IF($AM40="","",IF(OR(AA$51&gt;=6,AA$50=1),N(INDEX(MinFrei,MATCH(3,ArbeitNr,0))),N(INDEX(MinWerktag,MATCH(3,ArbeitNr,0)))))</f>
      </c>
      <c r="AB88" s="1">
        <f>IF($AM40="","",IF(OR(AB$51&gt;=6,AB$50=1),N(INDEX(MinFrei,MATCH(3,ArbeitNr,0))),N(INDEX(MinWerktag,MATCH(3,ArbeitNr,0)))))</f>
      </c>
      <c r="AC88" s="1">
        <f>IF($AM40="","",IF(OR(AC$51&gt;=6,AC$50=1),N(INDEX(MinFrei,MATCH(3,ArbeitNr,0))),N(INDEX(MinWerktag,MATCH(3,ArbeitNr,0)))))</f>
      </c>
      <c r="AD88" s="1">
        <f>IF($AM40="","",IF(OR(AD$51&gt;=6,AD$50=1),N(INDEX(MinFrei,MATCH(3,ArbeitNr,0))),N(INDEX(MinWerktag,MATCH(3,ArbeitNr,0)))))</f>
      </c>
      <c r="AE88" s="1">
        <f>IF($AM40="","",IF(OR(AE$51&gt;=6,AE$50=1),N(INDEX(MinFrei,MATCH(3,ArbeitNr,0))),N(INDEX(MinWerktag,MATCH(3,ArbeitNr,0)))))</f>
      </c>
      <c r="AF88" s="1">
        <f>IF($AM40="","",IF(OR(AF$51&gt;=6,AF$50=1),N(INDEX(MinFrei,MATCH(3,ArbeitNr,0))),N(INDEX(MinWerktag,MATCH(3,ArbeitNr,0)))))</f>
      </c>
    </row>
    <row r="89" hidden="1" spans="1:32" x14ac:dyDescent="0.25">
      <c r="A89" s="1"/>
      <c r="B89" s="1">
        <f>IF($AM41="","",IF(OR(B$51&gt;=6,B$50=1),N(INDEX(MinFrei,MATCH(4,ArbeitNr,0))),N(INDEX(MinWerktag,MATCH(4,ArbeitNr,0)))))</f>
      </c>
      <c r="C89" s="1">
        <f>IF($AM41="","",IF(OR(C$51&gt;=6,C$50=1),N(INDEX(MinFrei,MATCH(4,ArbeitNr,0))),N(INDEX(MinWerktag,MATCH(4,ArbeitNr,0)))))</f>
      </c>
      <c r="D89" s="1">
        <f>IF($AM41="","",IF(OR(D$51&gt;=6,D$50=1),N(INDEX(MinFrei,MATCH(4,ArbeitNr,0))),N(INDEX(MinWerktag,MATCH(4,ArbeitNr,0)))))</f>
      </c>
      <c r="E89" s="1">
        <f>IF($AM41="","",IF(OR(E$51&gt;=6,E$50=1),N(INDEX(MinFrei,MATCH(4,ArbeitNr,0))),N(INDEX(MinWerktag,MATCH(4,ArbeitNr,0)))))</f>
      </c>
      <c r="F89" s="1">
        <f>IF($AM41="","",IF(OR(F$51&gt;=6,F$50=1),N(INDEX(MinFrei,MATCH(4,ArbeitNr,0))),N(INDEX(MinWerktag,MATCH(4,ArbeitNr,0)))))</f>
      </c>
      <c r="G89" s="1">
        <f>IF($AM41="","",IF(OR(G$51&gt;=6,G$50=1),N(INDEX(MinFrei,MATCH(4,ArbeitNr,0))),N(INDEX(MinWerktag,MATCH(4,ArbeitNr,0)))))</f>
      </c>
      <c r="H89" s="1">
        <f>IF($AM41="","",IF(OR(H$51&gt;=6,H$50=1),N(INDEX(MinFrei,MATCH(4,ArbeitNr,0))),N(INDEX(MinWerktag,MATCH(4,ArbeitNr,0)))))</f>
      </c>
      <c r="I89" s="1">
        <f>IF($AM41="","",IF(OR(I$51&gt;=6,I$50=1),N(INDEX(MinFrei,MATCH(4,ArbeitNr,0))),N(INDEX(MinWerktag,MATCH(4,ArbeitNr,0)))))</f>
      </c>
      <c r="J89" s="1">
        <f>IF($AM41="","",IF(OR(J$51&gt;=6,J$50=1),N(INDEX(MinFrei,MATCH(4,ArbeitNr,0))),N(INDEX(MinWerktag,MATCH(4,ArbeitNr,0)))))</f>
      </c>
      <c r="K89" s="1">
        <f>IF($AM41="","",IF(OR(K$51&gt;=6,K$50=1),N(INDEX(MinFrei,MATCH(4,ArbeitNr,0))),N(INDEX(MinWerktag,MATCH(4,ArbeitNr,0)))))</f>
      </c>
      <c r="L89" s="1">
        <f>IF($AM41="","",IF(OR(L$51&gt;=6,L$50=1),N(INDEX(MinFrei,MATCH(4,ArbeitNr,0))),N(INDEX(MinWerktag,MATCH(4,ArbeitNr,0)))))</f>
      </c>
      <c r="M89" s="1">
        <f>IF($AM41="","",IF(OR(M$51&gt;=6,M$50=1),N(INDEX(MinFrei,MATCH(4,ArbeitNr,0))),N(INDEX(MinWerktag,MATCH(4,ArbeitNr,0)))))</f>
      </c>
      <c r="N89" s="1">
        <f>IF($AM41="","",IF(OR(N$51&gt;=6,N$50=1),N(INDEX(MinFrei,MATCH(4,ArbeitNr,0))),N(INDEX(MinWerktag,MATCH(4,ArbeitNr,0)))))</f>
      </c>
      <c r="O89" s="1">
        <f>IF($AM41="","",IF(OR(O$51&gt;=6,O$50=1),N(INDEX(MinFrei,MATCH(4,ArbeitNr,0))),N(INDEX(MinWerktag,MATCH(4,ArbeitNr,0)))))</f>
      </c>
      <c r="P89" s="1">
        <f>IF($AM41="","",IF(OR(P$51&gt;=6,P$50=1),N(INDEX(MinFrei,MATCH(4,ArbeitNr,0))),N(INDEX(MinWerktag,MATCH(4,ArbeitNr,0)))))</f>
      </c>
      <c r="Q89" s="1">
        <f>IF($AM41="","",IF(OR(Q$51&gt;=6,Q$50=1),N(INDEX(MinFrei,MATCH(4,ArbeitNr,0))),N(INDEX(MinWerktag,MATCH(4,ArbeitNr,0)))))</f>
      </c>
      <c r="R89" s="1">
        <f>IF($AM41="","",IF(OR(R$51&gt;=6,R$50=1),N(INDEX(MinFrei,MATCH(4,ArbeitNr,0))),N(INDEX(MinWerktag,MATCH(4,ArbeitNr,0)))))</f>
      </c>
      <c r="S89" s="1">
        <f>IF($AM41="","",IF(OR(S$51&gt;=6,S$50=1),N(INDEX(MinFrei,MATCH(4,ArbeitNr,0))),N(INDEX(MinWerktag,MATCH(4,ArbeitNr,0)))))</f>
      </c>
      <c r="T89" s="1">
        <f>IF($AM41="","",IF(OR(T$51&gt;=6,T$50=1),N(INDEX(MinFrei,MATCH(4,ArbeitNr,0))),N(INDEX(MinWerktag,MATCH(4,ArbeitNr,0)))))</f>
      </c>
      <c r="U89" s="1">
        <f>IF($AM41="","",IF(OR(U$51&gt;=6,U$50=1),N(INDEX(MinFrei,MATCH(4,ArbeitNr,0))),N(INDEX(MinWerktag,MATCH(4,ArbeitNr,0)))))</f>
      </c>
      <c r="V89" s="1">
        <f>IF($AM41="","",IF(OR(V$51&gt;=6,V$50=1),N(INDEX(MinFrei,MATCH(4,ArbeitNr,0))),N(INDEX(MinWerktag,MATCH(4,ArbeitNr,0)))))</f>
      </c>
      <c r="W89" s="1">
        <f>IF($AM41="","",IF(OR(W$51&gt;=6,W$50=1),N(INDEX(MinFrei,MATCH(4,ArbeitNr,0))),N(INDEX(MinWerktag,MATCH(4,ArbeitNr,0)))))</f>
      </c>
      <c r="X89" s="1">
        <f>IF($AM41="","",IF(OR(X$51&gt;=6,X$50=1),N(INDEX(MinFrei,MATCH(4,ArbeitNr,0))),N(INDEX(MinWerktag,MATCH(4,ArbeitNr,0)))))</f>
      </c>
      <c r="Y89" s="1">
        <f>IF($AM41="","",IF(OR(Y$51&gt;=6,Y$50=1),N(INDEX(MinFrei,MATCH(4,ArbeitNr,0))),N(INDEX(MinWerktag,MATCH(4,ArbeitNr,0)))))</f>
      </c>
      <c r="Z89" s="1">
        <f>IF($AM41="","",IF(OR(Z$51&gt;=6,Z$50=1),N(INDEX(MinFrei,MATCH(4,ArbeitNr,0))),N(INDEX(MinWerktag,MATCH(4,ArbeitNr,0)))))</f>
      </c>
      <c r="AA89" s="1">
        <f>IF($AM41="","",IF(OR(AA$51&gt;=6,AA$50=1),N(INDEX(MinFrei,MATCH(4,ArbeitNr,0))),N(INDEX(MinWerktag,MATCH(4,ArbeitNr,0)))))</f>
      </c>
      <c r="AB89" s="1">
        <f>IF($AM41="","",IF(OR(AB$51&gt;=6,AB$50=1),N(INDEX(MinFrei,MATCH(4,ArbeitNr,0))),N(INDEX(MinWerktag,MATCH(4,ArbeitNr,0)))))</f>
      </c>
      <c r="AC89" s="1">
        <f>IF($AM41="","",IF(OR(AC$51&gt;=6,AC$50=1),N(INDEX(MinFrei,MATCH(4,ArbeitNr,0))),N(INDEX(MinWerktag,MATCH(4,ArbeitNr,0)))))</f>
      </c>
      <c r="AD89" s="1">
        <f>IF($AM41="","",IF(OR(AD$51&gt;=6,AD$50=1),N(INDEX(MinFrei,MATCH(4,ArbeitNr,0))),N(INDEX(MinWerktag,MATCH(4,ArbeitNr,0)))))</f>
      </c>
      <c r="AE89" s="1">
        <f>IF($AM41="","",IF(OR(AE$51&gt;=6,AE$50=1),N(INDEX(MinFrei,MATCH(4,ArbeitNr,0))),N(INDEX(MinWerktag,MATCH(4,ArbeitNr,0)))))</f>
      </c>
      <c r="AF89" s="1">
        <f>IF($AM41="","",IF(OR(AF$51&gt;=6,AF$50=1),N(INDEX(MinFrei,MATCH(4,ArbeitNr,0))),N(INDEX(MinWerktag,MATCH(4,ArbeitNr,0)))))</f>
      </c>
    </row>
    <row r="90" hidden="1" spans="1:32" x14ac:dyDescent="0.25">
      <c r="A90" s="1"/>
      <c r="B90" s="1">
        <f>IF($AM42="","",IF(OR(B$51&gt;=6,B$50=1),N(INDEX(MinFrei,MATCH(5,ArbeitNr,0))),N(INDEX(MinWerktag,MATCH(5,ArbeitNr,0)))))</f>
      </c>
      <c r="C90" s="1">
        <f>IF($AM42="","",IF(OR(C$51&gt;=6,C$50=1),N(INDEX(MinFrei,MATCH(5,ArbeitNr,0))),N(INDEX(MinWerktag,MATCH(5,ArbeitNr,0)))))</f>
      </c>
      <c r="D90" s="1">
        <f>IF($AM42="","",IF(OR(D$51&gt;=6,D$50=1),N(INDEX(MinFrei,MATCH(5,ArbeitNr,0))),N(INDEX(MinWerktag,MATCH(5,ArbeitNr,0)))))</f>
      </c>
      <c r="E90" s="1">
        <f>IF($AM42="","",IF(OR(E$51&gt;=6,E$50=1),N(INDEX(MinFrei,MATCH(5,ArbeitNr,0))),N(INDEX(MinWerktag,MATCH(5,ArbeitNr,0)))))</f>
      </c>
      <c r="F90" s="1">
        <f>IF($AM42="","",IF(OR(F$51&gt;=6,F$50=1),N(INDEX(MinFrei,MATCH(5,ArbeitNr,0))),N(INDEX(MinWerktag,MATCH(5,ArbeitNr,0)))))</f>
      </c>
      <c r="G90" s="1">
        <f>IF($AM42="","",IF(OR(G$51&gt;=6,G$50=1),N(INDEX(MinFrei,MATCH(5,ArbeitNr,0))),N(INDEX(MinWerktag,MATCH(5,ArbeitNr,0)))))</f>
      </c>
      <c r="H90" s="1">
        <f>IF($AM42="","",IF(OR(H$51&gt;=6,H$50=1),N(INDEX(MinFrei,MATCH(5,ArbeitNr,0))),N(INDEX(MinWerktag,MATCH(5,ArbeitNr,0)))))</f>
      </c>
      <c r="I90" s="1">
        <f>IF($AM42="","",IF(OR(I$51&gt;=6,I$50=1),N(INDEX(MinFrei,MATCH(5,ArbeitNr,0))),N(INDEX(MinWerktag,MATCH(5,ArbeitNr,0)))))</f>
      </c>
      <c r="J90" s="1">
        <f>IF($AM42="","",IF(OR(J$51&gt;=6,J$50=1),N(INDEX(MinFrei,MATCH(5,ArbeitNr,0))),N(INDEX(MinWerktag,MATCH(5,ArbeitNr,0)))))</f>
      </c>
      <c r="K90" s="1">
        <f>IF($AM42="","",IF(OR(K$51&gt;=6,K$50=1),N(INDEX(MinFrei,MATCH(5,ArbeitNr,0))),N(INDEX(MinWerktag,MATCH(5,ArbeitNr,0)))))</f>
      </c>
      <c r="L90" s="1">
        <f>IF($AM42="","",IF(OR(L$51&gt;=6,L$50=1),N(INDEX(MinFrei,MATCH(5,ArbeitNr,0))),N(INDEX(MinWerktag,MATCH(5,ArbeitNr,0)))))</f>
      </c>
      <c r="M90" s="1">
        <f>IF($AM42="","",IF(OR(M$51&gt;=6,M$50=1),N(INDEX(MinFrei,MATCH(5,ArbeitNr,0))),N(INDEX(MinWerktag,MATCH(5,ArbeitNr,0)))))</f>
      </c>
      <c r="N90" s="1">
        <f>IF($AM42="","",IF(OR(N$51&gt;=6,N$50=1),N(INDEX(MinFrei,MATCH(5,ArbeitNr,0))),N(INDEX(MinWerktag,MATCH(5,ArbeitNr,0)))))</f>
      </c>
      <c r="O90" s="1">
        <f>IF($AM42="","",IF(OR(O$51&gt;=6,O$50=1),N(INDEX(MinFrei,MATCH(5,ArbeitNr,0))),N(INDEX(MinWerktag,MATCH(5,ArbeitNr,0)))))</f>
      </c>
      <c r="P90" s="1">
        <f>IF($AM42="","",IF(OR(P$51&gt;=6,P$50=1),N(INDEX(MinFrei,MATCH(5,ArbeitNr,0))),N(INDEX(MinWerktag,MATCH(5,ArbeitNr,0)))))</f>
      </c>
      <c r="Q90" s="1">
        <f>IF($AM42="","",IF(OR(Q$51&gt;=6,Q$50=1),N(INDEX(MinFrei,MATCH(5,ArbeitNr,0))),N(INDEX(MinWerktag,MATCH(5,ArbeitNr,0)))))</f>
      </c>
      <c r="R90" s="1">
        <f>IF($AM42="","",IF(OR(R$51&gt;=6,R$50=1),N(INDEX(MinFrei,MATCH(5,ArbeitNr,0))),N(INDEX(MinWerktag,MATCH(5,ArbeitNr,0)))))</f>
      </c>
      <c r="S90" s="1">
        <f>IF($AM42="","",IF(OR(S$51&gt;=6,S$50=1),N(INDEX(MinFrei,MATCH(5,ArbeitNr,0))),N(INDEX(MinWerktag,MATCH(5,ArbeitNr,0)))))</f>
      </c>
      <c r="T90" s="1">
        <f>IF($AM42="","",IF(OR(T$51&gt;=6,T$50=1),N(INDEX(MinFrei,MATCH(5,ArbeitNr,0))),N(INDEX(MinWerktag,MATCH(5,ArbeitNr,0)))))</f>
      </c>
      <c r="U90" s="1">
        <f>IF($AM42="","",IF(OR(U$51&gt;=6,U$50=1),N(INDEX(MinFrei,MATCH(5,ArbeitNr,0))),N(INDEX(MinWerktag,MATCH(5,ArbeitNr,0)))))</f>
      </c>
      <c r="V90" s="1">
        <f>IF($AM42="","",IF(OR(V$51&gt;=6,V$50=1),N(INDEX(MinFrei,MATCH(5,ArbeitNr,0))),N(INDEX(MinWerktag,MATCH(5,ArbeitNr,0)))))</f>
      </c>
      <c r="W90" s="1">
        <f>IF($AM42="","",IF(OR(W$51&gt;=6,W$50=1),N(INDEX(MinFrei,MATCH(5,ArbeitNr,0))),N(INDEX(MinWerktag,MATCH(5,ArbeitNr,0)))))</f>
      </c>
      <c r="X90" s="1">
        <f>IF($AM42="","",IF(OR(X$51&gt;=6,X$50=1),N(INDEX(MinFrei,MATCH(5,ArbeitNr,0))),N(INDEX(MinWerktag,MATCH(5,ArbeitNr,0)))))</f>
      </c>
      <c r="Y90" s="1">
        <f>IF($AM42="","",IF(OR(Y$51&gt;=6,Y$50=1),N(INDEX(MinFrei,MATCH(5,ArbeitNr,0))),N(INDEX(MinWerktag,MATCH(5,ArbeitNr,0)))))</f>
      </c>
      <c r="Z90" s="1">
        <f>IF($AM42="","",IF(OR(Z$51&gt;=6,Z$50=1),N(INDEX(MinFrei,MATCH(5,ArbeitNr,0))),N(INDEX(MinWerktag,MATCH(5,ArbeitNr,0)))))</f>
      </c>
      <c r="AA90" s="1">
        <f>IF($AM42="","",IF(OR(AA$51&gt;=6,AA$50=1),N(INDEX(MinFrei,MATCH(5,ArbeitNr,0))),N(INDEX(MinWerktag,MATCH(5,ArbeitNr,0)))))</f>
      </c>
      <c r="AB90" s="1">
        <f>IF($AM42="","",IF(OR(AB$51&gt;=6,AB$50=1),N(INDEX(MinFrei,MATCH(5,ArbeitNr,0))),N(INDEX(MinWerktag,MATCH(5,ArbeitNr,0)))))</f>
      </c>
      <c r="AC90" s="1">
        <f>IF($AM42="","",IF(OR(AC$51&gt;=6,AC$50=1),N(INDEX(MinFrei,MATCH(5,ArbeitNr,0))),N(INDEX(MinWerktag,MATCH(5,ArbeitNr,0)))))</f>
      </c>
      <c r="AD90" s="1">
        <f>IF($AM42="","",IF(OR(AD$51&gt;=6,AD$50=1),N(INDEX(MinFrei,MATCH(5,ArbeitNr,0))),N(INDEX(MinWerktag,MATCH(5,ArbeitNr,0)))))</f>
      </c>
      <c r="AE90" s="1">
        <f>IF($AM42="","",IF(OR(AE$51&gt;=6,AE$50=1),N(INDEX(MinFrei,MATCH(5,ArbeitNr,0))),N(INDEX(MinWerktag,MATCH(5,ArbeitNr,0)))))</f>
      </c>
      <c r="AF90" s="1">
        <f>IF($AM42="","",IF(OR(AF$51&gt;=6,AF$50=1),N(INDEX(MinFrei,MATCH(5,ArbeitNr,0))),N(INDEX(MinWerktag,MATCH(5,ArbeitNr,0)))))</f>
      </c>
    </row>
    <row r="91" hidden="1" spans="1:32" x14ac:dyDescent="0.25">
      <c r="A91" s="1"/>
      <c r="B91" s="1">
        <f>IF($AM43="","",IF(OR(B$51&gt;=6,B$50=1),N(INDEX(MinFrei,MATCH(6,ArbeitNr,0))),N(INDEX(MinWerktag,MATCH(6,ArbeitNr,0)))))</f>
      </c>
      <c r="C91" s="1">
        <f>IF($AM43="","",IF(OR(C$51&gt;=6,C$50=1),N(INDEX(MinFrei,MATCH(6,ArbeitNr,0))),N(INDEX(MinWerktag,MATCH(6,ArbeitNr,0)))))</f>
      </c>
      <c r="D91" s="1">
        <f>IF($AM43="","",IF(OR(D$51&gt;=6,D$50=1),N(INDEX(MinFrei,MATCH(6,ArbeitNr,0))),N(INDEX(MinWerktag,MATCH(6,ArbeitNr,0)))))</f>
      </c>
      <c r="E91" s="1">
        <f>IF($AM43="","",IF(OR(E$51&gt;=6,E$50=1),N(INDEX(MinFrei,MATCH(6,ArbeitNr,0))),N(INDEX(MinWerktag,MATCH(6,ArbeitNr,0)))))</f>
      </c>
      <c r="F91" s="1">
        <f>IF($AM43="","",IF(OR(F$51&gt;=6,F$50=1),N(INDEX(MinFrei,MATCH(6,ArbeitNr,0))),N(INDEX(MinWerktag,MATCH(6,ArbeitNr,0)))))</f>
      </c>
      <c r="G91" s="1">
        <f>IF($AM43="","",IF(OR(G$51&gt;=6,G$50=1),N(INDEX(MinFrei,MATCH(6,ArbeitNr,0))),N(INDEX(MinWerktag,MATCH(6,ArbeitNr,0)))))</f>
      </c>
      <c r="H91" s="1">
        <f>IF($AM43="","",IF(OR(H$51&gt;=6,H$50=1),N(INDEX(MinFrei,MATCH(6,ArbeitNr,0))),N(INDEX(MinWerktag,MATCH(6,ArbeitNr,0)))))</f>
      </c>
      <c r="I91" s="1">
        <f>IF($AM43="","",IF(OR(I$51&gt;=6,I$50=1),N(INDEX(MinFrei,MATCH(6,ArbeitNr,0))),N(INDEX(MinWerktag,MATCH(6,ArbeitNr,0)))))</f>
      </c>
      <c r="J91" s="1">
        <f>IF($AM43="","",IF(OR(J$51&gt;=6,J$50=1),N(INDEX(MinFrei,MATCH(6,ArbeitNr,0))),N(INDEX(MinWerktag,MATCH(6,ArbeitNr,0)))))</f>
      </c>
      <c r="K91" s="1">
        <f>IF($AM43="","",IF(OR(K$51&gt;=6,K$50=1),N(INDEX(MinFrei,MATCH(6,ArbeitNr,0))),N(INDEX(MinWerktag,MATCH(6,ArbeitNr,0)))))</f>
      </c>
      <c r="L91" s="1">
        <f>IF($AM43="","",IF(OR(L$51&gt;=6,L$50=1),N(INDEX(MinFrei,MATCH(6,ArbeitNr,0))),N(INDEX(MinWerktag,MATCH(6,ArbeitNr,0)))))</f>
      </c>
      <c r="M91" s="1">
        <f>IF($AM43="","",IF(OR(M$51&gt;=6,M$50=1),N(INDEX(MinFrei,MATCH(6,ArbeitNr,0))),N(INDEX(MinWerktag,MATCH(6,ArbeitNr,0)))))</f>
      </c>
      <c r="N91" s="1">
        <f>IF($AM43="","",IF(OR(N$51&gt;=6,N$50=1),N(INDEX(MinFrei,MATCH(6,ArbeitNr,0))),N(INDEX(MinWerktag,MATCH(6,ArbeitNr,0)))))</f>
      </c>
      <c r="O91" s="1">
        <f>IF($AM43="","",IF(OR(O$51&gt;=6,O$50=1),N(INDEX(MinFrei,MATCH(6,ArbeitNr,0))),N(INDEX(MinWerktag,MATCH(6,ArbeitNr,0)))))</f>
      </c>
      <c r="P91" s="1">
        <f>IF($AM43="","",IF(OR(P$51&gt;=6,P$50=1),N(INDEX(MinFrei,MATCH(6,ArbeitNr,0))),N(INDEX(MinWerktag,MATCH(6,ArbeitNr,0)))))</f>
      </c>
      <c r="Q91" s="1">
        <f>IF($AM43="","",IF(OR(Q$51&gt;=6,Q$50=1),N(INDEX(MinFrei,MATCH(6,ArbeitNr,0))),N(INDEX(MinWerktag,MATCH(6,ArbeitNr,0)))))</f>
      </c>
      <c r="R91" s="1">
        <f>IF($AM43="","",IF(OR(R$51&gt;=6,R$50=1),N(INDEX(MinFrei,MATCH(6,ArbeitNr,0))),N(INDEX(MinWerktag,MATCH(6,ArbeitNr,0)))))</f>
      </c>
      <c r="S91" s="1">
        <f>IF($AM43="","",IF(OR(S$51&gt;=6,S$50=1),N(INDEX(MinFrei,MATCH(6,ArbeitNr,0))),N(INDEX(MinWerktag,MATCH(6,ArbeitNr,0)))))</f>
      </c>
      <c r="T91" s="1">
        <f>IF($AM43="","",IF(OR(T$51&gt;=6,T$50=1),N(INDEX(MinFrei,MATCH(6,ArbeitNr,0))),N(INDEX(MinWerktag,MATCH(6,ArbeitNr,0)))))</f>
      </c>
      <c r="U91" s="1">
        <f>IF($AM43="","",IF(OR(U$51&gt;=6,U$50=1),N(INDEX(MinFrei,MATCH(6,ArbeitNr,0))),N(INDEX(MinWerktag,MATCH(6,ArbeitNr,0)))))</f>
      </c>
      <c r="V91" s="1">
        <f>IF($AM43="","",IF(OR(V$51&gt;=6,V$50=1),N(INDEX(MinFrei,MATCH(6,ArbeitNr,0))),N(INDEX(MinWerktag,MATCH(6,ArbeitNr,0)))))</f>
      </c>
      <c r="W91" s="1">
        <f>IF($AM43="","",IF(OR(W$51&gt;=6,W$50=1),N(INDEX(MinFrei,MATCH(6,ArbeitNr,0))),N(INDEX(MinWerktag,MATCH(6,ArbeitNr,0)))))</f>
      </c>
      <c r="X91" s="1">
        <f>IF($AM43="","",IF(OR(X$51&gt;=6,X$50=1),N(INDEX(MinFrei,MATCH(6,ArbeitNr,0))),N(INDEX(MinWerktag,MATCH(6,ArbeitNr,0)))))</f>
      </c>
      <c r="Y91" s="1">
        <f>IF($AM43="","",IF(OR(Y$51&gt;=6,Y$50=1),N(INDEX(MinFrei,MATCH(6,ArbeitNr,0))),N(INDEX(MinWerktag,MATCH(6,ArbeitNr,0)))))</f>
      </c>
      <c r="Z91" s="1">
        <f>IF($AM43="","",IF(OR(Z$51&gt;=6,Z$50=1),N(INDEX(MinFrei,MATCH(6,ArbeitNr,0))),N(INDEX(MinWerktag,MATCH(6,ArbeitNr,0)))))</f>
      </c>
      <c r="AA91" s="1">
        <f>IF($AM43="","",IF(OR(AA$51&gt;=6,AA$50=1),N(INDEX(MinFrei,MATCH(6,ArbeitNr,0))),N(INDEX(MinWerktag,MATCH(6,ArbeitNr,0)))))</f>
      </c>
      <c r="AB91" s="1">
        <f>IF($AM43="","",IF(OR(AB$51&gt;=6,AB$50=1),N(INDEX(MinFrei,MATCH(6,ArbeitNr,0))),N(INDEX(MinWerktag,MATCH(6,ArbeitNr,0)))))</f>
      </c>
      <c r="AC91" s="1">
        <f>IF($AM43="","",IF(OR(AC$51&gt;=6,AC$50=1),N(INDEX(MinFrei,MATCH(6,ArbeitNr,0))),N(INDEX(MinWerktag,MATCH(6,ArbeitNr,0)))))</f>
      </c>
      <c r="AD91" s="1">
        <f>IF($AM43="","",IF(OR(AD$51&gt;=6,AD$50=1),N(INDEX(MinFrei,MATCH(6,ArbeitNr,0))),N(INDEX(MinWerktag,MATCH(6,ArbeitNr,0)))))</f>
      </c>
      <c r="AE91" s="1">
        <f>IF($AM43="","",IF(OR(AE$51&gt;=6,AE$50=1),N(INDEX(MinFrei,MATCH(6,ArbeitNr,0))),N(INDEX(MinWerktag,MATCH(6,ArbeitNr,0)))))</f>
      </c>
      <c r="AF91" s="1">
        <f>IF($AM43="","",IF(OR(AF$51&gt;=6,AF$50=1),N(INDEX(MinFrei,MATCH(6,ArbeitNr,0))),N(INDEX(MinWerktag,MATCH(6,ArbeitNr,0)))))</f>
      </c>
    </row>
    <row r="92" hidden="1" spans="1:32" x14ac:dyDescent="0.25">
      <c r="A92" s="1"/>
      <c r="B92" s="1">
        <f>IF($AM44="","",IF(OR(B$51&gt;=6,B$50=1),N(INDEX(MinFrei,MATCH(7,ArbeitNr,0))),N(INDEX(MinWerktag,MATCH(7,ArbeitNr,0)))))</f>
      </c>
      <c r="C92" s="1">
        <f>IF($AM44="","",IF(OR(C$51&gt;=6,C$50=1),N(INDEX(MinFrei,MATCH(7,ArbeitNr,0))),N(INDEX(MinWerktag,MATCH(7,ArbeitNr,0)))))</f>
      </c>
      <c r="D92" s="1">
        <f>IF($AM44="","",IF(OR(D$51&gt;=6,D$50=1),N(INDEX(MinFrei,MATCH(7,ArbeitNr,0))),N(INDEX(MinWerktag,MATCH(7,ArbeitNr,0)))))</f>
      </c>
      <c r="E92" s="1">
        <f>IF($AM44="","",IF(OR(E$51&gt;=6,E$50=1),N(INDEX(MinFrei,MATCH(7,ArbeitNr,0))),N(INDEX(MinWerktag,MATCH(7,ArbeitNr,0)))))</f>
      </c>
      <c r="F92" s="1">
        <f>IF($AM44="","",IF(OR(F$51&gt;=6,F$50=1),N(INDEX(MinFrei,MATCH(7,ArbeitNr,0))),N(INDEX(MinWerktag,MATCH(7,ArbeitNr,0)))))</f>
      </c>
      <c r="G92" s="1">
        <f>IF($AM44="","",IF(OR(G$51&gt;=6,G$50=1),N(INDEX(MinFrei,MATCH(7,ArbeitNr,0))),N(INDEX(MinWerktag,MATCH(7,ArbeitNr,0)))))</f>
      </c>
      <c r="H92" s="1">
        <f>IF($AM44="","",IF(OR(H$51&gt;=6,H$50=1),N(INDEX(MinFrei,MATCH(7,ArbeitNr,0))),N(INDEX(MinWerktag,MATCH(7,ArbeitNr,0)))))</f>
      </c>
      <c r="I92" s="1">
        <f>IF($AM44="","",IF(OR(I$51&gt;=6,I$50=1),N(INDEX(MinFrei,MATCH(7,ArbeitNr,0))),N(INDEX(MinWerktag,MATCH(7,ArbeitNr,0)))))</f>
      </c>
      <c r="J92" s="1">
        <f>IF($AM44="","",IF(OR(J$51&gt;=6,J$50=1),N(INDEX(MinFrei,MATCH(7,ArbeitNr,0))),N(INDEX(MinWerktag,MATCH(7,ArbeitNr,0)))))</f>
      </c>
      <c r="K92" s="1">
        <f>IF($AM44="","",IF(OR(K$51&gt;=6,K$50=1),N(INDEX(MinFrei,MATCH(7,ArbeitNr,0))),N(INDEX(MinWerktag,MATCH(7,ArbeitNr,0)))))</f>
      </c>
      <c r="L92" s="1">
        <f>IF($AM44="","",IF(OR(L$51&gt;=6,L$50=1),N(INDEX(MinFrei,MATCH(7,ArbeitNr,0))),N(INDEX(MinWerktag,MATCH(7,ArbeitNr,0)))))</f>
      </c>
      <c r="M92" s="1">
        <f>IF($AM44="","",IF(OR(M$51&gt;=6,M$50=1),N(INDEX(MinFrei,MATCH(7,ArbeitNr,0))),N(INDEX(MinWerktag,MATCH(7,ArbeitNr,0)))))</f>
      </c>
      <c r="N92" s="1">
        <f>IF($AM44="","",IF(OR(N$51&gt;=6,N$50=1),N(INDEX(MinFrei,MATCH(7,ArbeitNr,0))),N(INDEX(MinWerktag,MATCH(7,ArbeitNr,0)))))</f>
      </c>
      <c r="O92" s="1">
        <f>IF($AM44="","",IF(OR(O$51&gt;=6,O$50=1),N(INDEX(MinFrei,MATCH(7,ArbeitNr,0))),N(INDEX(MinWerktag,MATCH(7,ArbeitNr,0)))))</f>
      </c>
      <c r="P92" s="1">
        <f>IF($AM44="","",IF(OR(P$51&gt;=6,P$50=1),N(INDEX(MinFrei,MATCH(7,ArbeitNr,0))),N(INDEX(MinWerktag,MATCH(7,ArbeitNr,0)))))</f>
      </c>
      <c r="Q92" s="1">
        <f>IF($AM44="","",IF(OR(Q$51&gt;=6,Q$50=1),N(INDEX(MinFrei,MATCH(7,ArbeitNr,0))),N(INDEX(MinWerktag,MATCH(7,ArbeitNr,0)))))</f>
      </c>
      <c r="R92" s="1">
        <f>IF($AM44="","",IF(OR(R$51&gt;=6,R$50=1),N(INDEX(MinFrei,MATCH(7,ArbeitNr,0))),N(INDEX(MinWerktag,MATCH(7,ArbeitNr,0)))))</f>
      </c>
      <c r="S92" s="1">
        <f>IF($AM44="","",IF(OR(S$51&gt;=6,S$50=1),N(INDEX(MinFrei,MATCH(7,ArbeitNr,0))),N(INDEX(MinWerktag,MATCH(7,ArbeitNr,0)))))</f>
      </c>
      <c r="T92" s="1">
        <f>IF($AM44="","",IF(OR(T$51&gt;=6,T$50=1),N(INDEX(MinFrei,MATCH(7,ArbeitNr,0))),N(INDEX(MinWerktag,MATCH(7,ArbeitNr,0)))))</f>
      </c>
      <c r="U92" s="1">
        <f>IF($AM44="","",IF(OR(U$51&gt;=6,U$50=1),N(INDEX(MinFrei,MATCH(7,ArbeitNr,0))),N(INDEX(MinWerktag,MATCH(7,ArbeitNr,0)))))</f>
      </c>
      <c r="V92" s="1">
        <f>IF($AM44="","",IF(OR(V$51&gt;=6,V$50=1),N(INDEX(MinFrei,MATCH(7,ArbeitNr,0))),N(INDEX(MinWerktag,MATCH(7,ArbeitNr,0)))))</f>
      </c>
      <c r="W92" s="1">
        <f>IF($AM44="","",IF(OR(W$51&gt;=6,W$50=1),N(INDEX(MinFrei,MATCH(7,ArbeitNr,0))),N(INDEX(MinWerktag,MATCH(7,ArbeitNr,0)))))</f>
      </c>
      <c r="X92" s="1">
        <f>IF($AM44="","",IF(OR(X$51&gt;=6,X$50=1),N(INDEX(MinFrei,MATCH(7,ArbeitNr,0))),N(INDEX(MinWerktag,MATCH(7,ArbeitNr,0)))))</f>
      </c>
      <c r="Y92" s="1">
        <f>IF($AM44="","",IF(OR(Y$51&gt;=6,Y$50=1),N(INDEX(MinFrei,MATCH(7,ArbeitNr,0))),N(INDEX(MinWerktag,MATCH(7,ArbeitNr,0)))))</f>
      </c>
      <c r="Z92" s="1">
        <f>IF($AM44="","",IF(OR(Z$51&gt;=6,Z$50=1),N(INDEX(MinFrei,MATCH(7,ArbeitNr,0))),N(INDEX(MinWerktag,MATCH(7,ArbeitNr,0)))))</f>
      </c>
      <c r="AA92" s="1">
        <f>IF($AM44="","",IF(OR(AA$51&gt;=6,AA$50=1),N(INDEX(MinFrei,MATCH(7,ArbeitNr,0))),N(INDEX(MinWerktag,MATCH(7,ArbeitNr,0)))))</f>
      </c>
      <c r="AB92" s="1">
        <f>IF($AM44="","",IF(OR(AB$51&gt;=6,AB$50=1),N(INDEX(MinFrei,MATCH(7,ArbeitNr,0))),N(INDEX(MinWerktag,MATCH(7,ArbeitNr,0)))))</f>
      </c>
      <c r="AC92" s="1">
        <f>IF($AM44="","",IF(OR(AC$51&gt;=6,AC$50=1),N(INDEX(MinFrei,MATCH(7,ArbeitNr,0))),N(INDEX(MinWerktag,MATCH(7,ArbeitNr,0)))))</f>
      </c>
      <c r="AD92" s="1">
        <f>IF($AM44="","",IF(OR(AD$51&gt;=6,AD$50=1),N(INDEX(MinFrei,MATCH(7,ArbeitNr,0))),N(INDEX(MinWerktag,MATCH(7,ArbeitNr,0)))))</f>
      </c>
      <c r="AE92" s="1">
        <f>IF($AM44="","",IF(OR(AE$51&gt;=6,AE$50=1),N(INDEX(MinFrei,MATCH(7,ArbeitNr,0))),N(INDEX(MinWerktag,MATCH(7,ArbeitNr,0)))))</f>
      </c>
      <c r="AF92" s="1">
        <f>IF($AM44="","",IF(OR(AF$51&gt;=6,AF$50=1),N(INDEX(MinFrei,MATCH(7,ArbeitNr,0))),N(INDEX(MinWerktag,MATCH(7,ArbeitNr,0)))))</f>
      </c>
    </row>
    <row r="93" hidden="1" spans="1:32" x14ac:dyDescent="0.25">
      <c r="A93" s="1"/>
      <c r="B93" s="1">
        <f>IF($AM45="","",IF(OR(B$51&gt;=6,B$50=1),N(INDEX(MinFrei,MATCH(8,ArbeitNr,0))),N(INDEX(MinWerktag,MATCH(8,ArbeitNr,0)))))</f>
      </c>
      <c r="C93" s="1">
        <f>IF($AM45="","",IF(OR(C$51&gt;=6,C$50=1),N(INDEX(MinFrei,MATCH(8,ArbeitNr,0))),N(INDEX(MinWerktag,MATCH(8,ArbeitNr,0)))))</f>
      </c>
      <c r="D93" s="1">
        <f>IF($AM45="","",IF(OR(D$51&gt;=6,D$50=1),N(INDEX(MinFrei,MATCH(8,ArbeitNr,0))),N(INDEX(MinWerktag,MATCH(8,ArbeitNr,0)))))</f>
      </c>
      <c r="E93" s="1">
        <f>IF($AM45="","",IF(OR(E$51&gt;=6,E$50=1),N(INDEX(MinFrei,MATCH(8,ArbeitNr,0))),N(INDEX(MinWerktag,MATCH(8,ArbeitNr,0)))))</f>
      </c>
      <c r="F93" s="1">
        <f>IF($AM45="","",IF(OR(F$51&gt;=6,F$50=1),N(INDEX(MinFrei,MATCH(8,ArbeitNr,0))),N(INDEX(MinWerktag,MATCH(8,ArbeitNr,0)))))</f>
      </c>
      <c r="G93" s="1">
        <f>IF($AM45="","",IF(OR(G$51&gt;=6,G$50=1),N(INDEX(MinFrei,MATCH(8,ArbeitNr,0))),N(INDEX(MinWerktag,MATCH(8,ArbeitNr,0)))))</f>
      </c>
      <c r="H93" s="1">
        <f>IF($AM45="","",IF(OR(H$51&gt;=6,H$50=1),N(INDEX(MinFrei,MATCH(8,ArbeitNr,0))),N(INDEX(MinWerktag,MATCH(8,ArbeitNr,0)))))</f>
      </c>
      <c r="I93" s="1">
        <f>IF($AM45="","",IF(OR(I$51&gt;=6,I$50=1),N(INDEX(MinFrei,MATCH(8,ArbeitNr,0))),N(INDEX(MinWerktag,MATCH(8,ArbeitNr,0)))))</f>
      </c>
      <c r="J93" s="1">
        <f>IF($AM45="","",IF(OR(J$51&gt;=6,J$50=1),N(INDEX(MinFrei,MATCH(8,ArbeitNr,0))),N(INDEX(MinWerktag,MATCH(8,ArbeitNr,0)))))</f>
      </c>
      <c r="K93" s="1">
        <f>IF($AM45="","",IF(OR(K$51&gt;=6,K$50=1),N(INDEX(MinFrei,MATCH(8,ArbeitNr,0))),N(INDEX(MinWerktag,MATCH(8,ArbeitNr,0)))))</f>
      </c>
      <c r="L93" s="1">
        <f>IF($AM45="","",IF(OR(L$51&gt;=6,L$50=1),N(INDEX(MinFrei,MATCH(8,ArbeitNr,0))),N(INDEX(MinWerktag,MATCH(8,ArbeitNr,0)))))</f>
      </c>
      <c r="M93" s="1">
        <f>IF($AM45="","",IF(OR(M$51&gt;=6,M$50=1),N(INDEX(MinFrei,MATCH(8,ArbeitNr,0))),N(INDEX(MinWerktag,MATCH(8,ArbeitNr,0)))))</f>
      </c>
      <c r="N93" s="1">
        <f>IF($AM45="","",IF(OR(N$51&gt;=6,N$50=1),N(INDEX(MinFrei,MATCH(8,ArbeitNr,0))),N(INDEX(MinWerktag,MATCH(8,ArbeitNr,0)))))</f>
      </c>
      <c r="O93" s="1">
        <f>IF($AM45="","",IF(OR(O$51&gt;=6,O$50=1),N(INDEX(MinFrei,MATCH(8,ArbeitNr,0))),N(INDEX(MinWerktag,MATCH(8,ArbeitNr,0)))))</f>
      </c>
      <c r="P93" s="1">
        <f>IF($AM45="","",IF(OR(P$51&gt;=6,P$50=1),N(INDEX(MinFrei,MATCH(8,ArbeitNr,0))),N(INDEX(MinWerktag,MATCH(8,ArbeitNr,0)))))</f>
      </c>
      <c r="Q93" s="1">
        <f>IF($AM45="","",IF(OR(Q$51&gt;=6,Q$50=1),N(INDEX(MinFrei,MATCH(8,ArbeitNr,0))),N(INDEX(MinWerktag,MATCH(8,ArbeitNr,0)))))</f>
      </c>
      <c r="R93" s="1">
        <f>IF($AM45="","",IF(OR(R$51&gt;=6,R$50=1),N(INDEX(MinFrei,MATCH(8,ArbeitNr,0))),N(INDEX(MinWerktag,MATCH(8,ArbeitNr,0)))))</f>
      </c>
      <c r="S93" s="1">
        <f>IF($AM45="","",IF(OR(S$51&gt;=6,S$50=1),N(INDEX(MinFrei,MATCH(8,ArbeitNr,0))),N(INDEX(MinWerktag,MATCH(8,ArbeitNr,0)))))</f>
      </c>
      <c r="T93" s="1">
        <f>IF($AM45="","",IF(OR(T$51&gt;=6,T$50=1),N(INDEX(MinFrei,MATCH(8,ArbeitNr,0))),N(INDEX(MinWerktag,MATCH(8,ArbeitNr,0)))))</f>
      </c>
      <c r="U93" s="1">
        <f>IF($AM45="","",IF(OR(U$51&gt;=6,U$50=1),N(INDEX(MinFrei,MATCH(8,ArbeitNr,0))),N(INDEX(MinWerktag,MATCH(8,ArbeitNr,0)))))</f>
      </c>
      <c r="V93" s="1">
        <f>IF($AM45="","",IF(OR(V$51&gt;=6,V$50=1),N(INDEX(MinFrei,MATCH(8,ArbeitNr,0))),N(INDEX(MinWerktag,MATCH(8,ArbeitNr,0)))))</f>
      </c>
      <c r="W93" s="1">
        <f>IF($AM45="","",IF(OR(W$51&gt;=6,W$50=1),N(INDEX(MinFrei,MATCH(8,ArbeitNr,0))),N(INDEX(MinWerktag,MATCH(8,ArbeitNr,0)))))</f>
      </c>
      <c r="X93" s="1">
        <f>IF($AM45="","",IF(OR(X$51&gt;=6,X$50=1),N(INDEX(MinFrei,MATCH(8,ArbeitNr,0))),N(INDEX(MinWerktag,MATCH(8,ArbeitNr,0)))))</f>
      </c>
      <c r="Y93" s="1">
        <f>IF($AM45="","",IF(OR(Y$51&gt;=6,Y$50=1),N(INDEX(MinFrei,MATCH(8,ArbeitNr,0))),N(INDEX(MinWerktag,MATCH(8,ArbeitNr,0)))))</f>
      </c>
      <c r="Z93" s="1">
        <f>IF($AM45="","",IF(OR(Z$51&gt;=6,Z$50=1),N(INDEX(MinFrei,MATCH(8,ArbeitNr,0))),N(INDEX(MinWerktag,MATCH(8,ArbeitNr,0)))))</f>
      </c>
      <c r="AA93" s="1">
        <f>IF($AM45="","",IF(OR(AA$51&gt;=6,AA$50=1),N(INDEX(MinFrei,MATCH(8,ArbeitNr,0))),N(INDEX(MinWerktag,MATCH(8,ArbeitNr,0)))))</f>
      </c>
      <c r="AB93" s="1">
        <f>IF($AM45="","",IF(OR(AB$51&gt;=6,AB$50=1),N(INDEX(MinFrei,MATCH(8,ArbeitNr,0))),N(INDEX(MinWerktag,MATCH(8,ArbeitNr,0)))))</f>
      </c>
      <c r="AC93" s="1">
        <f>IF($AM45="","",IF(OR(AC$51&gt;=6,AC$50=1),N(INDEX(MinFrei,MATCH(8,ArbeitNr,0))),N(INDEX(MinWerktag,MATCH(8,ArbeitNr,0)))))</f>
      </c>
      <c r="AD93" s="1">
        <f>IF($AM45="","",IF(OR(AD$51&gt;=6,AD$50=1),N(INDEX(MinFrei,MATCH(8,ArbeitNr,0))),N(INDEX(MinWerktag,MATCH(8,ArbeitNr,0)))))</f>
      </c>
      <c r="AE93" s="1">
        <f>IF($AM45="","",IF(OR(AE$51&gt;=6,AE$50=1),N(INDEX(MinFrei,MATCH(8,ArbeitNr,0))),N(INDEX(MinWerktag,MATCH(8,ArbeitNr,0)))))</f>
      </c>
      <c r="AF93" s="1">
        <f>IF($AM45="","",IF(OR(AF$51&gt;=6,AF$50=1),N(INDEX(MinFrei,MATCH(8,ArbeitNr,0))),N(INDEX(MinWerktag,MATCH(8,ArbeitNr,0)))))</f>
      </c>
    </row>
  </sheetData>
  <sheetProtection sheet="1" formatCells="0" formatColumns="0" formatRows="0"/>
  <mergeCells count="1">
    <mergeCell ref="B48:U48"/>
  </mergeCells>
  <conditionalFormatting sqref="B6:AF35">
    <cfRule type="expression" dxfId="160" priority="1">
      <formula>B$52=0</formula>
    </cfRule>
    <cfRule type="expression" dxfId="161" priority="2">
      <formula>B55=1</formula>
    </cfRule>
    <cfRule type="expression" dxfId="162" priority="3">
      <formula>AND(B6&lt;&gt;"",UPPER(B6)=UPPER(Einstellungen!$A$9))</formula>
    </cfRule>
    <cfRule type="expression" dxfId="163" priority="4">
      <formula>AND(B6&lt;&gt;"",UPPER(B6)=UPPER(Einstellungen!$A$10))</formula>
    </cfRule>
    <cfRule type="expression" dxfId="164" priority="5">
      <formula>AND(B6&lt;&gt;"",UPPER(B6)=UPPER(Einstellungen!$A$11))</formula>
    </cfRule>
    <cfRule type="expression" dxfId="165" priority="6">
      <formula>AND(B6&lt;&gt;"",UPPER(B6)=UPPER(Einstellungen!$A$12))</formula>
    </cfRule>
    <cfRule type="expression" dxfId="166" priority="7">
      <formula>AND(B6&lt;&gt;"",UPPER(B6)=UPPER(Einstellungen!$A$13))</formula>
    </cfRule>
    <cfRule type="expression" dxfId="167" priority="8">
      <formula>AND(B6&lt;&gt;"",UPPER(B6)=UPPER(Einstellungen!$A$14))</formula>
    </cfRule>
    <cfRule type="expression" dxfId="168" priority="9">
      <formula>AND(B6&lt;&gt;"",UPPER(B6)=UPPER(Einstellungen!$A$15))</formula>
    </cfRule>
    <cfRule type="expression" dxfId="169" priority="10">
      <formula>AND(B6&lt;&gt;"",UPPER(B6)=UPPER(Einstellungen!$A$16))</formula>
    </cfRule>
    <cfRule type="expression" dxfId="170" priority="11">
      <formula>AND(B6&lt;&gt;"",UPPER(B6)=UPPER(Einstellungen!$A$17))</formula>
    </cfRule>
    <cfRule type="expression" dxfId="171" priority="12">
      <formula>AND(B6&lt;&gt;"",UPPER(B6)=UPPER(Einstellungen!$A$18))</formula>
    </cfRule>
    <cfRule type="expression" dxfId="172" priority="13">
      <formula>AND(B6&lt;&gt;"",UPPER(B6)=UPPER(Einstellungen!$A$19))</formula>
    </cfRule>
    <cfRule type="expression" dxfId="173" priority="14">
      <formula>AND(B6&lt;&gt;"",UPPER(B6)=UPPER(Einstellungen!$A$20))</formula>
    </cfRule>
    <cfRule type="expression" dxfId="174" priority="20">
      <formula>B$50=1</formula>
    </cfRule>
    <cfRule type="expression" dxfId="175" priority="21">
      <formula>B$51&gt;=6</formula>
    </cfRule>
  </conditionalFormatting>
  <conditionalFormatting sqref="B4:AF5">
    <cfRule type="expression" dxfId="176" priority="22">
      <formula>B$52=0</formula>
    </cfRule>
    <cfRule type="expression" dxfId="177" priority="23">
      <formula>B$50=1</formula>
    </cfRule>
    <cfRule type="expression" dxfId="178" priority="24">
      <formula>B$51&gt;=6</formula>
    </cfRule>
  </conditionalFormatting>
  <conditionalFormatting sqref="B38:AF45">
    <cfRule type="expression" dxfId="179" priority="25">
      <formula>AND(B38&lt;&gt;"",N(B38)&lt;N(B86))</formula>
    </cfRule>
  </conditionalFormatting>
  <dataValidations count="4">
    <dataValidation type="list" allowBlank="1" showErrorMessage="1" errorTitle="Schicht" error="Bitte ein Kürzel aus den Einstellungen wählen (z. B. F, S, N, U, K)." sqref="AA10:AF35">
      <formula1>Codes</formula1>
    </dataValidation>
    <dataValidation type="list" allowBlank="1" showErrorMessage="1" errorTitle="Schicht" error="Bitte ein Kürzel aus den Einstellungen wählen (z. B. F, S, N, U, K)." sqref="AA6:AF35">
      <formula1>Codes</formula1>
    </dataValidation>
    <dataValidation type="list" allowBlank="1" showErrorMessage="1" errorTitle="Schicht" error="Bitte ein Kürzel aus den Einstellungen wählen (z. B. F, S, N, U, K)." sqref="B10:AF35">
      <formula1>Codes</formula1>
    </dataValidation>
    <dataValidation type="list" allowBlank="1" showErrorMessage="1" errorTitle="Schicht" error="Bitte ein Kürzel aus den Einstellungen wählen (z. B. F, S, N, U, K)." sqref="B6:AF35">
      <formula1>Codes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93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32" width="4.2" customWidth="1"/>
    <col min="36" max="37" width="7" customWidth="1"/>
    <col min="38" max="38" width="30" customWidth="1"/>
    <col min="39" max="39" width="9" hidden="1" customWidth="1"/>
  </cols>
  <sheetData>
    <row r="1" spans="1:1" x14ac:dyDescent="0.25">
      <c r="A1" s="5">
        <f>"Dienstplan Oktober "&amp;Jahr&amp;IF(Team="",""," · "&amp;Team)</f>
      </c>
    </row>
    <row r="2" spans="1:1" x14ac:dyDescent="0.25">
      <c r="A2" s="7">
        <f>IF(Bundesland="","Bitte in den Einstellungen das Bundesland wählen, damit die Feiertage stimmen.","Feiertage: "&amp;Bundesland)</f>
      </c>
    </row>
    <row r="3" spans="1:1" x14ac:dyDescent="0.25">
      <c r="A3" s="30">
        <f>Legende</f>
      </c>
    </row>
    <row r="4" spans="1:32" x14ac:dyDescent="0.25">
      <c r="A4" s="1"/>
      <c r="B4" s="31">
        <f>IF(B$5="","",CHOOSE(WEEKDAY(B$5,2),"Mo","Di","Mi","Do","Fr","Sa","So"))</f>
      </c>
      <c r="C4" s="31">
        <f>IF(C$5="","",CHOOSE(WEEKDAY(C$5,2),"Mo","Di","Mi","Do","Fr","Sa","So"))</f>
      </c>
      <c r="D4" s="31">
        <f>IF(D$5="","",CHOOSE(WEEKDAY(D$5,2),"Mo","Di","Mi","Do","Fr","Sa","So"))</f>
      </c>
      <c r="E4" s="31">
        <f>IF(E$5="","",CHOOSE(WEEKDAY(E$5,2),"Mo","Di","Mi","Do","Fr","Sa","So"))</f>
      </c>
      <c r="F4" s="31">
        <f>IF(F$5="","",CHOOSE(WEEKDAY(F$5,2),"Mo","Di","Mi","Do","Fr","Sa","So"))</f>
      </c>
      <c r="G4" s="31">
        <f>IF(G$5="","",CHOOSE(WEEKDAY(G$5,2),"Mo","Di","Mi","Do","Fr","Sa","So"))</f>
      </c>
      <c r="H4" s="31">
        <f>IF(H$5="","",CHOOSE(WEEKDAY(H$5,2),"Mo","Di","Mi","Do","Fr","Sa","So"))</f>
      </c>
      <c r="I4" s="31">
        <f>IF(I$5="","",CHOOSE(WEEKDAY(I$5,2),"Mo","Di","Mi","Do","Fr","Sa","So"))</f>
      </c>
      <c r="J4" s="31">
        <f>IF(J$5="","",CHOOSE(WEEKDAY(J$5,2),"Mo","Di","Mi","Do","Fr","Sa","So"))</f>
      </c>
      <c r="K4" s="31">
        <f>IF(K$5="","",CHOOSE(WEEKDAY(K$5,2),"Mo","Di","Mi","Do","Fr","Sa","So"))</f>
      </c>
      <c r="L4" s="31">
        <f>IF(L$5="","",CHOOSE(WEEKDAY(L$5,2),"Mo","Di","Mi","Do","Fr","Sa","So"))</f>
      </c>
      <c r="M4" s="31">
        <f>IF(M$5="","",CHOOSE(WEEKDAY(M$5,2),"Mo","Di","Mi","Do","Fr","Sa","So"))</f>
      </c>
      <c r="N4" s="31">
        <f>IF(N$5="","",CHOOSE(WEEKDAY(N$5,2),"Mo","Di","Mi","Do","Fr","Sa","So"))</f>
      </c>
      <c r="O4" s="31">
        <f>IF(O$5="","",CHOOSE(WEEKDAY(O$5,2),"Mo","Di","Mi","Do","Fr","Sa","So"))</f>
      </c>
      <c r="P4" s="31">
        <f>IF(P$5="","",CHOOSE(WEEKDAY(P$5,2),"Mo","Di","Mi","Do","Fr","Sa","So"))</f>
      </c>
      <c r="Q4" s="31">
        <f>IF(Q$5="","",CHOOSE(WEEKDAY(Q$5,2),"Mo","Di","Mi","Do","Fr","Sa","So"))</f>
      </c>
      <c r="R4" s="31">
        <f>IF(R$5="","",CHOOSE(WEEKDAY(R$5,2),"Mo","Di","Mi","Do","Fr","Sa","So"))</f>
      </c>
      <c r="S4" s="31">
        <f>IF(S$5="","",CHOOSE(WEEKDAY(S$5,2),"Mo","Di","Mi","Do","Fr","Sa","So"))</f>
      </c>
      <c r="T4" s="31">
        <f>IF(T$5="","",CHOOSE(WEEKDAY(T$5,2),"Mo","Di","Mi","Do","Fr","Sa","So"))</f>
      </c>
      <c r="U4" s="31">
        <f>IF(U$5="","",CHOOSE(WEEKDAY(U$5,2),"Mo","Di","Mi","Do","Fr","Sa","So"))</f>
      </c>
      <c r="V4" s="31">
        <f>IF(V$5="","",CHOOSE(WEEKDAY(V$5,2),"Mo","Di","Mi","Do","Fr","Sa","So"))</f>
      </c>
      <c r="W4" s="31">
        <f>IF(W$5="","",CHOOSE(WEEKDAY(W$5,2),"Mo","Di","Mi","Do","Fr","Sa","So"))</f>
      </c>
      <c r="X4" s="31">
        <f>IF(X$5="","",CHOOSE(WEEKDAY(X$5,2),"Mo","Di","Mi","Do","Fr","Sa","So"))</f>
      </c>
      <c r="Y4" s="31">
        <f>IF(Y$5="","",CHOOSE(WEEKDAY(Y$5,2),"Mo","Di","Mi","Do","Fr","Sa","So"))</f>
      </c>
      <c r="Z4" s="31">
        <f>IF(Z$5="","",CHOOSE(WEEKDAY(Z$5,2),"Mo","Di","Mi","Do","Fr","Sa","So"))</f>
      </c>
      <c r="AA4" s="31">
        <f>IF(AA$5="","",CHOOSE(WEEKDAY(AA$5,2),"Mo","Di","Mi","Do","Fr","Sa","So"))</f>
      </c>
      <c r="AB4" s="31">
        <f>IF(AB$5="","",CHOOSE(WEEKDAY(AB$5,2),"Mo","Di","Mi","Do","Fr","Sa","So"))</f>
      </c>
      <c r="AC4" s="31">
        <f>IF(AC$5="","",CHOOSE(WEEKDAY(AC$5,2),"Mo","Di","Mi","Do","Fr","Sa","So"))</f>
      </c>
      <c r="AD4" s="31">
        <f>IF(AD$5="","",CHOOSE(WEEKDAY(AD$5,2),"Mo","Di","Mi","Do","Fr","Sa","So"))</f>
      </c>
      <c r="AE4" s="31">
        <f>IF(AE$5="","",CHOOSE(WEEKDAY(AE$5,2),"Mo","Di","Mi","Do","Fr","Sa","So"))</f>
      </c>
      <c r="AF4" s="31">
        <f>IF(AF$5="","",CHOOSE(WEEKDAY(AF$5,2),"Mo","Di","Mi","Do","Fr","Sa","So"))</f>
      </c>
    </row>
    <row r="5" ht="18" customHeight="1" spans="1:38" x14ac:dyDescent="0.25">
      <c r="A5" s="10" t="s">
        <v>52</v>
      </c>
      <c r="B5" s="32">
        <f>IF(MONTH(DATE(Jahr,10,1))=10,DATE(Jahr,10,1),"")</f>
      </c>
      <c r="C5" s="32">
        <f>IF(MONTH(DATE(Jahr,10,2))=10,DATE(Jahr,10,2),"")</f>
      </c>
      <c r="D5" s="32">
        <f>IF(MONTH(DATE(Jahr,10,3))=10,DATE(Jahr,10,3),"")</f>
      </c>
      <c r="E5" s="32">
        <f>IF(MONTH(DATE(Jahr,10,4))=10,DATE(Jahr,10,4),"")</f>
      </c>
      <c r="F5" s="32">
        <f>IF(MONTH(DATE(Jahr,10,5))=10,DATE(Jahr,10,5),"")</f>
      </c>
      <c r="G5" s="32">
        <f>IF(MONTH(DATE(Jahr,10,6))=10,DATE(Jahr,10,6),"")</f>
      </c>
      <c r="H5" s="32">
        <f>IF(MONTH(DATE(Jahr,10,7))=10,DATE(Jahr,10,7),"")</f>
      </c>
      <c r="I5" s="32">
        <f>IF(MONTH(DATE(Jahr,10,8))=10,DATE(Jahr,10,8),"")</f>
      </c>
      <c r="J5" s="32">
        <f>IF(MONTH(DATE(Jahr,10,9))=10,DATE(Jahr,10,9),"")</f>
      </c>
      <c r="K5" s="32">
        <f>IF(MONTH(DATE(Jahr,10,10))=10,DATE(Jahr,10,10),"")</f>
      </c>
      <c r="L5" s="32">
        <f>IF(MONTH(DATE(Jahr,10,11))=10,DATE(Jahr,10,11),"")</f>
      </c>
      <c r="M5" s="32">
        <f>IF(MONTH(DATE(Jahr,10,12))=10,DATE(Jahr,10,12),"")</f>
      </c>
      <c r="N5" s="32">
        <f>IF(MONTH(DATE(Jahr,10,13))=10,DATE(Jahr,10,13),"")</f>
      </c>
      <c r="O5" s="32">
        <f>IF(MONTH(DATE(Jahr,10,14))=10,DATE(Jahr,10,14),"")</f>
      </c>
      <c r="P5" s="32">
        <f>IF(MONTH(DATE(Jahr,10,15))=10,DATE(Jahr,10,15),"")</f>
      </c>
      <c r="Q5" s="32">
        <f>IF(MONTH(DATE(Jahr,10,16))=10,DATE(Jahr,10,16),"")</f>
      </c>
      <c r="R5" s="32">
        <f>IF(MONTH(DATE(Jahr,10,17))=10,DATE(Jahr,10,17),"")</f>
      </c>
      <c r="S5" s="32">
        <f>IF(MONTH(DATE(Jahr,10,18))=10,DATE(Jahr,10,18),"")</f>
      </c>
      <c r="T5" s="32">
        <f>IF(MONTH(DATE(Jahr,10,19))=10,DATE(Jahr,10,19),"")</f>
      </c>
      <c r="U5" s="32">
        <f>IF(MONTH(DATE(Jahr,10,20))=10,DATE(Jahr,10,20),"")</f>
      </c>
      <c r="V5" s="32">
        <f>IF(MONTH(DATE(Jahr,10,21))=10,DATE(Jahr,10,21),"")</f>
      </c>
      <c r="W5" s="32">
        <f>IF(MONTH(DATE(Jahr,10,22))=10,DATE(Jahr,10,22),"")</f>
      </c>
      <c r="X5" s="32">
        <f>IF(MONTH(DATE(Jahr,10,23))=10,DATE(Jahr,10,23),"")</f>
      </c>
      <c r="Y5" s="32">
        <f>IF(MONTH(DATE(Jahr,10,24))=10,DATE(Jahr,10,24),"")</f>
      </c>
      <c r="Z5" s="32">
        <f>IF(MONTH(DATE(Jahr,10,25))=10,DATE(Jahr,10,25),"")</f>
      </c>
      <c r="AA5" s="32">
        <f>IF(MONTH(DATE(Jahr,10,26))=10,DATE(Jahr,10,26),"")</f>
      </c>
      <c r="AB5" s="32">
        <f>IF(MONTH(DATE(Jahr,10,27))=10,DATE(Jahr,10,27),"")</f>
      </c>
      <c r="AC5" s="32">
        <f>IF(MONTH(DATE(Jahr,10,28))=10,DATE(Jahr,10,28),"")</f>
      </c>
      <c r="AD5" s="32">
        <f>IF(MONTH(DATE(Jahr,10,29))=10,DATE(Jahr,10,29),"")</f>
      </c>
      <c r="AE5" s="32">
        <f>IF(MONTH(DATE(Jahr,10,30))=10,DATE(Jahr,10,30),"")</f>
      </c>
      <c r="AF5" s="32">
        <f>IF(MONTH(DATE(Jahr,10,31))=10,DATE(Jahr,10,31),"")</f>
      </c>
      <c r="AG5" s="10" t="s">
        <v>60</v>
      </c>
      <c r="AH5" s="10" t="s">
        <v>61</v>
      </c>
      <c r="AI5" s="10" t="s">
        <v>62</v>
      </c>
      <c r="AJ5" s="10" t="s">
        <v>44</v>
      </c>
      <c r="AK5" s="10" t="s">
        <v>46</v>
      </c>
      <c r="AL5" s="10" t="s">
        <v>33</v>
      </c>
    </row>
    <row r="6" spans="1:38" x14ac:dyDescent="0.25">
      <c r="A6" s="33">
        <f>Mitarbeiter!$A$5&amp;""</f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5">
        <f>IF($A6="","",SUMPRODUCT(COUNTIFS(B6:AF6,Codes,$B$52:$AF$52,1)*(Arten="Arbeit")*Erste*NettoTage)+SUMPRODUCT(COUNTIFS(B6:AF6,Codes,$B$53:$AF$53,1)*((Arten="Urlaub")+(Arten="Krank")+(Arten="Bezahlt abwesend"))*Erste)*N(Mitarbeiter!$B$5)/5/24)</f>
      </c>
      <c r="AH6" s="35">
        <f>IF($A6="","",N(Mitarbeiter!$B$5)/5/24*SUM($B$53:$AF$53))</f>
      </c>
      <c r="AI6" s="36">
        <f>IF($A6="","",IF((AG6-AH6)&lt;0,"-","+")&amp;TEXT(ABS((AG6-AH6)),"[h]:mm"))</f>
      </c>
      <c r="AJ6" s="37">
        <f>IF($A6="","",SUMPRODUCT(COUNTIFS(B6:AF6,Codes,$B$53:$AF$53,1)*(Arten="Urlaub")*Erste))</f>
      </c>
      <c r="AK6" s="37">
        <f>IF($A6="","",SUMPRODUCT(COUNTIFS(B6:AF6,Codes,$B$53:$AF$53,1)*(Arten="Krank")*Erste))</f>
      </c>
      <c r="AL6" s="38">
        <f>IF($A6="","",IF(COUNTIF(B55:AF55,1)&gt;0,COUNTIF(B55:AF55,1)&amp;"× Ruhezeit unter 11 Std. (§ 5)","")&amp;IF((COUNTIFS(B6:AF6,"?*",$B$52:$AF$52,1)-SUMPRODUCT(COUNTIFS(B6:AF6,Codes,$B$52:$AF$52,1)*(Codes&lt;&gt;"")*Erste))&gt;0,IF(COUNTIF(B55:AF55,1)&gt;0,"; ","")&amp;(COUNTIFS(B6:AF6,"?*",$B$52:$AF$52,1)-SUMPRODUCT(COUNTIFS(B6:AF6,Codes,$B$52:$AF$52,1)*(Codes&lt;&gt;"")*Erste))&amp;"× unbekanntes Kürzel",""))</f>
      </c>
    </row>
    <row r="7" spans="1:38" x14ac:dyDescent="0.25">
      <c r="A7" s="33">
        <f>Mitarbeiter!$A$6&amp;""</f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5">
        <f>IF($A7="","",SUMPRODUCT(COUNTIFS(B7:AF7,Codes,$B$52:$AF$52,1)*(Arten="Arbeit")*Erste*NettoTage)+SUMPRODUCT(COUNTIFS(B7:AF7,Codes,$B$53:$AF$53,1)*((Arten="Urlaub")+(Arten="Krank")+(Arten="Bezahlt abwesend"))*Erste)*N(Mitarbeiter!$B$6)/5/24)</f>
      </c>
      <c r="AH7" s="35">
        <f>IF($A7="","",N(Mitarbeiter!$B$6)/5/24*SUM($B$53:$AF$53))</f>
      </c>
      <c r="AI7" s="36">
        <f>IF($A7="","",IF((AG7-AH7)&lt;0,"-","+")&amp;TEXT(ABS((AG7-AH7)),"[h]:mm"))</f>
      </c>
      <c r="AJ7" s="37">
        <f>IF($A7="","",SUMPRODUCT(COUNTIFS(B7:AF7,Codes,$B$53:$AF$53,1)*(Arten="Urlaub")*Erste))</f>
      </c>
      <c r="AK7" s="37">
        <f>IF($A7="","",SUMPRODUCT(COUNTIFS(B7:AF7,Codes,$B$53:$AF$53,1)*(Arten="Krank")*Erste))</f>
      </c>
      <c r="AL7" s="38">
        <f>IF($A7="","",IF(COUNTIF(B56:AF56,1)&gt;0,COUNTIF(B56:AF56,1)&amp;"× Ruhezeit unter 11 Std. (§ 5)","")&amp;IF((COUNTIFS(B7:AF7,"?*",$B$52:$AF$52,1)-SUMPRODUCT(COUNTIFS(B7:AF7,Codes,$B$52:$AF$52,1)*(Codes&lt;&gt;"")*Erste))&gt;0,IF(COUNTIF(B56:AF56,1)&gt;0,"; ","")&amp;(COUNTIFS(B7:AF7,"?*",$B$52:$AF$52,1)-SUMPRODUCT(COUNTIFS(B7:AF7,Codes,$B$52:$AF$52,1)*(Codes&lt;&gt;"")*Erste))&amp;"× unbekanntes Kürzel",""))</f>
      </c>
    </row>
    <row r="8" spans="1:38" x14ac:dyDescent="0.25">
      <c r="A8" s="33">
        <f>Mitarbeiter!$A$7&amp;""</f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5">
        <f>IF($A8="","",SUMPRODUCT(COUNTIFS(B8:AF8,Codes,$B$52:$AF$52,1)*(Arten="Arbeit")*Erste*NettoTage)+SUMPRODUCT(COUNTIFS(B8:AF8,Codes,$B$53:$AF$53,1)*((Arten="Urlaub")+(Arten="Krank")+(Arten="Bezahlt abwesend"))*Erste)*N(Mitarbeiter!$B$7)/5/24)</f>
      </c>
      <c r="AH8" s="35">
        <f>IF($A8="","",N(Mitarbeiter!$B$7)/5/24*SUM($B$53:$AF$53))</f>
      </c>
      <c r="AI8" s="36">
        <f>IF($A8="","",IF((AG8-AH8)&lt;0,"-","+")&amp;TEXT(ABS((AG8-AH8)),"[h]:mm"))</f>
      </c>
      <c r="AJ8" s="37">
        <f>IF($A8="","",SUMPRODUCT(COUNTIFS(B8:AF8,Codes,$B$53:$AF$53,1)*(Arten="Urlaub")*Erste))</f>
      </c>
      <c r="AK8" s="37">
        <f>IF($A8="","",SUMPRODUCT(COUNTIFS(B8:AF8,Codes,$B$53:$AF$53,1)*(Arten="Krank")*Erste))</f>
      </c>
      <c r="AL8" s="38">
        <f>IF($A8="","",IF(COUNTIF(B57:AF57,1)&gt;0,COUNTIF(B57:AF57,1)&amp;"× Ruhezeit unter 11 Std. (§ 5)","")&amp;IF((COUNTIFS(B8:AF8,"?*",$B$52:$AF$52,1)-SUMPRODUCT(COUNTIFS(B8:AF8,Codes,$B$52:$AF$52,1)*(Codes&lt;&gt;"")*Erste))&gt;0,IF(COUNTIF(B57:AF57,1)&gt;0,"; ","")&amp;(COUNTIFS(B8:AF8,"?*",$B$52:$AF$52,1)-SUMPRODUCT(COUNTIFS(B8:AF8,Codes,$B$52:$AF$52,1)*(Codes&lt;&gt;"")*Erste))&amp;"× unbekanntes Kürzel",""))</f>
      </c>
    </row>
    <row r="9" spans="1:38" x14ac:dyDescent="0.25">
      <c r="A9" s="33">
        <f>Mitarbeiter!$A$8&amp;""</f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5">
        <f>IF($A9="","",SUMPRODUCT(COUNTIFS(B9:AF9,Codes,$B$52:$AF$52,1)*(Arten="Arbeit")*Erste*NettoTage)+SUMPRODUCT(COUNTIFS(B9:AF9,Codes,$B$53:$AF$53,1)*((Arten="Urlaub")+(Arten="Krank")+(Arten="Bezahlt abwesend"))*Erste)*N(Mitarbeiter!$B$8)/5/24)</f>
      </c>
      <c r="AH9" s="35">
        <f>IF($A9="","",N(Mitarbeiter!$B$8)/5/24*SUM($B$53:$AF$53))</f>
      </c>
      <c r="AI9" s="36">
        <f>IF($A9="","",IF((AG9-AH9)&lt;0,"-","+")&amp;TEXT(ABS((AG9-AH9)),"[h]:mm"))</f>
      </c>
      <c r="AJ9" s="37">
        <f>IF($A9="","",SUMPRODUCT(COUNTIFS(B9:AF9,Codes,$B$53:$AF$53,1)*(Arten="Urlaub")*Erste))</f>
      </c>
      <c r="AK9" s="37">
        <f>IF($A9="","",SUMPRODUCT(COUNTIFS(B9:AF9,Codes,$B$53:$AF$53,1)*(Arten="Krank")*Erste))</f>
      </c>
      <c r="AL9" s="38">
        <f>IF($A9="","",IF(COUNTIF(B58:AF58,1)&gt;0,COUNTIF(B58:AF58,1)&amp;"× Ruhezeit unter 11 Std. (§ 5)","")&amp;IF((COUNTIFS(B9:AF9,"?*",$B$52:$AF$52,1)-SUMPRODUCT(COUNTIFS(B9:AF9,Codes,$B$52:$AF$52,1)*(Codes&lt;&gt;"")*Erste))&gt;0,IF(COUNTIF(B58:AF58,1)&gt;0,"; ","")&amp;(COUNTIFS(B9:AF9,"?*",$B$52:$AF$52,1)-SUMPRODUCT(COUNTIFS(B9:AF9,Codes,$B$52:$AF$52,1)*(Codes&lt;&gt;"")*Erste))&amp;"× unbekanntes Kürzel",""))</f>
      </c>
    </row>
    <row r="10" spans="1:38" x14ac:dyDescent="0.25">
      <c r="A10" s="33">
        <f>Mitarbeiter!$A$9&amp;""</f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5">
        <f>IF($A10="","",SUMPRODUCT(COUNTIFS(B10:AF10,Codes,$B$52:$AF$52,1)*(Arten="Arbeit")*Erste*NettoTage)+SUMPRODUCT(COUNTIFS(B10:AF10,Codes,$B$53:$AF$53,1)*((Arten="Urlaub")+(Arten="Krank")+(Arten="Bezahlt abwesend"))*Erste)*N(Mitarbeiter!$B$9)/5/24)</f>
      </c>
      <c r="AH10" s="35">
        <f>IF($A10="","",N(Mitarbeiter!$B$9)/5/24*SUM($B$53:$AF$53))</f>
      </c>
      <c r="AI10" s="36">
        <f>IF($A10="","",IF((AG10-AH10)&lt;0,"-","+")&amp;TEXT(ABS((AG10-AH10)),"[h]:mm"))</f>
      </c>
      <c r="AJ10" s="37">
        <f>IF($A10="","",SUMPRODUCT(COUNTIFS(B10:AF10,Codes,$B$53:$AF$53,1)*(Arten="Urlaub")*Erste))</f>
      </c>
      <c r="AK10" s="37">
        <f>IF($A10="","",SUMPRODUCT(COUNTIFS(B10:AF10,Codes,$B$53:$AF$53,1)*(Arten="Krank")*Erste))</f>
      </c>
      <c r="AL10" s="38">
        <f>IF($A10="","",IF(COUNTIF(B59:AF59,1)&gt;0,COUNTIF(B59:AF59,1)&amp;"× Ruhezeit unter 11 Std. (§ 5)","")&amp;IF((COUNTIFS(B10:AF10,"?*",$B$52:$AF$52,1)-SUMPRODUCT(COUNTIFS(B10:AF10,Codes,$B$52:$AF$52,1)*(Codes&lt;&gt;"")*Erste))&gt;0,IF(COUNTIF(B59:AF59,1)&gt;0,"; ","")&amp;(COUNTIFS(B10:AF10,"?*",$B$52:$AF$52,1)-SUMPRODUCT(COUNTIFS(B10:AF10,Codes,$B$52:$AF$52,1)*(Codes&lt;&gt;"")*Erste))&amp;"× unbekanntes Kürzel",""))</f>
      </c>
    </row>
    <row r="11" spans="1:38" x14ac:dyDescent="0.25">
      <c r="A11" s="33">
        <f>Mitarbeiter!$A$10&amp;""</f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5">
        <f>IF($A11="","",SUMPRODUCT(COUNTIFS(B11:AF11,Codes,$B$52:$AF$52,1)*(Arten="Arbeit")*Erste*NettoTage)+SUMPRODUCT(COUNTIFS(B11:AF11,Codes,$B$53:$AF$53,1)*((Arten="Urlaub")+(Arten="Krank")+(Arten="Bezahlt abwesend"))*Erste)*N(Mitarbeiter!$B$10)/5/24)</f>
      </c>
      <c r="AH11" s="35">
        <f>IF($A11="","",N(Mitarbeiter!$B$10)/5/24*SUM($B$53:$AF$53))</f>
      </c>
      <c r="AI11" s="36">
        <f>IF($A11="","",IF((AG11-AH11)&lt;0,"-","+")&amp;TEXT(ABS((AG11-AH11)),"[h]:mm"))</f>
      </c>
      <c r="AJ11" s="37">
        <f>IF($A11="","",SUMPRODUCT(COUNTIFS(B11:AF11,Codes,$B$53:$AF$53,1)*(Arten="Urlaub")*Erste))</f>
      </c>
      <c r="AK11" s="37">
        <f>IF($A11="","",SUMPRODUCT(COUNTIFS(B11:AF11,Codes,$B$53:$AF$53,1)*(Arten="Krank")*Erste))</f>
      </c>
      <c r="AL11" s="38">
        <f>IF($A11="","",IF(COUNTIF(B60:AF60,1)&gt;0,COUNTIF(B60:AF60,1)&amp;"× Ruhezeit unter 11 Std. (§ 5)","")&amp;IF((COUNTIFS(B11:AF11,"?*",$B$52:$AF$52,1)-SUMPRODUCT(COUNTIFS(B11:AF11,Codes,$B$52:$AF$52,1)*(Codes&lt;&gt;"")*Erste))&gt;0,IF(COUNTIF(B60:AF60,1)&gt;0,"; ","")&amp;(COUNTIFS(B11:AF11,"?*",$B$52:$AF$52,1)-SUMPRODUCT(COUNTIFS(B11:AF11,Codes,$B$52:$AF$52,1)*(Codes&lt;&gt;"")*Erste))&amp;"× unbekanntes Kürzel",""))</f>
      </c>
    </row>
    <row r="12" spans="1:38" x14ac:dyDescent="0.25">
      <c r="A12" s="33">
        <f>Mitarbeiter!$A$11&amp;""</f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5">
        <f>IF($A12="","",SUMPRODUCT(COUNTIFS(B12:AF12,Codes,$B$52:$AF$52,1)*(Arten="Arbeit")*Erste*NettoTage)+SUMPRODUCT(COUNTIFS(B12:AF12,Codes,$B$53:$AF$53,1)*((Arten="Urlaub")+(Arten="Krank")+(Arten="Bezahlt abwesend"))*Erste)*N(Mitarbeiter!$B$11)/5/24)</f>
      </c>
      <c r="AH12" s="35">
        <f>IF($A12="","",N(Mitarbeiter!$B$11)/5/24*SUM($B$53:$AF$53))</f>
      </c>
      <c r="AI12" s="36">
        <f>IF($A12="","",IF((AG12-AH12)&lt;0,"-","+")&amp;TEXT(ABS((AG12-AH12)),"[h]:mm"))</f>
      </c>
      <c r="AJ12" s="37">
        <f>IF($A12="","",SUMPRODUCT(COUNTIFS(B12:AF12,Codes,$B$53:$AF$53,1)*(Arten="Urlaub")*Erste))</f>
      </c>
      <c r="AK12" s="37">
        <f>IF($A12="","",SUMPRODUCT(COUNTIFS(B12:AF12,Codes,$B$53:$AF$53,1)*(Arten="Krank")*Erste))</f>
      </c>
      <c r="AL12" s="38">
        <f>IF($A12="","",IF(COUNTIF(B61:AF61,1)&gt;0,COUNTIF(B61:AF61,1)&amp;"× Ruhezeit unter 11 Std. (§ 5)","")&amp;IF((COUNTIFS(B12:AF12,"?*",$B$52:$AF$52,1)-SUMPRODUCT(COUNTIFS(B12:AF12,Codes,$B$52:$AF$52,1)*(Codes&lt;&gt;"")*Erste))&gt;0,IF(COUNTIF(B61:AF61,1)&gt;0,"; ","")&amp;(COUNTIFS(B12:AF12,"?*",$B$52:$AF$52,1)-SUMPRODUCT(COUNTIFS(B12:AF12,Codes,$B$52:$AF$52,1)*(Codes&lt;&gt;"")*Erste))&amp;"× unbekanntes Kürzel",""))</f>
      </c>
    </row>
    <row r="13" spans="1:38" x14ac:dyDescent="0.25">
      <c r="A13" s="33">
        <f>Mitarbeiter!$A$12&amp;""</f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5">
        <f>IF($A13="","",SUMPRODUCT(COUNTIFS(B13:AF13,Codes,$B$52:$AF$52,1)*(Arten="Arbeit")*Erste*NettoTage)+SUMPRODUCT(COUNTIFS(B13:AF13,Codes,$B$53:$AF$53,1)*((Arten="Urlaub")+(Arten="Krank")+(Arten="Bezahlt abwesend"))*Erste)*N(Mitarbeiter!$B$12)/5/24)</f>
      </c>
      <c r="AH13" s="35">
        <f>IF($A13="","",N(Mitarbeiter!$B$12)/5/24*SUM($B$53:$AF$53))</f>
      </c>
      <c r="AI13" s="36">
        <f>IF($A13="","",IF((AG13-AH13)&lt;0,"-","+")&amp;TEXT(ABS((AG13-AH13)),"[h]:mm"))</f>
      </c>
      <c r="AJ13" s="37">
        <f>IF($A13="","",SUMPRODUCT(COUNTIFS(B13:AF13,Codes,$B$53:$AF$53,1)*(Arten="Urlaub")*Erste))</f>
      </c>
      <c r="AK13" s="37">
        <f>IF($A13="","",SUMPRODUCT(COUNTIFS(B13:AF13,Codes,$B$53:$AF$53,1)*(Arten="Krank")*Erste))</f>
      </c>
      <c r="AL13" s="38">
        <f>IF($A13="","",IF(COUNTIF(B62:AF62,1)&gt;0,COUNTIF(B62:AF62,1)&amp;"× Ruhezeit unter 11 Std. (§ 5)","")&amp;IF((COUNTIFS(B13:AF13,"?*",$B$52:$AF$52,1)-SUMPRODUCT(COUNTIFS(B13:AF13,Codes,$B$52:$AF$52,1)*(Codes&lt;&gt;"")*Erste))&gt;0,IF(COUNTIF(B62:AF62,1)&gt;0,"; ","")&amp;(COUNTIFS(B13:AF13,"?*",$B$52:$AF$52,1)-SUMPRODUCT(COUNTIFS(B13:AF13,Codes,$B$52:$AF$52,1)*(Codes&lt;&gt;"")*Erste))&amp;"× unbekanntes Kürzel",""))</f>
      </c>
    </row>
    <row r="14" spans="1:38" x14ac:dyDescent="0.25">
      <c r="A14" s="33">
        <f>Mitarbeiter!$A$13&amp;""</f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5">
        <f>IF($A14="","",SUMPRODUCT(COUNTIFS(B14:AF14,Codes,$B$52:$AF$52,1)*(Arten="Arbeit")*Erste*NettoTage)+SUMPRODUCT(COUNTIFS(B14:AF14,Codes,$B$53:$AF$53,1)*((Arten="Urlaub")+(Arten="Krank")+(Arten="Bezahlt abwesend"))*Erste)*N(Mitarbeiter!$B$13)/5/24)</f>
      </c>
      <c r="AH14" s="35">
        <f>IF($A14="","",N(Mitarbeiter!$B$13)/5/24*SUM($B$53:$AF$53))</f>
      </c>
      <c r="AI14" s="36">
        <f>IF($A14="","",IF((AG14-AH14)&lt;0,"-","+")&amp;TEXT(ABS((AG14-AH14)),"[h]:mm"))</f>
      </c>
      <c r="AJ14" s="37">
        <f>IF($A14="","",SUMPRODUCT(COUNTIFS(B14:AF14,Codes,$B$53:$AF$53,1)*(Arten="Urlaub")*Erste))</f>
      </c>
      <c r="AK14" s="37">
        <f>IF($A14="","",SUMPRODUCT(COUNTIFS(B14:AF14,Codes,$B$53:$AF$53,1)*(Arten="Krank")*Erste))</f>
      </c>
      <c r="AL14" s="38">
        <f>IF($A14="","",IF(COUNTIF(B63:AF63,1)&gt;0,COUNTIF(B63:AF63,1)&amp;"× Ruhezeit unter 11 Std. (§ 5)","")&amp;IF((COUNTIFS(B14:AF14,"?*",$B$52:$AF$52,1)-SUMPRODUCT(COUNTIFS(B14:AF14,Codes,$B$52:$AF$52,1)*(Codes&lt;&gt;"")*Erste))&gt;0,IF(COUNTIF(B63:AF63,1)&gt;0,"; ","")&amp;(COUNTIFS(B14:AF14,"?*",$B$52:$AF$52,1)-SUMPRODUCT(COUNTIFS(B14:AF14,Codes,$B$52:$AF$52,1)*(Codes&lt;&gt;"")*Erste))&amp;"× unbekanntes Kürzel",""))</f>
      </c>
    </row>
    <row r="15" spans="1:38" x14ac:dyDescent="0.25">
      <c r="A15" s="33">
        <f>Mitarbeiter!$A$14&amp;""</f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5">
        <f>IF($A15="","",SUMPRODUCT(COUNTIFS(B15:AF15,Codes,$B$52:$AF$52,1)*(Arten="Arbeit")*Erste*NettoTage)+SUMPRODUCT(COUNTIFS(B15:AF15,Codes,$B$53:$AF$53,1)*((Arten="Urlaub")+(Arten="Krank")+(Arten="Bezahlt abwesend"))*Erste)*N(Mitarbeiter!$B$14)/5/24)</f>
      </c>
      <c r="AH15" s="35">
        <f>IF($A15="","",N(Mitarbeiter!$B$14)/5/24*SUM($B$53:$AF$53))</f>
      </c>
      <c r="AI15" s="36">
        <f>IF($A15="","",IF((AG15-AH15)&lt;0,"-","+")&amp;TEXT(ABS((AG15-AH15)),"[h]:mm"))</f>
      </c>
      <c r="AJ15" s="37">
        <f>IF($A15="","",SUMPRODUCT(COUNTIFS(B15:AF15,Codes,$B$53:$AF$53,1)*(Arten="Urlaub")*Erste))</f>
      </c>
      <c r="AK15" s="37">
        <f>IF($A15="","",SUMPRODUCT(COUNTIFS(B15:AF15,Codes,$B$53:$AF$53,1)*(Arten="Krank")*Erste))</f>
      </c>
      <c r="AL15" s="38">
        <f>IF($A15="","",IF(COUNTIF(B64:AF64,1)&gt;0,COUNTIF(B64:AF64,1)&amp;"× Ruhezeit unter 11 Std. (§ 5)","")&amp;IF((COUNTIFS(B15:AF15,"?*",$B$52:$AF$52,1)-SUMPRODUCT(COUNTIFS(B15:AF15,Codes,$B$52:$AF$52,1)*(Codes&lt;&gt;"")*Erste))&gt;0,IF(COUNTIF(B64:AF64,1)&gt;0,"; ","")&amp;(COUNTIFS(B15:AF15,"?*",$B$52:$AF$52,1)-SUMPRODUCT(COUNTIFS(B15:AF15,Codes,$B$52:$AF$52,1)*(Codes&lt;&gt;"")*Erste))&amp;"× unbekanntes Kürzel",""))</f>
      </c>
    </row>
    <row r="16" spans="1:38" x14ac:dyDescent="0.25">
      <c r="A16" s="33">
        <f>Mitarbeiter!$A$15&amp;""</f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5">
        <f>IF($A16="","",SUMPRODUCT(COUNTIFS(B16:AF16,Codes,$B$52:$AF$52,1)*(Arten="Arbeit")*Erste*NettoTage)+SUMPRODUCT(COUNTIFS(B16:AF16,Codes,$B$53:$AF$53,1)*((Arten="Urlaub")+(Arten="Krank")+(Arten="Bezahlt abwesend"))*Erste)*N(Mitarbeiter!$B$15)/5/24)</f>
      </c>
      <c r="AH16" s="35">
        <f>IF($A16="","",N(Mitarbeiter!$B$15)/5/24*SUM($B$53:$AF$53))</f>
      </c>
      <c r="AI16" s="36">
        <f>IF($A16="","",IF((AG16-AH16)&lt;0,"-","+")&amp;TEXT(ABS((AG16-AH16)),"[h]:mm"))</f>
      </c>
      <c r="AJ16" s="37">
        <f>IF($A16="","",SUMPRODUCT(COUNTIFS(B16:AF16,Codes,$B$53:$AF$53,1)*(Arten="Urlaub")*Erste))</f>
      </c>
      <c r="AK16" s="37">
        <f>IF($A16="","",SUMPRODUCT(COUNTIFS(B16:AF16,Codes,$B$53:$AF$53,1)*(Arten="Krank")*Erste))</f>
      </c>
      <c r="AL16" s="38">
        <f>IF($A16="","",IF(COUNTIF(B65:AF65,1)&gt;0,COUNTIF(B65:AF65,1)&amp;"× Ruhezeit unter 11 Std. (§ 5)","")&amp;IF((COUNTIFS(B16:AF16,"?*",$B$52:$AF$52,1)-SUMPRODUCT(COUNTIFS(B16:AF16,Codes,$B$52:$AF$52,1)*(Codes&lt;&gt;"")*Erste))&gt;0,IF(COUNTIF(B65:AF65,1)&gt;0,"; ","")&amp;(COUNTIFS(B16:AF16,"?*",$B$52:$AF$52,1)-SUMPRODUCT(COUNTIFS(B16:AF16,Codes,$B$52:$AF$52,1)*(Codes&lt;&gt;"")*Erste))&amp;"× unbekanntes Kürzel",""))</f>
      </c>
    </row>
    <row r="17" spans="1:38" x14ac:dyDescent="0.25">
      <c r="A17" s="33">
        <f>Mitarbeiter!$A$16&amp;""</f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5">
        <f>IF($A17="","",SUMPRODUCT(COUNTIFS(B17:AF17,Codes,$B$52:$AF$52,1)*(Arten="Arbeit")*Erste*NettoTage)+SUMPRODUCT(COUNTIFS(B17:AF17,Codes,$B$53:$AF$53,1)*((Arten="Urlaub")+(Arten="Krank")+(Arten="Bezahlt abwesend"))*Erste)*N(Mitarbeiter!$B$16)/5/24)</f>
      </c>
      <c r="AH17" s="35">
        <f>IF($A17="","",N(Mitarbeiter!$B$16)/5/24*SUM($B$53:$AF$53))</f>
      </c>
      <c r="AI17" s="36">
        <f>IF($A17="","",IF((AG17-AH17)&lt;0,"-","+")&amp;TEXT(ABS((AG17-AH17)),"[h]:mm"))</f>
      </c>
      <c r="AJ17" s="37">
        <f>IF($A17="","",SUMPRODUCT(COUNTIFS(B17:AF17,Codes,$B$53:$AF$53,1)*(Arten="Urlaub")*Erste))</f>
      </c>
      <c r="AK17" s="37">
        <f>IF($A17="","",SUMPRODUCT(COUNTIFS(B17:AF17,Codes,$B$53:$AF$53,1)*(Arten="Krank")*Erste))</f>
      </c>
      <c r="AL17" s="38">
        <f>IF($A17="","",IF(COUNTIF(B66:AF66,1)&gt;0,COUNTIF(B66:AF66,1)&amp;"× Ruhezeit unter 11 Std. (§ 5)","")&amp;IF((COUNTIFS(B17:AF17,"?*",$B$52:$AF$52,1)-SUMPRODUCT(COUNTIFS(B17:AF17,Codes,$B$52:$AF$52,1)*(Codes&lt;&gt;"")*Erste))&gt;0,IF(COUNTIF(B66:AF66,1)&gt;0,"; ","")&amp;(COUNTIFS(B17:AF17,"?*",$B$52:$AF$52,1)-SUMPRODUCT(COUNTIFS(B17:AF17,Codes,$B$52:$AF$52,1)*(Codes&lt;&gt;"")*Erste))&amp;"× unbekanntes Kürzel",""))</f>
      </c>
    </row>
    <row r="18" spans="1:38" x14ac:dyDescent="0.25">
      <c r="A18" s="33">
        <f>Mitarbeiter!$A$17&amp;""</f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5">
        <f>IF($A18="","",SUMPRODUCT(COUNTIFS(B18:AF18,Codes,$B$52:$AF$52,1)*(Arten="Arbeit")*Erste*NettoTage)+SUMPRODUCT(COUNTIFS(B18:AF18,Codes,$B$53:$AF$53,1)*((Arten="Urlaub")+(Arten="Krank")+(Arten="Bezahlt abwesend"))*Erste)*N(Mitarbeiter!$B$17)/5/24)</f>
      </c>
      <c r="AH18" s="35">
        <f>IF($A18="","",N(Mitarbeiter!$B$17)/5/24*SUM($B$53:$AF$53))</f>
      </c>
      <c r="AI18" s="36">
        <f>IF($A18="","",IF((AG18-AH18)&lt;0,"-","+")&amp;TEXT(ABS((AG18-AH18)),"[h]:mm"))</f>
      </c>
      <c r="AJ18" s="37">
        <f>IF($A18="","",SUMPRODUCT(COUNTIFS(B18:AF18,Codes,$B$53:$AF$53,1)*(Arten="Urlaub")*Erste))</f>
      </c>
      <c r="AK18" s="37">
        <f>IF($A18="","",SUMPRODUCT(COUNTIFS(B18:AF18,Codes,$B$53:$AF$53,1)*(Arten="Krank")*Erste))</f>
      </c>
      <c r="AL18" s="38">
        <f>IF($A18="","",IF(COUNTIF(B67:AF67,1)&gt;0,COUNTIF(B67:AF67,1)&amp;"× Ruhezeit unter 11 Std. (§ 5)","")&amp;IF((COUNTIFS(B18:AF18,"?*",$B$52:$AF$52,1)-SUMPRODUCT(COUNTIFS(B18:AF18,Codes,$B$52:$AF$52,1)*(Codes&lt;&gt;"")*Erste))&gt;0,IF(COUNTIF(B67:AF67,1)&gt;0,"; ","")&amp;(COUNTIFS(B18:AF18,"?*",$B$52:$AF$52,1)-SUMPRODUCT(COUNTIFS(B18:AF18,Codes,$B$52:$AF$52,1)*(Codes&lt;&gt;"")*Erste))&amp;"× unbekanntes Kürzel",""))</f>
      </c>
    </row>
    <row r="19" spans="1:38" x14ac:dyDescent="0.25">
      <c r="A19" s="33">
        <f>Mitarbeiter!$A$18&amp;""</f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5">
        <f>IF($A19="","",SUMPRODUCT(COUNTIFS(B19:AF19,Codes,$B$52:$AF$52,1)*(Arten="Arbeit")*Erste*NettoTage)+SUMPRODUCT(COUNTIFS(B19:AF19,Codes,$B$53:$AF$53,1)*((Arten="Urlaub")+(Arten="Krank")+(Arten="Bezahlt abwesend"))*Erste)*N(Mitarbeiter!$B$18)/5/24)</f>
      </c>
      <c r="AH19" s="35">
        <f>IF($A19="","",N(Mitarbeiter!$B$18)/5/24*SUM($B$53:$AF$53))</f>
      </c>
      <c r="AI19" s="36">
        <f>IF($A19="","",IF((AG19-AH19)&lt;0,"-","+")&amp;TEXT(ABS((AG19-AH19)),"[h]:mm"))</f>
      </c>
      <c r="AJ19" s="37">
        <f>IF($A19="","",SUMPRODUCT(COUNTIFS(B19:AF19,Codes,$B$53:$AF$53,1)*(Arten="Urlaub")*Erste))</f>
      </c>
      <c r="AK19" s="37">
        <f>IF($A19="","",SUMPRODUCT(COUNTIFS(B19:AF19,Codes,$B$53:$AF$53,1)*(Arten="Krank")*Erste))</f>
      </c>
      <c r="AL19" s="38">
        <f>IF($A19="","",IF(COUNTIF(B68:AF68,1)&gt;0,COUNTIF(B68:AF68,1)&amp;"× Ruhezeit unter 11 Std. (§ 5)","")&amp;IF((COUNTIFS(B19:AF19,"?*",$B$52:$AF$52,1)-SUMPRODUCT(COUNTIFS(B19:AF19,Codes,$B$52:$AF$52,1)*(Codes&lt;&gt;"")*Erste))&gt;0,IF(COUNTIF(B68:AF68,1)&gt;0,"; ","")&amp;(COUNTIFS(B19:AF19,"?*",$B$52:$AF$52,1)-SUMPRODUCT(COUNTIFS(B19:AF19,Codes,$B$52:$AF$52,1)*(Codes&lt;&gt;"")*Erste))&amp;"× unbekanntes Kürzel",""))</f>
      </c>
    </row>
    <row r="20" spans="1:38" x14ac:dyDescent="0.25">
      <c r="A20" s="33">
        <f>Mitarbeiter!$A$19&amp;""</f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5">
        <f>IF($A20="","",SUMPRODUCT(COUNTIFS(B20:AF20,Codes,$B$52:$AF$52,1)*(Arten="Arbeit")*Erste*NettoTage)+SUMPRODUCT(COUNTIFS(B20:AF20,Codes,$B$53:$AF$53,1)*((Arten="Urlaub")+(Arten="Krank")+(Arten="Bezahlt abwesend"))*Erste)*N(Mitarbeiter!$B$19)/5/24)</f>
      </c>
      <c r="AH20" s="35">
        <f>IF($A20="","",N(Mitarbeiter!$B$19)/5/24*SUM($B$53:$AF$53))</f>
      </c>
      <c r="AI20" s="36">
        <f>IF($A20="","",IF((AG20-AH20)&lt;0,"-","+")&amp;TEXT(ABS((AG20-AH20)),"[h]:mm"))</f>
      </c>
      <c r="AJ20" s="37">
        <f>IF($A20="","",SUMPRODUCT(COUNTIFS(B20:AF20,Codes,$B$53:$AF$53,1)*(Arten="Urlaub")*Erste))</f>
      </c>
      <c r="AK20" s="37">
        <f>IF($A20="","",SUMPRODUCT(COUNTIFS(B20:AF20,Codes,$B$53:$AF$53,1)*(Arten="Krank")*Erste))</f>
      </c>
      <c r="AL20" s="38">
        <f>IF($A20="","",IF(COUNTIF(B69:AF69,1)&gt;0,COUNTIF(B69:AF69,1)&amp;"× Ruhezeit unter 11 Std. (§ 5)","")&amp;IF((COUNTIFS(B20:AF20,"?*",$B$52:$AF$52,1)-SUMPRODUCT(COUNTIFS(B20:AF20,Codes,$B$52:$AF$52,1)*(Codes&lt;&gt;"")*Erste))&gt;0,IF(COUNTIF(B69:AF69,1)&gt;0,"; ","")&amp;(COUNTIFS(B20:AF20,"?*",$B$52:$AF$52,1)-SUMPRODUCT(COUNTIFS(B20:AF20,Codes,$B$52:$AF$52,1)*(Codes&lt;&gt;"")*Erste))&amp;"× unbekanntes Kürzel",""))</f>
      </c>
    </row>
    <row r="21" spans="1:38" x14ac:dyDescent="0.25">
      <c r="A21" s="33">
        <f>Mitarbeiter!$A$20&amp;""</f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5">
        <f>IF($A21="","",SUMPRODUCT(COUNTIFS(B21:AF21,Codes,$B$52:$AF$52,1)*(Arten="Arbeit")*Erste*NettoTage)+SUMPRODUCT(COUNTIFS(B21:AF21,Codes,$B$53:$AF$53,1)*((Arten="Urlaub")+(Arten="Krank")+(Arten="Bezahlt abwesend"))*Erste)*N(Mitarbeiter!$B$20)/5/24)</f>
      </c>
      <c r="AH21" s="35">
        <f>IF($A21="","",N(Mitarbeiter!$B$20)/5/24*SUM($B$53:$AF$53))</f>
      </c>
      <c r="AI21" s="36">
        <f>IF($A21="","",IF((AG21-AH21)&lt;0,"-","+")&amp;TEXT(ABS((AG21-AH21)),"[h]:mm"))</f>
      </c>
      <c r="AJ21" s="37">
        <f>IF($A21="","",SUMPRODUCT(COUNTIFS(B21:AF21,Codes,$B$53:$AF$53,1)*(Arten="Urlaub")*Erste))</f>
      </c>
      <c r="AK21" s="37">
        <f>IF($A21="","",SUMPRODUCT(COUNTIFS(B21:AF21,Codes,$B$53:$AF$53,1)*(Arten="Krank")*Erste))</f>
      </c>
      <c r="AL21" s="38">
        <f>IF($A21="","",IF(COUNTIF(B70:AF70,1)&gt;0,COUNTIF(B70:AF70,1)&amp;"× Ruhezeit unter 11 Std. (§ 5)","")&amp;IF((COUNTIFS(B21:AF21,"?*",$B$52:$AF$52,1)-SUMPRODUCT(COUNTIFS(B21:AF21,Codes,$B$52:$AF$52,1)*(Codes&lt;&gt;"")*Erste))&gt;0,IF(COUNTIF(B70:AF70,1)&gt;0,"; ","")&amp;(COUNTIFS(B21:AF21,"?*",$B$52:$AF$52,1)-SUMPRODUCT(COUNTIFS(B21:AF21,Codes,$B$52:$AF$52,1)*(Codes&lt;&gt;"")*Erste))&amp;"× unbekanntes Kürzel",""))</f>
      </c>
    </row>
    <row r="22" spans="1:38" x14ac:dyDescent="0.25">
      <c r="A22" s="33">
        <f>Mitarbeiter!$A$21&amp;""</f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5">
        <f>IF($A22="","",SUMPRODUCT(COUNTIFS(B22:AF22,Codes,$B$52:$AF$52,1)*(Arten="Arbeit")*Erste*NettoTage)+SUMPRODUCT(COUNTIFS(B22:AF22,Codes,$B$53:$AF$53,1)*((Arten="Urlaub")+(Arten="Krank")+(Arten="Bezahlt abwesend"))*Erste)*N(Mitarbeiter!$B$21)/5/24)</f>
      </c>
      <c r="AH22" s="35">
        <f>IF($A22="","",N(Mitarbeiter!$B$21)/5/24*SUM($B$53:$AF$53))</f>
      </c>
      <c r="AI22" s="36">
        <f>IF($A22="","",IF((AG22-AH22)&lt;0,"-","+")&amp;TEXT(ABS((AG22-AH22)),"[h]:mm"))</f>
      </c>
      <c r="AJ22" s="37">
        <f>IF($A22="","",SUMPRODUCT(COUNTIFS(B22:AF22,Codes,$B$53:$AF$53,1)*(Arten="Urlaub")*Erste))</f>
      </c>
      <c r="AK22" s="37">
        <f>IF($A22="","",SUMPRODUCT(COUNTIFS(B22:AF22,Codes,$B$53:$AF$53,1)*(Arten="Krank")*Erste))</f>
      </c>
      <c r="AL22" s="38">
        <f>IF($A22="","",IF(COUNTIF(B71:AF71,1)&gt;0,COUNTIF(B71:AF71,1)&amp;"× Ruhezeit unter 11 Std. (§ 5)","")&amp;IF((COUNTIFS(B22:AF22,"?*",$B$52:$AF$52,1)-SUMPRODUCT(COUNTIFS(B22:AF22,Codes,$B$52:$AF$52,1)*(Codes&lt;&gt;"")*Erste))&gt;0,IF(COUNTIF(B71:AF71,1)&gt;0,"; ","")&amp;(COUNTIFS(B22:AF22,"?*",$B$52:$AF$52,1)-SUMPRODUCT(COUNTIFS(B22:AF22,Codes,$B$52:$AF$52,1)*(Codes&lt;&gt;"")*Erste))&amp;"× unbekanntes Kürzel",""))</f>
      </c>
    </row>
    <row r="23" spans="1:38" x14ac:dyDescent="0.25">
      <c r="A23" s="33">
        <f>Mitarbeiter!$A$22&amp;""</f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5">
        <f>IF($A23="","",SUMPRODUCT(COUNTIFS(B23:AF23,Codes,$B$52:$AF$52,1)*(Arten="Arbeit")*Erste*NettoTage)+SUMPRODUCT(COUNTIFS(B23:AF23,Codes,$B$53:$AF$53,1)*((Arten="Urlaub")+(Arten="Krank")+(Arten="Bezahlt abwesend"))*Erste)*N(Mitarbeiter!$B$22)/5/24)</f>
      </c>
      <c r="AH23" s="35">
        <f>IF($A23="","",N(Mitarbeiter!$B$22)/5/24*SUM($B$53:$AF$53))</f>
      </c>
      <c r="AI23" s="36">
        <f>IF($A23="","",IF((AG23-AH23)&lt;0,"-","+")&amp;TEXT(ABS((AG23-AH23)),"[h]:mm"))</f>
      </c>
      <c r="AJ23" s="37">
        <f>IF($A23="","",SUMPRODUCT(COUNTIFS(B23:AF23,Codes,$B$53:$AF$53,1)*(Arten="Urlaub")*Erste))</f>
      </c>
      <c r="AK23" s="37">
        <f>IF($A23="","",SUMPRODUCT(COUNTIFS(B23:AF23,Codes,$B$53:$AF$53,1)*(Arten="Krank")*Erste))</f>
      </c>
      <c r="AL23" s="38">
        <f>IF($A23="","",IF(COUNTIF(B72:AF72,1)&gt;0,COUNTIF(B72:AF72,1)&amp;"× Ruhezeit unter 11 Std. (§ 5)","")&amp;IF((COUNTIFS(B23:AF23,"?*",$B$52:$AF$52,1)-SUMPRODUCT(COUNTIFS(B23:AF23,Codes,$B$52:$AF$52,1)*(Codes&lt;&gt;"")*Erste))&gt;0,IF(COUNTIF(B72:AF72,1)&gt;0,"; ","")&amp;(COUNTIFS(B23:AF23,"?*",$B$52:$AF$52,1)-SUMPRODUCT(COUNTIFS(B23:AF23,Codes,$B$52:$AF$52,1)*(Codes&lt;&gt;"")*Erste))&amp;"× unbekanntes Kürzel",""))</f>
      </c>
    </row>
    <row r="24" spans="1:38" x14ac:dyDescent="0.25">
      <c r="A24" s="33">
        <f>Mitarbeiter!$A$23&amp;""</f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5">
        <f>IF($A24="","",SUMPRODUCT(COUNTIFS(B24:AF24,Codes,$B$52:$AF$52,1)*(Arten="Arbeit")*Erste*NettoTage)+SUMPRODUCT(COUNTIFS(B24:AF24,Codes,$B$53:$AF$53,1)*((Arten="Urlaub")+(Arten="Krank")+(Arten="Bezahlt abwesend"))*Erste)*N(Mitarbeiter!$B$23)/5/24)</f>
      </c>
      <c r="AH24" s="35">
        <f>IF($A24="","",N(Mitarbeiter!$B$23)/5/24*SUM($B$53:$AF$53))</f>
      </c>
      <c r="AI24" s="36">
        <f>IF($A24="","",IF((AG24-AH24)&lt;0,"-","+")&amp;TEXT(ABS((AG24-AH24)),"[h]:mm"))</f>
      </c>
      <c r="AJ24" s="37">
        <f>IF($A24="","",SUMPRODUCT(COUNTIFS(B24:AF24,Codes,$B$53:$AF$53,1)*(Arten="Urlaub")*Erste))</f>
      </c>
      <c r="AK24" s="37">
        <f>IF($A24="","",SUMPRODUCT(COUNTIFS(B24:AF24,Codes,$B$53:$AF$53,1)*(Arten="Krank")*Erste))</f>
      </c>
      <c r="AL24" s="38">
        <f>IF($A24="","",IF(COUNTIF(B73:AF73,1)&gt;0,COUNTIF(B73:AF73,1)&amp;"× Ruhezeit unter 11 Std. (§ 5)","")&amp;IF((COUNTIFS(B24:AF24,"?*",$B$52:$AF$52,1)-SUMPRODUCT(COUNTIFS(B24:AF24,Codes,$B$52:$AF$52,1)*(Codes&lt;&gt;"")*Erste))&gt;0,IF(COUNTIF(B73:AF73,1)&gt;0,"; ","")&amp;(COUNTIFS(B24:AF24,"?*",$B$52:$AF$52,1)-SUMPRODUCT(COUNTIFS(B24:AF24,Codes,$B$52:$AF$52,1)*(Codes&lt;&gt;"")*Erste))&amp;"× unbekanntes Kürzel",""))</f>
      </c>
    </row>
    <row r="25" spans="1:38" x14ac:dyDescent="0.25">
      <c r="A25" s="33">
        <f>Mitarbeiter!$A$24&amp;""</f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5">
        <f>IF($A25="","",SUMPRODUCT(COUNTIFS(B25:AF25,Codes,$B$52:$AF$52,1)*(Arten="Arbeit")*Erste*NettoTage)+SUMPRODUCT(COUNTIFS(B25:AF25,Codes,$B$53:$AF$53,1)*((Arten="Urlaub")+(Arten="Krank")+(Arten="Bezahlt abwesend"))*Erste)*N(Mitarbeiter!$B$24)/5/24)</f>
      </c>
      <c r="AH25" s="35">
        <f>IF($A25="","",N(Mitarbeiter!$B$24)/5/24*SUM($B$53:$AF$53))</f>
      </c>
      <c r="AI25" s="36">
        <f>IF($A25="","",IF((AG25-AH25)&lt;0,"-","+")&amp;TEXT(ABS((AG25-AH25)),"[h]:mm"))</f>
      </c>
      <c r="AJ25" s="37">
        <f>IF($A25="","",SUMPRODUCT(COUNTIFS(B25:AF25,Codes,$B$53:$AF$53,1)*(Arten="Urlaub")*Erste))</f>
      </c>
      <c r="AK25" s="37">
        <f>IF($A25="","",SUMPRODUCT(COUNTIFS(B25:AF25,Codes,$B$53:$AF$53,1)*(Arten="Krank")*Erste))</f>
      </c>
      <c r="AL25" s="38">
        <f>IF($A25="","",IF(COUNTIF(B74:AF74,1)&gt;0,COUNTIF(B74:AF74,1)&amp;"× Ruhezeit unter 11 Std. (§ 5)","")&amp;IF((COUNTIFS(B25:AF25,"?*",$B$52:$AF$52,1)-SUMPRODUCT(COUNTIFS(B25:AF25,Codes,$B$52:$AF$52,1)*(Codes&lt;&gt;"")*Erste))&gt;0,IF(COUNTIF(B74:AF74,1)&gt;0,"; ","")&amp;(COUNTIFS(B25:AF25,"?*",$B$52:$AF$52,1)-SUMPRODUCT(COUNTIFS(B25:AF25,Codes,$B$52:$AF$52,1)*(Codes&lt;&gt;"")*Erste))&amp;"× unbekanntes Kürzel",""))</f>
      </c>
    </row>
    <row r="26" spans="1:38" x14ac:dyDescent="0.25">
      <c r="A26" s="33">
        <f>Mitarbeiter!$A$25&amp;""</f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5">
        <f>IF($A26="","",SUMPRODUCT(COUNTIFS(B26:AF26,Codes,$B$52:$AF$52,1)*(Arten="Arbeit")*Erste*NettoTage)+SUMPRODUCT(COUNTIFS(B26:AF26,Codes,$B$53:$AF$53,1)*((Arten="Urlaub")+(Arten="Krank")+(Arten="Bezahlt abwesend"))*Erste)*N(Mitarbeiter!$B$25)/5/24)</f>
      </c>
      <c r="AH26" s="35">
        <f>IF($A26="","",N(Mitarbeiter!$B$25)/5/24*SUM($B$53:$AF$53))</f>
      </c>
      <c r="AI26" s="36">
        <f>IF($A26="","",IF((AG26-AH26)&lt;0,"-","+")&amp;TEXT(ABS((AG26-AH26)),"[h]:mm"))</f>
      </c>
      <c r="AJ26" s="37">
        <f>IF($A26="","",SUMPRODUCT(COUNTIFS(B26:AF26,Codes,$B$53:$AF$53,1)*(Arten="Urlaub")*Erste))</f>
      </c>
      <c r="AK26" s="37">
        <f>IF($A26="","",SUMPRODUCT(COUNTIFS(B26:AF26,Codes,$B$53:$AF$53,1)*(Arten="Krank")*Erste))</f>
      </c>
      <c r="AL26" s="38">
        <f>IF($A26="","",IF(COUNTIF(B75:AF75,1)&gt;0,COUNTIF(B75:AF75,1)&amp;"× Ruhezeit unter 11 Std. (§ 5)","")&amp;IF((COUNTIFS(B26:AF26,"?*",$B$52:$AF$52,1)-SUMPRODUCT(COUNTIFS(B26:AF26,Codes,$B$52:$AF$52,1)*(Codes&lt;&gt;"")*Erste))&gt;0,IF(COUNTIF(B75:AF75,1)&gt;0,"; ","")&amp;(COUNTIFS(B26:AF26,"?*",$B$52:$AF$52,1)-SUMPRODUCT(COUNTIFS(B26:AF26,Codes,$B$52:$AF$52,1)*(Codes&lt;&gt;"")*Erste))&amp;"× unbekanntes Kürzel",""))</f>
      </c>
    </row>
    <row r="27" spans="1:38" x14ac:dyDescent="0.25">
      <c r="A27" s="33">
        <f>Mitarbeiter!$A$26&amp;""</f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5">
        <f>IF($A27="","",SUMPRODUCT(COUNTIFS(B27:AF27,Codes,$B$52:$AF$52,1)*(Arten="Arbeit")*Erste*NettoTage)+SUMPRODUCT(COUNTIFS(B27:AF27,Codes,$B$53:$AF$53,1)*((Arten="Urlaub")+(Arten="Krank")+(Arten="Bezahlt abwesend"))*Erste)*N(Mitarbeiter!$B$26)/5/24)</f>
      </c>
      <c r="AH27" s="35">
        <f>IF($A27="","",N(Mitarbeiter!$B$26)/5/24*SUM($B$53:$AF$53))</f>
      </c>
      <c r="AI27" s="36">
        <f>IF($A27="","",IF((AG27-AH27)&lt;0,"-","+")&amp;TEXT(ABS((AG27-AH27)),"[h]:mm"))</f>
      </c>
      <c r="AJ27" s="37">
        <f>IF($A27="","",SUMPRODUCT(COUNTIFS(B27:AF27,Codes,$B$53:$AF$53,1)*(Arten="Urlaub")*Erste))</f>
      </c>
      <c r="AK27" s="37">
        <f>IF($A27="","",SUMPRODUCT(COUNTIFS(B27:AF27,Codes,$B$53:$AF$53,1)*(Arten="Krank")*Erste))</f>
      </c>
      <c r="AL27" s="38">
        <f>IF($A27="","",IF(COUNTIF(B76:AF76,1)&gt;0,COUNTIF(B76:AF76,1)&amp;"× Ruhezeit unter 11 Std. (§ 5)","")&amp;IF((COUNTIFS(B27:AF27,"?*",$B$52:$AF$52,1)-SUMPRODUCT(COUNTIFS(B27:AF27,Codes,$B$52:$AF$52,1)*(Codes&lt;&gt;"")*Erste))&gt;0,IF(COUNTIF(B76:AF76,1)&gt;0,"; ","")&amp;(COUNTIFS(B27:AF27,"?*",$B$52:$AF$52,1)-SUMPRODUCT(COUNTIFS(B27:AF27,Codes,$B$52:$AF$52,1)*(Codes&lt;&gt;"")*Erste))&amp;"× unbekanntes Kürzel",""))</f>
      </c>
    </row>
    <row r="28" spans="1:38" x14ac:dyDescent="0.25">
      <c r="A28" s="33">
        <f>Mitarbeiter!$A$27&amp;""</f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5">
        <f>IF($A28="","",SUMPRODUCT(COUNTIFS(B28:AF28,Codes,$B$52:$AF$52,1)*(Arten="Arbeit")*Erste*NettoTage)+SUMPRODUCT(COUNTIFS(B28:AF28,Codes,$B$53:$AF$53,1)*((Arten="Urlaub")+(Arten="Krank")+(Arten="Bezahlt abwesend"))*Erste)*N(Mitarbeiter!$B$27)/5/24)</f>
      </c>
      <c r="AH28" s="35">
        <f>IF($A28="","",N(Mitarbeiter!$B$27)/5/24*SUM($B$53:$AF$53))</f>
      </c>
      <c r="AI28" s="36">
        <f>IF($A28="","",IF((AG28-AH28)&lt;0,"-","+")&amp;TEXT(ABS((AG28-AH28)),"[h]:mm"))</f>
      </c>
      <c r="AJ28" s="37">
        <f>IF($A28="","",SUMPRODUCT(COUNTIFS(B28:AF28,Codes,$B$53:$AF$53,1)*(Arten="Urlaub")*Erste))</f>
      </c>
      <c r="AK28" s="37">
        <f>IF($A28="","",SUMPRODUCT(COUNTIFS(B28:AF28,Codes,$B$53:$AF$53,1)*(Arten="Krank")*Erste))</f>
      </c>
      <c r="AL28" s="38">
        <f>IF($A28="","",IF(COUNTIF(B77:AF77,1)&gt;0,COUNTIF(B77:AF77,1)&amp;"× Ruhezeit unter 11 Std. (§ 5)","")&amp;IF((COUNTIFS(B28:AF28,"?*",$B$52:$AF$52,1)-SUMPRODUCT(COUNTIFS(B28:AF28,Codes,$B$52:$AF$52,1)*(Codes&lt;&gt;"")*Erste))&gt;0,IF(COUNTIF(B77:AF77,1)&gt;0,"; ","")&amp;(COUNTIFS(B28:AF28,"?*",$B$52:$AF$52,1)-SUMPRODUCT(COUNTIFS(B28:AF28,Codes,$B$52:$AF$52,1)*(Codes&lt;&gt;"")*Erste))&amp;"× unbekanntes Kürzel",""))</f>
      </c>
    </row>
    <row r="29" spans="1:38" x14ac:dyDescent="0.25">
      <c r="A29" s="33">
        <f>Mitarbeiter!$A$28&amp;""</f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5">
        <f>IF($A29="","",SUMPRODUCT(COUNTIFS(B29:AF29,Codes,$B$52:$AF$52,1)*(Arten="Arbeit")*Erste*NettoTage)+SUMPRODUCT(COUNTIFS(B29:AF29,Codes,$B$53:$AF$53,1)*((Arten="Urlaub")+(Arten="Krank")+(Arten="Bezahlt abwesend"))*Erste)*N(Mitarbeiter!$B$28)/5/24)</f>
      </c>
      <c r="AH29" s="35">
        <f>IF($A29="","",N(Mitarbeiter!$B$28)/5/24*SUM($B$53:$AF$53))</f>
      </c>
      <c r="AI29" s="36">
        <f>IF($A29="","",IF((AG29-AH29)&lt;0,"-","+")&amp;TEXT(ABS((AG29-AH29)),"[h]:mm"))</f>
      </c>
      <c r="AJ29" s="37">
        <f>IF($A29="","",SUMPRODUCT(COUNTIFS(B29:AF29,Codes,$B$53:$AF$53,1)*(Arten="Urlaub")*Erste))</f>
      </c>
      <c r="AK29" s="37">
        <f>IF($A29="","",SUMPRODUCT(COUNTIFS(B29:AF29,Codes,$B$53:$AF$53,1)*(Arten="Krank")*Erste))</f>
      </c>
      <c r="AL29" s="38">
        <f>IF($A29="","",IF(COUNTIF(B78:AF78,1)&gt;0,COUNTIF(B78:AF78,1)&amp;"× Ruhezeit unter 11 Std. (§ 5)","")&amp;IF((COUNTIFS(B29:AF29,"?*",$B$52:$AF$52,1)-SUMPRODUCT(COUNTIFS(B29:AF29,Codes,$B$52:$AF$52,1)*(Codes&lt;&gt;"")*Erste))&gt;0,IF(COUNTIF(B78:AF78,1)&gt;0,"; ","")&amp;(COUNTIFS(B29:AF29,"?*",$B$52:$AF$52,1)-SUMPRODUCT(COUNTIFS(B29:AF29,Codes,$B$52:$AF$52,1)*(Codes&lt;&gt;"")*Erste))&amp;"× unbekanntes Kürzel",""))</f>
      </c>
    </row>
    <row r="30" spans="1:38" x14ac:dyDescent="0.25">
      <c r="A30" s="33">
        <f>Mitarbeiter!$A$29&amp;""</f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5">
        <f>IF($A30="","",SUMPRODUCT(COUNTIFS(B30:AF30,Codes,$B$52:$AF$52,1)*(Arten="Arbeit")*Erste*NettoTage)+SUMPRODUCT(COUNTIFS(B30:AF30,Codes,$B$53:$AF$53,1)*((Arten="Urlaub")+(Arten="Krank")+(Arten="Bezahlt abwesend"))*Erste)*N(Mitarbeiter!$B$29)/5/24)</f>
      </c>
      <c r="AH30" s="35">
        <f>IF($A30="","",N(Mitarbeiter!$B$29)/5/24*SUM($B$53:$AF$53))</f>
      </c>
      <c r="AI30" s="36">
        <f>IF($A30="","",IF((AG30-AH30)&lt;0,"-","+")&amp;TEXT(ABS((AG30-AH30)),"[h]:mm"))</f>
      </c>
      <c r="AJ30" s="37">
        <f>IF($A30="","",SUMPRODUCT(COUNTIFS(B30:AF30,Codes,$B$53:$AF$53,1)*(Arten="Urlaub")*Erste))</f>
      </c>
      <c r="AK30" s="37">
        <f>IF($A30="","",SUMPRODUCT(COUNTIFS(B30:AF30,Codes,$B$53:$AF$53,1)*(Arten="Krank")*Erste))</f>
      </c>
      <c r="AL30" s="38">
        <f>IF($A30="","",IF(COUNTIF(B79:AF79,1)&gt;0,COUNTIF(B79:AF79,1)&amp;"× Ruhezeit unter 11 Std. (§ 5)","")&amp;IF((COUNTIFS(B30:AF30,"?*",$B$52:$AF$52,1)-SUMPRODUCT(COUNTIFS(B30:AF30,Codes,$B$52:$AF$52,1)*(Codes&lt;&gt;"")*Erste))&gt;0,IF(COUNTIF(B79:AF79,1)&gt;0,"; ","")&amp;(COUNTIFS(B30:AF30,"?*",$B$52:$AF$52,1)-SUMPRODUCT(COUNTIFS(B30:AF30,Codes,$B$52:$AF$52,1)*(Codes&lt;&gt;"")*Erste))&amp;"× unbekanntes Kürzel",""))</f>
      </c>
    </row>
    <row r="31" spans="1:38" x14ac:dyDescent="0.25">
      <c r="A31" s="33">
        <f>Mitarbeiter!$A$30&amp;""</f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5">
        <f>IF($A31="","",SUMPRODUCT(COUNTIFS(B31:AF31,Codes,$B$52:$AF$52,1)*(Arten="Arbeit")*Erste*NettoTage)+SUMPRODUCT(COUNTIFS(B31:AF31,Codes,$B$53:$AF$53,1)*((Arten="Urlaub")+(Arten="Krank")+(Arten="Bezahlt abwesend"))*Erste)*N(Mitarbeiter!$B$30)/5/24)</f>
      </c>
      <c r="AH31" s="35">
        <f>IF($A31="","",N(Mitarbeiter!$B$30)/5/24*SUM($B$53:$AF$53))</f>
      </c>
      <c r="AI31" s="36">
        <f>IF($A31="","",IF((AG31-AH31)&lt;0,"-","+")&amp;TEXT(ABS((AG31-AH31)),"[h]:mm"))</f>
      </c>
      <c r="AJ31" s="37">
        <f>IF($A31="","",SUMPRODUCT(COUNTIFS(B31:AF31,Codes,$B$53:$AF$53,1)*(Arten="Urlaub")*Erste))</f>
      </c>
      <c r="AK31" s="37">
        <f>IF($A31="","",SUMPRODUCT(COUNTIFS(B31:AF31,Codes,$B$53:$AF$53,1)*(Arten="Krank")*Erste))</f>
      </c>
      <c r="AL31" s="38">
        <f>IF($A31="","",IF(COUNTIF(B80:AF80,1)&gt;0,COUNTIF(B80:AF80,1)&amp;"× Ruhezeit unter 11 Std. (§ 5)","")&amp;IF((COUNTIFS(B31:AF31,"?*",$B$52:$AF$52,1)-SUMPRODUCT(COUNTIFS(B31:AF31,Codes,$B$52:$AF$52,1)*(Codes&lt;&gt;"")*Erste))&gt;0,IF(COUNTIF(B80:AF80,1)&gt;0,"; ","")&amp;(COUNTIFS(B31:AF31,"?*",$B$52:$AF$52,1)-SUMPRODUCT(COUNTIFS(B31:AF31,Codes,$B$52:$AF$52,1)*(Codes&lt;&gt;"")*Erste))&amp;"× unbekanntes Kürzel",""))</f>
      </c>
    </row>
    <row r="32" spans="1:38" x14ac:dyDescent="0.25">
      <c r="A32" s="33">
        <f>Mitarbeiter!$A$31&amp;""</f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5">
        <f>IF($A32="","",SUMPRODUCT(COUNTIFS(B32:AF32,Codes,$B$52:$AF$52,1)*(Arten="Arbeit")*Erste*NettoTage)+SUMPRODUCT(COUNTIFS(B32:AF32,Codes,$B$53:$AF$53,1)*((Arten="Urlaub")+(Arten="Krank")+(Arten="Bezahlt abwesend"))*Erste)*N(Mitarbeiter!$B$31)/5/24)</f>
      </c>
      <c r="AH32" s="35">
        <f>IF($A32="","",N(Mitarbeiter!$B$31)/5/24*SUM($B$53:$AF$53))</f>
      </c>
      <c r="AI32" s="36">
        <f>IF($A32="","",IF((AG32-AH32)&lt;0,"-","+")&amp;TEXT(ABS((AG32-AH32)),"[h]:mm"))</f>
      </c>
      <c r="AJ32" s="37">
        <f>IF($A32="","",SUMPRODUCT(COUNTIFS(B32:AF32,Codes,$B$53:$AF$53,1)*(Arten="Urlaub")*Erste))</f>
      </c>
      <c r="AK32" s="37">
        <f>IF($A32="","",SUMPRODUCT(COUNTIFS(B32:AF32,Codes,$B$53:$AF$53,1)*(Arten="Krank")*Erste))</f>
      </c>
      <c r="AL32" s="38">
        <f>IF($A32="","",IF(COUNTIF(B81:AF81,1)&gt;0,COUNTIF(B81:AF81,1)&amp;"× Ruhezeit unter 11 Std. (§ 5)","")&amp;IF((COUNTIFS(B32:AF32,"?*",$B$52:$AF$52,1)-SUMPRODUCT(COUNTIFS(B32:AF32,Codes,$B$52:$AF$52,1)*(Codes&lt;&gt;"")*Erste))&gt;0,IF(COUNTIF(B81:AF81,1)&gt;0,"; ","")&amp;(COUNTIFS(B32:AF32,"?*",$B$52:$AF$52,1)-SUMPRODUCT(COUNTIFS(B32:AF32,Codes,$B$52:$AF$52,1)*(Codes&lt;&gt;"")*Erste))&amp;"× unbekanntes Kürzel",""))</f>
      </c>
    </row>
    <row r="33" spans="1:38" x14ac:dyDescent="0.25">
      <c r="A33" s="33">
        <f>Mitarbeiter!$A$32&amp;""</f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5">
        <f>IF($A33="","",SUMPRODUCT(COUNTIFS(B33:AF33,Codes,$B$52:$AF$52,1)*(Arten="Arbeit")*Erste*NettoTage)+SUMPRODUCT(COUNTIFS(B33:AF33,Codes,$B$53:$AF$53,1)*((Arten="Urlaub")+(Arten="Krank")+(Arten="Bezahlt abwesend"))*Erste)*N(Mitarbeiter!$B$32)/5/24)</f>
      </c>
      <c r="AH33" s="35">
        <f>IF($A33="","",N(Mitarbeiter!$B$32)/5/24*SUM($B$53:$AF$53))</f>
      </c>
      <c r="AI33" s="36">
        <f>IF($A33="","",IF((AG33-AH33)&lt;0,"-","+")&amp;TEXT(ABS((AG33-AH33)),"[h]:mm"))</f>
      </c>
      <c r="AJ33" s="37">
        <f>IF($A33="","",SUMPRODUCT(COUNTIFS(B33:AF33,Codes,$B$53:$AF$53,1)*(Arten="Urlaub")*Erste))</f>
      </c>
      <c r="AK33" s="37">
        <f>IF($A33="","",SUMPRODUCT(COUNTIFS(B33:AF33,Codes,$B$53:$AF$53,1)*(Arten="Krank")*Erste))</f>
      </c>
      <c r="AL33" s="38">
        <f>IF($A33="","",IF(COUNTIF(B82:AF82,1)&gt;0,COUNTIF(B82:AF82,1)&amp;"× Ruhezeit unter 11 Std. (§ 5)","")&amp;IF((COUNTIFS(B33:AF33,"?*",$B$52:$AF$52,1)-SUMPRODUCT(COUNTIFS(B33:AF33,Codes,$B$52:$AF$52,1)*(Codes&lt;&gt;"")*Erste))&gt;0,IF(COUNTIF(B82:AF82,1)&gt;0,"; ","")&amp;(COUNTIFS(B33:AF33,"?*",$B$52:$AF$52,1)-SUMPRODUCT(COUNTIFS(B33:AF33,Codes,$B$52:$AF$52,1)*(Codes&lt;&gt;"")*Erste))&amp;"× unbekanntes Kürzel",""))</f>
      </c>
    </row>
    <row r="34" spans="1:38" x14ac:dyDescent="0.25">
      <c r="A34" s="33">
        <f>Mitarbeiter!$A$33&amp;""</f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5">
        <f>IF($A34="","",SUMPRODUCT(COUNTIFS(B34:AF34,Codes,$B$52:$AF$52,1)*(Arten="Arbeit")*Erste*NettoTage)+SUMPRODUCT(COUNTIFS(B34:AF34,Codes,$B$53:$AF$53,1)*((Arten="Urlaub")+(Arten="Krank")+(Arten="Bezahlt abwesend"))*Erste)*N(Mitarbeiter!$B$33)/5/24)</f>
      </c>
      <c r="AH34" s="35">
        <f>IF($A34="","",N(Mitarbeiter!$B$33)/5/24*SUM($B$53:$AF$53))</f>
      </c>
      <c r="AI34" s="36">
        <f>IF($A34="","",IF((AG34-AH34)&lt;0,"-","+")&amp;TEXT(ABS((AG34-AH34)),"[h]:mm"))</f>
      </c>
      <c r="AJ34" s="37">
        <f>IF($A34="","",SUMPRODUCT(COUNTIFS(B34:AF34,Codes,$B$53:$AF$53,1)*(Arten="Urlaub")*Erste))</f>
      </c>
      <c r="AK34" s="37">
        <f>IF($A34="","",SUMPRODUCT(COUNTIFS(B34:AF34,Codes,$B$53:$AF$53,1)*(Arten="Krank")*Erste))</f>
      </c>
      <c r="AL34" s="38">
        <f>IF($A34="","",IF(COUNTIF(B83:AF83,1)&gt;0,COUNTIF(B83:AF83,1)&amp;"× Ruhezeit unter 11 Std. (§ 5)","")&amp;IF((COUNTIFS(B34:AF34,"?*",$B$52:$AF$52,1)-SUMPRODUCT(COUNTIFS(B34:AF34,Codes,$B$52:$AF$52,1)*(Codes&lt;&gt;"")*Erste))&gt;0,IF(COUNTIF(B83:AF83,1)&gt;0,"; ","")&amp;(COUNTIFS(B34:AF34,"?*",$B$52:$AF$52,1)-SUMPRODUCT(COUNTIFS(B34:AF34,Codes,$B$52:$AF$52,1)*(Codes&lt;&gt;"")*Erste))&amp;"× unbekanntes Kürzel",""))</f>
      </c>
    </row>
    <row r="35" spans="1:38" x14ac:dyDescent="0.25">
      <c r="A35" s="33">
        <f>Mitarbeiter!$A$34&amp;""</f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5">
        <f>IF($A35="","",SUMPRODUCT(COUNTIFS(B35:AF35,Codes,$B$52:$AF$52,1)*(Arten="Arbeit")*Erste*NettoTage)+SUMPRODUCT(COUNTIFS(B35:AF35,Codes,$B$53:$AF$53,1)*((Arten="Urlaub")+(Arten="Krank")+(Arten="Bezahlt abwesend"))*Erste)*N(Mitarbeiter!$B$34)/5/24)</f>
      </c>
      <c r="AH35" s="35">
        <f>IF($A35="","",N(Mitarbeiter!$B$34)/5/24*SUM($B$53:$AF$53))</f>
      </c>
      <c r="AI35" s="36">
        <f>IF($A35="","",IF((AG35-AH35)&lt;0,"-","+")&amp;TEXT(ABS((AG35-AH35)),"[h]:mm"))</f>
      </c>
      <c r="AJ35" s="37">
        <f>IF($A35="","",SUMPRODUCT(COUNTIFS(B35:AF35,Codes,$B$53:$AF$53,1)*(Arten="Urlaub")*Erste))</f>
      </c>
      <c r="AK35" s="37">
        <f>IF($A35="","",SUMPRODUCT(COUNTIFS(B35:AF35,Codes,$B$53:$AF$53,1)*(Arten="Krank")*Erste))</f>
      </c>
      <c r="AL35" s="38">
        <f>IF($A35="","",IF(COUNTIF(B84:AF84,1)&gt;0,COUNTIF(B84:AF84,1)&amp;"× Ruhezeit unter 11 Std. (§ 5)","")&amp;IF((COUNTIFS(B35:AF35,"?*",$B$52:$AF$52,1)-SUMPRODUCT(COUNTIFS(B35:AF35,Codes,$B$52:$AF$52,1)*(Codes&lt;&gt;"")*Erste))&gt;0,IF(COUNTIF(B84:AF84,1)&gt;0,"; ","")&amp;(COUNTIFS(B35:AF35,"?*",$B$52:$AF$52,1)-SUMPRODUCT(COUNTIFS(B35:AF35,Codes,$B$52:$AF$52,1)*(Codes&lt;&gt;"")*Erste))&amp;"× unbekanntes Kürzel",""))</f>
      </c>
    </row>
    <row r="37" spans="1:1" x14ac:dyDescent="0.25">
      <c r="A37" s="39" t="s">
        <v>63</v>
      </c>
    </row>
    <row r="38" spans="1:39" x14ac:dyDescent="0.25">
      <c r="A38" s="40">
        <f>IFERROR(INDEX(Codes,MATCH(1,ArbeitNr,0))&amp;" "&amp;INDEX(Bezeichnungen,MATCH(1,ArbeitNr,0)),"")</f>
      </c>
      <c r="B38" s="41">
        <f>IF(OR($AM38="",B$52=0),"",COUNTIF(B$6:B$35,$AM38))</f>
      </c>
      <c r="C38" s="41">
        <f>IF(OR($AM38="",C$52=0),"",COUNTIF(C$6:C$35,$AM38))</f>
      </c>
      <c r="D38" s="41">
        <f>IF(OR($AM38="",D$52=0),"",COUNTIF(D$6:D$35,$AM38))</f>
      </c>
      <c r="E38" s="41">
        <f>IF(OR($AM38="",E$52=0),"",COUNTIF(E$6:E$35,$AM38))</f>
      </c>
      <c r="F38" s="41">
        <f>IF(OR($AM38="",F$52=0),"",COUNTIF(F$6:F$35,$AM38))</f>
      </c>
      <c r="G38" s="41">
        <f>IF(OR($AM38="",G$52=0),"",COUNTIF(G$6:G$35,$AM38))</f>
      </c>
      <c r="H38" s="41">
        <f>IF(OR($AM38="",H$52=0),"",COUNTIF(H$6:H$35,$AM38))</f>
      </c>
      <c r="I38" s="41">
        <f>IF(OR($AM38="",I$52=0),"",COUNTIF(I$6:I$35,$AM38))</f>
      </c>
      <c r="J38" s="41">
        <f>IF(OR($AM38="",J$52=0),"",COUNTIF(J$6:J$35,$AM38))</f>
      </c>
      <c r="K38" s="41">
        <f>IF(OR($AM38="",K$52=0),"",COUNTIF(K$6:K$35,$AM38))</f>
      </c>
      <c r="L38" s="41">
        <f>IF(OR($AM38="",L$52=0),"",COUNTIF(L$6:L$35,$AM38))</f>
      </c>
      <c r="M38" s="41">
        <f>IF(OR($AM38="",M$52=0),"",COUNTIF(M$6:M$35,$AM38))</f>
      </c>
      <c r="N38" s="41">
        <f>IF(OR($AM38="",N$52=0),"",COUNTIF(N$6:N$35,$AM38))</f>
      </c>
      <c r="O38" s="41">
        <f>IF(OR($AM38="",O$52=0),"",COUNTIF(O$6:O$35,$AM38))</f>
      </c>
      <c r="P38" s="41">
        <f>IF(OR($AM38="",P$52=0),"",COUNTIF(P$6:P$35,$AM38))</f>
      </c>
      <c r="Q38" s="41">
        <f>IF(OR($AM38="",Q$52=0),"",COUNTIF(Q$6:Q$35,$AM38))</f>
      </c>
      <c r="R38" s="41">
        <f>IF(OR($AM38="",R$52=0),"",COUNTIF(R$6:R$35,$AM38))</f>
      </c>
      <c r="S38" s="41">
        <f>IF(OR($AM38="",S$52=0),"",COUNTIF(S$6:S$35,$AM38))</f>
      </c>
      <c r="T38" s="41">
        <f>IF(OR($AM38="",T$52=0),"",COUNTIF(T$6:T$35,$AM38))</f>
      </c>
      <c r="U38" s="41">
        <f>IF(OR($AM38="",U$52=0),"",COUNTIF(U$6:U$35,$AM38))</f>
      </c>
      <c r="V38" s="41">
        <f>IF(OR($AM38="",V$52=0),"",COUNTIF(V$6:V$35,$AM38))</f>
      </c>
      <c r="W38" s="41">
        <f>IF(OR($AM38="",W$52=0),"",COUNTIF(W$6:W$35,$AM38))</f>
      </c>
      <c r="X38" s="41">
        <f>IF(OR($AM38="",X$52=0),"",COUNTIF(X$6:X$35,$AM38))</f>
      </c>
      <c r="Y38" s="41">
        <f>IF(OR($AM38="",Y$52=0),"",COUNTIF(Y$6:Y$35,$AM38))</f>
      </c>
      <c r="Z38" s="41">
        <f>IF(OR($AM38="",Z$52=0),"",COUNTIF(Z$6:Z$35,$AM38))</f>
      </c>
      <c r="AA38" s="41">
        <f>IF(OR($AM38="",AA$52=0),"",COUNTIF(AA$6:AA$35,$AM38))</f>
      </c>
      <c r="AB38" s="41">
        <f>IF(OR($AM38="",AB$52=0),"",COUNTIF(AB$6:AB$35,$AM38))</f>
      </c>
      <c r="AC38" s="41">
        <f>IF(OR($AM38="",AC$52=0),"",COUNTIF(AC$6:AC$35,$AM38))</f>
      </c>
      <c r="AD38" s="41">
        <f>IF(OR($AM38="",AD$52=0),"",COUNTIF(AD$6:AD$35,$AM38))</f>
      </c>
      <c r="AE38" s="41">
        <f>IF(OR($AM38="",AE$52=0),"",COUNTIF(AE$6:AE$35,$AM38))</f>
      </c>
      <c r="AF38" s="41">
        <f>IF(OR($AM38="",AF$52=0),"",COUNTIF(AF$6:AF$35,$AM38))</f>
      </c>
      <c r="AG38" s="1"/>
      <c r="AH38" s="1"/>
      <c r="AI38" s="1"/>
      <c r="AJ38" s="1"/>
      <c r="AK38" s="1"/>
      <c r="AL38" s="1"/>
      <c r="AM38" s="1">
        <f>IFERROR(INDEX(Codes,MATCH(1,ArbeitNr,0)),"")</f>
      </c>
    </row>
    <row r="39" spans="1:39" x14ac:dyDescent="0.25">
      <c r="A39" s="40">
        <f>IFERROR(INDEX(Codes,MATCH(2,ArbeitNr,0))&amp;" "&amp;INDEX(Bezeichnungen,MATCH(2,ArbeitNr,0)),"")</f>
      </c>
      <c r="B39" s="41">
        <f>IF(OR($AM39="",B$52=0),"",COUNTIF(B$6:B$35,$AM39))</f>
      </c>
      <c r="C39" s="41">
        <f>IF(OR($AM39="",C$52=0),"",COUNTIF(C$6:C$35,$AM39))</f>
      </c>
      <c r="D39" s="41">
        <f>IF(OR($AM39="",D$52=0),"",COUNTIF(D$6:D$35,$AM39))</f>
      </c>
      <c r="E39" s="41">
        <f>IF(OR($AM39="",E$52=0),"",COUNTIF(E$6:E$35,$AM39))</f>
      </c>
      <c r="F39" s="41">
        <f>IF(OR($AM39="",F$52=0),"",COUNTIF(F$6:F$35,$AM39))</f>
      </c>
      <c r="G39" s="41">
        <f>IF(OR($AM39="",G$52=0),"",COUNTIF(G$6:G$35,$AM39))</f>
      </c>
      <c r="H39" s="41">
        <f>IF(OR($AM39="",H$52=0),"",COUNTIF(H$6:H$35,$AM39))</f>
      </c>
      <c r="I39" s="41">
        <f>IF(OR($AM39="",I$52=0),"",COUNTIF(I$6:I$35,$AM39))</f>
      </c>
      <c r="J39" s="41">
        <f>IF(OR($AM39="",J$52=0),"",COUNTIF(J$6:J$35,$AM39))</f>
      </c>
      <c r="K39" s="41">
        <f>IF(OR($AM39="",K$52=0),"",COUNTIF(K$6:K$35,$AM39))</f>
      </c>
      <c r="L39" s="41">
        <f>IF(OR($AM39="",L$52=0),"",COUNTIF(L$6:L$35,$AM39))</f>
      </c>
      <c r="M39" s="41">
        <f>IF(OR($AM39="",M$52=0),"",COUNTIF(M$6:M$35,$AM39))</f>
      </c>
      <c r="N39" s="41">
        <f>IF(OR($AM39="",N$52=0),"",COUNTIF(N$6:N$35,$AM39))</f>
      </c>
      <c r="O39" s="41">
        <f>IF(OR($AM39="",O$52=0),"",COUNTIF(O$6:O$35,$AM39))</f>
      </c>
      <c r="P39" s="41">
        <f>IF(OR($AM39="",P$52=0),"",COUNTIF(P$6:P$35,$AM39))</f>
      </c>
      <c r="Q39" s="41">
        <f>IF(OR($AM39="",Q$52=0),"",COUNTIF(Q$6:Q$35,$AM39))</f>
      </c>
      <c r="R39" s="41">
        <f>IF(OR($AM39="",R$52=0),"",COUNTIF(R$6:R$35,$AM39))</f>
      </c>
      <c r="S39" s="41">
        <f>IF(OR($AM39="",S$52=0),"",COUNTIF(S$6:S$35,$AM39))</f>
      </c>
      <c r="T39" s="41">
        <f>IF(OR($AM39="",T$52=0),"",COUNTIF(T$6:T$35,$AM39))</f>
      </c>
      <c r="U39" s="41">
        <f>IF(OR($AM39="",U$52=0),"",COUNTIF(U$6:U$35,$AM39))</f>
      </c>
      <c r="V39" s="41">
        <f>IF(OR($AM39="",V$52=0),"",COUNTIF(V$6:V$35,$AM39))</f>
      </c>
      <c r="W39" s="41">
        <f>IF(OR($AM39="",W$52=0),"",COUNTIF(W$6:W$35,$AM39))</f>
      </c>
      <c r="X39" s="41">
        <f>IF(OR($AM39="",X$52=0),"",COUNTIF(X$6:X$35,$AM39))</f>
      </c>
      <c r="Y39" s="41">
        <f>IF(OR($AM39="",Y$52=0),"",COUNTIF(Y$6:Y$35,$AM39))</f>
      </c>
      <c r="Z39" s="41">
        <f>IF(OR($AM39="",Z$52=0),"",COUNTIF(Z$6:Z$35,$AM39))</f>
      </c>
      <c r="AA39" s="41">
        <f>IF(OR($AM39="",AA$52=0),"",COUNTIF(AA$6:AA$35,$AM39))</f>
      </c>
      <c r="AB39" s="41">
        <f>IF(OR($AM39="",AB$52=0),"",COUNTIF(AB$6:AB$35,$AM39))</f>
      </c>
      <c r="AC39" s="41">
        <f>IF(OR($AM39="",AC$52=0),"",COUNTIF(AC$6:AC$35,$AM39))</f>
      </c>
      <c r="AD39" s="41">
        <f>IF(OR($AM39="",AD$52=0),"",COUNTIF(AD$6:AD$35,$AM39))</f>
      </c>
      <c r="AE39" s="41">
        <f>IF(OR($AM39="",AE$52=0),"",COUNTIF(AE$6:AE$35,$AM39))</f>
      </c>
      <c r="AF39" s="41">
        <f>IF(OR($AM39="",AF$52=0),"",COUNTIF(AF$6:AF$35,$AM39))</f>
      </c>
      <c r="AG39" s="1"/>
      <c r="AH39" s="1"/>
      <c r="AI39" s="1"/>
      <c r="AJ39" s="1"/>
      <c r="AK39" s="1"/>
      <c r="AL39" s="1"/>
      <c r="AM39" s="1">
        <f>IFERROR(INDEX(Codes,MATCH(2,ArbeitNr,0)),"")</f>
      </c>
    </row>
    <row r="40" spans="1:39" x14ac:dyDescent="0.25">
      <c r="A40" s="40">
        <f>IFERROR(INDEX(Codes,MATCH(3,ArbeitNr,0))&amp;" "&amp;INDEX(Bezeichnungen,MATCH(3,ArbeitNr,0)),"")</f>
      </c>
      <c r="B40" s="41">
        <f>IF(OR($AM40="",B$52=0),"",COUNTIF(B$6:B$35,$AM40))</f>
      </c>
      <c r="C40" s="41">
        <f>IF(OR($AM40="",C$52=0),"",COUNTIF(C$6:C$35,$AM40))</f>
      </c>
      <c r="D40" s="41">
        <f>IF(OR($AM40="",D$52=0),"",COUNTIF(D$6:D$35,$AM40))</f>
      </c>
      <c r="E40" s="41">
        <f>IF(OR($AM40="",E$52=0),"",COUNTIF(E$6:E$35,$AM40))</f>
      </c>
      <c r="F40" s="41">
        <f>IF(OR($AM40="",F$52=0),"",COUNTIF(F$6:F$35,$AM40))</f>
      </c>
      <c r="G40" s="41">
        <f>IF(OR($AM40="",G$52=0),"",COUNTIF(G$6:G$35,$AM40))</f>
      </c>
      <c r="H40" s="41">
        <f>IF(OR($AM40="",H$52=0),"",COUNTIF(H$6:H$35,$AM40))</f>
      </c>
      <c r="I40" s="41">
        <f>IF(OR($AM40="",I$52=0),"",COUNTIF(I$6:I$35,$AM40))</f>
      </c>
      <c r="J40" s="41">
        <f>IF(OR($AM40="",J$52=0),"",COUNTIF(J$6:J$35,$AM40))</f>
      </c>
      <c r="K40" s="41">
        <f>IF(OR($AM40="",K$52=0),"",COUNTIF(K$6:K$35,$AM40))</f>
      </c>
      <c r="L40" s="41">
        <f>IF(OR($AM40="",L$52=0),"",COUNTIF(L$6:L$35,$AM40))</f>
      </c>
      <c r="M40" s="41">
        <f>IF(OR($AM40="",M$52=0),"",COUNTIF(M$6:M$35,$AM40))</f>
      </c>
      <c r="N40" s="41">
        <f>IF(OR($AM40="",N$52=0),"",COUNTIF(N$6:N$35,$AM40))</f>
      </c>
      <c r="O40" s="41">
        <f>IF(OR($AM40="",O$52=0),"",COUNTIF(O$6:O$35,$AM40))</f>
      </c>
      <c r="P40" s="41">
        <f>IF(OR($AM40="",P$52=0),"",COUNTIF(P$6:P$35,$AM40))</f>
      </c>
      <c r="Q40" s="41">
        <f>IF(OR($AM40="",Q$52=0),"",COUNTIF(Q$6:Q$35,$AM40))</f>
      </c>
      <c r="R40" s="41">
        <f>IF(OR($AM40="",R$52=0),"",COUNTIF(R$6:R$35,$AM40))</f>
      </c>
      <c r="S40" s="41">
        <f>IF(OR($AM40="",S$52=0),"",COUNTIF(S$6:S$35,$AM40))</f>
      </c>
      <c r="T40" s="41">
        <f>IF(OR($AM40="",T$52=0),"",COUNTIF(T$6:T$35,$AM40))</f>
      </c>
      <c r="U40" s="41">
        <f>IF(OR($AM40="",U$52=0),"",COUNTIF(U$6:U$35,$AM40))</f>
      </c>
      <c r="V40" s="41">
        <f>IF(OR($AM40="",V$52=0),"",COUNTIF(V$6:V$35,$AM40))</f>
      </c>
      <c r="W40" s="41">
        <f>IF(OR($AM40="",W$52=0),"",COUNTIF(W$6:W$35,$AM40))</f>
      </c>
      <c r="X40" s="41">
        <f>IF(OR($AM40="",X$52=0),"",COUNTIF(X$6:X$35,$AM40))</f>
      </c>
      <c r="Y40" s="41">
        <f>IF(OR($AM40="",Y$52=0),"",COUNTIF(Y$6:Y$35,$AM40))</f>
      </c>
      <c r="Z40" s="41">
        <f>IF(OR($AM40="",Z$52=0),"",COUNTIF(Z$6:Z$35,$AM40))</f>
      </c>
      <c r="AA40" s="41">
        <f>IF(OR($AM40="",AA$52=0),"",COUNTIF(AA$6:AA$35,$AM40))</f>
      </c>
      <c r="AB40" s="41">
        <f>IF(OR($AM40="",AB$52=0),"",COUNTIF(AB$6:AB$35,$AM40))</f>
      </c>
      <c r="AC40" s="41">
        <f>IF(OR($AM40="",AC$52=0),"",COUNTIF(AC$6:AC$35,$AM40))</f>
      </c>
      <c r="AD40" s="41">
        <f>IF(OR($AM40="",AD$52=0),"",COUNTIF(AD$6:AD$35,$AM40))</f>
      </c>
      <c r="AE40" s="41">
        <f>IF(OR($AM40="",AE$52=0),"",COUNTIF(AE$6:AE$35,$AM40))</f>
      </c>
      <c r="AF40" s="41">
        <f>IF(OR($AM40="",AF$52=0),"",COUNTIF(AF$6:AF$35,$AM40))</f>
      </c>
      <c r="AG40" s="1"/>
      <c r="AH40" s="1"/>
      <c r="AI40" s="1"/>
      <c r="AJ40" s="1"/>
      <c r="AK40" s="1"/>
      <c r="AL40" s="1"/>
      <c r="AM40" s="1">
        <f>IFERROR(INDEX(Codes,MATCH(3,ArbeitNr,0)),"")</f>
      </c>
    </row>
    <row r="41" spans="1:39" x14ac:dyDescent="0.25">
      <c r="A41" s="40">
        <f>IFERROR(INDEX(Codes,MATCH(4,ArbeitNr,0))&amp;" "&amp;INDEX(Bezeichnungen,MATCH(4,ArbeitNr,0)),"")</f>
      </c>
      <c r="B41" s="41">
        <f>IF(OR($AM41="",B$52=0),"",COUNTIF(B$6:B$35,$AM41))</f>
      </c>
      <c r="C41" s="41">
        <f>IF(OR($AM41="",C$52=0),"",COUNTIF(C$6:C$35,$AM41))</f>
      </c>
      <c r="D41" s="41">
        <f>IF(OR($AM41="",D$52=0),"",COUNTIF(D$6:D$35,$AM41))</f>
      </c>
      <c r="E41" s="41">
        <f>IF(OR($AM41="",E$52=0),"",COUNTIF(E$6:E$35,$AM41))</f>
      </c>
      <c r="F41" s="41">
        <f>IF(OR($AM41="",F$52=0),"",COUNTIF(F$6:F$35,$AM41))</f>
      </c>
      <c r="G41" s="41">
        <f>IF(OR($AM41="",G$52=0),"",COUNTIF(G$6:G$35,$AM41))</f>
      </c>
      <c r="H41" s="41">
        <f>IF(OR($AM41="",H$52=0),"",COUNTIF(H$6:H$35,$AM41))</f>
      </c>
      <c r="I41" s="41">
        <f>IF(OR($AM41="",I$52=0),"",COUNTIF(I$6:I$35,$AM41))</f>
      </c>
      <c r="J41" s="41">
        <f>IF(OR($AM41="",J$52=0),"",COUNTIF(J$6:J$35,$AM41))</f>
      </c>
      <c r="K41" s="41">
        <f>IF(OR($AM41="",K$52=0),"",COUNTIF(K$6:K$35,$AM41))</f>
      </c>
      <c r="L41" s="41">
        <f>IF(OR($AM41="",L$52=0),"",COUNTIF(L$6:L$35,$AM41))</f>
      </c>
      <c r="M41" s="41">
        <f>IF(OR($AM41="",M$52=0),"",COUNTIF(M$6:M$35,$AM41))</f>
      </c>
      <c r="N41" s="41">
        <f>IF(OR($AM41="",N$52=0),"",COUNTIF(N$6:N$35,$AM41))</f>
      </c>
      <c r="O41" s="41">
        <f>IF(OR($AM41="",O$52=0),"",COUNTIF(O$6:O$35,$AM41))</f>
      </c>
      <c r="P41" s="41">
        <f>IF(OR($AM41="",P$52=0),"",COUNTIF(P$6:P$35,$AM41))</f>
      </c>
      <c r="Q41" s="41">
        <f>IF(OR($AM41="",Q$52=0),"",COUNTIF(Q$6:Q$35,$AM41))</f>
      </c>
      <c r="R41" s="41">
        <f>IF(OR($AM41="",R$52=0),"",COUNTIF(R$6:R$35,$AM41))</f>
      </c>
      <c r="S41" s="41">
        <f>IF(OR($AM41="",S$52=0),"",COUNTIF(S$6:S$35,$AM41))</f>
      </c>
      <c r="T41" s="41">
        <f>IF(OR($AM41="",T$52=0),"",COUNTIF(T$6:T$35,$AM41))</f>
      </c>
      <c r="U41" s="41">
        <f>IF(OR($AM41="",U$52=0),"",COUNTIF(U$6:U$35,$AM41))</f>
      </c>
      <c r="V41" s="41">
        <f>IF(OR($AM41="",V$52=0),"",COUNTIF(V$6:V$35,$AM41))</f>
      </c>
      <c r="W41" s="41">
        <f>IF(OR($AM41="",W$52=0),"",COUNTIF(W$6:W$35,$AM41))</f>
      </c>
      <c r="X41" s="41">
        <f>IF(OR($AM41="",X$52=0),"",COUNTIF(X$6:X$35,$AM41))</f>
      </c>
      <c r="Y41" s="41">
        <f>IF(OR($AM41="",Y$52=0),"",COUNTIF(Y$6:Y$35,$AM41))</f>
      </c>
      <c r="Z41" s="41">
        <f>IF(OR($AM41="",Z$52=0),"",COUNTIF(Z$6:Z$35,$AM41))</f>
      </c>
      <c r="AA41" s="41">
        <f>IF(OR($AM41="",AA$52=0),"",COUNTIF(AA$6:AA$35,$AM41))</f>
      </c>
      <c r="AB41" s="41">
        <f>IF(OR($AM41="",AB$52=0),"",COUNTIF(AB$6:AB$35,$AM41))</f>
      </c>
      <c r="AC41" s="41">
        <f>IF(OR($AM41="",AC$52=0),"",COUNTIF(AC$6:AC$35,$AM41))</f>
      </c>
      <c r="AD41" s="41">
        <f>IF(OR($AM41="",AD$52=0),"",COUNTIF(AD$6:AD$35,$AM41))</f>
      </c>
      <c r="AE41" s="41">
        <f>IF(OR($AM41="",AE$52=0),"",COUNTIF(AE$6:AE$35,$AM41))</f>
      </c>
      <c r="AF41" s="41">
        <f>IF(OR($AM41="",AF$52=0),"",COUNTIF(AF$6:AF$35,$AM41))</f>
      </c>
      <c r="AG41" s="1"/>
      <c r="AH41" s="1"/>
      <c r="AI41" s="1"/>
      <c r="AJ41" s="1"/>
      <c r="AK41" s="1"/>
      <c r="AL41" s="1"/>
      <c r="AM41" s="1">
        <f>IFERROR(INDEX(Codes,MATCH(4,ArbeitNr,0)),"")</f>
      </c>
    </row>
    <row r="42" spans="1:39" x14ac:dyDescent="0.25">
      <c r="A42" s="40">
        <f>IFERROR(INDEX(Codes,MATCH(5,ArbeitNr,0))&amp;" "&amp;INDEX(Bezeichnungen,MATCH(5,ArbeitNr,0)),"")</f>
      </c>
      <c r="B42" s="41">
        <f>IF(OR($AM42="",B$52=0),"",COUNTIF(B$6:B$35,$AM42))</f>
      </c>
      <c r="C42" s="41">
        <f>IF(OR($AM42="",C$52=0),"",COUNTIF(C$6:C$35,$AM42))</f>
      </c>
      <c r="D42" s="41">
        <f>IF(OR($AM42="",D$52=0),"",COUNTIF(D$6:D$35,$AM42))</f>
      </c>
      <c r="E42" s="41">
        <f>IF(OR($AM42="",E$52=0),"",COUNTIF(E$6:E$35,$AM42))</f>
      </c>
      <c r="F42" s="41">
        <f>IF(OR($AM42="",F$52=0),"",COUNTIF(F$6:F$35,$AM42))</f>
      </c>
      <c r="G42" s="41">
        <f>IF(OR($AM42="",G$52=0),"",COUNTIF(G$6:G$35,$AM42))</f>
      </c>
      <c r="H42" s="41">
        <f>IF(OR($AM42="",H$52=0),"",COUNTIF(H$6:H$35,$AM42))</f>
      </c>
      <c r="I42" s="41">
        <f>IF(OR($AM42="",I$52=0),"",COUNTIF(I$6:I$35,$AM42))</f>
      </c>
      <c r="J42" s="41">
        <f>IF(OR($AM42="",J$52=0),"",COUNTIF(J$6:J$35,$AM42))</f>
      </c>
      <c r="K42" s="41">
        <f>IF(OR($AM42="",K$52=0),"",COUNTIF(K$6:K$35,$AM42))</f>
      </c>
      <c r="L42" s="41">
        <f>IF(OR($AM42="",L$52=0),"",COUNTIF(L$6:L$35,$AM42))</f>
      </c>
      <c r="M42" s="41">
        <f>IF(OR($AM42="",M$52=0),"",COUNTIF(M$6:M$35,$AM42))</f>
      </c>
      <c r="N42" s="41">
        <f>IF(OR($AM42="",N$52=0),"",COUNTIF(N$6:N$35,$AM42))</f>
      </c>
      <c r="O42" s="41">
        <f>IF(OR($AM42="",O$52=0),"",COUNTIF(O$6:O$35,$AM42))</f>
      </c>
      <c r="P42" s="41">
        <f>IF(OR($AM42="",P$52=0),"",COUNTIF(P$6:P$35,$AM42))</f>
      </c>
      <c r="Q42" s="41">
        <f>IF(OR($AM42="",Q$52=0),"",COUNTIF(Q$6:Q$35,$AM42))</f>
      </c>
      <c r="R42" s="41">
        <f>IF(OR($AM42="",R$52=0),"",COUNTIF(R$6:R$35,$AM42))</f>
      </c>
      <c r="S42" s="41">
        <f>IF(OR($AM42="",S$52=0),"",COUNTIF(S$6:S$35,$AM42))</f>
      </c>
      <c r="T42" s="41">
        <f>IF(OR($AM42="",T$52=0),"",COUNTIF(T$6:T$35,$AM42))</f>
      </c>
      <c r="U42" s="41">
        <f>IF(OR($AM42="",U$52=0),"",COUNTIF(U$6:U$35,$AM42))</f>
      </c>
      <c r="V42" s="41">
        <f>IF(OR($AM42="",V$52=0),"",COUNTIF(V$6:V$35,$AM42))</f>
      </c>
      <c r="W42" s="41">
        <f>IF(OR($AM42="",W$52=0),"",COUNTIF(W$6:W$35,$AM42))</f>
      </c>
      <c r="X42" s="41">
        <f>IF(OR($AM42="",X$52=0),"",COUNTIF(X$6:X$35,$AM42))</f>
      </c>
      <c r="Y42" s="41">
        <f>IF(OR($AM42="",Y$52=0),"",COUNTIF(Y$6:Y$35,$AM42))</f>
      </c>
      <c r="Z42" s="41">
        <f>IF(OR($AM42="",Z$52=0),"",COUNTIF(Z$6:Z$35,$AM42))</f>
      </c>
      <c r="AA42" s="41">
        <f>IF(OR($AM42="",AA$52=0),"",COUNTIF(AA$6:AA$35,$AM42))</f>
      </c>
      <c r="AB42" s="41">
        <f>IF(OR($AM42="",AB$52=0),"",COUNTIF(AB$6:AB$35,$AM42))</f>
      </c>
      <c r="AC42" s="41">
        <f>IF(OR($AM42="",AC$52=0),"",COUNTIF(AC$6:AC$35,$AM42))</f>
      </c>
      <c r="AD42" s="41">
        <f>IF(OR($AM42="",AD$52=0),"",COUNTIF(AD$6:AD$35,$AM42))</f>
      </c>
      <c r="AE42" s="41">
        <f>IF(OR($AM42="",AE$52=0),"",COUNTIF(AE$6:AE$35,$AM42))</f>
      </c>
      <c r="AF42" s="41">
        <f>IF(OR($AM42="",AF$52=0),"",COUNTIF(AF$6:AF$35,$AM42))</f>
      </c>
      <c r="AG42" s="1"/>
      <c r="AH42" s="1"/>
      <c r="AI42" s="1"/>
      <c r="AJ42" s="1"/>
      <c r="AK42" s="1"/>
      <c r="AL42" s="1"/>
      <c r="AM42" s="1">
        <f>IFERROR(INDEX(Codes,MATCH(5,ArbeitNr,0)),"")</f>
      </c>
    </row>
    <row r="43" spans="1:39" x14ac:dyDescent="0.25">
      <c r="A43" s="40">
        <f>IFERROR(INDEX(Codes,MATCH(6,ArbeitNr,0))&amp;" "&amp;INDEX(Bezeichnungen,MATCH(6,ArbeitNr,0)),"")</f>
      </c>
      <c r="B43" s="41">
        <f>IF(OR($AM43="",B$52=0),"",COUNTIF(B$6:B$35,$AM43))</f>
      </c>
      <c r="C43" s="41">
        <f>IF(OR($AM43="",C$52=0),"",COUNTIF(C$6:C$35,$AM43))</f>
      </c>
      <c r="D43" s="41">
        <f>IF(OR($AM43="",D$52=0),"",COUNTIF(D$6:D$35,$AM43))</f>
      </c>
      <c r="E43" s="41">
        <f>IF(OR($AM43="",E$52=0),"",COUNTIF(E$6:E$35,$AM43))</f>
      </c>
      <c r="F43" s="41">
        <f>IF(OR($AM43="",F$52=0),"",COUNTIF(F$6:F$35,$AM43))</f>
      </c>
      <c r="G43" s="41">
        <f>IF(OR($AM43="",G$52=0),"",COUNTIF(G$6:G$35,$AM43))</f>
      </c>
      <c r="H43" s="41">
        <f>IF(OR($AM43="",H$52=0),"",COUNTIF(H$6:H$35,$AM43))</f>
      </c>
      <c r="I43" s="41">
        <f>IF(OR($AM43="",I$52=0),"",COUNTIF(I$6:I$35,$AM43))</f>
      </c>
      <c r="J43" s="41">
        <f>IF(OR($AM43="",J$52=0),"",COUNTIF(J$6:J$35,$AM43))</f>
      </c>
      <c r="K43" s="41">
        <f>IF(OR($AM43="",K$52=0),"",COUNTIF(K$6:K$35,$AM43))</f>
      </c>
      <c r="L43" s="41">
        <f>IF(OR($AM43="",L$52=0),"",COUNTIF(L$6:L$35,$AM43))</f>
      </c>
      <c r="M43" s="41">
        <f>IF(OR($AM43="",M$52=0),"",COUNTIF(M$6:M$35,$AM43))</f>
      </c>
      <c r="N43" s="41">
        <f>IF(OR($AM43="",N$52=0),"",COUNTIF(N$6:N$35,$AM43))</f>
      </c>
      <c r="O43" s="41">
        <f>IF(OR($AM43="",O$52=0),"",COUNTIF(O$6:O$35,$AM43))</f>
      </c>
      <c r="P43" s="41">
        <f>IF(OR($AM43="",P$52=0),"",COUNTIF(P$6:P$35,$AM43))</f>
      </c>
      <c r="Q43" s="41">
        <f>IF(OR($AM43="",Q$52=0),"",COUNTIF(Q$6:Q$35,$AM43))</f>
      </c>
      <c r="R43" s="41">
        <f>IF(OR($AM43="",R$52=0),"",COUNTIF(R$6:R$35,$AM43))</f>
      </c>
      <c r="S43" s="41">
        <f>IF(OR($AM43="",S$52=0),"",COUNTIF(S$6:S$35,$AM43))</f>
      </c>
      <c r="T43" s="41">
        <f>IF(OR($AM43="",T$52=0),"",COUNTIF(T$6:T$35,$AM43))</f>
      </c>
      <c r="U43" s="41">
        <f>IF(OR($AM43="",U$52=0),"",COUNTIF(U$6:U$35,$AM43))</f>
      </c>
      <c r="V43" s="41">
        <f>IF(OR($AM43="",V$52=0),"",COUNTIF(V$6:V$35,$AM43))</f>
      </c>
      <c r="W43" s="41">
        <f>IF(OR($AM43="",W$52=0),"",COUNTIF(W$6:W$35,$AM43))</f>
      </c>
      <c r="X43" s="41">
        <f>IF(OR($AM43="",X$52=0),"",COUNTIF(X$6:X$35,$AM43))</f>
      </c>
      <c r="Y43" s="41">
        <f>IF(OR($AM43="",Y$52=0),"",COUNTIF(Y$6:Y$35,$AM43))</f>
      </c>
      <c r="Z43" s="41">
        <f>IF(OR($AM43="",Z$52=0),"",COUNTIF(Z$6:Z$35,$AM43))</f>
      </c>
      <c r="AA43" s="41">
        <f>IF(OR($AM43="",AA$52=0),"",COUNTIF(AA$6:AA$35,$AM43))</f>
      </c>
      <c r="AB43" s="41">
        <f>IF(OR($AM43="",AB$52=0),"",COUNTIF(AB$6:AB$35,$AM43))</f>
      </c>
      <c r="AC43" s="41">
        <f>IF(OR($AM43="",AC$52=0),"",COUNTIF(AC$6:AC$35,$AM43))</f>
      </c>
      <c r="AD43" s="41">
        <f>IF(OR($AM43="",AD$52=0),"",COUNTIF(AD$6:AD$35,$AM43))</f>
      </c>
      <c r="AE43" s="41">
        <f>IF(OR($AM43="",AE$52=0),"",COUNTIF(AE$6:AE$35,$AM43))</f>
      </c>
      <c r="AF43" s="41">
        <f>IF(OR($AM43="",AF$52=0),"",COUNTIF(AF$6:AF$35,$AM43))</f>
      </c>
      <c r="AG43" s="1"/>
      <c r="AH43" s="1"/>
      <c r="AI43" s="1"/>
      <c r="AJ43" s="1"/>
      <c r="AK43" s="1"/>
      <c r="AL43" s="1"/>
      <c r="AM43" s="1">
        <f>IFERROR(INDEX(Codes,MATCH(6,ArbeitNr,0)),"")</f>
      </c>
    </row>
    <row r="44" spans="1:39" x14ac:dyDescent="0.25">
      <c r="A44" s="40">
        <f>IFERROR(INDEX(Codes,MATCH(7,ArbeitNr,0))&amp;" "&amp;INDEX(Bezeichnungen,MATCH(7,ArbeitNr,0)),"")</f>
      </c>
      <c r="B44" s="41">
        <f>IF(OR($AM44="",B$52=0),"",COUNTIF(B$6:B$35,$AM44))</f>
      </c>
      <c r="C44" s="41">
        <f>IF(OR($AM44="",C$52=0),"",COUNTIF(C$6:C$35,$AM44))</f>
      </c>
      <c r="D44" s="41">
        <f>IF(OR($AM44="",D$52=0),"",COUNTIF(D$6:D$35,$AM44))</f>
      </c>
      <c r="E44" s="41">
        <f>IF(OR($AM44="",E$52=0),"",COUNTIF(E$6:E$35,$AM44))</f>
      </c>
      <c r="F44" s="41">
        <f>IF(OR($AM44="",F$52=0),"",COUNTIF(F$6:F$35,$AM44))</f>
      </c>
      <c r="G44" s="41">
        <f>IF(OR($AM44="",G$52=0),"",COUNTIF(G$6:G$35,$AM44))</f>
      </c>
      <c r="H44" s="41">
        <f>IF(OR($AM44="",H$52=0),"",COUNTIF(H$6:H$35,$AM44))</f>
      </c>
      <c r="I44" s="41">
        <f>IF(OR($AM44="",I$52=0),"",COUNTIF(I$6:I$35,$AM44))</f>
      </c>
      <c r="J44" s="41">
        <f>IF(OR($AM44="",J$52=0),"",COUNTIF(J$6:J$35,$AM44))</f>
      </c>
      <c r="K44" s="41">
        <f>IF(OR($AM44="",K$52=0),"",COUNTIF(K$6:K$35,$AM44))</f>
      </c>
      <c r="L44" s="41">
        <f>IF(OR($AM44="",L$52=0),"",COUNTIF(L$6:L$35,$AM44))</f>
      </c>
      <c r="M44" s="41">
        <f>IF(OR($AM44="",M$52=0),"",COUNTIF(M$6:M$35,$AM44))</f>
      </c>
      <c r="N44" s="41">
        <f>IF(OR($AM44="",N$52=0),"",COUNTIF(N$6:N$35,$AM44))</f>
      </c>
      <c r="O44" s="41">
        <f>IF(OR($AM44="",O$52=0),"",COUNTIF(O$6:O$35,$AM44))</f>
      </c>
      <c r="P44" s="41">
        <f>IF(OR($AM44="",P$52=0),"",COUNTIF(P$6:P$35,$AM44))</f>
      </c>
      <c r="Q44" s="41">
        <f>IF(OR($AM44="",Q$52=0),"",COUNTIF(Q$6:Q$35,$AM44))</f>
      </c>
      <c r="R44" s="41">
        <f>IF(OR($AM44="",R$52=0),"",COUNTIF(R$6:R$35,$AM44))</f>
      </c>
      <c r="S44" s="41">
        <f>IF(OR($AM44="",S$52=0),"",COUNTIF(S$6:S$35,$AM44))</f>
      </c>
      <c r="T44" s="41">
        <f>IF(OR($AM44="",T$52=0),"",COUNTIF(T$6:T$35,$AM44))</f>
      </c>
      <c r="U44" s="41">
        <f>IF(OR($AM44="",U$52=0),"",COUNTIF(U$6:U$35,$AM44))</f>
      </c>
      <c r="V44" s="41">
        <f>IF(OR($AM44="",V$52=0),"",COUNTIF(V$6:V$35,$AM44))</f>
      </c>
      <c r="W44" s="41">
        <f>IF(OR($AM44="",W$52=0),"",COUNTIF(W$6:W$35,$AM44))</f>
      </c>
      <c r="X44" s="41">
        <f>IF(OR($AM44="",X$52=0),"",COUNTIF(X$6:X$35,$AM44))</f>
      </c>
      <c r="Y44" s="41">
        <f>IF(OR($AM44="",Y$52=0),"",COUNTIF(Y$6:Y$35,$AM44))</f>
      </c>
      <c r="Z44" s="41">
        <f>IF(OR($AM44="",Z$52=0),"",COUNTIF(Z$6:Z$35,$AM44))</f>
      </c>
      <c r="AA44" s="41">
        <f>IF(OR($AM44="",AA$52=0),"",COUNTIF(AA$6:AA$35,$AM44))</f>
      </c>
      <c r="AB44" s="41">
        <f>IF(OR($AM44="",AB$52=0),"",COUNTIF(AB$6:AB$35,$AM44))</f>
      </c>
      <c r="AC44" s="41">
        <f>IF(OR($AM44="",AC$52=0),"",COUNTIF(AC$6:AC$35,$AM44))</f>
      </c>
      <c r="AD44" s="41">
        <f>IF(OR($AM44="",AD$52=0),"",COUNTIF(AD$6:AD$35,$AM44))</f>
      </c>
      <c r="AE44" s="41">
        <f>IF(OR($AM44="",AE$52=0),"",COUNTIF(AE$6:AE$35,$AM44))</f>
      </c>
      <c r="AF44" s="41">
        <f>IF(OR($AM44="",AF$52=0),"",COUNTIF(AF$6:AF$35,$AM44))</f>
      </c>
      <c r="AG44" s="1"/>
      <c r="AH44" s="1"/>
      <c r="AI44" s="1"/>
      <c r="AJ44" s="1"/>
      <c r="AK44" s="1"/>
      <c r="AL44" s="1"/>
      <c r="AM44" s="1">
        <f>IFERROR(INDEX(Codes,MATCH(7,ArbeitNr,0)),"")</f>
      </c>
    </row>
    <row r="45" spans="1:39" x14ac:dyDescent="0.25">
      <c r="A45" s="40">
        <f>IFERROR(INDEX(Codes,MATCH(8,ArbeitNr,0))&amp;" "&amp;INDEX(Bezeichnungen,MATCH(8,ArbeitNr,0)),"")</f>
      </c>
      <c r="B45" s="41">
        <f>IF(OR($AM45="",B$52=0),"",COUNTIF(B$6:B$35,$AM45))</f>
      </c>
      <c r="C45" s="41">
        <f>IF(OR($AM45="",C$52=0),"",COUNTIF(C$6:C$35,$AM45))</f>
      </c>
      <c r="D45" s="41">
        <f>IF(OR($AM45="",D$52=0),"",COUNTIF(D$6:D$35,$AM45))</f>
      </c>
      <c r="E45" s="41">
        <f>IF(OR($AM45="",E$52=0),"",COUNTIF(E$6:E$35,$AM45))</f>
      </c>
      <c r="F45" s="41">
        <f>IF(OR($AM45="",F$52=0),"",COUNTIF(F$6:F$35,$AM45))</f>
      </c>
      <c r="G45" s="41">
        <f>IF(OR($AM45="",G$52=0),"",COUNTIF(G$6:G$35,$AM45))</f>
      </c>
      <c r="H45" s="41">
        <f>IF(OR($AM45="",H$52=0),"",COUNTIF(H$6:H$35,$AM45))</f>
      </c>
      <c r="I45" s="41">
        <f>IF(OR($AM45="",I$52=0),"",COUNTIF(I$6:I$35,$AM45))</f>
      </c>
      <c r="J45" s="41">
        <f>IF(OR($AM45="",J$52=0),"",COUNTIF(J$6:J$35,$AM45))</f>
      </c>
      <c r="K45" s="41">
        <f>IF(OR($AM45="",K$52=0),"",COUNTIF(K$6:K$35,$AM45))</f>
      </c>
      <c r="L45" s="41">
        <f>IF(OR($AM45="",L$52=0),"",COUNTIF(L$6:L$35,$AM45))</f>
      </c>
      <c r="M45" s="41">
        <f>IF(OR($AM45="",M$52=0),"",COUNTIF(M$6:M$35,$AM45))</f>
      </c>
      <c r="N45" s="41">
        <f>IF(OR($AM45="",N$52=0),"",COUNTIF(N$6:N$35,$AM45))</f>
      </c>
      <c r="O45" s="41">
        <f>IF(OR($AM45="",O$52=0),"",COUNTIF(O$6:O$35,$AM45))</f>
      </c>
      <c r="P45" s="41">
        <f>IF(OR($AM45="",P$52=0),"",COUNTIF(P$6:P$35,$AM45))</f>
      </c>
      <c r="Q45" s="41">
        <f>IF(OR($AM45="",Q$52=0),"",COUNTIF(Q$6:Q$35,$AM45))</f>
      </c>
      <c r="R45" s="41">
        <f>IF(OR($AM45="",R$52=0),"",COUNTIF(R$6:R$35,$AM45))</f>
      </c>
      <c r="S45" s="41">
        <f>IF(OR($AM45="",S$52=0),"",COUNTIF(S$6:S$35,$AM45))</f>
      </c>
      <c r="T45" s="41">
        <f>IF(OR($AM45="",T$52=0),"",COUNTIF(T$6:T$35,$AM45))</f>
      </c>
      <c r="U45" s="41">
        <f>IF(OR($AM45="",U$52=0),"",COUNTIF(U$6:U$35,$AM45))</f>
      </c>
      <c r="V45" s="41">
        <f>IF(OR($AM45="",V$52=0),"",COUNTIF(V$6:V$35,$AM45))</f>
      </c>
      <c r="W45" s="41">
        <f>IF(OR($AM45="",W$52=0),"",COUNTIF(W$6:W$35,$AM45))</f>
      </c>
      <c r="X45" s="41">
        <f>IF(OR($AM45="",X$52=0),"",COUNTIF(X$6:X$35,$AM45))</f>
      </c>
      <c r="Y45" s="41">
        <f>IF(OR($AM45="",Y$52=0),"",COUNTIF(Y$6:Y$35,$AM45))</f>
      </c>
      <c r="Z45" s="41">
        <f>IF(OR($AM45="",Z$52=0),"",COUNTIF(Z$6:Z$35,$AM45))</f>
      </c>
      <c r="AA45" s="41">
        <f>IF(OR($AM45="",AA$52=0),"",COUNTIF(AA$6:AA$35,$AM45))</f>
      </c>
      <c r="AB45" s="41">
        <f>IF(OR($AM45="",AB$52=0),"",COUNTIF(AB$6:AB$35,$AM45))</f>
      </c>
      <c r="AC45" s="41">
        <f>IF(OR($AM45="",AC$52=0),"",COUNTIF(AC$6:AC$35,$AM45))</f>
      </c>
      <c r="AD45" s="41">
        <f>IF(OR($AM45="",AD$52=0),"",COUNTIF(AD$6:AD$35,$AM45))</f>
      </c>
      <c r="AE45" s="41">
        <f>IF(OR($AM45="",AE$52=0),"",COUNTIF(AE$6:AE$35,$AM45))</f>
      </c>
      <c r="AF45" s="41">
        <f>IF(OR($AM45="",AF$52=0),"",COUNTIF(AF$6:AF$35,$AM45))</f>
      </c>
      <c r="AG45" s="1"/>
      <c r="AH45" s="1"/>
      <c r="AI45" s="1"/>
      <c r="AJ45" s="1"/>
      <c r="AK45" s="1"/>
      <c r="AL45" s="1"/>
      <c r="AM45" s="1">
        <f>IFERROR(INDEX(Codes,MATCH(8,ArbeitNr,0)),"")</f>
      </c>
    </row>
    <row r="46" ht="22" customHeight="1" spans="1:32" x14ac:dyDescent="0.25">
      <c r="A46" s="42" t="s">
        <v>64</v>
      </c>
      <c r="B46" s="43">
        <f>TRIM(IF(AND(B38&lt;&gt;"",N(B38)&lt;N(B86)),$AM38&amp;" ","")&amp;IF(AND(B39&lt;&gt;"",N(B39)&lt;N(B87)),$AM39&amp;" ","")&amp;IF(AND(B40&lt;&gt;"",N(B40)&lt;N(B88)),$AM40&amp;" ","")&amp;IF(AND(B41&lt;&gt;"",N(B41)&lt;N(B89)),$AM41&amp;" ","")&amp;IF(AND(B42&lt;&gt;"",N(B42)&lt;N(B90)),$AM42&amp;" ","")&amp;IF(AND(B43&lt;&gt;"",N(B43)&lt;N(B91)),$AM43&amp;" ","")&amp;IF(AND(B44&lt;&gt;"",N(B44)&lt;N(B92)),$AM44&amp;" ","")&amp;IF(AND(B45&lt;&gt;"",N(B45)&lt;N(B93)),$AM45&amp;" ",""))</f>
      </c>
      <c r="C46" s="43">
        <f>TRIM(IF(AND(C38&lt;&gt;"",N(C38)&lt;N(C86)),$AM38&amp;" ","")&amp;IF(AND(C39&lt;&gt;"",N(C39)&lt;N(C87)),$AM39&amp;" ","")&amp;IF(AND(C40&lt;&gt;"",N(C40)&lt;N(C88)),$AM40&amp;" ","")&amp;IF(AND(C41&lt;&gt;"",N(C41)&lt;N(C89)),$AM41&amp;" ","")&amp;IF(AND(C42&lt;&gt;"",N(C42)&lt;N(C90)),$AM42&amp;" ","")&amp;IF(AND(C43&lt;&gt;"",N(C43)&lt;N(C91)),$AM43&amp;" ","")&amp;IF(AND(C44&lt;&gt;"",N(C44)&lt;N(C92)),$AM44&amp;" ","")&amp;IF(AND(C45&lt;&gt;"",N(C45)&lt;N(C93)),$AM45&amp;" ",""))</f>
      </c>
      <c r="D46" s="43">
        <f>TRIM(IF(AND(D38&lt;&gt;"",N(D38)&lt;N(D86)),$AM38&amp;" ","")&amp;IF(AND(D39&lt;&gt;"",N(D39)&lt;N(D87)),$AM39&amp;" ","")&amp;IF(AND(D40&lt;&gt;"",N(D40)&lt;N(D88)),$AM40&amp;" ","")&amp;IF(AND(D41&lt;&gt;"",N(D41)&lt;N(D89)),$AM41&amp;" ","")&amp;IF(AND(D42&lt;&gt;"",N(D42)&lt;N(D90)),$AM42&amp;" ","")&amp;IF(AND(D43&lt;&gt;"",N(D43)&lt;N(D91)),$AM43&amp;" ","")&amp;IF(AND(D44&lt;&gt;"",N(D44)&lt;N(D92)),$AM44&amp;" ","")&amp;IF(AND(D45&lt;&gt;"",N(D45)&lt;N(D93)),$AM45&amp;" ",""))</f>
      </c>
      <c r="E46" s="43">
        <f>TRIM(IF(AND(E38&lt;&gt;"",N(E38)&lt;N(E86)),$AM38&amp;" ","")&amp;IF(AND(E39&lt;&gt;"",N(E39)&lt;N(E87)),$AM39&amp;" ","")&amp;IF(AND(E40&lt;&gt;"",N(E40)&lt;N(E88)),$AM40&amp;" ","")&amp;IF(AND(E41&lt;&gt;"",N(E41)&lt;N(E89)),$AM41&amp;" ","")&amp;IF(AND(E42&lt;&gt;"",N(E42)&lt;N(E90)),$AM42&amp;" ","")&amp;IF(AND(E43&lt;&gt;"",N(E43)&lt;N(E91)),$AM43&amp;" ","")&amp;IF(AND(E44&lt;&gt;"",N(E44)&lt;N(E92)),$AM44&amp;" ","")&amp;IF(AND(E45&lt;&gt;"",N(E45)&lt;N(E93)),$AM45&amp;" ",""))</f>
      </c>
      <c r="F46" s="43">
        <f>TRIM(IF(AND(F38&lt;&gt;"",N(F38)&lt;N(F86)),$AM38&amp;" ","")&amp;IF(AND(F39&lt;&gt;"",N(F39)&lt;N(F87)),$AM39&amp;" ","")&amp;IF(AND(F40&lt;&gt;"",N(F40)&lt;N(F88)),$AM40&amp;" ","")&amp;IF(AND(F41&lt;&gt;"",N(F41)&lt;N(F89)),$AM41&amp;" ","")&amp;IF(AND(F42&lt;&gt;"",N(F42)&lt;N(F90)),$AM42&amp;" ","")&amp;IF(AND(F43&lt;&gt;"",N(F43)&lt;N(F91)),$AM43&amp;" ","")&amp;IF(AND(F44&lt;&gt;"",N(F44)&lt;N(F92)),$AM44&amp;" ","")&amp;IF(AND(F45&lt;&gt;"",N(F45)&lt;N(F93)),$AM45&amp;" ",""))</f>
      </c>
      <c r="G46" s="43">
        <f>TRIM(IF(AND(G38&lt;&gt;"",N(G38)&lt;N(G86)),$AM38&amp;" ","")&amp;IF(AND(G39&lt;&gt;"",N(G39)&lt;N(G87)),$AM39&amp;" ","")&amp;IF(AND(G40&lt;&gt;"",N(G40)&lt;N(G88)),$AM40&amp;" ","")&amp;IF(AND(G41&lt;&gt;"",N(G41)&lt;N(G89)),$AM41&amp;" ","")&amp;IF(AND(G42&lt;&gt;"",N(G42)&lt;N(G90)),$AM42&amp;" ","")&amp;IF(AND(G43&lt;&gt;"",N(G43)&lt;N(G91)),$AM43&amp;" ","")&amp;IF(AND(G44&lt;&gt;"",N(G44)&lt;N(G92)),$AM44&amp;" ","")&amp;IF(AND(G45&lt;&gt;"",N(G45)&lt;N(G93)),$AM45&amp;" ",""))</f>
      </c>
      <c r="H46" s="43">
        <f>TRIM(IF(AND(H38&lt;&gt;"",N(H38)&lt;N(H86)),$AM38&amp;" ","")&amp;IF(AND(H39&lt;&gt;"",N(H39)&lt;N(H87)),$AM39&amp;" ","")&amp;IF(AND(H40&lt;&gt;"",N(H40)&lt;N(H88)),$AM40&amp;" ","")&amp;IF(AND(H41&lt;&gt;"",N(H41)&lt;N(H89)),$AM41&amp;" ","")&amp;IF(AND(H42&lt;&gt;"",N(H42)&lt;N(H90)),$AM42&amp;" ","")&amp;IF(AND(H43&lt;&gt;"",N(H43)&lt;N(H91)),$AM43&amp;" ","")&amp;IF(AND(H44&lt;&gt;"",N(H44)&lt;N(H92)),$AM44&amp;" ","")&amp;IF(AND(H45&lt;&gt;"",N(H45)&lt;N(H93)),$AM45&amp;" ",""))</f>
      </c>
      <c r="I46" s="43">
        <f>TRIM(IF(AND(I38&lt;&gt;"",N(I38)&lt;N(I86)),$AM38&amp;" ","")&amp;IF(AND(I39&lt;&gt;"",N(I39)&lt;N(I87)),$AM39&amp;" ","")&amp;IF(AND(I40&lt;&gt;"",N(I40)&lt;N(I88)),$AM40&amp;" ","")&amp;IF(AND(I41&lt;&gt;"",N(I41)&lt;N(I89)),$AM41&amp;" ","")&amp;IF(AND(I42&lt;&gt;"",N(I42)&lt;N(I90)),$AM42&amp;" ","")&amp;IF(AND(I43&lt;&gt;"",N(I43)&lt;N(I91)),$AM43&amp;" ","")&amp;IF(AND(I44&lt;&gt;"",N(I44)&lt;N(I92)),$AM44&amp;" ","")&amp;IF(AND(I45&lt;&gt;"",N(I45)&lt;N(I93)),$AM45&amp;" ",""))</f>
      </c>
      <c r="J46" s="43">
        <f>TRIM(IF(AND(J38&lt;&gt;"",N(J38)&lt;N(J86)),$AM38&amp;" ","")&amp;IF(AND(J39&lt;&gt;"",N(J39)&lt;N(J87)),$AM39&amp;" ","")&amp;IF(AND(J40&lt;&gt;"",N(J40)&lt;N(J88)),$AM40&amp;" ","")&amp;IF(AND(J41&lt;&gt;"",N(J41)&lt;N(J89)),$AM41&amp;" ","")&amp;IF(AND(J42&lt;&gt;"",N(J42)&lt;N(J90)),$AM42&amp;" ","")&amp;IF(AND(J43&lt;&gt;"",N(J43)&lt;N(J91)),$AM43&amp;" ","")&amp;IF(AND(J44&lt;&gt;"",N(J44)&lt;N(J92)),$AM44&amp;" ","")&amp;IF(AND(J45&lt;&gt;"",N(J45)&lt;N(J93)),$AM45&amp;" ",""))</f>
      </c>
      <c r="K46" s="43">
        <f>TRIM(IF(AND(K38&lt;&gt;"",N(K38)&lt;N(K86)),$AM38&amp;" ","")&amp;IF(AND(K39&lt;&gt;"",N(K39)&lt;N(K87)),$AM39&amp;" ","")&amp;IF(AND(K40&lt;&gt;"",N(K40)&lt;N(K88)),$AM40&amp;" ","")&amp;IF(AND(K41&lt;&gt;"",N(K41)&lt;N(K89)),$AM41&amp;" ","")&amp;IF(AND(K42&lt;&gt;"",N(K42)&lt;N(K90)),$AM42&amp;" ","")&amp;IF(AND(K43&lt;&gt;"",N(K43)&lt;N(K91)),$AM43&amp;" ","")&amp;IF(AND(K44&lt;&gt;"",N(K44)&lt;N(K92)),$AM44&amp;" ","")&amp;IF(AND(K45&lt;&gt;"",N(K45)&lt;N(K93)),$AM45&amp;" ",""))</f>
      </c>
      <c r="L46" s="43">
        <f>TRIM(IF(AND(L38&lt;&gt;"",N(L38)&lt;N(L86)),$AM38&amp;" ","")&amp;IF(AND(L39&lt;&gt;"",N(L39)&lt;N(L87)),$AM39&amp;" ","")&amp;IF(AND(L40&lt;&gt;"",N(L40)&lt;N(L88)),$AM40&amp;" ","")&amp;IF(AND(L41&lt;&gt;"",N(L41)&lt;N(L89)),$AM41&amp;" ","")&amp;IF(AND(L42&lt;&gt;"",N(L42)&lt;N(L90)),$AM42&amp;" ","")&amp;IF(AND(L43&lt;&gt;"",N(L43)&lt;N(L91)),$AM43&amp;" ","")&amp;IF(AND(L44&lt;&gt;"",N(L44)&lt;N(L92)),$AM44&amp;" ","")&amp;IF(AND(L45&lt;&gt;"",N(L45)&lt;N(L93)),$AM45&amp;" ",""))</f>
      </c>
      <c r="M46" s="43">
        <f>TRIM(IF(AND(M38&lt;&gt;"",N(M38)&lt;N(M86)),$AM38&amp;" ","")&amp;IF(AND(M39&lt;&gt;"",N(M39)&lt;N(M87)),$AM39&amp;" ","")&amp;IF(AND(M40&lt;&gt;"",N(M40)&lt;N(M88)),$AM40&amp;" ","")&amp;IF(AND(M41&lt;&gt;"",N(M41)&lt;N(M89)),$AM41&amp;" ","")&amp;IF(AND(M42&lt;&gt;"",N(M42)&lt;N(M90)),$AM42&amp;" ","")&amp;IF(AND(M43&lt;&gt;"",N(M43)&lt;N(M91)),$AM43&amp;" ","")&amp;IF(AND(M44&lt;&gt;"",N(M44)&lt;N(M92)),$AM44&amp;" ","")&amp;IF(AND(M45&lt;&gt;"",N(M45)&lt;N(M93)),$AM45&amp;" ",""))</f>
      </c>
      <c r="N46" s="43">
        <f>TRIM(IF(AND(N38&lt;&gt;"",N(N38)&lt;N(N86)),$AM38&amp;" ","")&amp;IF(AND(N39&lt;&gt;"",N(N39)&lt;N(N87)),$AM39&amp;" ","")&amp;IF(AND(N40&lt;&gt;"",N(N40)&lt;N(N88)),$AM40&amp;" ","")&amp;IF(AND(N41&lt;&gt;"",N(N41)&lt;N(N89)),$AM41&amp;" ","")&amp;IF(AND(N42&lt;&gt;"",N(N42)&lt;N(N90)),$AM42&amp;" ","")&amp;IF(AND(N43&lt;&gt;"",N(N43)&lt;N(N91)),$AM43&amp;" ","")&amp;IF(AND(N44&lt;&gt;"",N(N44)&lt;N(N92)),$AM44&amp;" ","")&amp;IF(AND(N45&lt;&gt;"",N(N45)&lt;N(N93)),$AM45&amp;" ",""))</f>
      </c>
      <c r="O46" s="43">
        <f>TRIM(IF(AND(O38&lt;&gt;"",N(O38)&lt;N(O86)),$AM38&amp;" ","")&amp;IF(AND(O39&lt;&gt;"",N(O39)&lt;N(O87)),$AM39&amp;" ","")&amp;IF(AND(O40&lt;&gt;"",N(O40)&lt;N(O88)),$AM40&amp;" ","")&amp;IF(AND(O41&lt;&gt;"",N(O41)&lt;N(O89)),$AM41&amp;" ","")&amp;IF(AND(O42&lt;&gt;"",N(O42)&lt;N(O90)),$AM42&amp;" ","")&amp;IF(AND(O43&lt;&gt;"",N(O43)&lt;N(O91)),$AM43&amp;" ","")&amp;IF(AND(O44&lt;&gt;"",N(O44)&lt;N(O92)),$AM44&amp;" ","")&amp;IF(AND(O45&lt;&gt;"",N(O45)&lt;N(O93)),$AM45&amp;" ",""))</f>
      </c>
      <c r="P46" s="43">
        <f>TRIM(IF(AND(P38&lt;&gt;"",N(P38)&lt;N(P86)),$AM38&amp;" ","")&amp;IF(AND(P39&lt;&gt;"",N(P39)&lt;N(P87)),$AM39&amp;" ","")&amp;IF(AND(P40&lt;&gt;"",N(P40)&lt;N(P88)),$AM40&amp;" ","")&amp;IF(AND(P41&lt;&gt;"",N(P41)&lt;N(P89)),$AM41&amp;" ","")&amp;IF(AND(P42&lt;&gt;"",N(P42)&lt;N(P90)),$AM42&amp;" ","")&amp;IF(AND(P43&lt;&gt;"",N(P43)&lt;N(P91)),$AM43&amp;" ","")&amp;IF(AND(P44&lt;&gt;"",N(P44)&lt;N(P92)),$AM44&amp;" ","")&amp;IF(AND(P45&lt;&gt;"",N(P45)&lt;N(P93)),$AM45&amp;" ",""))</f>
      </c>
      <c r="Q46" s="43">
        <f>TRIM(IF(AND(Q38&lt;&gt;"",N(Q38)&lt;N(Q86)),$AM38&amp;" ","")&amp;IF(AND(Q39&lt;&gt;"",N(Q39)&lt;N(Q87)),$AM39&amp;" ","")&amp;IF(AND(Q40&lt;&gt;"",N(Q40)&lt;N(Q88)),$AM40&amp;" ","")&amp;IF(AND(Q41&lt;&gt;"",N(Q41)&lt;N(Q89)),$AM41&amp;" ","")&amp;IF(AND(Q42&lt;&gt;"",N(Q42)&lt;N(Q90)),$AM42&amp;" ","")&amp;IF(AND(Q43&lt;&gt;"",N(Q43)&lt;N(Q91)),$AM43&amp;" ","")&amp;IF(AND(Q44&lt;&gt;"",N(Q44)&lt;N(Q92)),$AM44&amp;" ","")&amp;IF(AND(Q45&lt;&gt;"",N(Q45)&lt;N(Q93)),$AM45&amp;" ",""))</f>
      </c>
      <c r="R46" s="43">
        <f>TRIM(IF(AND(R38&lt;&gt;"",N(R38)&lt;N(R86)),$AM38&amp;" ","")&amp;IF(AND(R39&lt;&gt;"",N(R39)&lt;N(R87)),$AM39&amp;" ","")&amp;IF(AND(R40&lt;&gt;"",N(R40)&lt;N(R88)),$AM40&amp;" ","")&amp;IF(AND(R41&lt;&gt;"",N(R41)&lt;N(R89)),$AM41&amp;" ","")&amp;IF(AND(R42&lt;&gt;"",N(R42)&lt;N(R90)),$AM42&amp;" ","")&amp;IF(AND(R43&lt;&gt;"",N(R43)&lt;N(R91)),$AM43&amp;" ","")&amp;IF(AND(R44&lt;&gt;"",N(R44)&lt;N(R92)),$AM44&amp;" ","")&amp;IF(AND(R45&lt;&gt;"",N(R45)&lt;N(R93)),$AM45&amp;" ",""))</f>
      </c>
      <c r="S46" s="43">
        <f>TRIM(IF(AND(S38&lt;&gt;"",N(S38)&lt;N(S86)),$AM38&amp;" ","")&amp;IF(AND(S39&lt;&gt;"",N(S39)&lt;N(S87)),$AM39&amp;" ","")&amp;IF(AND(S40&lt;&gt;"",N(S40)&lt;N(S88)),$AM40&amp;" ","")&amp;IF(AND(S41&lt;&gt;"",N(S41)&lt;N(S89)),$AM41&amp;" ","")&amp;IF(AND(S42&lt;&gt;"",N(S42)&lt;N(S90)),$AM42&amp;" ","")&amp;IF(AND(S43&lt;&gt;"",N(S43)&lt;N(S91)),$AM43&amp;" ","")&amp;IF(AND(S44&lt;&gt;"",N(S44)&lt;N(S92)),$AM44&amp;" ","")&amp;IF(AND(S45&lt;&gt;"",N(S45)&lt;N(S93)),$AM45&amp;" ",""))</f>
      </c>
      <c r="T46" s="43">
        <f>TRIM(IF(AND(T38&lt;&gt;"",N(T38)&lt;N(T86)),$AM38&amp;" ","")&amp;IF(AND(T39&lt;&gt;"",N(T39)&lt;N(T87)),$AM39&amp;" ","")&amp;IF(AND(T40&lt;&gt;"",N(T40)&lt;N(T88)),$AM40&amp;" ","")&amp;IF(AND(T41&lt;&gt;"",N(T41)&lt;N(T89)),$AM41&amp;" ","")&amp;IF(AND(T42&lt;&gt;"",N(T42)&lt;N(T90)),$AM42&amp;" ","")&amp;IF(AND(T43&lt;&gt;"",N(T43)&lt;N(T91)),$AM43&amp;" ","")&amp;IF(AND(T44&lt;&gt;"",N(T44)&lt;N(T92)),$AM44&amp;" ","")&amp;IF(AND(T45&lt;&gt;"",N(T45)&lt;N(T93)),$AM45&amp;" ",""))</f>
      </c>
      <c r="U46" s="43">
        <f>TRIM(IF(AND(U38&lt;&gt;"",N(U38)&lt;N(U86)),$AM38&amp;" ","")&amp;IF(AND(U39&lt;&gt;"",N(U39)&lt;N(U87)),$AM39&amp;" ","")&amp;IF(AND(U40&lt;&gt;"",N(U40)&lt;N(U88)),$AM40&amp;" ","")&amp;IF(AND(U41&lt;&gt;"",N(U41)&lt;N(U89)),$AM41&amp;" ","")&amp;IF(AND(U42&lt;&gt;"",N(U42)&lt;N(U90)),$AM42&amp;" ","")&amp;IF(AND(U43&lt;&gt;"",N(U43)&lt;N(U91)),$AM43&amp;" ","")&amp;IF(AND(U44&lt;&gt;"",N(U44)&lt;N(U92)),$AM44&amp;" ","")&amp;IF(AND(U45&lt;&gt;"",N(U45)&lt;N(U93)),$AM45&amp;" ",""))</f>
      </c>
      <c r="V46" s="43">
        <f>TRIM(IF(AND(V38&lt;&gt;"",N(V38)&lt;N(V86)),$AM38&amp;" ","")&amp;IF(AND(V39&lt;&gt;"",N(V39)&lt;N(V87)),$AM39&amp;" ","")&amp;IF(AND(V40&lt;&gt;"",N(V40)&lt;N(V88)),$AM40&amp;" ","")&amp;IF(AND(V41&lt;&gt;"",N(V41)&lt;N(V89)),$AM41&amp;" ","")&amp;IF(AND(V42&lt;&gt;"",N(V42)&lt;N(V90)),$AM42&amp;" ","")&amp;IF(AND(V43&lt;&gt;"",N(V43)&lt;N(V91)),$AM43&amp;" ","")&amp;IF(AND(V44&lt;&gt;"",N(V44)&lt;N(V92)),$AM44&amp;" ","")&amp;IF(AND(V45&lt;&gt;"",N(V45)&lt;N(V93)),$AM45&amp;" ",""))</f>
      </c>
      <c r="W46" s="43">
        <f>TRIM(IF(AND(W38&lt;&gt;"",N(W38)&lt;N(W86)),$AM38&amp;" ","")&amp;IF(AND(W39&lt;&gt;"",N(W39)&lt;N(W87)),$AM39&amp;" ","")&amp;IF(AND(W40&lt;&gt;"",N(W40)&lt;N(W88)),$AM40&amp;" ","")&amp;IF(AND(W41&lt;&gt;"",N(W41)&lt;N(W89)),$AM41&amp;" ","")&amp;IF(AND(W42&lt;&gt;"",N(W42)&lt;N(W90)),$AM42&amp;" ","")&amp;IF(AND(W43&lt;&gt;"",N(W43)&lt;N(W91)),$AM43&amp;" ","")&amp;IF(AND(W44&lt;&gt;"",N(W44)&lt;N(W92)),$AM44&amp;" ","")&amp;IF(AND(W45&lt;&gt;"",N(W45)&lt;N(W93)),$AM45&amp;" ",""))</f>
      </c>
      <c r="X46" s="43">
        <f>TRIM(IF(AND(X38&lt;&gt;"",N(X38)&lt;N(X86)),$AM38&amp;" ","")&amp;IF(AND(X39&lt;&gt;"",N(X39)&lt;N(X87)),$AM39&amp;" ","")&amp;IF(AND(X40&lt;&gt;"",N(X40)&lt;N(X88)),$AM40&amp;" ","")&amp;IF(AND(X41&lt;&gt;"",N(X41)&lt;N(X89)),$AM41&amp;" ","")&amp;IF(AND(X42&lt;&gt;"",N(X42)&lt;N(X90)),$AM42&amp;" ","")&amp;IF(AND(X43&lt;&gt;"",N(X43)&lt;N(X91)),$AM43&amp;" ","")&amp;IF(AND(X44&lt;&gt;"",N(X44)&lt;N(X92)),$AM44&amp;" ","")&amp;IF(AND(X45&lt;&gt;"",N(X45)&lt;N(X93)),$AM45&amp;" ",""))</f>
      </c>
      <c r="Y46" s="43">
        <f>TRIM(IF(AND(Y38&lt;&gt;"",N(Y38)&lt;N(Y86)),$AM38&amp;" ","")&amp;IF(AND(Y39&lt;&gt;"",N(Y39)&lt;N(Y87)),$AM39&amp;" ","")&amp;IF(AND(Y40&lt;&gt;"",N(Y40)&lt;N(Y88)),$AM40&amp;" ","")&amp;IF(AND(Y41&lt;&gt;"",N(Y41)&lt;N(Y89)),$AM41&amp;" ","")&amp;IF(AND(Y42&lt;&gt;"",N(Y42)&lt;N(Y90)),$AM42&amp;" ","")&amp;IF(AND(Y43&lt;&gt;"",N(Y43)&lt;N(Y91)),$AM43&amp;" ","")&amp;IF(AND(Y44&lt;&gt;"",N(Y44)&lt;N(Y92)),$AM44&amp;" ","")&amp;IF(AND(Y45&lt;&gt;"",N(Y45)&lt;N(Y93)),$AM45&amp;" ",""))</f>
      </c>
      <c r="Z46" s="43">
        <f>TRIM(IF(AND(Z38&lt;&gt;"",N(Z38)&lt;N(Z86)),$AM38&amp;" ","")&amp;IF(AND(Z39&lt;&gt;"",N(Z39)&lt;N(Z87)),$AM39&amp;" ","")&amp;IF(AND(Z40&lt;&gt;"",N(Z40)&lt;N(Z88)),$AM40&amp;" ","")&amp;IF(AND(Z41&lt;&gt;"",N(Z41)&lt;N(Z89)),$AM41&amp;" ","")&amp;IF(AND(Z42&lt;&gt;"",N(Z42)&lt;N(Z90)),$AM42&amp;" ","")&amp;IF(AND(Z43&lt;&gt;"",N(Z43)&lt;N(Z91)),$AM43&amp;" ","")&amp;IF(AND(Z44&lt;&gt;"",N(Z44)&lt;N(Z92)),$AM44&amp;" ","")&amp;IF(AND(Z45&lt;&gt;"",N(Z45)&lt;N(Z93)),$AM45&amp;" ",""))</f>
      </c>
      <c r="AA46" s="43">
        <f>TRIM(IF(AND(AA38&lt;&gt;"",N(AA38)&lt;N(AA86)),$AM38&amp;" ","")&amp;IF(AND(AA39&lt;&gt;"",N(AA39)&lt;N(AA87)),$AM39&amp;" ","")&amp;IF(AND(AA40&lt;&gt;"",N(AA40)&lt;N(AA88)),$AM40&amp;" ","")&amp;IF(AND(AA41&lt;&gt;"",N(AA41)&lt;N(AA89)),$AM41&amp;" ","")&amp;IF(AND(AA42&lt;&gt;"",N(AA42)&lt;N(AA90)),$AM42&amp;" ","")&amp;IF(AND(AA43&lt;&gt;"",N(AA43)&lt;N(AA91)),$AM43&amp;" ","")&amp;IF(AND(AA44&lt;&gt;"",N(AA44)&lt;N(AA92)),$AM44&amp;" ","")&amp;IF(AND(AA45&lt;&gt;"",N(AA45)&lt;N(AA93)),$AM45&amp;" ",""))</f>
      </c>
      <c r="AB46" s="43">
        <f>TRIM(IF(AND(AB38&lt;&gt;"",N(AB38)&lt;N(AB86)),$AM38&amp;" ","")&amp;IF(AND(AB39&lt;&gt;"",N(AB39)&lt;N(AB87)),$AM39&amp;" ","")&amp;IF(AND(AB40&lt;&gt;"",N(AB40)&lt;N(AB88)),$AM40&amp;" ","")&amp;IF(AND(AB41&lt;&gt;"",N(AB41)&lt;N(AB89)),$AM41&amp;" ","")&amp;IF(AND(AB42&lt;&gt;"",N(AB42)&lt;N(AB90)),$AM42&amp;" ","")&amp;IF(AND(AB43&lt;&gt;"",N(AB43)&lt;N(AB91)),$AM43&amp;" ","")&amp;IF(AND(AB44&lt;&gt;"",N(AB44)&lt;N(AB92)),$AM44&amp;" ","")&amp;IF(AND(AB45&lt;&gt;"",N(AB45)&lt;N(AB93)),$AM45&amp;" ",""))</f>
      </c>
      <c r="AC46" s="43">
        <f>TRIM(IF(AND(AC38&lt;&gt;"",N(AC38)&lt;N(AC86)),$AM38&amp;" ","")&amp;IF(AND(AC39&lt;&gt;"",N(AC39)&lt;N(AC87)),$AM39&amp;" ","")&amp;IF(AND(AC40&lt;&gt;"",N(AC40)&lt;N(AC88)),$AM40&amp;" ","")&amp;IF(AND(AC41&lt;&gt;"",N(AC41)&lt;N(AC89)),$AM41&amp;" ","")&amp;IF(AND(AC42&lt;&gt;"",N(AC42)&lt;N(AC90)),$AM42&amp;" ","")&amp;IF(AND(AC43&lt;&gt;"",N(AC43)&lt;N(AC91)),$AM43&amp;" ","")&amp;IF(AND(AC44&lt;&gt;"",N(AC44)&lt;N(AC92)),$AM44&amp;" ","")&amp;IF(AND(AC45&lt;&gt;"",N(AC45)&lt;N(AC93)),$AM45&amp;" ",""))</f>
      </c>
      <c r="AD46" s="43">
        <f>TRIM(IF(AND(AD38&lt;&gt;"",N(AD38)&lt;N(AD86)),$AM38&amp;" ","")&amp;IF(AND(AD39&lt;&gt;"",N(AD39)&lt;N(AD87)),$AM39&amp;" ","")&amp;IF(AND(AD40&lt;&gt;"",N(AD40)&lt;N(AD88)),$AM40&amp;" ","")&amp;IF(AND(AD41&lt;&gt;"",N(AD41)&lt;N(AD89)),$AM41&amp;" ","")&amp;IF(AND(AD42&lt;&gt;"",N(AD42)&lt;N(AD90)),$AM42&amp;" ","")&amp;IF(AND(AD43&lt;&gt;"",N(AD43)&lt;N(AD91)),$AM43&amp;" ","")&amp;IF(AND(AD44&lt;&gt;"",N(AD44)&lt;N(AD92)),$AM44&amp;" ","")&amp;IF(AND(AD45&lt;&gt;"",N(AD45)&lt;N(AD93)),$AM45&amp;" ",""))</f>
      </c>
      <c r="AE46" s="43">
        <f>TRIM(IF(AND(AE38&lt;&gt;"",N(AE38)&lt;N(AE86)),$AM38&amp;" ","")&amp;IF(AND(AE39&lt;&gt;"",N(AE39)&lt;N(AE87)),$AM39&amp;" ","")&amp;IF(AND(AE40&lt;&gt;"",N(AE40)&lt;N(AE88)),$AM40&amp;" ","")&amp;IF(AND(AE41&lt;&gt;"",N(AE41)&lt;N(AE89)),$AM41&amp;" ","")&amp;IF(AND(AE42&lt;&gt;"",N(AE42)&lt;N(AE90)),$AM42&amp;" ","")&amp;IF(AND(AE43&lt;&gt;"",N(AE43)&lt;N(AE91)),$AM43&amp;" ","")&amp;IF(AND(AE44&lt;&gt;"",N(AE44)&lt;N(AE92)),$AM44&amp;" ","")&amp;IF(AND(AE45&lt;&gt;"",N(AE45)&lt;N(AE93)),$AM45&amp;" ",""))</f>
      </c>
      <c r="AF46" s="43">
        <f>TRIM(IF(AND(AF38&lt;&gt;"",N(AF38)&lt;N(AF86)),$AM38&amp;" ","")&amp;IF(AND(AF39&lt;&gt;"",N(AF39)&lt;N(AF87)),$AM39&amp;" ","")&amp;IF(AND(AF40&lt;&gt;"",N(AF40)&lt;N(AF88)),$AM40&amp;" ","")&amp;IF(AND(AF41&lt;&gt;"",N(AF41)&lt;N(AF89)),$AM41&amp;" ","")&amp;IF(AND(AF42&lt;&gt;"",N(AF42)&lt;N(AF90)),$AM42&amp;" ","")&amp;IF(AND(AF43&lt;&gt;"",N(AF43)&lt;N(AF91)),$AM43&amp;" ","")&amp;IF(AND(AF44&lt;&gt;"",N(AF44)&lt;N(AF92)),$AM44&amp;" ","")&amp;IF(AND(AF45&lt;&gt;"",N(AF45)&lt;N(AF93)),$AM45&amp;" ",""))</f>
      </c>
    </row>
    <row r="48" spans="1:38" x14ac:dyDescent="0.25">
      <c r="A48" s="7" t="s">
        <v>65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1"/>
      <c r="W48" s="1"/>
      <c r="X48" s="7" t="s">
        <v>66</v>
      </c>
      <c r="Y48" s="1"/>
      <c r="Z48" s="1"/>
      <c r="AA48" s="1"/>
      <c r="AB48" s="1"/>
      <c r="AC48" s="1"/>
      <c r="AD48" s="1"/>
      <c r="AE48" s="1"/>
      <c r="AF48" s="1"/>
      <c r="AG48" s="44"/>
      <c r="AH48" s="44"/>
      <c r="AI48" s="44"/>
      <c r="AJ48" s="44"/>
      <c r="AK48" s="44"/>
      <c r="AL48" s="44"/>
    </row>
    <row r="50" hidden="1" spans="1:32" x14ac:dyDescent="0.25">
      <c r="A50" s="1"/>
      <c r="B50" s="1">
        <f>IF(B$5="",0,IF(ISNUMBER(MATCH(B$5,FeiertagDaten,0)),1,0))</f>
      </c>
      <c r="C50" s="1">
        <f>IF(C$5="",0,IF(ISNUMBER(MATCH(C$5,FeiertagDaten,0)),1,0))</f>
      </c>
      <c r="D50" s="1">
        <f>IF(D$5="",0,IF(ISNUMBER(MATCH(D$5,FeiertagDaten,0)),1,0))</f>
      </c>
      <c r="E50" s="1">
        <f>IF(E$5="",0,IF(ISNUMBER(MATCH(E$5,FeiertagDaten,0)),1,0))</f>
      </c>
      <c r="F50" s="1">
        <f>IF(F$5="",0,IF(ISNUMBER(MATCH(F$5,FeiertagDaten,0)),1,0))</f>
      </c>
      <c r="G50" s="1">
        <f>IF(G$5="",0,IF(ISNUMBER(MATCH(G$5,FeiertagDaten,0)),1,0))</f>
      </c>
      <c r="H50" s="1">
        <f>IF(H$5="",0,IF(ISNUMBER(MATCH(H$5,FeiertagDaten,0)),1,0))</f>
      </c>
      <c r="I50" s="1">
        <f>IF(I$5="",0,IF(ISNUMBER(MATCH(I$5,FeiertagDaten,0)),1,0))</f>
      </c>
      <c r="J50" s="1">
        <f>IF(J$5="",0,IF(ISNUMBER(MATCH(J$5,FeiertagDaten,0)),1,0))</f>
      </c>
      <c r="K50" s="1">
        <f>IF(K$5="",0,IF(ISNUMBER(MATCH(K$5,FeiertagDaten,0)),1,0))</f>
      </c>
      <c r="L50" s="1">
        <f>IF(L$5="",0,IF(ISNUMBER(MATCH(L$5,FeiertagDaten,0)),1,0))</f>
      </c>
      <c r="M50" s="1">
        <f>IF(M$5="",0,IF(ISNUMBER(MATCH(M$5,FeiertagDaten,0)),1,0))</f>
      </c>
      <c r="N50" s="1">
        <f>IF(N$5="",0,IF(ISNUMBER(MATCH(N$5,FeiertagDaten,0)),1,0))</f>
      </c>
      <c r="O50" s="1">
        <f>IF(O$5="",0,IF(ISNUMBER(MATCH(O$5,FeiertagDaten,0)),1,0))</f>
      </c>
      <c r="P50" s="1">
        <f>IF(P$5="",0,IF(ISNUMBER(MATCH(P$5,FeiertagDaten,0)),1,0))</f>
      </c>
      <c r="Q50" s="1">
        <f>IF(Q$5="",0,IF(ISNUMBER(MATCH(Q$5,FeiertagDaten,0)),1,0))</f>
      </c>
      <c r="R50" s="1">
        <f>IF(R$5="",0,IF(ISNUMBER(MATCH(R$5,FeiertagDaten,0)),1,0))</f>
      </c>
      <c r="S50" s="1">
        <f>IF(S$5="",0,IF(ISNUMBER(MATCH(S$5,FeiertagDaten,0)),1,0))</f>
      </c>
      <c r="T50" s="1">
        <f>IF(T$5="",0,IF(ISNUMBER(MATCH(T$5,FeiertagDaten,0)),1,0))</f>
      </c>
      <c r="U50" s="1">
        <f>IF(U$5="",0,IF(ISNUMBER(MATCH(U$5,FeiertagDaten,0)),1,0))</f>
      </c>
      <c r="V50" s="1">
        <f>IF(V$5="",0,IF(ISNUMBER(MATCH(V$5,FeiertagDaten,0)),1,0))</f>
      </c>
      <c r="W50" s="1">
        <f>IF(W$5="",0,IF(ISNUMBER(MATCH(W$5,FeiertagDaten,0)),1,0))</f>
      </c>
      <c r="X50" s="1">
        <f>IF(X$5="",0,IF(ISNUMBER(MATCH(X$5,FeiertagDaten,0)),1,0))</f>
      </c>
      <c r="Y50" s="1">
        <f>IF(Y$5="",0,IF(ISNUMBER(MATCH(Y$5,FeiertagDaten,0)),1,0))</f>
      </c>
      <c r="Z50" s="1">
        <f>IF(Z$5="",0,IF(ISNUMBER(MATCH(Z$5,FeiertagDaten,0)),1,0))</f>
      </c>
      <c r="AA50" s="1">
        <f>IF(AA$5="",0,IF(ISNUMBER(MATCH(AA$5,FeiertagDaten,0)),1,0))</f>
      </c>
      <c r="AB50" s="1">
        <f>IF(AB$5="",0,IF(ISNUMBER(MATCH(AB$5,FeiertagDaten,0)),1,0))</f>
      </c>
      <c r="AC50" s="1">
        <f>IF(AC$5="",0,IF(ISNUMBER(MATCH(AC$5,FeiertagDaten,0)),1,0))</f>
      </c>
      <c r="AD50" s="1">
        <f>IF(AD$5="",0,IF(ISNUMBER(MATCH(AD$5,FeiertagDaten,0)),1,0))</f>
      </c>
      <c r="AE50" s="1">
        <f>IF(AE$5="",0,IF(ISNUMBER(MATCH(AE$5,FeiertagDaten,0)),1,0))</f>
      </c>
      <c r="AF50" s="1">
        <f>IF(AF$5="",0,IF(ISNUMBER(MATCH(AF$5,FeiertagDaten,0)),1,0))</f>
      </c>
    </row>
    <row r="51" hidden="1" spans="1:32" x14ac:dyDescent="0.25">
      <c r="A51" s="1"/>
      <c r="B51" s="1">
        <f>IF(B$5="",0,WEEKDAY(B$5,2))</f>
      </c>
      <c r="C51" s="1">
        <f>IF(C$5="",0,WEEKDAY(C$5,2))</f>
      </c>
      <c r="D51" s="1">
        <f>IF(D$5="",0,WEEKDAY(D$5,2))</f>
      </c>
      <c r="E51" s="1">
        <f>IF(E$5="",0,WEEKDAY(E$5,2))</f>
      </c>
      <c r="F51" s="1">
        <f>IF(F$5="",0,WEEKDAY(F$5,2))</f>
      </c>
      <c r="G51" s="1">
        <f>IF(G$5="",0,WEEKDAY(G$5,2))</f>
      </c>
      <c r="H51" s="1">
        <f>IF(H$5="",0,WEEKDAY(H$5,2))</f>
      </c>
      <c r="I51" s="1">
        <f>IF(I$5="",0,WEEKDAY(I$5,2))</f>
      </c>
      <c r="J51" s="1">
        <f>IF(J$5="",0,WEEKDAY(J$5,2))</f>
      </c>
      <c r="K51" s="1">
        <f>IF(K$5="",0,WEEKDAY(K$5,2))</f>
      </c>
      <c r="L51" s="1">
        <f>IF(L$5="",0,WEEKDAY(L$5,2))</f>
      </c>
      <c r="M51" s="1">
        <f>IF(M$5="",0,WEEKDAY(M$5,2))</f>
      </c>
      <c r="N51" s="1">
        <f>IF(N$5="",0,WEEKDAY(N$5,2))</f>
      </c>
      <c r="O51" s="1">
        <f>IF(O$5="",0,WEEKDAY(O$5,2))</f>
      </c>
      <c r="P51" s="1">
        <f>IF(P$5="",0,WEEKDAY(P$5,2))</f>
      </c>
      <c r="Q51" s="1">
        <f>IF(Q$5="",0,WEEKDAY(Q$5,2))</f>
      </c>
      <c r="R51" s="1">
        <f>IF(R$5="",0,WEEKDAY(R$5,2))</f>
      </c>
      <c r="S51" s="1">
        <f>IF(S$5="",0,WEEKDAY(S$5,2))</f>
      </c>
      <c r="T51" s="1">
        <f>IF(T$5="",0,WEEKDAY(T$5,2))</f>
      </c>
      <c r="U51" s="1">
        <f>IF(U$5="",0,WEEKDAY(U$5,2))</f>
      </c>
      <c r="V51" s="1">
        <f>IF(V$5="",0,WEEKDAY(V$5,2))</f>
      </c>
      <c r="W51" s="1">
        <f>IF(W$5="",0,WEEKDAY(W$5,2))</f>
      </c>
      <c r="X51" s="1">
        <f>IF(X$5="",0,WEEKDAY(X$5,2))</f>
      </c>
      <c r="Y51" s="1">
        <f>IF(Y$5="",0,WEEKDAY(Y$5,2))</f>
      </c>
      <c r="Z51" s="1">
        <f>IF(Z$5="",0,WEEKDAY(Z$5,2))</f>
      </c>
      <c r="AA51" s="1">
        <f>IF(AA$5="",0,WEEKDAY(AA$5,2))</f>
      </c>
      <c r="AB51" s="1">
        <f>IF(AB$5="",0,WEEKDAY(AB$5,2))</f>
      </c>
      <c r="AC51" s="1">
        <f>IF(AC$5="",0,WEEKDAY(AC$5,2))</f>
      </c>
      <c r="AD51" s="1">
        <f>IF(AD$5="",0,WEEKDAY(AD$5,2))</f>
      </c>
      <c r="AE51" s="1">
        <f>IF(AE$5="",0,WEEKDAY(AE$5,2))</f>
      </c>
      <c r="AF51" s="1">
        <f>IF(AF$5="",0,WEEKDAY(AF$5,2))</f>
      </c>
    </row>
    <row r="52" hidden="1" spans="1:32" x14ac:dyDescent="0.25">
      <c r="A52" s="1"/>
      <c r="B52" s="1">
        <f>IF(B$5="",0,1)</f>
      </c>
      <c r="C52" s="1">
        <f>IF(C$5="",0,1)</f>
      </c>
      <c r="D52" s="1">
        <f>IF(D$5="",0,1)</f>
      </c>
      <c r="E52" s="1">
        <f>IF(E$5="",0,1)</f>
      </c>
      <c r="F52" s="1">
        <f>IF(F$5="",0,1)</f>
      </c>
      <c r="G52" s="1">
        <f>IF(G$5="",0,1)</f>
      </c>
      <c r="H52" s="1">
        <f>IF(H$5="",0,1)</f>
      </c>
      <c r="I52" s="1">
        <f>IF(I$5="",0,1)</f>
      </c>
      <c r="J52" s="1">
        <f>IF(J$5="",0,1)</f>
      </c>
      <c r="K52" s="1">
        <f>IF(K$5="",0,1)</f>
      </c>
      <c r="L52" s="1">
        <f>IF(L$5="",0,1)</f>
      </c>
      <c r="M52" s="1">
        <f>IF(M$5="",0,1)</f>
      </c>
      <c r="N52" s="1">
        <f>IF(N$5="",0,1)</f>
      </c>
      <c r="O52" s="1">
        <f>IF(O$5="",0,1)</f>
      </c>
      <c r="P52" s="1">
        <f>IF(P$5="",0,1)</f>
      </c>
      <c r="Q52" s="1">
        <f>IF(Q$5="",0,1)</f>
      </c>
      <c r="R52" s="1">
        <f>IF(R$5="",0,1)</f>
      </c>
      <c r="S52" s="1">
        <f>IF(S$5="",0,1)</f>
      </c>
      <c r="T52" s="1">
        <f>IF(T$5="",0,1)</f>
      </c>
      <c r="U52" s="1">
        <f>IF(U$5="",0,1)</f>
      </c>
      <c r="V52" s="1">
        <f>IF(V$5="",0,1)</f>
      </c>
      <c r="W52" s="1">
        <f>IF(W$5="",0,1)</f>
      </c>
      <c r="X52" s="1">
        <f>IF(X$5="",0,1)</f>
      </c>
      <c r="Y52" s="1">
        <f>IF(Y$5="",0,1)</f>
      </c>
      <c r="Z52" s="1">
        <f>IF(Z$5="",0,1)</f>
      </c>
      <c r="AA52" s="1">
        <f>IF(AA$5="",0,1)</f>
      </c>
      <c r="AB52" s="1">
        <f>IF(AB$5="",0,1)</f>
      </c>
      <c r="AC52" s="1">
        <f>IF(AC$5="",0,1)</f>
      </c>
      <c r="AD52" s="1">
        <f>IF(AD$5="",0,1)</f>
      </c>
      <c r="AE52" s="1">
        <f>IF(AE$5="",0,1)</f>
      </c>
      <c r="AF52" s="1">
        <f>IF(AF$5="",0,1)</f>
      </c>
    </row>
    <row r="53" hidden="1" spans="1:32" x14ac:dyDescent="0.25">
      <c r="A53" s="1"/>
      <c r="B53" s="1">
        <f>IF(AND(B51&gt;=1,B51&lt;=5,B50=0),1,0)</f>
      </c>
      <c r="C53" s="1">
        <f>IF(AND(C51&gt;=1,C51&lt;=5,C50=0),1,0)</f>
      </c>
      <c r="D53" s="1">
        <f>IF(AND(D51&gt;=1,D51&lt;=5,D50=0),1,0)</f>
      </c>
      <c r="E53" s="1">
        <f>IF(AND(E51&gt;=1,E51&lt;=5,E50=0),1,0)</f>
      </c>
      <c r="F53" s="1">
        <f>IF(AND(F51&gt;=1,F51&lt;=5,F50=0),1,0)</f>
      </c>
      <c r="G53" s="1">
        <f>IF(AND(G51&gt;=1,G51&lt;=5,G50=0),1,0)</f>
      </c>
      <c r="H53" s="1">
        <f>IF(AND(H51&gt;=1,H51&lt;=5,H50=0),1,0)</f>
      </c>
      <c r="I53" s="1">
        <f>IF(AND(I51&gt;=1,I51&lt;=5,I50=0),1,0)</f>
      </c>
      <c r="J53" s="1">
        <f>IF(AND(J51&gt;=1,J51&lt;=5,J50=0),1,0)</f>
      </c>
      <c r="K53" s="1">
        <f>IF(AND(K51&gt;=1,K51&lt;=5,K50=0),1,0)</f>
      </c>
      <c r="L53" s="1">
        <f>IF(AND(L51&gt;=1,L51&lt;=5,L50=0),1,0)</f>
      </c>
      <c r="M53" s="1">
        <f>IF(AND(M51&gt;=1,M51&lt;=5,M50=0),1,0)</f>
      </c>
      <c r="N53" s="1">
        <f>IF(AND(N51&gt;=1,N51&lt;=5,N50=0),1,0)</f>
      </c>
      <c r="O53" s="1">
        <f>IF(AND(O51&gt;=1,O51&lt;=5,O50=0),1,0)</f>
      </c>
      <c r="P53" s="1">
        <f>IF(AND(P51&gt;=1,P51&lt;=5,P50=0),1,0)</f>
      </c>
      <c r="Q53" s="1">
        <f>IF(AND(Q51&gt;=1,Q51&lt;=5,Q50=0),1,0)</f>
      </c>
      <c r="R53" s="1">
        <f>IF(AND(R51&gt;=1,R51&lt;=5,R50=0),1,0)</f>
      </c>
      <c r="S53" s="1">
        <f>IF(AND(S51&gt;=1,S51&lt;=5,S50=0),1,0)</f>
      </c>
      <c r="T53" s="1">
        <f>IF(AND(T51&gt;=1,T51&lt;=5,T50=0),1,0)</f>
      </c>
      <c r="U53" s="1">
        <f>IF(AND(U51&gt;=1,U51&lt;=5,U50=0),1,0)</f>
      </c>
      <c r="V53" s="1">
        <f>IF(AND(V51&gt;=1,V51&lt;=5,V50=0),1,0)</f>
      </c>
      <c r="W53" s="1">
        <f>IF(AND(W51&gt;=1,W51&lt;=5,W50=0),1,0)</f>
      </c>
      <c r="X53" s="1">
        <f>IF(AND(X51&gt;=1,X51&lt;=5,X50=0),1,0)</f>
      </c>
      <c r="Y53" s="1">
        <f>IF(AND(Y51&gt;=1,Y51&lt;=5,Y50=0),1,0)</f>
      </c>
      <c r="Z53" s="1">
        <f>IF(AND(Z51&gt;=1,Z51&lt;=5,Z50=0),1,0)</f>
      </c>
      <c r="AA53" s="1">
        <f>IF(AND(AA51&gt;=1,AA51&lt;=5,AA50=0),1,0)</f>
      </c>
      <c r="AB53" s="1">
        <f>IF(AND(AB51&gt;=1,AB51&lt;=5,AB50=0),1,0)</f>
      </c>
      <c r="AC53" s="1">
        <f>IF(AND(AC51&gt;=1,AC51&lt;=5,AC50=0),1,0)</f>
      </c>
      <c r="AD53" s="1">
        <f>IF(AND(AD51&gt;=1,AD51&lt;=5,AD50=0),1,0)</f>
      </c>
      <c r="AE53" s="1">
        <f>IF(AND(AE51&gt;=1,AE51&lt;=5,AE50=0),1,0)</f>
      </c>
      <c r="AF53" s="1">
        <f>IF(AND(AF51&gt;=1,AF51&lt;=5,AF50=0),1,0)</f>
      </c>
    </row>
    <row r="55" hidden="1" spans="1:32" x14ac:dyDescent="0.25">
      <c r="A55" s="1"/>
      <c r="B55" s="1">
        <f>IF(OR(B$52=0,INDEX('September'!$B$6:$AF$6,DAY(DATE(Jahr,10,0)))="",B6=""),0,IFERROR(IF(AND(INDEX(Arten,MATCH(INDEX('September'!$B$6:$AF$6,DAY(DATE(Jahr,10,0))),Codes,0))="Arbeit",INDEX(Arten,MATCH(B6,Codes,0))="Arbeit"),IF(ROUND((1+INDEX(Beginne,MATCH(B6,Codes,0))-INDEX(EndeRel,MATCH(INDEX('September'!$B$6:$AF$6,DAY(DATE(Jahr,10,0))),Codes,0)))*1440,0)&lt;660,1,0),0),0))</f>
      </c>
      <c r="C55" s="1">
        <f>IF(OR(C$52=0,B6="",C6=""),0,IFERROR(IF(AND(INDEX(Arten,MATCH(B6,Codes,0))="Arbeit",INDEX(Arten,MATCH(C6,Codes,0))="Arbeit"),IF(ROUND((1+INDEX(Beginne,MATCH(C6,Codes,0))-INDEX(EndeRel,MATCH(B6,Codes,0)))*1440,0)&lt;660,1,0),0),0))</f>
      </c>
      <c r="D55" s="1">
        <f>IF(OR(D$52=0,C6="",D6=""),0,IFERROR(IF(AND(INDEX(Arten,MATCH(C6,Codes,0))="Arbeit",INDEX(Arten,MATCH(D6,Codes,0))="Arbeit"),IF(ROUND((1+INDEX(Beginne,MATCH(D6,Codes,0))-INDEX(EndeRel,MATCH(C6,Codes,0)))*1440,0)&lt;660,1,0),0),0))</f>
      </c>
      <c r="E55" s="1">
        <f>IF(OR(E$52=0,D6="",E6=""),0,IFERROR(IF(AND(INDEX(Arten,MATCH(D6,Codes,0))="Arbeit",INDEX(Arten,MATCH(E6,Codes,0))="Arbeit"),IF(ROUND((1+INDEX(Beginne,MATCH(E6,Codes,0))-INDEX(EndeRel,MATCH(D6,Codes,0)))*1440,0)&lt;660,1,0),0),0))</f>
      </c>
      <c r="F55" s="1">
        <f>IF(OR(F$52=0,E6="",F6=""),0,IFERROR(IF(AND(INDEX(Arten,MATCH(E6,Codes,0))="Arbeit",INDEX(Arten,MATCH(F6,Codes,0))="Arbeit"),IF(ROUND((1+INDEX(Beginne,MATCH(F6,Codes,0))-INDEX(EndeRel,MATCH(E6,Codes,0)))*1440,0)&lt;660,1,0),0),0))</f>
      </c>
      <c r="G55" s="1">
        <f>IF(OR(G$52=0,F6="",G6=""),0,IFERROR(IF(AND(INDEX(Arten,MATCH(F6,Codes,0))="Arbeit",INDEX(Arten,MATCH(G6,Codes,0))="Arbeit"),IF(ROUND((1+INDEX(Beginne,MATCH(G6,Codes,0))-INDEX(EndeRel,MATCH(F6,Codes,0)))*1440,0)&lt;660,1,0),0),0))</f>
      </c>
      <c r="H55" s="1">
        <f>IF(OR(H$52=0,G6="",H6=""),0,IFERROR(IF(AND(INDEX(Arten,MATCH(G6,Codes,0))="Arbeit",INDEX(Arten,MATCH(H6,Codes,0))="Arbeit"),IF(ROUND((1+INDEX(Beginne,MATCH(H6,Codes,0))-INDEX(EndeRel,MATCH(G6,Codes,0)))*1440,0)&lt;660,1,0),0),0))</f>
      </c>
      <c r="I55" s="1">
        <f>IF(OR(I$52=0,H6="",I6=""),0,IFERROR(IF(AND(INDEX(Arten,MATCH(H6,Codes,0))="Arbeit",INDEX(Arten,MATCH(I6,Codes,0))="Arbeit"),IF(ROUND((1+INDEX(Beginne,MATCH(I6,Codes,0))-INDEX(EndeRel,MATCH(H6,Codes,0)))*1440,0)&lt;660,1,0),0),0))</f>
      </c>
      <c r="J55" s="1">
        <f>IF(OR(J$52=0,I6="",J6=""),0,IFERROR(IF(AND(INDEX(Arten,MATCH(I6,Codes,0))="Arbeit",INDEX(Arten,MATCH(J6,Codes,0))="Arbeit"),IF(ROUND((1+INDEX(Beginne,MATCH(J6,Codes,0))-INDEX(EndeRel,MATCH(I6,Codes,0)))*1440,0)&lt;660,1,0),0),0))</f>
      </c>
      <c r="K55" s="1">
        <f>IF(OR(K$52=0,J6="",K6=""),0,IFERROR(IF(AND(INDEX(Arten,MATCH(J6,Codes,0))="Arbeit",INDEX(Arten,MATCH(K6,Codes,0))="Arbeit"),IF(ROUND((1+INDEX(Beginne,MATCH(K6,Codes,0))-INDEX(EndeRel,MATCH(J6,Codes,0)))*1440,0)&lt;660,1,0),0),0))</f>
      </c>
      <c r="L55" s="1">
        <f>IF(OR(L$52=0,K6="",L6=""),0,IFERROR(IF(AND(INDEX(Arten,MATCH(K6,Codes,0))="Arbeit",INDEX(Arten,MATCH(L6,Codes,0))="Arbeit"),IF(ROUND((1+INDEX(Beginne,MATCH(L6,Codes,0))-INDEX(EndeRel,MATCH(K6,Codes,0)))*1440,0)&lt;660,1,0),0),0))</f>
      </c>
      <c r="M55" s="1">
        <f>IF(OR(M$52=0,L6="",M6=""),0,IFERROR(IF(AND(INDEX(Arten,MATCH(L6,Codes,0))="Arbeit",INDEX(Arten,MATCH(M6,Codes,0))="Arbeit"),IF(ROUND((1+INDEX(Beginne,MATCH(M6,Codes,0))-INDEX(EndeRel,MATCH(L6,Codes,0)))*1440,0)&lt;660,1,0),0),0))</f>
      </c>
      <c r="N55" s="1">
        <f>IF(OR(N$52=0,M6="",N6=""),0,IFERROR(IF(AND(INDEX(Arten,MATCH(M6,Codes,0))="Arbeit",INDEX(Arten,MATCH(N6,Codes,0))="Arbeit"),IF(ROUND((1+INDEX(Beginne,MATCH(N6,Codes,0))-INDEX(EndeRel,MATCH(M6,Codes,0)))*1440,0)&lt;660,1,0),0),0))</f>
      </c>
      <c r="O55" s="1">
        <f>IF(OR(O$52=0,N6="",O6=""),0,IFERROR(IF(AND(INDEX(Arten,MATCH(N6,Codes,0))="Arbeit",INDEX(Arten,MATCH(O6,Codes,0))="Arbeit"),IF(ROUND((1+INDEX(Beginne,MATCH(O6,Codes,0))-INDEX(EndeRel,MATCH(N6,Codes,0)))*1440,0)&lt;660,1,0),0),0))</f>
      </c>
      <c r="P55" s="1">
        <f>IF(OR(P$52=0,O6="",P6=""),0,IFERROR(IF(AND(INDEX(Arten,MATCH(O6,Codes,0))="Arbeit",INDEX(Arten,MATCH(P6,Codes,0))="Arbeit"),IF(ROUND((1+INDEX(Beginne,MATCH(P6,Codes,0))-INDEX(EndeRel,MATCH(O6,Codes,0)))*1440,0)&lt;660,1,0),0),0))</f>
      </c>
      <c r="Q55" s="1">
        <f>IF(OR(Q$52=0,P6="",Q6=""),0,IFERROR(IF(AND(INDEX(Arten,MATCH(P6,Codes,0))="Arbeit",INDEX(Arten,MATCH(Q6,Codes,0))="Arbeit"),IF(ROUND((1+INDEX(Beginne,MATCH(Q6,Codes,0))-INDEX(EndeRel,MATCH(P6,Codes,0)))*1440,0)&lt;660,1,0),0),0))</f>
      </c>
      <c r="R55" s="1">
        <f>IF(OR(R$52=0,Q6="",R6=""),0,IFERROR(IF(AND(INDEX(Arten,MATCH(Q6,Codes,0))="Arbeit",INDEX(Arten,MATCH(R6,Codes,0))="Arbeit"),IF(ROUND((1+INDEX(Beginne,MATCH(R6,Codes,0))-INDEX(EndeRel,MATCH(Q6,Codes,0)))*1440,0)&lt;660,1,0),0),0))</f>
      </c>
      <c r="S55" s="1">
        <f>IF(OR(S$52=0,R6="",S6=""),0,IFERROR(IF(AND(INDEX(Arten,MATCH(R6,Codes,0))="Arbeit",INDEX(Arten,MATCH(S6,Codes,0))="Arbeit"),IF(ROUND((1+INDEX(Beginne,MATCH(S6,Codes,0))-INDEX(EndeRel,MATCH(R6,Codes,0)))*1440,0)&lt;660,1,0),0),0))</f>
      </c>
      <c r="T55" s="1">
        <f>IF(OR(T$52=0,S6="",T6=""),0,IFERROR(IF(AND(INDEX(Arten,MATCH(S6,Codes,0))="Arbeit",INDEX(Arten,MATCH(T6,Codes,0))="Arbeit"),IF(ROUND((1+INDEX(Beginne,MATCH(T6,Codes,0))-INDEX(EndeRel,MATCH(S6,Codes,0)))*1440,0)&lt;660,1,0),0),0))</f>
      </c>
      <c r="U55" s="1">
        <f>IF(OR(U$52=0,T6="",U6=""),0,IFERROR(IF(AND(INDEX(Arten,MATCH(T6,Codes,0))="Arbeit",INDEX(Arten,MATCH(U6,Codes,0))="Arbeit"),IF(ROUND((1+INDEX(Beginne,MATCH(U6,Codes,0))-INDEX(EndeRel,MATCH(T6,Codes,0)))*1440,0)&lt;660,1,0),0),0))</f>
      </c>
      <c r="V55" s="1">
        <f>IF(OR(V$52=0,U6="",V6=""),0,IFERROR(IF(AND(INDEX(Arten,MATCH(U6,Codes,0))="Arbeit",INDEX(Arten,MATCH(V6,Codes,0))="Arbeit"),IF(ROUND((1+INDEX(Beginne,MATCH(V6,Codes,0))-INDEX(EndeRel,MATCH(U6,Codes,0)))*1440,0)&lt;660,1,0),0),0))</f>
      </c>
      <c r="W55" s="1">
        <f>IF(OR(W$52=0,V6="",W6=""),0,IFERROR(IF(AND(INDEX(Arten,MATCH(V6,Codes,0))="Arbeit",INDEX(Arten,MATCH(W6,Codes,0))="Arbeit"),IF(ROUND((1+INDEX(Beginne,MATCH(W6,Codes,0))-INDEX(EndeRel,MATCH(V6,Codes,0)))*1440,0)&lt;660,1,0),0),0))</f>
      </c>
      <c r="X55" s="1">
        <f>IF(OR(X$52=0,W6="",X6=""),0,IFERROR(IF(AND(INDEX(Arten,MATCH(W6,Codes,0))="Arbeit",INDEX(Arten,MATCH(X6,Codes,0))="Arbeit"),IF(ROUND((1+INDEX(Beginne,MATCH(X6,Codes,0))-INDEX(EndeRel,MATCH(W6,Codes,0)))*1440,0)&lt;660,1,0),0),0))</f>
      </c>
      <c r="Y55" s="1">
        <f>IF(OR(Y$52=0,X6="",Y6=""),0,IFERROR(IF(AND(INDEX(Arten,MATCH(X6,Codes,0))="Arbeit",INDEX(Arten,MATCH(Y6,Codes,0))="Arbeit"),IF(ROUND((1+INDEX(Beginne,MATCH(Y6,Codes,0))-INDEX(EndeRel,MATCH(X6,Codes,0)))*1440,0)&lt;660,1,0),0),0))</f>
      </c>
      <c r="Z55" s="1">
        <f>IF(OR(Z$52=0,Y6="",Z6=""),0,IFERROR(IF(AND(INDEX(Arten,MATCH(Y6,Codes,0))="Arbeit",INDEX(Arten,MATCH(Z6,Codes,0))="Arbeit"),IF(ROUND((1+INDEX(Beginne,MATCH(Z6,Codes,0))-INDEX(EndeRel,MATCH(Y6,Codes,0)))*1440,0)&lt;660,1,0),0),0))</f>
      </c>
      <c r="AA55" s="1">
        <f>IF(OR(AA$52=0,Z6="",AA6=""),0,IFERROR(IF(AND(INDEX(Arten,MATCH(Z6,Codes,0))="Arbeit",INDEX(Arten,MATCH(AA6,Codes,0))="Arbeit"),IF(ROUND((1+INDEX(Beginne,MATCH(AA6,Codes,0))-INDEX(EndeRel,MATCH(Z6,Codes,0)))*1440,0)&lt;660,1,0),0),0))</f>
      </c>
      <c r="AB55" s="1">
        <f>IF(OR(AB$52=0,AA6="",AB6=""),0,IFERROR(IF(AND(INDEX(Arten,MATCH(AA6,Codes,0))="Arbeit",INDEX(Arten,MATCH(AB6,Codes,0))="Arbeit"),IF(ROUND((1+INDEX(Beginne,MATCH(AB6,Codes,0))-INDEX(EndeRel,MATCH(AA6,Codes,0)))*1440,0)&lt;660,1,0),0),0))</f>
      </c>
      <c r="AC55" s="1">
        <f>IF(OR(AC$52=0,AB6="",AC6=""),0,IFERROR(IF(AND(INDEX(Arten,MATCH(AB6,Codes,0))="Arbeit",INDEX(Arten,MATCH(AC6,Codes,0))="Arbeit"),IF(ROUND((1+INDEX(Beginne,MATCH(AC6,Codes,0))-INDEX(EndeRel,MATCH(AB6,Codes,0)))*1440,0)&lt;660,1,0),0),0))</f>
      </c>
      <c r="AD55" s="1">
        <f>IF(OR(AD$52=0,AC6="",AD6=""),0,IFERROR(IF(AND(INDEX(Arten,MATCH(AC6,Codes,0))="Arbeit",INDEX(Arten,MATCH(AD6,Codes,0))="Arbeit"),IF(ROUND((1+INDEX(Beginne,MATCH(AD6,Codes,0))-INDEX(EndeRel,MATCH(AC6,Codes,0)))*1440,0)&lt;660,1,0),0),0))</f>
      </c>
      <c r="AE55" s="1">
        <f>IF(OR(AE$52=0,AD6="",AE6=""),0,IFERROR(IF(AND(INDEX(Arten,MATCH(AD6,Codes,0))="Arbeit",INDEX(Arten,MATCH(AE6,Codes,0))="Arbeit"),IF(ROUND((1+INDEX(Beginne,MATCH(AE6,Codes,0))-INDEX(EndeRel,MATCH(AD6,Codes,0)))*1440,0)&lt;660,1,0),0),0))</f>
      </c>
      <c r="AF55" s="1">
        <f>IF(OR(AF$52=0,AE6="",AF6=""),0,IFERROR(IF(AND(INDEX(Arten,MATCH(AE6,Codes,0))="Arbeit",INDEX(Arten,MATCH(AF6,Codes,0))="Arbeit"),IF(ROUND((1+INDEX(Beginne,MATCH(AF6,Codes,0))-INDEX(EndeRel,MATCH(AE6,Codes,0)))*1440,0)&lt;660,1,0),0),0))</f>
      </c>
    </row>
    <row r="56" hidden="1" spans="1:32" x14ac:dyDescent="0.25">
      <c r="A56" s="1"/>
      <c r="B56" s="1">
        <f>IF(OR(B$52=0,INDEX('September'!$B$7:$AF$7,DAY(DATE(Jahr,10,0)))="",B7=""),0,IFERROR(IF(AND(INDEX(Arten,MATCH(INDEX('September'!$B$7:$AF$7,DAY(DATE(Jahr,10,0))),Codes,0))="Arbeit",INDEX(Arten,MATCH(B7,Codes,0))="Arbeit"),IF(ROUND((1+INDEX(Beginne,MATCH(B7,Codes,0))-INDEX(EndeRel,MATCH(INDEX('September'!$B$7:$AF$7,DAY(DATE(Jahr,10,0))),Codes,0)))*1440,0)&lt;660,1,0),0),0))</f>
      </c>
      <c r="C56" s="1">
        <f>IF(OR(C$52=0,B7="",C7=""),0,IFERROR(IF(AND(INDEX(Arten,MATCH(B7,Codes,0))="Arbeit",INDEX(Arten,MATCH(C7,Codes,0))="Arbeit"),IF(ROUND((1+INDEX(Beginne,MATCH(C7,Codes,0))-INDEX(EndeRel,MATCH(B7,Codes,0)))*1440,0)&lt;660,1,0),0),0))</f>
      </c>
      <c r="D56" s="1">
        <f>IF(OR(D$52=0,C7="",D7=""),0,IFERROR(IF(AND(INDEX(Arten,MATCH(C7,Codes,0))="Arbeit",INDEX(Arten,MATCH(D7,Codes,0))="Arbeit"),IF(ROUND((1+INDEX(Beginne,MATCH(D7,Codes,0))-INDEX(EndeRel,MATCH(C7,Codes,0)))*1440,0)&lt;660,1,0),0),0))</f>
      </c>
      <c r="E56" s="1">
        <f>IF(OR(E$52=0,D7="",E7=""),0,IFERROR(IF(AND(INDEX(Arten,MATCH(D7,Codes,0))="Arbeit",INDEX(Arten,MATCH(E7,Codes,0))="Arbeit"),IF(ROUND((1+INDEX(Beginne,MATCH(E7,Codes,0))-INDEX(EndeRel,MATCH(D7,Codes,0)))*1440,0)&lt;660,1,0),0),0))</f>
      </c>
      <c r="F56" s="1">
        <f>IF(OR(F$52=0,E7="",F7=""),0,IFERROR(IF(AND(INDEX(Arten,MATCH(E7,Codes,0))="Arbeit",INDEX(Arten,MATCH(F7,Codes,0))="Arbeit"),IF(ROUND((1+INDEX(Beginne,MATCH(F7,Codes,0))-INDEX(EndeRel,MATCH(E7,Codes,0)))*1440,0)&lt;660,1,0),0),0))</f>
      </c>
      <c r="G56" s="1">
        <f>IF(OR(G$52=0,F7="",G7=""),0,IFERROR(IF(AND(INDEX(Arten,MATCH(F7,Codes,0))="Arbeit",INDEX(Arten,MATCH(G7,Codes,0))="Arbeit"),IF(ROUND((1+INDEX(Beginne,MATCH(G7,Codes,0))-INDEX(EndeRel,MATCH(F7,Codes,0)))*1440,0)&lt;660,1,0),0),0))</f>
      </c>
      <c r="H56" s="1">
        <f>IF(OR(H$52=0,G7="",H7=""),0,IFERROR(IF(AND(INDEX(Arten,MATCH(G7,Codes,0))="Arbeit",INDEX(Arten,MATCH(H7,Codes,0))="Arbeit"),IF(ROUND((1+INDEX(Beginne,MATCH(H7,Codes,0))-INDEX(EndeRel,MATCH(G7,Codes,0)))*1440,0)&lt;660,1,0),0),0))</f>
      </c>
      <c r="I56" s="1">
        <f>IF(OR(I$52=0,H7="",I7=""),0,IFERROR(IF(AND(INDEX(Arten,MATCH(H7,Codes,0))="Arbeit",INDEX(Arten,MATCH(I7,Codes,0))="Arbeit"),IF(ROUND((1+INDEX(Beginne,MATCH(I7,Codes,0))-INDEX(EndeRel,MATCH(H7,Codes,0)))*1440,0)&lt;660,1,0),0),0))</f>
      </c>
      <c r="J56" s="1">
        <f>IF(OR(J$52=0,I7="",J7=""),0,IFERROR(IF(AND(INDEX(Arten,MATCH(I7,Codes,0))="Arbeit",INDEX(Arten,MATCH(J7,Codes,0))="Arbeit"),IF(ROUND((1+INDEX(Beginne,MATCH(J7,Codes,0))-INDEX(EndeRel,MATCH(I7,Codes,0)))*1440,0)&lt;660,1,0),0),0))</f>
      </c>
      <c r="K56" s="1">
        <f>IF(OR(K$52=0,J7="",K7=""),0,IFERROR(IF(AND(INDEX(Arten,MATCH(J7,Codes,0))="Arbeit",INDEX(Arten,MATCH(K7,Codes,0))="Arbeit"),IF(ROUND((1+INDEX(Beginne,MATCH(K7,Codes,0))-INDEX(EndeRel,MATCH(J7,Codes,0)))*1440,0)&lt;660,1,0),0),0))</f>
      </c>
      <c r="L56" s="1">
        <f>IF(OR(L$52=0,K7="",L7=""),0,IFERROR(IF(AND(INDEX(Arten,MATCH(K7,Codes,0))="Arbeit",INDEX(Arten,MATCH(L7,Codes,0))="Arbeit"),IF(ROUND((1+INDEX(Beginne,MATCH(L7,Codes,0))-INDEX(EndeRel,MATCH(K7,Codes,0)))*1440,0)&lt;660,1,0),0),0))</f>
      </c>
      <c r="M56" s="1">
        <f>IF(OR(M$52=0,L7="",M7=""),0,IFERROR(IF(AND(INDEX(Arten,MATCH(L7,Codes,0))="Arbeit",INDEX(Arten,MATCH(M7,Codes,0))="Arbeit"),IF(ROUND((1+INDEX(Beginne,MATCH(M7,Codes,0))-INDEX(EndeRel,MATCH(L7,Codes,0)))*1440,0)&lt;660,1,0),0),0))</f>
      </c>
      <c r="N56" s="1">
        <f>IF(OR(N$52=0,M7="",N7=""),0,IFERROR(IF(AND(INDEX(Arten,MATCH(M7,Codes,0))="Arbeit",INDEX(Arten,MATCH(N7,Codes,0))="Arbeit"),IF(ROUND((1+INDEX(Beginne,MATCH(N7,Codes,0))-INDEX(EndeRel,MATCH(M7,Codes,0)))*1440,0)&lt;660,1,0),0),0))</f>
      </c>
      <c r="O56" s="1">
        <f>IF(OR(O$52=0,N7="",O7=""),0,IFERROR(IF(AND(INDEX(Arten,MATCH(N7,Codes,0))="Arbeit",INDEX(Arten,MATCH(O7,Codes,0))="Arbeit"),IF(ROUND((1+INDEX(Beginne,MATCH(O7,Codes,0))-INDEX(EndeRel,MATCH(N7,Codes,0)))*1440,0)&lt;660,1,0),0),0))</f>
      </c>
      <c r="P56" s="1">
        <f>IF(OR(P$52=0,O7="",P7=""),0,IFERROR(IF(AND(INDEX(Arten,MATCH(O7,Codes,0))="Arbeit",INDEX(Arten,MATCH(P7,Codes,0))="Arbeit"),IF(ROUND((1+INDEX(Beginne,MATCH(P7,Codes,0))-INDEX(EndeRel,MATCH(O7,Codes,0)))*1440,0)&lt;660,1,0),0),0))</f>
      </c>
      <c r="Q56" s="1">
        <f>IF(OR(Q$52=0,P7="",Q7=""),0,IFERROR(IF(AND(INDEX(Arten,MATCH(P7,Codes,0))="Arbeit",INDEX(Arten,MATCH(Q7,Codes,0))="Arbeit"),IF(ROUND((1+INDEX(Beginne,MATCH(Q7,Codes,0))-INDEX(EndeRel,MATCH(P7,Codes,0)))*1440,0)&lt;660,1,0),0),0))</f>
      </c>
      <c r="R56" s="1">
        <f>IF(OR(R$52=0,Q7="",R7=""),0,IFERROR(IF(AND(INDEX(Arten,MATCH(Q7,Codes,0))="Arbeit",INDEX(Arten,MATCH(R7,Codes,0))="Arbeit"),IF(ROUND((1+INDEX(Beginne,MATCH(R7,Codes,0))-INDEX(EndeRel,MATCH(Q7,Codes,0)))*1440,0)&lt;660,1,0),0),0))</f>
      </c>
      <c r="S56" s="1">
        <f>IF(OR(S$52=0,R7="",S7=""),0,IFERROR(IF(AND(INDEX(Arten,MATCH(R7,Codes,0))="Arbeit",INDEX(Arten,MATCH(S7,Codes,0))="Arbeit"),IF(ROUND((1+INDEX(Beginne,MATCH(S7,Codes,0))-INDEX(EndeRel,MATCH(R7,Codes,0)))*1440,0)&lt;660,1,0),0),0))</f>
      </c>
      <c r="T56" s="1">
        <f>IF(OR(T$52=0,S7="",T7=""),0,IFERROR(IF(AND(INDEX(Arten,MATCH(S7,Codes,0))="Arbeit",INDEX(Arten,MATCH(T7,Codes,0))="Arbeit"),IF(ROUND((1+INDEX(Beginne,MATCH(T7,Codes,0))-INDEX(EndeRel,MATCH(S7,Codes,0)))*1440,0)&lt;660,1,0),0),0))</f>
      </c>
      <c r="U56" s="1">
        <f>IF(OR(U$52=0,T7="",U7=""),0,IFERROR(IF(AND(INDEX(Arten,MATCH(T7,Codes,0))="Arbeit",INDEX(Arten,MATCH(U7,Codes,0))="Arbeit"),IF(ROUND((1+INDEX(Beginne,MATCH(U7,Codes,0))-INDEX(EndeRel,MATCH(T7,Codes,0)))*1440,0)&lt;660,1,0),0),0))</f>
      </c>
      <c r="V56" s="1">
        <f>IF(OR(V$52=0,U7="",V7=""),0,IFERROR(IF(AND(INDEX(Arten,MATCH(U7,Codes,0))="Arbeit",INDEX(Arten,MATCH(V7,Codes,0))="Arbeit"),IF(ROUND((1+INDEX(Beginne,MATCH(V7,Codes,0))-INDEX(EndeRel,MATCH(U7,Codes,0)))*1440,0)&lt;660,1,0),0),0))</f>
      </c>
      <c r="W56" s="1">
        <f>IF(OR(W$52=0,V7="",W7=""),0,IFERROR(IF(AND(INDEX(Arten,MATCH(V7,Codes,0))="Arbeit",INDEX(Arten,MATCH(W7,Codes,0))="Arbeit"),IF(ROUND((1+INDEX(Beginne,MATCH(W7,Codes,0))-INDEX(EndeRel,MATCH(V7,Codes,0)))*1440,0)&lt;660,1,0),0),0))</f>
      </c>
      <c r="X56" s="1">
        <f>IF(OR(X$52=0,W7="",X7=""),0,IFERROR(IF(AND(INDEX(Arten,MATCH(W7,Codes,0))="Arbeit",INDEX(Arten,MATCH(X7,Codes,0))="Arbeit"),IF(ROUND((1+INDEX(Beginne,MATCH(X7,Codes,0))-INDEX(EndeRel,MATCH(W7,Codes,0)))*1440,0)&lt;660,1,0),0),0))</f>
      </c>
      <c r="Y56" s="1">
        <f>IF(OR(Y$52=0,X7="",Y7=""),0,IFERROR(IF(AND(INDEX(Arten,MATCH(X7,Codes,0))="Arbeit",INDEX(Arten,MATCH(Y7,Codes,0))="Arbeit"),IF(ROUND((1+INDEX(Beginne,MATCH(Y7,Codes,0))-INDEX(EndeRel,MATCH(X7,Codes,0)))*1440,0)&lt;660,1,0),0),0))</f>
      </c>
      <c r="Z56" s="1">
        <f>IF(OR(Z$52=0,Y7="",Z7=""),0,IFERROR(IF(AND(INDEX(Arten,MATCH(Y7,Codes,0))="Arbeit",INDEX(Arten,MATCH(Z7,Codes,0))="Arbeit"),IF(ROUND((1+INDEX(Beginne,MATCH(Z7,Codes,0))-INDEX(EndeRel,MATCH(Y7,Codes,0)))*1440,0)&lt;660,1,0),0),0))</f>
      </c>
      <c r="AA56" s="1">
        <f>IF(OR(AA$52=0,Z7="",AA7=""),0,IFERROR(IF(AND(INDEX(Arten,MATCH(Z7,Codes,0))="Arbeit",INDEX(Arten,MATCH(AA7,Codes,0))="Arbeit"),IF(ROUND((1+INDEX(Beginne,MATCH(AA7,Codes,0))-INDEX(EndeRel,MATCH(Z7,Codes,0)))*1440,0)&lt;660,1,0),0),0))</f>
      </c>
      <c r="AB56" s="1">
        <f>IF(OR(AB$52=0,AA7="",AB7=""),0,IFERROR(IF(AND(INDEX(Arten,MATCH(AA7,Codes,0))="Arbeit",INDEX(Arten,MATCH(AB7,Codes,0))="Arbeit"),IF(ROUND((1+INDEX(Beginne,MATCH(AB7,Codes,0))-INDEX(EndeRel,MATCH(AA7,Codes,0)))*1440,0)&lt;660,1,0),0),0))</f>
      </c>
      <c r="AC56" s="1">
        <f>IF(OR(AC$52=0,AB7="",AC7=""),0,IFERROR(IF(AND(INDEX(Arten,MATCH(AB7,Codes,0))="Arbeit",INDEX(Arten,MATCH(AC7,Codes,0))="Arbeit"),IF(ROUND((1+INDEX(Beginne,MATCH(AC7,Codes,0))-INDEX(EndeRel,MATCH(AB7,Codes,0)))*1440,0)&lt;660,1,0),0),0))</f>
      </c>
      <c r="AD56" s="1">
        <f>IF(OR(AD$52=0,AC7="",AD7=""),0,IFERROR(IF(AND(INDEX(Arten,MATCH(AC7,Codes,0))="Arbeit",INDEX(Arten,MATCH(AD7,Codes,0))="Arbeit"),IF(ROUND((1+INDEX(Beginne,MATCH(AD7,Codes,0))-INDEX(EndeRel,MATCH(AC7,Codes,0)))*1440,0)&lt;660,1,0),0),0))</f>
      </c>
      <c r="AE56" s="1">
        <f>IF(OR(AE$52=0,AD7="",AE7=""),0,IFERROR(IF(AND(INDEX(Arten,MATCH(AD7,Codes,0))="Arbeit",INDEX(Arten,MATCH(AE7,Codes,0))="Arbeit"),IF(ROUND((1+INDEX(Beginne,MATCH(AE7,Codes,0))-INDEX(EndeRel,MATCH(AD7,Codes,0)))*1440,0)&lt;660,1,0),0),0))</f>
      </c>
      <c r="AF56" s="1">
        <f>IF(OR(AF$52=0,AE7="",AF7=""),0,IFERROR(IF(AND(INDEX(Arten,MATCH(AE7,Codes,0))="Arbeit",INDEX(Arten,MATCH(AF7,Codes,0))="Arbeit"),IF(ROUND((1+INDEX(Beginne,MATCH(AF7,Codes,0))-INDEX(EndeRel,MATCH(AE7,Codes,0)))*1440,0)&lt;660,1,0),0),0))</f>
      </c>
    </row>
    <row r="57" hidden="1" spans="1:32" x14ac:dyDescent="0.25">
      <c r="A57" s="1"/>
      <c r="B57" s="1">
        <f>IF(OR(B$52=0,INDEX('September'!$B$8:$AF$8,DAY(DATE(Jahr,10,0)))="",B8=""),0,IFERROR(IF(AND(INDEX(Arten,MATCH(INDEX('September'!$B$8:$AF$8,DAY(DATE(Jahr,10,0))),Codes,0))="Arbeit",INDEX(Arten,MATCH(B8,Codes,0))="Arbeit"),IF(ROUND((1+INDEX(Beginne,MATCH(B8,Codes,0))-INDEX(EndeRel,MATCH(INDEX('September'!$B$8:$AF$8,DAY(DATE(Jahr,10,0))),Codes,0)))*1440,0)&lt;660,1,0),0),0))</f>
      </c>
      <c r="C57" s="1">
        <f>IF(OR(C$52=0,B8="",C8=""),0,IFERROR(IF(AND(INDEX(Arten,MATCH(B8,Codes,0))="Arbeit",INDEX(Arten,MATCH(C8,Codes,0))="Arbeit"),IF(ROUND((1+INDEX(Beginne,MATCH(C8,Codes,0))-INDEX(EndeRel,MATCH(B8,Codes,0)))*1440,0)&lt;660,1,0),0),0))</f>
      </c>
      <c r="D57" s="1">
        <f>IF(OR(D$52=0,C8="",D8=""),0,IFERROR(IF(AND(INDEX(Arten,MATCH(C8,Codes,0))="Arbeit",INDEX(Arten,MATCH(D8,Codes,0))="Arbeit"),IF(ROUND((1+INDEX(Beginne,MATCH(D8,Codes,0))-INDEX(EndeRel,MATCH(C8,Codes,0)))*1440,0)&lt;660,1,0),0),0))</f>
      </c>
      <c r="E57" s="1">
        <f>IF(OR(E$52=0,D8="",E8=""),0,IFERROR(IF(AND(INDEX(Arten,MATCH(D8,Codes,0))="Arbeit",INDEX(Arten,MATCH(E8,Codes,0))="Arbeit"),IF(ROUND((1+INDEX(Beginne,MATCH(E8,Codes,0))-INDEX(EndeRel,MATCH(D8,Codes,0)))*1440,0)&lt;660,1,0),0),0))</f>
      </c>
      <c r="F57" s="1">
        <f>IF(OR(F$52=0,E8="",F8=""),0,IFERROR(IF(AND(INDEX(Arten,MATCH(E8,Codes,0))="Arbeit",INDEX(Arten,MATCH(F8,Codes,0))="Arbeit"),IF(ROUND((1+INDEX(Beginne,MATCH(F8,Codes,0))-INDEX(EndeRel,MATCH(E8,Codes,0)))*1440,0)&lt;660,1,0),0),0))</f>
      </c>
      <c r="G57" s="1">
        <f>IF(OR(G$52=0,F8="",G8=""),0,IFERROR(IF(AND(INDEX(Arten,MATCH(F8,Codes,0))="Arbeit",INDEX(Arten,MATCH(G8,Codes,0))="Arbeit"),IF(ROUND((1+INDEX(Beginne,MATCH(G8,Codes,0))-INDEX(EndeRel,MATCH(F8,Codes,0)))*1440,0)&lt;660,1,0),0),0))</f>
      </c>
      <c r="H57" s="1">
        <f>IF(OR(H$52=0,G8="",H8=""),0,IFERROR(IF(AND(INDEX(Arten,MATCH(G8,Codes,0))="Arbeit",INDEX(Arten,MATCH(H8,Codes,0))="Arbeit"),IF(ROUND((1+INDEX(Beginne,MATCH(H8,Codes,0))-INDEX(EndeRel,MATCH(G8,Codes,0)))*1440,0)&lt;660,1,0),0),0))</f>
      </c>
      <c r="I57" s="1">
        <f>IF(OR(I$52=0,H8="",I8=""),0,IFERROR(IF(AND(INDEX(Arten,MATCH(H8,Codes,0))="Arbeit",INDEX(Arten,MATCH(I8,Codes,0))="Arbeit"),IF(ROUND((1+INDEX(Beginne,MATCH(I8,Codes,0))-INDEX(EndeRel,MATCH(H8,Codes,0)))*1440,0)&lt;660,1,0),0),0))</f>
      </c>
      <c r="J57" s="1">
        <f>IF(OR(J$52=0,I8="",J8=""),0,IFERROR(IF(AND(INDEX(Arten,MATCH(I8,Codes,0))="Arbeit",INDEX(Arten,MATCH(J8,Codes,0))="Arbeit"),IF(ROUND((1+INDEX(Beginne,MATCH(J8,Codes,0))-INDEX(EndeRel,MATCH(I8,Codes,0)))*1440,0)&lt;660,1,0),0),0))</f>
      </c>
      <c r="K57" s="1">
        <f>IF(OR(K$52=0,J8="",K8=""),0,IFERROR(IF(AND(INDEX(Arten,MATCH(J8,Codes,0))="Arbeit",INDEX(Arten,MATCH(K8,Codes,0))="Arbeit"),IF(ROUND((1+INDEX(Beginne,MATCH(K8,Codes,0))-INDEX(EndeRel,MATCH(J8,Codes,0)))*1440,0)&lt;660,1,0),0),0))</f>
      </c>
      <c r="L57" s="1">
        <f>IF(OR(L$52=0,K8="",L8=""),0,IFERROR(IF(AND(INDEX(Arten,MATCH(K8,Codes,0))="Arbeit",INDEX(Arten,MATCH(L8,Codes,0))="Arbeit"),IF(ROUND((1+INDEX(Beginne,MATCH(L8,Codes,0))-INDEX(EndeRel,MATCH(K8,Codes,0)))*1440,0)&lt;660,1,0),0),0))</f>
      </c>
      <c r="M57" s="1">
        <f>IF(OR(M$52=0,L8="",M8=""),0,IFERROR(IF(AND(INDEX(Arten,MATCH(L8,Codes,0))="Arbeit",INDEX(Arten,MATCH(M8,Codes,0))="Arbeit"),IF(ROUND((1+INDEX(Beginne,MATCH(M8,Codes,0))-INDEX(EndeRel,MATCH(L8,Codes,0)))*1440,0)&lt;660,1,0),0),0))</f>
      </c>
      <c r="N57" s="1">
        <f>IF(OR(N$52=0,M8="",N8=""),0,IFERROR(IF(AND(INDEX(Arten,MATCH(M8,Codes,0))="Arbeit",INDEX(Arten,MATCH(N8,Codes,0))="Arbeit"),IF(ROUND((1+INDEX(Beginne,MATCH(N8,Codes,0))-INDEX(EndeRel,MATCH(M8,Codes,0)))*1440,0)&lt;660,1,0),0),0))</f>
      </c>
      <c r="O57" s="1">
        <f>IF(OR(O$52=0,N8="",O8=""),0,IFERROR(IF(AND(INDEX(Arten,MATCH(N8,Codes,0))="Arbeit",INDEX(Arten,MATCH(O8,Codes,0))="Arbeit"),IF(ROUND((1+INDEX(Beginne,MATCH(O8,Codes,0))-INDEX(EndeRel,MATCH(N8,Codes,0)))*1440,0)&lt;660,1,0),0),0))</f>
      </c>
      <c r="P57" s="1">
        <f>IF(OR(P$52=0,O8="",P8=""),0,IFERROR(IF(AND(INDEX(Arten,MATCH(O8,Codes,0))="Arbeit",INDEX(Arten,MATCH(P8,Codes,0))="Arbeit"),IF(ROUND((1+INDEX(Beginne,MATCH(P8,Codes,0))-INDEX(EndeRel,MATCH(O8,Codes,0)))*1440,0)&lt;660,1,0),0),0))</f>
      </c>
      <c r="Q57" s="1">
        <f>IF(OR(Q$52=0,P8="",Q8=""),0,IFERROR(IF(AND(INDEX(Arten,MATCH(P8,Codes,0))="Arbeit",INDEX(Arten,MATCH(Q8,Codes,0))="Arbeit"),IF(ROUND((1+INDEX(Beginne,MATCH(Q8,Codes,0))-INDEX(EndeRel,MATCH(P8,Codes,0)))*1440,0)&lt;660,1,0),0),0))</f>
      </c>
      <c r="R57" s="1">
        <f>IF(OR(R$52=0,Q8="",R8=""),0,IFERROR(IF(AND(INDEX(Arten,MATCH(Q8,Codes,0))="Arbeit",INDEX(Arten,MATCH(R8,Codes,0))="Arbeit"),IF(ROUND((1+INDEX(Beginne,MATCH(R8,Codes,0))-INDEX(EndeRel,MATCH(Q8,Codes,0)))*1440,0)&lt;660,1,0),0),0))</f>
      </c>
      <c r="S57" s="1">
        <f>IF(OR(S$52=0,R8="",S8=""),0,IFERROR(IF(AND(INDEX(Arten,MATCH(R8,Codes,0))="Arbeit",INDEX(Arten,MATCH(S8,Codes,0))="Arbeit"),IF(ROUND((1+INDEX(Beginne,MATCH(S8,Codes,0))-INDEX(EndeRel,MATCH(R8,Codes,0)))*1440,0)&lt;660,1,0),0),0))</f>
      </c>
      <c r="T57" s="1">
        <f>IF(OR(T$52=0,S8="",T8=""),0,IFERROR(IF(AND(INDEX(Arten,MATCH(S8,Codes,0))="Arbeit",INDEX(Arten,MATCH(T8,Codes,0))="Arbeit"),IF(ROUND((1+INDEX(Beginne,MATCH(T8,Codes,0))-INDEX(EndeRel,MATCH(S8,Codes,0)))*1440,0)&lt;660,1,0),0),0))</f>
      </c>
      <c r="U57" s="1">
        <f>IF(OR(U$52=0,T8="",U8=""),0,IFERROR(IF(AND(INDEX(Arten,MATCH(T8,Codes,0))="Arbeit",INDEX(Arten,MATCH(U8,Codes,0))="Arbeit"),IF(ROUND((1+INDEX(Beginne,MATCH(U8,Codes,0))-INDEX(EndeRel,MATCH(T8,Codes,0)))*1440,0)&lt;660,1,0),0),0))</f>
      </c>
      <c r="V57" s="1">
        <f>IF(OR(V$52=0,U8="",V8=""),0,IFERROR(IF(AND(INDEX(Arten,MATCH(U8,Codes,0))="Arbeit",INDEX(Arten,MATCH(V8,Codes,0))="Arbeit"),IF(ROUND((1+INDEX(Beginne,MATCH(V8,Codes,0))-INDEX(EndeRel,MATCH(U8,Codes,0)))*1440,0)&lt;660,1,0),0),0))</f>
      </c>
      <c r="W57" s="1">
        <f>IF(OR(W$52=0,V8="",W8=""),0,IFERROR(IF(AND(INDEX(Arten,MATCH(V8,Codes,0))="Arbeit",INDEX(Arten,MATCH(W8,Codes,0))="Arbeit"),IF(ROUND((1+INDEX(Beginne,MATCH(W8,Codes,0))-INDEX(EndeRel,MATCH(V8,Codes,0)))*1440,0)&lt;660,1,0),0),0))</f>
      </c>
      <c r="X57" s="1">
        <f>IF(OR(X$52=0,W8="",X8=""),0,IFERROR(IF(AND(INDEX(Arten,MATCH(W8,Codes,0))="Arbeit",INDEX(Arten,MATCH(X8,Codes,0))="Arbeit"),IF(ROUND((1+INDEX(Beginne,MATCH(X8,Codes,0))-INDEX(EndeRel,MATCH(W8,Codes,0)))*1440,0)&lt;660,1,0),0),0))</f>
      </c>
      <c r="Y57" s="1">
        <f>IF(OR(Y$52=0,X8="",Y8=""),0,IFERROR(IF(AND(INDEX(Arten,MATCH(X8,Codes,0))="Arbeit",INDEX(Arten,MATCH(Y8,Codes,0))="Arbeit"),IF(ROUND((1+INDEX(Beginne,MATCH(Y8,Codes,0))-INDEX(EndeRel,MATCH(X8,Codes,0)))*1440,0)&lt;660,1,0),0),0))</f>
      </c>
      <c r="Z57" s="1">
        <f>IF(OR(Z$52=0,Y8="",Z8=""),0,IFERROR(IF(AND(INDEX(Arten,MATCH(Y8,Codes,0))="Arbeit",INDEX(Arten,MATCH(Z8,Codes,0))="Arbeit"),IF(ROUND((1+INDEX(Beginne,MATCH(Z8,Codes,0))-INDEX(EndeRel,MATCH(Y8,Codes,0)))*1440,0)&lt;660,1,0),0),0))</f>
      </c>
      <c r="AA57" s="1">
        <f>IF(OR(AA$52=0,Z8="",AA8=""),0,IFERROR(IF(AND(INDEX(Arten,MATCH(Z8,Codes,0))="Arbeit",INDEX(Arten,MATCH(AA8,Codes,0))="Arbeit"),IF(ROUND((1+INDEX(Beginne,MATCH(AA8,Codes,0))-INDEX(EndeRel,MATCH(Z8,Codes,0)))*1440,0)&lt;660,1,0),0),0))</f>
      </c>
      <c r="AB57" s="1">
        <f>IF(OR(AB$52=0,AA8="",AB8=""),0,IFERROR(IF(AND(INDEX(Arten,MATCH(AA8,Codes,0))="Arbeit",INDEX(Arten,MATCH(AB8,Codes,0))="Arbeit"),IF(ROUND((1+INDEX(Beginne,MATCH(AB8,Codes,0))-INDEX(EndeRel,MATCH(AA8,Codes,0)))*1440,0)&lt;660,1,0),0),0))</f>
      </c>
      <c r="AC57" s="1">
        <f>IF(OR(AC$52=0,AB8="",AC8=""),0,IFERROR(IF(AND(INDEX(Arten,MATCH(AB8,Codes,0))="Arbeit",INDEX(Arten,MATCH(AC8,Codes,0))="Arbeit"),IF(ROUND((1+INDEX(Beginne,MATCH(AC8,Codes,0))-INDEX(EndeRel,MATCH(AB8,Codes,0)))*1440,0)&lt;660,1,0),0),0))</f>
      </c>
      <c r="AD57" s="1">
        <f>IF(OR(AD$52=0,AC8="",AD8=""),0,IFERROR(IF(AND(INDEX(Arten,MATCH(AC8,Codes,0))="Arbeit",INDEX(Arten,MATCH(AD8,Codes,0))="Arbeit"),IF(ROUND((1+INDEX(Beginne,MATCH(AD8,Codes,0))-INDEX(EndeRel,MATCH(AC8,Codes,0)))*1440,0)&lt;660,1,0),0),0))</f>
      </c>
      <c r="AE57" s="1">
        <f>IF(OR(AE$52=0,AD8="",AE8=""),0,IFERROR(IF(AND(INDEX(Arten,MATCH(AD8,Codes,0))="Arbeit",INDEX(Arten,MATCH(AE8,Codes,0))="Arbeit"),IF(ROUND((1+INDEX(Beginne,MATCH(AE8,Codes,0))-INDEX(EndeRel,MATCH(AD8,Codes,0)))*1440,0)&lt;660,1,0),0),0))</f>
      </c>
      <c r="AF57" s="1">
        <f>IF(OR(AF$52=0,AE8="",AF8=""),0,IFERROR(IF(AND(INDEX(Arten,MATCH(AE8,Codes,0))="Arbeit",INDEX(Arten,MATCH(AF8,Codes,0))="Arbeit"),IF(ROUND((1+INDEX(Beginne,MATCH(AF8,Codes,0))-INDEX(EndeRel,MATCH(AE8,Codes,0)))*1440,0)&lt;660,1,0),0),0))</f>
      </c>
    </row>
    <row r="58" hidden="1" spans="1:32" x14ac:dyDescent="0.25">
      <c r="A58" s="1"/>
      <c r="B58" s="1">
        <f>IF(OR(B$52=0,INDEX('September'!$B$9:$AF$9,DAY(DATE(Jahr,10,0)))="",B9=""),0,IFERROR(IF(AND(INDEX(Arten,MATCH(INDEX('September'!$B$9:$AF$9,DAY(DATE(Jahr,10,0))),Codes,0))="Arbeit",INDEX(Arten,MATCH(B9,Codes,0))="Arbeit"),IF(ROUND((1+INDEX(Beginne,MATCH(B9,Codes,0))-INDEX(EndeRel,MATCH(INDEX('September'!$B$9:$AF$9,DAY(DATE(Jahr,10,0))),Codes,0)))*1440,0)&lt;660,1,0),0),0))</f>
      </c>
      <c r="C58" s="1">
        <f>IF(OR(C$52=0,B9="",C9=""),0,IFERROR(IF(AND(INDEX(Arten,MATCH(B9,Codes,0))="Arbeit",INDEX(Arten,MATCH(C9,Codes,0))="Arbeit"),IF(ROUND((1+INDEX(Beginne,MATCH(C9,Codes,0))-INDEX(EndeRel,MATCH(B9,Codes,0)))*1440,0)&lt;660,1,0),0),0))</f>
      </c>
      <c r="D58" s="1">
        <f>IF(OR(D$52=0,C9="",D9=""),0,IFERROR(IF(AND(INDEX(Arten,MATCH(C9,Codes,0))="Arbeit",INDEX(Arten,MATCH(D9,Codes,0))="Arbeit"),IF(ROUND((1+INDEX(Beginne,MATCH(D9,Codes,0))-INDEX(EndeRel,MATCH(C9,Codes,0)))*1440,0)&lt;660,1,0),0),0))</f>
      </c>
      <c r="E58" s="1">
        <f>IF(OR(E$52=0,D9="",E9=""),0,IFERROR(IF(AND(INDEX(Arten,MATCH(D9,Codes,0))="Arbeit",INDEX(Arten,MATCH(E9,Codes,0))="Arbeit"),IF(ROUND((1+INDEX(Beginne,MATCH(E9,Codes,0))-INDEX(EndeRel,MATCH(D9,Codes,0)))*1440,0)&lt;660,1,0),0),0))</f>
      </c>
      <c r="F58" s="1">
        <f>IF(OR(F$52=0,E9="",F9=""),0,IFERROR(IF(AND(INDEX(Arten,MATCH(E9,Codes,0))="Arbeit",INDEX(Arten,MATCH(F9,Codes,0))="Arbeit"),IF(ROUND((1+INDEX(Beginne,MATCH(F9,Codes,0))-INDEX(EndeRel,MATCH(E9,Codes,0)))*1440,0)&lt;660,1,0),0),0))</f>
      </c>
      <c r="G58" s="1">
        <f>IF(OR(G$52=0,F9="",G9=""),0,IFERROR(IF(AND(INDEX(Arten,MATCH(F9,Codes,0))="Arbeit",INDEX(Arten,MATCH(G9,Codes,0))="Arbeit"),IF(ROUND((1+INDEX(Beginne,MATCH(G9,Codes,0))-INDEX(EndeRel,MATCH(F9,Codes,0)))*1440,0)&lt;660,1,0),0),0))</f>
      </c>
      <c r="H58" s="1">
        <f>IF(OR(H$52=0,G9="",H9=""),0,IFERROR(IF(AND(INDEX(Arten,MATCH(G9,Codes,0))="Arbeit",INDEX(Arten,MATCH(H9,Codes,0))="Arbeit"),IF(ROUND((1+INDEX(Beginne,MATCH(H9,Codes,0))-INDEX(EndeRel,MATCH(G9,Codes,0)))*1440,0)&lt;660,1,0),0),0))</f>
      </c>
      <c r="I58" s="1">
        <f>IF(OR(I$52=0,H9="",I9=""),0,IFERROR(IF(AND(INDEX(Arten,MATCH(H9,Codes,0))="Arbeit",INDEX(Arten,MATCH(I9,Codes,0))="Arbeit"),IF(ROUND((1+INDEX(Beginne,MATCH(I9,Codes,0))-INDEX(EndeRel,MATCH(H9,Codes,0)))*1440,0)&lt;660,1,0),0),0))</f>
      </c>
      <c r="J58" s="1">
        <f>IF(OR(J$52=0,I9="",J9=""),0,IFERROR(IF(AND(INDEX(Arten,MATCH(I9,Codes,0))="Arbeit",INDEX(Arten,MATCH(J9,Codes,0))="Arbeit"),IF(ROUND((1+INDEX(Beginne,MATCH(J9,Codes,0))-INDEX(EndeRel,MATCH(I9,Codes,0)))*1440,0)&lt;660,1,0),0),0))</f>
      </c>
      <c r="K58" s="1">
        <f>IF(OR(K$52=0,J9="",K9=""),0,IFERROR(IF(AND(INDEX(Arten,MATCH(J9,Codes,0))="Arbeit",INDEX(Arten,MATCH(K9,Codes,0))="Arbeit"),IF(ROUND((1+INDEX(Beginne,MATCH(K9,Codes,0))-INDEX(EndeRel,MATCH(J9,Codes,0)))*1440,0)&lt;660,1,0),0),0))</f>
      </c>
      <c r="L58" s="1">
        <f>IF(OR(L$52=0,K9="",L9=""),0,IFERROR(IF(AND(INDEX(Arten,MATCH(K9,Codes,0))="Arbeit",INDEX(Arten,MATCH(L9,Codes,0))="Arbeit"),IF(ROUND((1+INDEX(Beginne,MATCH(L9,Codes,0))-INDEX(EndeRel,MATCH(K9,Codes,0)))*1440,0)&lt;660,1,0),0),0))</f>
      </c>
      <c r="M58" s="1">
        <f>IF(OR(M$52=0,L9="",M9=""),0,IFERROR(IF(AND(INDEX(Arten,MATCH(L9,Codes,0))="Arbeit",INDEX(Arten,MATCH(M9,Codes,0))="Arbeit"),IF(ROUND((1+INDEX(Beginne,MATCH(M9,Codes,0))-INDEX(EndeRel,MATCH(L9,Codes,0)))*1440,0)&lt;660,1,0),0),0))</f>
      </c>
      <c r="N58" s="1">
        <f>IF(OR(N$52=0,M9="",N9=""),0,IFERROR(IF(AND(INDEX(Arten,MATCH(M9,Codes,0))="Arbeit",INDEX(Arten,MATCH(N9,Codes,0))="Arbeit"),IF(ROUND((1+INDEX(Beginne,MATCH(N9,Codes,0))-INDEX(EndeRel,MATCH(M9,Codes,0)))*1440,0)&lt;660,1,0),0),0))</f>
      </c>
      <c r="O58" s="1">
        <f>IF(OR(O$52=0,N9="",O9=""),0,IFERROR(IF(AND(INDEX(Arten,MATCH(N9,Codes,0))="Arbeit",INDEX(Arten,MATCH(O9,Codes,0))="Arbeit"),IF(ROUND((1+INDEX(Beginne,MATCH(O9,Codes,0))-INDEX(EndeRel,MATCH(N9,Codes,0)))*1440,0)&lt;660,1,0),0),0))</f>
      </c>
      <c r="P58" s="1">
        <f>IF(OR(P$52=0,O9="",P9=""),0,IFERROR(IF(AND(INDEX(Arten,MATCH(O9,Codes,0))="Arbeit",INDEX(Arten,MATCH(P9,Codes,0))="Arbeit"),IF(ROUND((1+INDEX(Beginne,MATCH(P9,Codes,0))-INDEX(EndeRel,MATCH(O9,Codes,0)))*1440,0)&lt;660,1,0),0),0))</f>
      </c>
      <c r="Q58" s="1">
        <f>IF(OR(Q$52=0,P9="",Q9=""),0,IFERROR(IF(AND(INDEX(Arten,MATCH(P9,Codes,0))="Arbeit",INDEX(Arten,MATCH(Q9,Codes,0))="Arbeit"),IF(ROUND((1+INDEX(Beginne,MATCH(Q9,Codes,0))-INDEX(EndeRel,MATCH(P9,Codes,0)))*1440,0)&lt;660,1,0),0),0))</f>
      </c>
      <c r="R58" s="1">
        <f>IF(OR(R$52=0,Q9="",R9=""),0,IFERROR(IF(AND(INDEX(Arten,MATCH(Q9,Codes,0))="Arbeit",INDEX(Arten,MATCH(R9,Codes,0))="Arbeit"),IF(ROUND((1+INDEX(Beginne,MATCH(R9,Codes,0))-INDEX(EndeRel,MATCH(Q9,Codes,0)))*1440,0)&lt;660,1,0),0),0))</f>
      </c>
      <c r="S58" s="1">
        <f>IF(OR(S$52=0,R9="",S9=""),0,IFERROR(IF(AND(INDEX(Arten,MATCH(R9,Codes,0))="Arbeit",INDEX(Arten,MATCH(S9,Codes,0))="Arbeit"),IF(ROUND((1+INDEX(Beginne,MATCH(S9,Codes,0))-INDEX(EndeRel,MATCH(R9,Codes,0)))*1440,0)&lt;660,1,0),0),0))</f>
      </c>
      <c r="T58" s="1">
        <f>IF(OR(T$52=0,S9="",T9=""),0,IFERROR(IF(AND(INDEX(Arten,MATCH(S9,Codes,0))="Arbeit",INDEX(Arten,MATCH(T9,Codes,0))="Arbeit"),IF(ROUND((1+INDEX(Beginne,MATCH(T9,Codes,0))-INDEX(EndeRel,MATCH(S9,Codes,0)))*1440,0)&lt;660,1,0),0),0))</f>
      </c>
      <c r="U58" s="1">
        <f>IF(OR(U$52=0,T9="",U9=""),0,IFERROR(IF(AND(INDEX(Arten,MATCH(T9,Codes,0))="Arbeit",INDEX(Arten,MATCH(U9,Codes,0))="Arbeit"),IF(ROUND((1+INDEX(Beginne,MATCH(U9,Codes,0))-INDEX(EndeRel,MATCH(T9,Codes,0)))*1440,0)&lt;660,1,0),0),0))</f>
      </c>
      <c r="V58" s="1">
        <f>IF(OR(V$52=0,U9="",V9=""),0,IFERROR(IF(AND(INDEX(Arten,MATCH(U9,Codes,0))="Arbeit",INDEX(Arten,MATCH(V9,Codes,0))="Arbeit"),IF(ROUND((1+INDEX(Beginne,MATCH(V9,Codes,0))-INDEX(EndeRel,MATCH(U9,Codes,0)))*1440,0)&lt;660,1,0),0),0))</f>
      </c>
      <c r="W58" s="1">
        <f>IF(OR(W$52=0,V9="",W9=""),0,IFERROR(IF(AND(INDEX(Arten,MATCH(V9,Codes,0))="Arbeit",INDEX(Arten,MATCH(W9,Codes,0))="Arbeit"),IF(ROUND((1+INDEX(Beginne,MATCH(W9,Codes,0))-INDEX(EndeRel,MATCH(V9,Codes,0)))*1440,0)&lt;660,1,0),0),0))</f>
      </c>
      <c r="X58" s="1">
        <f>IF(OR(X$52=0,W9="",X9=""),0,IFERROR(IF(AND(INDEX(Arten,MATCH(W9,Codes,0))="Arbeit",INDEX(Arten,MATCH(X9,Codes,0))="Arbeit"),IF(ROUND((1+INDEX(Beginne,MATCH(X9,Codes,0))-INDEX(EndeRel,MATCH(W9,Codes,0)))*1440,0)&lt;660,1,0),0),0))</f>
      </c>
      <c r="Y58" s="1">
        <f>IF(OR(Y$52=0,X9="",Y9=""),0,IFERROR(IF(AND(INDEX(Arten,MATCH(X9,Codes,0))="Arbeit",INDEX(Arten,MATCH(Y9,Codes,0))="Arbeit"),IF(ROUND((1+INDEX(Beginne,MATCH(Y9,Codes,0))-INDEX(EndeRel,MATCH(X9,Codes,0)))*1440,0)&lt;660,1,0),0),0))</f>
      </c>
      <c r="Z58" s="1">
        <f>IF(OR(Z$52=0,Y9="",Z9=""),0,IFERROR(IF(AND(INDEX(Arten,MATCH(Y9,Codes,0))="Arbeit",INDEX(Arten,MATCH(Z9,Codes,0))="Arbeit"),IF(ROUND((1+INDEX(Beginne,MATCH(Z9,Codes,0))-INDEX(EndeRel,MATCH(Y9,Codes,0)))*1440,0)&lt;660,1,0),0),0))</f>
      </c>
      <c r="AA58" s="1">
        <f>IF(OR(AA$52=0,Z9="",AA9=""),0,IFERROR(IF(AND(INDEX(Arten,MATCH(Z9,Codes,0))="Arbeit",INDEX(Arten,MATCH(AA9,Codes,0))="Arbeit"),IF(ROUND((1+INDEX(Beginne,MATCH(AA9,Codes,0))-INDEX(EndeRel,MATCH(Z9,Codes,0)))*1440,0)&lt;660,1,0),0),0))</f>
      </c>
      <c r="AB58" s="1">
        <f>IF(OR(AB$52=0,AA9="",AB9=""),0,IFERROR(IF(AND(INDEX(Arten,MATCH(AA9,Codes,0))="Arbeit",INDEX(Arten,MATCH(AB9,Codes,0))="Arbeit"),IF(ROUND((1+INDEX(Beginne,MATCH(AB9,Codes,0))-INDEX(EndeRel,MATCH(AA9,Codes,0)))*1440,0)&lt;660,1,0),0),0))</f>
      </c>
      <c r="AC58" s="1">
        <f>IF(OR(AC$52=0,AB9="",AC9=""),0,IFERROR(IF(AND(INDEX(Arten,MATCH(AB9,Codes,0))="Arbeit",INDEX(Arten,MATCH(AC9,Codes,0))="Arbeit"),IF(ROUND((1+INDEX(Beginne,MATCH(AC9,Codes,0))-INDEX(EndeRel,MATCH(AB9,Codes,0)))*1440,0)&lt;660,1,0),0),0))</f>
      </c>
      <c r="AD58" s="1">
        <f>IF(OR(AD$52=0,AC9="",AD9=""),0,IFERROR(IF(AND(INDEX(Arten,MATCH(AC9,Codes,0))="Arbeit",INDEX(Arten,MATCH(AD9,Codes,0))="Arbeit"),IF(ROUND((1+INDEX(Beginne,MATCH(AD9,Codes,0))-INDEX(EndeRel,MATCH(AC9,Codes,0)))*1440,0)&lt;660,1,0),0),0))</f>
      </c>
      <c r="AE58" s="1">
        <f>IF(OR(AE$52=0,AD9="",AE9=""),0,IFERROR(IF(AND(INDEX(Arten,MATCH(AD9,Codes,0))="Arbeit",INDEX(Arten,MATCH(AE9,Codes,0))="Arbeit"),IF(ROUND((1+INDEX(Beginne,MATCH(AE9,Codes,0))-INDEX(EndeRel,MATCH(AD9,Codes,0)))*1440,0)&lt;660,1,0),0),0))</f>
      </c>
      <c r="AF58" s="1">
        <f>IF(OR(AF$52=0,AE9="",AF9=""),0,IFERROR(IF(AND(INDEX(Arten,MATCH(AE9,Codes,0))="Arbeit",INDEX(Arten,MATCH(AF9,Codes,0))="Arbeit"),IF(ROUND((1+INDEX(Beginne,MATCH(AF9,Codes,0))-INDEX(EndeRel,MATCH(AE9,Codes,0)))*1440,0)&lt;660,1,0),0),0))</f>
      </c>
    </row>
    <row r="59" hidden="1" spans="1:32" x14ac:dyDescent="0.25">
      <c r="A59" s="1"/>
      <c r="B59" s="1">
        <f>IF(OR(B$52=0,INDEX('September'!$B$10:$AF$10,DAY(DATE(Jahr,10,0)))="",B10=""),0,IFERROR(IF(AND(INDEX(Arten,MATCH(INDEX('September'!$B$10:$AF$10,DAY(DATE(Jahr,10,0))),Codes,0))="Arbeit",INDEX(Arten,MATCH(B10,Codes,0))="Arbeit"),IF(ROUND((1+INDEX(Beginne,MATCH(B10,Codes,0))-INDEX(EndeRel,MATCH(INDEX('September'!$B$10:$AF$10,DAY(DATE(Jahr,10,0))),Codes,0)))*1440,0)&lt;660,1,0),0),0))</f>
      </c>
      <c r="C59" s="1">
        <f>IF(OR(C$52=0,B10="",C10=""),0,IFERROR(IF(AND(INDEX(Arten,MATCH(B10,Codes,0))="Arbeit",INDEX(Arten,MATCH(C10,Codes,0))="Arbeit"),IF(ROUND((1+INDEX(Beginne,MATCH(C10,Codes,0))-INDEX(EndeRel,MATCH(B10,Codes,0)))*1440,0)&lt;660,1,0),0),0))</f>
      </c>
      <c r="D59" s="1">
        <f>IF(OR(D$52=0,C10="",D10=""),0,IFERROR(IF(AND(INDEX(Arten,MATCH(C10,Codes,0))="Arbeit",INDEX(Arten,MATCH(D10,Codes,0))="Arbeit"),IF(ROUND((1+INDEX(Beginne,MATCH(D10,Codes,0))-INDEX(EndeRel,MATCH(C10,Codes,0)))*1440,0)&lt;660,1,0),0),0))</f>
      </c>
      <c r="E59" s="1">
        <f>IF(OR(E$52=0,D10="",E10=""),0,IFERROR(IF(AND(INDEX(Arten,MATCH(D10,Codes,0))="Arbeit",INDEX(Arten,MATCH(E10,Codes,0))="Arbeit"),IF(ROUND((1+INDEX(Beginne,MATCH(E10,Codes,0))-INDEX(EndeRel,MATCH(D10,Codes,0)))*1440,0)&lt;660,1,0),0),0))</f>
      </c>
      <c r="F59" s="1">
        <f>IF(OR(F$52=0,E10="",F10=""),0,IFERROR(IF(AND(INDEX(Arten,MATCH(E10,Codes,0))="Arbeit",INDEX(Arten,MATCH(F10,Codes,0))="Arbeit"),IF(ROUND((1+INDEX(Beginne,MATCH(F10,Codes,0))-INDEX(EndeRel,MATCH(E10,Codes,0)))*1440,0)&lt;660,1,0),0),0))</f>
      </c>
      <c r="G59" s="1">
        <f>IF(OR(G$52=0,F10="",G10=""),0,IFERROR(IF(AND(INDEX(Arten,MATCH(F10,Codes,0))="Arbeit",INDEX(Arten,MATCH(G10,Codes,0))="Arbeit"),IF(ROUND((1+INDEX(Beginne,MATCH(G10,Codes,0))-INDEX(EndeRel,MATCH(F10,Codes,0)))*1440,0)&lt;660,1,0),0),0))</f>
      </c>
      <c r="H59" s="1">
        <f>IF(OR(H$52=0,G10="",H10=""),0,IFERROR(IF(AND(INDEX(Arten,MATCH(G10,Codes,0))="Arbeit",INDEX(Arten,MATCH(H10,Codes,0))="Arbeit"),IF(ROUND((1+INDEX(Beginne,MATCH(H10,Codes,0))-INDEX(EndeRel,MATCH(G10,Codes,0)))*1440,0)&lt;660,1,0),0),0))</f>
      </c>
      <c r="I59" s="1">
        <f>IF(OR(I$52=0,H10="",I10=""),0,IFERROR(IF(AND(INDEX(Arten,MATCH(H10,Codes,0))="Arbeit",INDEX(Arten,MATCH(I10,Codes,0))="Arbeit"),IF(ROUND((1+INDEX(Beginne,MATCH(I10,Codes,0))-INDEX(EndeRel,MATCH(H10,Codes,0)))*1440,0)&lt;660,1,0),0),0))</f>
      </c>
      <c r="J59" s="1">
        <f>IF(OR(J$52=0,I10="",J10=""),0,IFERROR(IF(AND(INDEX(Arten,MATCH(I10,Codes,0))="Arbeit",INDEX(Arten,MATCH(J10,Codes,0))="Arbeit"),IF(ROUND((1+INDEX(Beginne,MATCH(J10,Codes,0))-INDEX(EndeRel,MATCH(I10,Codes,0)))*1440,0)&lt;660,1,0),0),0))</f>
      </c>
      <c r="K59" s="1">
        <f>IF(OR(K$52=0,J10="",K10=""),0,IFERROR(IF(AND(INDEX(Arten,MATCH(J10,Codes,0))="Arbeit",INDEX(Arten,MATCH(K10,Codes,0))="Arbeit"),IF(ROUND((1+INDEX(Beginne,MATCH(K10,Codes,0))-INDEX(EndeRel,MATCH(J10,Codes,0)))*1440,0)&lt;660,1,0),0),0))</f>
      </c>
      <c r="L59" s="1">
        <f>IF(OR(L$52=0,K10="",L10=""),0,IFERROR(IF(AND(INDEX(Arten,MATCH(K10,Codes,0))="Arbeit",INDEX(Arten,MATCH(L10,Codes,0))="Arbeit"),IF(ROUND((1+INDEX(Beginne,MATCH(L10,Codes,0))-INDEX(EndeRel,MATCH(K10,Codes,0)))*1440,0)&lt;660,1,0),0),0))</f>
      </c>
      <c r="M59" s="1">
        <f>IF(OR(M$52=0,L10="",M10=""),0,IFERROR(IF(AND(INDEX(Arten,MATCH(L10,Codes,0))="Arbeit",INDEX(Arten,MATCH(M10,Codes,0))="Arbeit"),IF(ROUND((1+INDEX(Beginne,MATCH(M10,Codes,0))-INDEX(EndeRel,MATCH(L10,Codes,0)))*1440,0)&lt;660,1,0),0),0))</f>
      </c>
      <c r="N59" s="1">
        <f>IF(OR(N$52=0,M10="",N10=""),0,IFERROR(IF(AND(INDEX(Arten,MATCH(M10,Codes,0))="Arbeit",INDEX(Arten,MATCH(N10,Codes,0))="Arbeit"),IF(ROUND((1+INDEX(Beginne,MATCH(N10,Codes,0))-INDEX(EndeRel,MATCH(M10,Codes,0)))*1440,0)&lt;660,1,0),0),0))</f>
      </c>
      <c r="O59" s="1">
        <f>IF(OR(O$52=0,N10="",O10=""),0,IFERROR(IF(AND(INDEX(Arten,MATCH(N10,Codes,0))="Arbeit",INDEX(Arten,MATCH(O10,Codes,0))="Arbeit"),IF(ROUND((1+INDEX(Beginne,MATCH(O10,Codes,0))-INDEX(EndeRel,MATCH(N10,Codes,0)))*1440,0)&lt;660,1,0),0),0))</f>
      </c>
      <c r="P59" s="1">
        <f>IF(OR(P$52=0,O10="",P10=""),0,IFERROR(IF(AND(INDEX(Arten,MATCH(O10,Codes,0))="Arbeit",INDEX(Arten,MATCH(P10,Codes,0))="Arbeit"),IF(ROUND((1+INDEX(Beginne,MATCH(P10,Codes,0))-INDEX(EndeRel,MATCH(O10,Codes,0)))*1440,0)&lt;660,1,0),0),0))</f>
      </c>
      <c r="Q59" s="1">
        <f>IF(OR(Q$52=0,P10="",Q10=""),0,IFERROR(IF(AND(INDEX(Arten,MATCH(P10,Codes,0))="Arbeit",INDEX(Arten,MATCH(Q10,Codes,0))="Arbeit"),IF(ROUND((1+INDEX(Beginne,MATCH(Q10,Codes,0))-INDEX(EndeRel,MATCH(P10,Codes,0)))*1440,0)&lt;660,1,0),0),0))</f>
      </c>
      <c r="R59" s="1">
        <f>IF(OR(R$52=0,Q10="",R10=""),0,IFERROR(IF(AND(INDEX(Arten,MATCH(Q10,Codes,0))="Arbeit",INDEX(Arten,MATCH(R10,Codes,0))="Arbeit"),IF(ROUND((1+INDEX(Beginne,MATCH(R10,Codes,0))-INDEX(EndeRel,MATCH(Q10,Codes,0)))*1440,0)&lt;660,1,0),0),0))</f>
      </c>
      <c r="S59" s="1">
        <f>IF(OR(S$52=0,R10="",S10=""),0,IFERROR(IF(AND(INDEX(Arten,MATCH(R10,Codes,0))="Arbeit",INDEX(Arten,MATCH(S10,Codes,0))="Arbeit"),IF(ROUND((1+INDEX(Beginne,MATCH(S10,Codes,0))-INDEX(EndeRel,MATCH(R10,Codes,0)))*1440,0)&lt;660,1,0),0),0))</f>
      </c>
      <c r="T59" s="1">
        <f>IF(OR(T$52=0,S10="",T10=""),0,IFERROR(IF(AND(INDEX(Arten,MATCH(S10,Codes,0))="Arbeit",INDEX(Arten,MATCH(T10,Codes,0))="Arbeit"),IF(ROUND((1+INDEX(Beginne,MATCH(T10,Codes,0))-INDEX(EndeRel,MATCH(S10,Codes,0)))*1440,0)&lt;660,1,0),0),0))</f>
      </c>
      <c r="U59" s="1">
        <f>IF(OR(U$52=0,T10="",U10=""),0,IFERROR(IF(AND(INDEX(Arten,MATCH(T10,Codes,0))="Arbeit",INDEX(Arten,MATCH(U10,Codes,0))="Arbeit"),IF(ROUND((1+INDEX(Beginne,MATCH(U10,Codes,0))-INDEX(EndeRel,MATCH(T10,Codes,0)))*1440,0)&lt;660,1,0),0),0))</f>
      </c>
      <c r="V59" s="1">
        <f>IF(OR(V$52=0,U10="",V10=""),0,IFERROR(IF(AND(INDEX(Arten,MATCH(U10,Codes,0))="Arbeit",INDEX(Arten,MATCH(V10,Codes,0))="Arbeit"),IF(ROUND((1+INDEX(Beginne,MATCH(V10,Codes,0))-INDEX(EndeRel,MATCH(U10,Codes,0)))*1440,0)&lt;660,1,0),0),0))</f>
      </c>
      <c r="W59" s="1">
        <f>IF(OR(W$52=0,V10="",W10=""),0,IFERROR(IF(AND(INDEX(Arten,MATCH(V10,Codes,0))="Arbeit",INDEX(Arten,MATCH(W10,Codes,0))="Arbeit"),IF(ROUND((1+INDEX(Beginne,MATCH(W10,Codes,0))-INDEX(EndeRel,MATCH(V10,Codes,0)))*1440,0)&lt;660,1,0),0),0))</f>
      </c>
      <c r="X59" s="1">
        <f>IF(OR(X$52=0,W10="",X10=""),0,IFERROR(IF(AND(INDEX(Arten,MATCH(W10,Codes,0))="Arbeit",INDEX(Arten,MATCH(X10,Codes,0))="Arbeit"),IF(ROUND((1+INDEX(Beginne,MATCH(X10,Codes,0))-INDEX(EndeRel,MATCH(W10,Codes,0)))*1440,0)&lt;660,1,0),0),0))</f>
      </c>
      <c r="Y59" s="1">
        <f>IF(OR(Y$52=0,X10="",Y10=""),0,IFERROR(IF(AND(INDEX(Arten,MATCH(X10,Codes,0))="Arbeit",INDEX(Arten,MATCH(Y10,Codes,0))="Arbeit"),IF(ROUND((1+INDEX(Beginne,MATCH(Y10,Codes,0))-INDEX(EndeRel,MATCH(X10,Codes,0)))*1440,0)&lt;660,1,0),0),0))</f>
      </c>
      <c r="Z59" s="1">
        <f>IF(OR(Z$52=0,Y10="",Z10=""),0,IFERROR(IF(AND(INDEX(Arten,MATCH(Y10,Codes,0))="Arbeit",INDEX(Arten,MATCH(Z10,Codes,0))="Arbeit"),IF(ROUND((1+INDEX(Beginne,MATCH(Z10,Codes,0))-INDEX(EndeRel,MATCH(Y10,Codes,0)))*1440,0)&lt;660,1,0),0),0))</f>
      </c>
      <c r="AA59" s="1">
        <f>IF(OR(AA$52=0,Z10="",AA10=""),0,IFERROR(IF(AND(INDEX(Arten,MATCH(Z10,Codes,0))="Arbeit",INDEX(Arten,MATCH(AA10,Codes,0))="Arbeit"),IF(ROUND((1+INDEX(Beginne,MATCH(AA10,Codes,0))-INDEX(EndeRel,MATCH(Z10,Codes,0)))*1440,0)&lt;660,1,0),0),0))</f>
      </c>
      <c r="AB59" s="1">
        <f>IF(OR(AB$52=0,AA10="",AB10=""),0,IFERROR(IF(AND(INDEX(Arten,MATCH(AA10,Codes,0))="Arbeit",INDEX(Arten,MATCH(AB10,Codes,0))="Arbeit"),IF(ROUND((1+INDEX(Beginne,MATCH(AB10,Codes,0))-INDEX(EndeRel,MATCH(AA10,Codes,0)))*1440,0)&lt;660,1,0),0),0))</f>
      </c>
      <c r="AC59" s="1">
        <f>IF(OR(AC$52=0,AB10="",AC10=""),0,IFERROR(IF(AND(INDEX(Arten,MATCH(AB10,Codes,0))="Arbeit",INDEX(Arten,MATCH(AC10,Codes,0))="Arbeit"),IF(ROUND((1+INDEX(Beginne,MATCH(AC10,Codes,0))-INDEX(EndeRel,MATCH(AB10,Codes,0)))*1440,0)&lt;660,1,0),0),0))</f>
      </c>
      <c r="AD59" s="1">
        <f>IF(OR(AD$52=0,AC10="",AD10=""),0,IFERROR(IF(AND(INDEX(Arten,MATCH(AC10,Codes,0))="Arbeit",INDEX(Arten,MATCH(AD10,Codes,0))="Arbeit"),IF(ROUND((1+INDEX(Beginne,MATCH(AD10,Codes,0))-INDEX(EndeRel,MATCH(AC10,Codes,0)))*1440,0)&lt;660,1,0),0),0))</f>
      </c>
      <c r="AE59" s="1">
        <f>IF(OR(AE$52=0,AD10="",AE10=""),0,IFERROR(IF(AND(INDEX(Arten,MATCH(AD10,Codes,0))="Arbeit",INDEX(Arten,MATCH(AE10,Codes,0))="Arbeit"),IF(ROUND((1+INDEX(Beginne,MATCH(AE10,Codes,0))-INDEX(EndeRel,MATCH(AD10,Codes,0)))*1440,0)&lt;660,1,0),0),0))</f>
      </c>
      <c r="AF59" s="1">
        <f>IF(OR(AF$52=0,AE10="",AF10=""),0,IFERROR(IF(AND(INDEX(Arten,MATCH(AE10,Codes,0))="Arbeit",INDEX(Arten,MATCH(AF10,Codes,0))="Arbeit"),IF(ROUND((1+INDEX(Beginne,MATCH(AF10,Codes,0))-INDEX(EndeRel,MATCH(AE10,Codes,0)))*1440,0)&lt;660,1,0),0),0))</f>
      </c>
    </row>
    <row r="60" hidden="1" spans="1:32" x14ac:dyDescent="0.25">
      <c r="A60" s="1"/>
      <c r="B60" s="1">
        <f>IF(OR(B$52=0,INDEX('September'!$B$11:$AF$11,DAY(DATE(Jahr,10,0)))="",B11=""),0,IFERROR(IF(AND(INDEX(Arten,MATCH(INDEX('September'!$B$11:$AF$11,DAY(DATE(Jahr,10,0))),Codes,0))="Arbeit",INDEX(Arten,MATCH(B11,Codes,0))="Arbeit"),IF(ROUND((1+INDEX(Beginne,MATCH(B11,Codes,0))-INDEX(EndeRel,MATCH(INDEX('September'!$B$11:$AF$11,DAY(DATE(Jahr,10,0))),Codes,0)))*1440,0)&lt;660,1,0),0),0))</f>
      </c>
      <c r="C60" s="1">
        <f>IF(OR(C$52=0,B11="",C11=""),0,IFERROR(IF(AND(INDEX(Arten,MATCH(B11,Codes,0))="Arbeit",INDEX(Arten,MATCH(C11,Codes,0))="Arbeit"),IF(ROUND((1+INDEX(Beginne,MATCH(C11,Codes,0))-INDEX(EndeRel,MATCH(B11,Codes,0)))*1440,0)&lt;660,1,0),0),0))</f>
      </c>
      <c r="D60" s="1">
        <f>IF(OR(D$52=0,C11="",D11=""),0,IFERROR(IF(AND(INDEX(Arten,MATCH(C11,Codes,0))="Arbeit",INDEX(Arten,MATCH(D11,Codes,0))="Arbeit"),IF(ROUND((1+INDEX(Beginne,MATCH(D11,Codes,0))-INDEX(EndeRel,MATCH(C11,Codes,0)))*1440,0)&lt;660,1,0),0),0))</f>
      </c>
      <c r="E60" s="1">
        <f>IF(OR(E$52=0,D11="",E11=""),0,IFERROR(IF(AND(INDEX(Arten,MATCH(D11,Codes,0))="Arbeit",INDEX(Arten,MATCH(E11,Codes,0))="Arbeit"),IF(ROUND((1+INDEX(Beginne,MATCH(E11,Codes,0))-INDEX(EndeRel,MATCH(D11,Codes,0)))*1440,0)&lt;660,1,0),0),0))</f>
      </c>
      <c r="F60" s="1">
        <f>IF(OR(F$52=0,E11="",F11=""),0,IFERROR(IF(AND(INDEX(Arten,MATCH(E11,Codes,0))="Arbeit",INDEX(Arten,MATCH(F11,Codes,0))="Arbeit"),IF(ROUND((1+INDEX(Beginne,MATCH(F11,Codes,0))-INDEX(EndeRel,MATCH(E11,Codes,0)))*1440,0)&lt;660,1,0),0),0))</f>
      </c>
      <c r="G60" s="1">
        <f>IF(OR(G$52=0,F11="",G11=""),0,IFERROR(IF(AND(INDEX(Arten,MATCH(F11,Codes,0))="Arbeit",INDEX(Arten,MATCH(G11,Codes,0))="Arbeit"),IF(ROUND((1+INDEX(Beginne,MATCH(G11,Codes,0))-INDEX(EndeRel,MATCH(F11,Codes,0)))*1440,0)&lt;660,1,0),0),0))</f>
      </c>
      <c r="H60" s="1">
        <f>IF(OR(H$52=0,G11="",H11=""),0,IFERROR(IF(AND(INDEX(Arten,MATCH(G11,Codes,0))="Arbeit",INDEX(Arten,MATCH(H11,Codes,0))="Arbeit"),IF(ROUND((1+INDEX(Beginne,MATCH(H11,Codes,0))-INDEX(EndeRel,MATCH(G11,Codes,0)))*1440,0)&lt;660,1,0),0),0))</f>
      </c>
      <c r="I60" s="1">
        <f>IF(OR(I$52=0,H11="",I11=""),0,IFERROR(IF(AND(INDEX(Arten,MATCH(H11,Codes,0))="Arbeit",INDEX(Arten,MATCH(I11,Codes,0))="Arbeit"),IF(ROUND((1+INDEX(Beginne,MATCH(I11,Codes,0))-INDEX(EndeRel,MATCH(H11,Codes,0)))*1440,0)&lt;660,1,0),0),0))</f>
      </c>
      <c r="J60" s="1">
        <f>IF(OR(J$52=0,I11="",J11=""),0,IFERROR(IF(AND(INDEX(Arten,MATCH(I11,Codes,0))="Arbeit",INDEX(Arten,MATCH(J11,Codes,0))="Arbeit"),IF(ROUND((1+INDEX(Beginne,MATCH(J11,Codes,0))-INDEX(EndeRel,MATCH(I11,Codes,0)))*1440,0)&lt;660,1,0),0),0))</f>
      </c>
      <c r="K60" s="1">
        <f>IF(OR(K$52=0,J11="",K11=""),0,IFERROR(IF(AND(INDEX(Arten,MATCH(J11,Codes,0))="Arbeit",INDEX(Arten,MATCH(K11,Codes,0))="Arbeit"),IF(ROUND((1+INDEX(Beginne,MATCH(K11,Codes,0))-INDEX(EndeRel,MATCH(J11,Codes,0)))*1440,0)&lt;660,1,0),0),0))</f>
      </c>
      <c r="L60" s="1">
        <f>IF(OR(L$52=0,K11="",L11=""),0,IFERROR(IF(AND(INDEX(Arten,MATCH(K11,Codes,0))="Arbeit",INDEX(Arten,MATCH(L11,Codes,0))="Arbeit"),IF(ROUND((1+INDEX(Beginne,MATCH(L11,Codes,0))-INDEX(EndeRel,MATCH(K11,Codes,0)))*1440,0)&lt;660,1,0),0),0))</f>
      </c>
      <c r="M60" s="1">
        <f>IF(OR(M$52=0,L11="",M11=""),0,IFERROR(IF(AND(INDEX(Arten,MATCH(L11,Codes,0))="Arbeit",INDEX(Arten,MATCH(M11,Codes,0))="Arbeit"),IF(ROUND((1+INDEX(Beginne,MATCH(M11,Codes,0))-INDEX(EndeRel,MATCH(L11,Codes,0)))*1440,0)&lt;660,1,0),0),0))</f>
      </c>
      <c r="N60" s="1">
        <f>IF(OR(N$52=0,M11="",N11=""),0,IFERROR(IF(AND(INDEX(Arten,MATCH(M11,Codes,0))="Arbeit",INDEX(Arten,MATCH(N11,Codes,0))="Arbeit"),IF(ROUND((1+INDEX(Beginne,MATCH(N11,Codes,0))-INDEX(EndeRel,MATCH(M11,Codes,0)))*1440,0)&lt;660,1,0),0),0))</f>
      </c>
      <c r="O60" s="1">
        <f>IF(OR(O$52=0,N11="",O11=""),0,IFERROR(IF(AND(INDEX(Arten,MATCH(N11,Codes,0))="Arbeit",INDEX(Arten,MATCH(O11,Codes,0))="Arbeit"),IF(ROUND((1+INDEX(Beginne,MATCH(O11,Codes,0))-INDEX(EndeRel,MATCH(N11,Codes,0)))*1440,0)&lt;660,1,0),0),0))</f>
      </c>
      <c r="P60" s="1">
        <f>IF(OR(P$52=0,O11="",P11=""),0,IFERROR(IF(AND(INDEX(Arten,MATCH(O11,Codes,0))="Arbeit",INDEX(Arten,MATCH(P11,Codes,0))="Arbeit"),IF(ROUND((1+INDEX(Beginne,MATCH(P11,Codes,0))-INDEX(EndeRel,MATCH(O11,Codes,0)))*1440,0)&lt;660,1,0),0),0))</f>
      </c>
      <c r="Q60" s="1">
        <f>IF(OR(Q$52=0,P11="",Q11=""),0,IFERROR(IF(AND(INDEX(Arten,MATCH(P11,Codes,0))="Arbeit",INDEX(Arten,MATCH(Q11,Codes,0))="Arbeit"),IF(ROUND((1+INDEX(Beginne,MATCH(Q11,Codes,0))-INDEX(EndeRel,MATCH(P11,Codes,0)))*1440,0)&lt;660,1,0),0),0))</f>
      </c>
      <c r="R60" s="1">
        <f>IF(OR(R$52=0,Q11="",R11=""),0,IFERROR(IF(AND(INDEX(Arten,MATCH(Q11,Codes,0))="Arbeit",INDEX(Arten,MATCH(R11,Codes,0))="Arbeit"),IF(ROUND((1+INDEX(Beginne,MATCH(R11,Codes,0))-INDEX(EndeRel,MATCH(Q11,Codes,0)))*1440,0)&lt;660,1,0),0),0))</f>
      </c>
      <c r="S60" s="1">
        <f>IF(OR(S$52=0,R11="",S11=""),0,IFERROR(IF(AND(INDEX(Arten,MATCH(R11,Codes,0))="Arbeit",INDEX(Arten,MATCH(S11,Codes,0))="Arbeit"),IF(ROUND((1+INDEX(Beginne,MATCH(S11,Codes,0))-INDEX(EndeRel,MATCH(R11,Codes,0)))*1440,0)&lt;660,1,0),0),0))</f>
      </c>
      <c r="T60" s="1">
        <f>IF(OR(T$52=0,S11="",T11=""),0,IFERROR(IF(AND(INDEX(Arten,MATCH(S11,Codes,0))="Arbeit",INDEX(Arten,MATCH(T11,Codes,0))="Arbeit"),IF(ROUND((1+INDEX(Beginne,MATCH(T11,Codes,0))-INDEX(EndeRel,MATCH(S11,Codes,0)))*1440,0)&lt;660,1,0),0),0))</f>
      </c>
      <c r="U60" s="1">
        <f>IF(OR(U$52=0,T11="",U11=""),0,IFERROR(IF(AND(INDEX(Arten,MATCH(T11,Codes,0))="Arbeit",INDEX(Arten,MATCH(U11,Codes,0))="Arbeit"),IF(ROUND((1+INDEX(Beginne,MATCH(U11,Codes,0))-INDEX(EndeRel,MATCH(T11,Codes,0)))*1440,0)&lt;660,1,0),0),0))</f>
      </c>
      <c r="V60" s="1">
        <f>IF(OR(V$52=0,U11="",V11=""),0,IFERROR(IF(AND(INDEX(Arten,MATCH(U11,Codes,0))="Arbeit",INDEX(Arten,MATCH(V11,Codes,0))="Arbeit"),IF(ROUND((1+INDEX(Beginne,MATCH(V11,Codes,0))-INDEX(EndeRel,MATCH(U11,Codes,0)))*1440,0)&lt;660,1,0),0),0))</f>
      </c>
      <c r="W60" s="1">
        <f>IF(OR(W$52=0,V11="",W11=""),0,IFERROR(IF(AND(INDEX(Arten,MATCH(V11,Codes,0))="Arbeit",INDEX(Arten,MATCH(W11,Codes,0))="Arbeit"),IF(ROUND((1+INDEX(Beginne,MATCH(W11,Codes,0))-INDEX(EndeRel,MATCH(V11,Codes,0)))*1440,0)&lt;660,1,0),0),0))</f>
      </c>
      <c r="X60" s="1">
        <f>IF(OR(X$52=0,W11="",X11=""),0,IFERROR(IF(AND(INDEX(Arten,MATCH(W11,Codes,0))="Arbeit",INDEX(Arten,MATCH(X11,Codes,0))="Arbeit"),IF(ROUND((1+INDEX(Beginne,MATCH(X11,Codes,0))-INDEX(EndeRel,MATCH(W11,Codes,0)))*1440,0)&lt;660,1,0),0),0))</f>
      </c>
      <c r="Y60" s="1">
        <f>IF(OR(Y$52=0,X11="",Y11=""),0,IFERROR(IF(AND(INDEX(Arten,MATCH(X11,Codes,0))="Arbeit",INDEX(Arten,MATCH(Y11,Codes,0))="Arbeit"),IF(ROUND((1+INDEX(Beginne,MATCH(Y11,Codes,0))-INDEX(EndeRel,MATCH(X11,Codes,0)))*1440,0)&lt;660,1,0),0),0))</f>
      </c>
      <c r="Z60" s="1">
        <f>IF(OR(Z$52=0,Y11="",Z11=""),0,IFERROR(IF(AND(INDEX(Arten,MATCH(Y11,Codes,0))="Arbeit",INDEX(Arten,MATCH(Z11,Codes,0))="Arbeit"),IF(ROUND((1+INDEX(Beginne,MATCH(Z11,Codes,0))-INDEX(EndeRel,MATCH(Y11,Codes,0)))*1440,0)&lt;660,1,0),0),0))</f>
      </c>
      <c r="AA60" s="1">
        <f>IF(OR(AA$52=0,Z11="",AA11=""),0,IFERROR(IF(AND(INDEX(Arten,MATCH(Z11,Codes,0))="Arbeit",INDEX(Arten,MATCH(AA11,Codes,0))="Arbeit"),IF(ROUND((1+INDEX(Beginne,MATCH(AA11,Codes,0))-INDEX(EndeRel,MATCH(Z11,Codes,0)))*1440,0)&lt;660,1,0),0),0))</f>
      </c>
      <c r="AB60" s="1">
        <f>IF(OR(AB$52=0,AA11="",AB11=""),0,IFERROR(IF(AND(INDEX(Arten,MATCH(AA11,Codes,0))="Arbeit",INDEX(Arten,MATCH(AB11,Codes,0))="Arbeit"),IF(ROUND((1+INDEX(Beginne,MATCH(AB11,Codes,0))-INDEX(EndeRel,MATCH(AA11,Codes,0)))*1440,0)&lt;660,1,0),0),0))</f>
      </c>
      <c r="AC60" s="1">
        <f>IF(OR(AC$52=0,AB11="",AC11=""),0,IFERROR(IF(AND(INDEX(Arten,MATCH(AB11,Codes,0))="Arbeit",INDEX(Arten,MATCH(AC11,Codes,0))="Arbeit"),IF(ROUND((1+INDEX(Beginne,MATCH(AC11,Codes,0))-INDEX(EndeRel,MATCH(AB11,Codes,0)))*1440,0)&lt;660,1,0),0),0))</f>
      </c>
      <c r="AD60" s="1">
        <f>IF(OR(AD$52=0,AC11="",AD11=""),0,IFERROR(IF(AND(INDEX(Arten,MATCH(AC11,Codes,0))="Arbeit",INDEX(Arten,MATCH(AD11,Codes,0))="Arbeit"),IF(ROUND((1+INDEX(Beginne,MATCH(AD11,Codes,0))-INDEX(EndeRel,MATCH(AC11,Codes,0)))*1440,0)&lt;660,1,0),0),0))</f>
      </c>
      <c r="AE60" s="1">
        <f>IF(OR(AE$52=0,AD11="",AE11=""),0,IFERROR(IF(AND(INDEX(Arten,MATCH(AD11,Codes,0))="Arbeit",INDEX(Arten,MATCH(AE11,Codes,0))="Arbeit"),IF(ROUND((1+INDEX(Beginne,MATCH(AE11,Codes,0))-INDEX(EndeRel,MATCH(AD11,Codes,0)))*1440,0)&lt;660,1,0),0),0))</f>
      </c>
      <c r="AF60" s="1">
        <f>IF(OR(AF$52=0,AE11="",AF11=""),0,IFERROR(IF(AND(INDEX(Arten,MATCH(AE11,Codes,0))="Arbeit",INDEX(Arten,MATCH(AF11,Codes,0))="Arbeit"),IF(ROUND((1+INDEX(Beginne,MATCH(AF11,Codes,0))-INDEX(EndeRel,MATCH(AE11,Codes,0)))*1440,0)&lt;660,1,0),0),0))</f>
      </c>
    </row>
    <row r="61" hidden="1" spans="1:32" x14ac:dyDescent="0.25">
      <c r="A61" s="1"/>
      <c r="B61" s="1">
        <f>IF(OR(B$52=0,INDEX('September'!$B$12:$AF$12,DAY(DATE(Jahr,10,0)))="",B12=""),0,IFERROR(IF(AND(INDEX(Arten,MATCH(INDEX('September'!$B$12:$AF$12,DAY(DATE(Jahr,10,0))),Codes,0))="Arbeit",INDEX(Arten,MATCH(B12,Codes,0))="Arbeit"),IF(ROUND((1+INDEX(Beginne,MATCH(B12,Codes,0))-INDEX(EndeRel,MATCH(INDEX('September'!$B$12:$AF$12,DAY(DATE(Jahr,10,0))),Codes,0)))*1440,0)&lt;660,1,0),0),0))</f>
      </c>
      <c r="C61" s="1">
        <f>IF(OR(C$52=0,B12="",C12=""),0,IFERROR(IF(AND(INDEX(Arten,MATCH(B12,Codes,0))="Arbeit",INDEX(Arten,MATCH(C12,Codes,0))="Arbeit"),IF(ROUND((1+INDEX(Beginne,MATCH(C12,Codes,0))-INDEX(EndeRel,MATCH(B12,Codes,0)))*1440,0)&lt;660,1,0),0),0))</f>
      </c>
      <c r="D61" s="1">
        <f>IF(OR(D$52=0,C12="",D12=""),0,IFERROR(IF(AND(INDEX(Arten,MATCH(C12,Codes,0))="Arbeit",INDEX(Arten,MATCH(D12,Codes,0))="Arbeit"),IF(ROUND((1+INDEX(Beginne,MATCH(D12,Codes,0))-INDEX(EndeRel,MATCH(C12,Codes,0)))*1440,0)&lt;660,1,0),0),0))</f>
      </c>
      <c r="E61" s="1">
        <f>IF(OR(E$52=0,D12="",E12=""),0,IFERROR(IF(AND(INDEX(Arten,MATCH(D12,Codes,0))="Arbeit",INDEX(Arten,MATCH(E12,Codes,0))="Arbeit"),IF(ROUND((1+INDEX(Beginne,MATCH(E12,Codes,0))-INDEX(EndeRel,MATCH(D12,Codes,0)))*1440,0)&lt;660,1,0),0),0))</f>
      </c>
      <c r="F61" s="1">
        <f>IF(OR(F$52=0,E12="",F12=""),0,IFERROR(IF(AND(INDEX(Arten,MATCH(E12,Codes,0))="Arbeit",INDEX(Arten,MATCH(F12,Codes,0))="Arbeit"),IF(ROUND((1+INDEX(Beginne,MATCH(F12,Codes,0))-INDEX(EndeRel,MATCH(E12,Codes,0)))*1440,0)&lt;660,1,0),0),0))</f>
      </c>
      <c r="G61" s="1">
        <f>IF(OR(G$52=0,F12="",G12=""),0,IFERROR(IF(AND(INDEX(Arten,MATCH(F12,Codes,0))="Arbeit",INDEX(Arten,MATCH(G12,Codes,0))="Arbeit"),IF(ROUND((1+INDEX(Beginne,MATCH(G12,Codes,0))-INDEX(EndeRel,MATCH(F12,Codes,0)))*1440,0)&lt;660,1,0),0),0))</f>
      </c>
      <c r="H61" s="1">
        <f>IF(OR(H$52=0,G12="",H12=""),0,IFERROR(IF(AND(INDEX(Arten,MATCH(G12,Codes,0))="Arbeit",INDEX(Arten,MATCH(H12,Codes,0))="Arbeit"),IF(ROUND((1+INDEX(Beginne,MATCH(H12,Codes,0))-INDEX(EndeRel,MATCH(G12,Codes,0)))*1440,0)&lt;660,1,0),0),0))</f>
      </c>
      <c r="I61" s="1">
        <f>IF(OR(I$52=0,H12="",I12=""),0,IFERROR(IF(AND(INDEX(Arten,MATCH(H12,Codes,0))="Arbeit",INDEX(Arten,MATCH(I12,Codes,0))="Arbeit"),IF(ROUND((1+INDEX(Beginne,MATCH(I12,Codes,0))-INDEX(EndeRel,MATCH(H12,Codes,0)))*1440,0)&lt;660,1,0),0),0))</f>
      </c>
      <c r="J61" s="1">
        <f>IF(OR(J$52=0,I12="",J12=""),0,IFERROR(IF(AND(INDEX(Arten,MATCH(I12,Codes,0))="Arbeit",INDEX(Arten,MATCH(J12,Codes,0))="Arbeit"),IF(ROUND((1+INDEX(Beginne,MATCH(J12,Codes,0))-INDEX(EndeRel,MATCH(I12,Codes,0)))*1440,0)&lt;660,1,0),0),0))</f>
      </c>
      <c r="K61" s="1">
        <f>IF(OR(K$52=0,J12="",K12=""),0,IFERROR(IF(AND(INDEX(Arten,MATCH(J12,Codes,0))="Arbeit",INDEX(Arten,MATCH(K12,Codes,0))="Arbeit"),IF(ROUND((1+INDEX(Beginne,MATCH(K12,Codes,0))-INDEX(EndeRel,MATCH(J12,Codes,0)))*1440,0)&lt;660,1,0),0),0))</f>
      </c>
      <c r="L61" s="1">
        <f>IF(OR(L$52=0,K12="",L12=""),0,IFERROR(IF(AND(INDEX(Arten,MATCH(K12,Codes,0))="Arbeit",INDEX(Arten,MATCH(L12,Codes,0))="Arbeit"),IF(ROUND((1+INDEX(Beginne,MATCH(L12,Codes,0))-INDEX(EndeRel,MATCH(K12,Codes,0)))*1440,0)&lt;660,1,0),0),0))</f>
      </c>
      <c r="M61" s="1">
        <f>IF(OR(M$52=0,L12="",M12=""),0,IFERROR(IF(AND(INDEX(Arten,MATCH(L12,Codes,0))="Arbeit",INDEX(Arten,MATCH(M12,Codes,0))="Arbeit"),IF(ROUND((1+INDEX(Beginne,MATCH(M12,Codes,0))-INDEX(EndeRel,MATCH(L12,Codes,0)))*1440,0)&lt;660,1,0),0),0))</f>
      </c>
      <c r="N61" s="1">
        <f>IF(OR(N$52=0,M12="",N12=""),0,IFERROR(IF(AND(INDEX(Arten,MATCH(M12,Codes,0))="Arbeit",INDEX(Arten,MATCH(N12,Codes,0))="Arbeit"),IF(ROUND((1+INDEX(Beginne,MATCH(N12,Codes,0))-INDEX(EndeRel,MATCH(M12,Codes,0)))*1440,0)&lt;660,1,0),0),0))</f>
      </c>
      <c r="O61" s="1">
        <f>IF(OR(O$52=0,N12="",O12=""),0,IFERROR(IF(AND(INDEX(Arten,MATCH(N12,Codes,0))="Arbeit",INDEX(Arten,MATCH(O12,Codes,0))="Arbeit"),IF(ROUND((1+INDEX(Beginne,MATCH(O12,Codes,0))-INDEX(EndeRel,MATCH(N12,Codes,0)))*1440,0)&lt;660,1,0),0),0))</f>
      </c>
      <c r="P61" s="1">
        <f>IF(OR(P$52=0,O12="",P12=""),0,IFERROR(IF(AND(INDEX(Arten,MATCH(O12,Codes,0))="Arbeit",INDEX(Arten,MATCH(P12,Codes,0))="Arbeit"),IF(ROUND((1+INDEX(Beginne,MATCH(P12,Codes,0))-INDEX(EndeRel,MATCH(O12,Codes,0)))*1440,0)&lt;660,1,0),0),0))</f>
      </c>
      <c r="Q61" s="1">
        <f>IF(OR(Q$52=0,P12="",Q12=""),0,IFERROR(IF(AND(INDEX(Arten,MATCH(P12,Codes,0))="Arbeit",INDEX(Arten,MATCH(Q12,Codes,0))="Arbeit"),IF(ROUND((1+INDEX(Beginne,MATCH(Q12,Codes,0))-INDEX(EndeRel,MATCH(P12,Codes,0)))*1440,0)&lt;660,1,0),0),0))</f>
      </c>
      <c r="R61" s="1">
        <f>IF(OR(R$52=0,Q12="",R12=""),0,IFERROR(IF(AND(INDEX(Arten,MATCH(Q12,Codes,0))="Arbeit",INDEX(Arten,MATCH(R12,Codes,0))="Arbeit"),IF(ROUND((1+INDEX(Beginne,MATCH(R12,Codes,0))-INDEX(EndeRel,MATCH(Q12,Codes,0)))*1440,0)&lt;660,1,0),0),0))</f>
      </c>
      <c r="S61" s="1">
        <f>IF(OR(S$52=0,R12="",S12=""),0,IFERROR(IF(AND(INDEX(Arten,MATCH(R12,Codes,0))="Arbeit",INDEX(Arten,MATCH(S12,Codes,0))="Arbeit"),IF(ROUND((1+INDEX(Beginne,MATCH(S12,Codes,0))-INDEX(EndeRel,MATCH(R12,Codes,0)))*1440,0)&lt;660,1,0),0),0))</f>
      </c>
      <c r="T61" s="1">
        <f>IF(OR(T$52=0,S12="",T12=""),0,IFERROR(IF(AND(INDEX(Arten,MATCH(S12,Codes,0))="Arbeit",INDEX(Arten,MATCH(T12,Codes,0))="Arbeit"),IF(ROUND((1+INDEX(Beginne,MATCH(T12,Codes,0))-INDEX(EndeRel,MATCH(S12,Codes,0)))*1440,0)&lt;660,1,0),0),0))</f>
      </c>
      <c r="U61" s="1">
        <f>IF(OR(U$52=0,T12="",U12=""),0,IFERROR(IF(AND(INDEX(Arten,MATCH(T12,Codes,0))="Arbeit",INDEX(Arten,MATCH(U12,Codes,0))="Arbeit"),IF(ROUND((1+INDEX(Beginne,MATCH(U12,Codes,0))-INDEX(EndeRel,MATCH(T12,Codes,0)))*1440,0)&lt;660,1,0),0),0))</f>
      </c>
      <c r="V61" s="1">
        <f>IF(OR(V$52=0,U12="",V12=""),0,IFERROR(IF(AND(INDEX(Arten,MATCH(U12,Codes,0))="Arbeit",INDEX(Arten,MATCH(V12,Codes,0))="Arbeit"),IF(ROUND((1+INDEX(Beginne,MATCH(V12,Codes,0))-INDEX(EndeRel,MATCH(U12,Codes,0)))*1440,0)&lt;660,1,0),0),0))</f>
      </c>
      <c r="W61" s="1">
        <f>IF(OR(W$52=0,V12="",W12=""),0,IFERROR(IF(AND(INDEX(Arten,MATCH(V12,Codes,0))="Arbeit",INDEX(Arten,MATCH(W12,Codes,0))="Arbeit"),IF(ROUND((1+INDEX(Beginne,MATCH(W12,Codes,0))-INDEX(EndeRel,MATCH(V12,Codes,0)))*1440,0)&lt;660,1,0),0),0))</f>
      </c>
      <c r="X61" s="1">
        <f>IF(OR(X$52=0,W12="",X12=""),0,IFERROR(IF(AND(INDEX(Arten,MATCH(W12,Codes,0))="Arbeit",INDEX(Arten,MATCH(X12,Codes,0))="Arbeit"),IF(ROUND((1+INDEX(Beginne,MATCH(X12,Codes,0))-INDEX(EndeRel,MATCH(W12,Codes,0)))*1440,0)&lt;660,1,0),0),0))</f>
      </c>
      <c r="Y61" s="1">
        <f>IF(OR(Y$52=0,X12="",Y12=""),0,IFERROR(IF(AND(INDEX(Arten,MATCH(X12,Codes,0))="Arbeit",INDEX(Arten,MATCH(Y12,Codes,0))="Arbeit"),IF(ROUND((1+INDEX(Beginne,MATCH(Y12,Codes,0))-INDEX(EndeRel,MATCH(X12,Codes,0)))*1440,0)&lt;660,1,0),0),0))</f>
      </c>
      <c r="Z61" s="1">
        <f>IF(OR(Z$52=0,Y12="",Z12=""),0,IFERROR(IF(AND(INDEX(Arten,MATCH(Y12,Codes,0))="Arbeit",INDEX(Arten,MATCH(Z12,Codes,0))="Arbeit"),IF(ROUND((1+INDEX(Beginne,MATCH(Z12,Codes,0))-INDEX(EndeRel,MATCH(Y12,Codes,0)))*1440,0)&lt;660,1,0),0),0))</f>
      </c>
      <c r="AA61" s="1">
        <f>IF(OR(AA$52=0,Z12="",AA12=""),0,IFERROR(IF(AND(INDEX(Arten,MATCH(Z12,Codes,0))="Arbeit",INDEX(Arten,MATCH(AA12,Codes,0))="Arbeit"),IF(ROUND((1+INDEX(Beginne,MATCH(AA12,Codes,0))-INDEX(EndeRel,MATCH(Z12,Codes,0)))*1440,0)&lt;660,1,0),0),0))</f>
      </c>
      <c r="AB61" s="1">
        <f>IF(OR(AB$52=0,AA12="",AB12=""),0,IFERROR(IF(AND(INDEX(Arten,MATCH(AA12,Codes,0))="Arbeit",INDEX(Arten,MATCH(AB12,Codes,0))="Arbeit"),IF(ROUND((1+INDEX(Beginne,MATCH(AB12,Codes,0))-INDEX(EndeRel,MATCH(AA12,Codes,0)))*1440,0)&lt;660,1,0),0),0))</f>
      </c>
      <c r="AC61" s="1">
        <f>IF(OR(AC$52=0,AB12="",AC12=""),0,IFERROR(IF(AND(INDEX(Arten,MATCH(AB12,Codes,0))="Arbeit",INDEX(Arten,MATCH(AC12,Codes,0))="Arbeit"),IF(ROUND((1+INDEX(Beginne,MATCH(AC12,Codes,0))-INDEX(EndeRel,MATCH(AB12,Codes,0)))*1440,0)&lt;660,1,0),0),0))</f>
      </c>
      <c r="AD61" s="1">
        <f>IF(OR(AD$52=0,AC12="",AD12=""),0,IFERROR(IF(AND(INDEX(Arten,MATCH(AC12,Codes,0))="Arbeit",INDEX(Arten,MATCH(AD12,Codes,0))="Arbeit"),IF(ROUND((1+INDEX(Beginne,MATCH(AD12,Codes,0))-INDEX(EndeRel,MATCH(AC12,Codes,0)))*1440,0)&lt;660,1,0),0),0))</f>
      </c>
      <c r="AE61" s="1">
        <f>IF(OR(AE$52=0,AD12="",AE12=""),0,IFERROR(IF(AND(INDEX(Arten,MATCH(AD12,Codes,0))="Arbeit",INDEX(Arten,MATCH(AE12,Codes,0))="Arbeit"),IF(ROUND((1+INDEX(Beginne,MATCH(AE12,Codes,0))-INDEX(EndeRel,MATCH(AD12,Codes,0)))*1440,0)&lt;660,1,0),0),0))</f>
      </c>
      <c r="AF61" s="1">
        <f>IF(OR(AF$52=0,AE12="",AF12=""),0,IFERROR(IF(AND(INDEX(Arten,MATCH(AE12,Codes,0))="Arbeit",INDEX(Arten,MATCH(AF12,Codes,0))="Arbeit"),IF(ROUND((1+INDEX(Beginne,MATCH(AF12,Codes,0))-INDEX(EndeRel,MATCH(AE12,Codes,0)))*1440,0)&lt;660,1,0),0),0))</f>
      </c>
    </row>
    <row r="62" hidden="1" spans="1:32" x14ac:dyDescent="0.25">
      <c r="A62" s="1"/>
      <c r="B62" s="1">
        <f>IF(OR(B$52=0,INDEX('September'!$B$13:$AF$13,DAY(DATE(Jahr,10,0)))="",B13=""),0,IFERROR(IF(AND(INDEX(Arten,MATCH(INDEX('September'!$B$13:$AF$13,DAY(DATE(Jahr,10,0))),Codes,0))="Arbeit",INDEX(Arten,MATCH(B13,Codes,0))="Arbeit"),IF(ROUND((1+INDEX(Beginne,MATCH(B13,Codes,0))-INDEX(EndeRel,MATCH(INDEX('September'!$B$13:$AF$13,DAY(DATE(Jahr,10,0))),Codes,0)))*1440,0)&lt;660,1,0),0),0))</f>
      </c>
      <c r="C62" s="1">
        <f>IF(OR(C$52=0,B13="",C13=""),0,IFERROR(IF(AND(INDEX(Arten,MATCH(B13,Codes,0))="Arbeit",INDEX(Arten,MATCH(C13,Codes,0))="Arbeit"),IF(ROUND((1+INDEX(Beginne,MATCH(C13,Codes,0))-INDEX(EndeRel,MATCH(B13,Codes,0)))*1440,0)&lt;660,1,0),0),0))</f>
      </c>
      <c r="D62" s="1">
        <f>IF(OR(D$52=0,C13="",D13=""),0,IFERROR(IF(AND(INDEX(Arten,MATCH(C13,Codes,0))="Arbeit",INDEX(Arten,MATCH(D13,Codes,0))="Arbeit"),IF(ROUND((1+INDEX(Beginne,MATCH(D13,Codes,0))-INDEX(EndeRel,MATCH(C13,Codes,0)))*1440,0)&lt;660,1,0),0),0))</f>
      </c>
      <c r="E62" s="1">
        <f>IF(OR(E$52=0,D13="",E13=""),0,IFERROR(IF(AND(INDEX(Arten,MATCH(D13,Codes,0))="Arbeit",INDEX(Arten,MATCH(E13,Codes,0))="Arbeit"),IF(ROUND((1+INDEX(Beginne,MATCH(E13,Codes,0))-INDEX(EndeRel,MATCH(D13,Codes,0)))*1440,0)&lt;660,1,0),0),0))</f>
      </c>
      <c r="F62" s="1">
        <f>IF(OR(F$52=0,E13="",F13=""),0,IFERROR(IF(AND(INDEX(Arten,MATCH(E13,Codes,0))="Arbeit",INDEX(Arten,MATCH(F13,Codes,0))="Arbeit"),IF(ROUND((1+INDEX(Beginne,MATCH(F13,Codes,0))-INDEX(EndeRel,MATCH(E13,Codes,0)))*1440,0)&lt;660,1,0),0),0))</f>
      </c>
      <c r="G62" s="1">
        <f>IF(OR(G$52=0,F13="",G13=""),0,IFERROR(IF(AND(INDEX(Arten,MATCH(F13,Codes,0))="Arbeit",INDEX(Arten,MATCH(G13,Codes,0))="Arbeit"),IF(ROUND((1+INDEX(Beginne,MATCH(G13,Codes,0))-INDEX(EndeRel,MATCH(F13,Codes,0)))*1440,0)&lt;660,1,0),0),0))</f>
      </c>
      <c r="H62" s="1">
        <f>IF(OR(H$52=0,G13="",H13=""),0,IFERROR(IF(AND(INDEX(Arten,MATCH(G13,Codes,0))="Arbeit",INDEX(Arten,MATCH(H13,Codes,0))="Arbeit"),IF(ROUND((1+INDEX(Beginne,MATCH(H13,Codes,0))-INDEX(EndeRel,MATCH(G13,Codes,0)))*1440,0)&lt;660,1,0),0),0))</f>
      </c>
      <c r="I62" s="1">
        <f>IF(OR(I$52=0,H13="",I13=""),0,IFERROR(IF(AND(INDEX(Arten,MATCH(H13,Codes,0))="Arbeit",INDEX(Arten,MATCH(I13,Codes,0))="Arbeit"),IF(ROUND((1+INDEX(Beginne,MATCH(I13,Codes,0))-INDEX(EndeRel,MATCH(H13,Codes,0)))*1440,0)&lt;660,1,0),0),0))</f>
      </c>
      <c r="J62" s="1">
        <f>IF(OR(J$52=0,I13="",J13=""),0,IFERROR(IF(AND(INDEX(Arten,MATCH(I13,Codes,0))="Arbeit",INDEX(Arten,MATCH(J13,Codes,0))="Arbeit"),IF(ROUND((1+INDEX(Beginne,MATCH(J13,Codes,0))-INDEX(EndeRel,MATCH(I13,Codes,0)))*1440,0)&lt;660,1,0),0),0))</f>
      </c>
      <c r="K62" s="1">
        <f>IF(OR(K$52=0,J13="",K13=""),0,IFERROR(IF(AND(INDEX(Arten,MATCH(J13,Codes,0))="Arbeit",INDEX(Arten,MATCH(K13,Codes,0))="Arbeit"),IF(ROUND((1+INDEX(Beginne,MATCH(K13,Codes,0))-INDEX(EndeRel,MATCH(J13,Codes,0)))*1440,0)&lt;660,1,0),0),0))</f>
      </c>
      <c r="L62" s="1">
        <f>IF(OR(L$52=0,K13="",L13=""),0,IFERROR(IF(AND(INDEX(Arten,MATCH(K13,Codes,0))="Arbeit",INDEX(Arten,MATCH(L13,Codes,0))="Arbeit"),IF(ROUND((1+INDEX(Beginne,MATCH(L13,Codes,0))-INDEX(EndeRel,MATCH(K13,Codes,0)))*1440,0)&lt;660,1,0),0),0))</f>
      </c>
      <c r="M62" s="1">
        <f>IF(OR(M$52=0,L13="",M13=""),0,IFERROR(IF(AND(INDEX(Arten,MATCH(L13,Codes,0))="Arbeit",INDEX(Arten,MATCH(M13,Codes,0))="Arbeit"),IF(ROUND((1+INDEX(Beginne,MATCH(M13,Codes,0))-INDEX(EndeRel,MATCH(L13,Codes,0)))*1440,0)&lt;660,1,0),0),0))</f>
      </c>
      <c r="N62" s="1">
        <f>IF(OR(N$52=0,M13="",N13=""),0,IFERROR(IF(AND(INDEX(Arten,MATCH(M13,Codes,0))="Arbeit",INDEX(Arten,MATCH(N13,Codes,0))="Arbeit"),IF(ROUND((1+INDEX(Beginne,MATCH(N13,Codes,0))-INDEX(EndeRel,MATCH(M13,Codes,0)))*1440,0)&lt;660,1,0),0),0))</f>
      </c>
      <c r="O62" s="1">
        <f>IF(OR(O$52=0,N13="",O13=""),0,IFERROR(IF(AND(INDEX(Arten,MATCH(N13,Codes,0))="Arbeit",INDEX(Arten,MATCH(O13,Codes,0))="Arbeit"),IF(ROUND((1+INDEX(Beginne,MATCH(O13,Codes,0))-INDEX(EndeRel,MATCH(N13,Codes,0)))*1440,0)&lt;660,1,0),0),0))</f>
      </c>
      <c r="P62" s="1">
        <f>IF(OR(P$52=0,O13="",P13=""),0,IFERROR(IF(AND(INDEX(Arten,MATCH(O13,Codes,0))="Arbeit",INDEX(Arten,MATCH(P13,Codes,0))="Arbeit"),IF(ROUND((1+INDEX(Beginne,MATCH(P13,Codes,0))-INDEX(EndeRel,MATCH(O13,Codes,0)))*1440,0)&lt;660,1,0),0),0))</f>
      </c>
      <c r="Q62" s="1">
        <f>IF(OR(Q$52=0,P13="",Q13=""),0,IFERROR(IF(AND(INDEX(Arten,MATCH(P13,Codes,0))="Arbeit",INDEX(Arten,MATCH(Q13,Codes,0))="Arbeit"),IF(ROUND((1+INDEX(Beginne,MATCH(Q13,Codes,0))-INDEX(EndeRel,MATCH(P13,Codes,0)))*1440,0)&lt;660,1,0),0),0))</f>
      </c>
      <c r="R62" s="1">
        <f>IF(OR(R$52=0,Q13="",R13=""),0,IFERROR(IF(AND(INDEX(Arten,MATCH(Q13,Codes,0))="Arbeit",INDEX(Arten,MATCH(R13,Codes,0))="Arbeit"),IF(ROUND((1+INDEX(Beginne,MATCH(R13,Codes,0))-INDEX(EndeRel,MATCH(Q13,Codes,0)))*1440,0)&lt;660,1,0),0),0))</f>
      </c>
      <c r="S62" s="1">
        <f>IF(OR(S$52=0,R13="",S13=""),0,IFERROR(IF(AND(INDEX(Arten,MATCH(R13,Codes,0))="Arbeit",INDEX(Arten,MATCH(S13,Codes,0))="Arbeit"),IF(ROUND((1+INDEX(Beginne,MATCH(S13,Codes,0))-INDEX(EndeRel,MATCH(R13,Codes,0)))*1440,0)&lt;660,1,0),0),0))</f>
      </c>
      <c r="T62" s="1">
        <f>IF(OR(T$52=0,S13="",T13=""),0,IFERROR(IF(AND(INDEX(Arten,MATCH(S13,Codes,0))="Arbeit",INDEX(Arten,MATCH(T13,Codes,0))="Arbeit"),IF(ROUND((1+INDEX(Beginne,MATCH(T13,Codes,0))-INDEX(EndeRel,MATCH(S13,Codes,0)))*1440,0)&lt;660,1,0),0),0))</f>
      </c>
      <c r="U62" s="1">
        <f>IF(OR(U$52=0,T13="",U13=""),0,IFERROR(IF(AND(INDEX(Arten,MATCH(T13,Codes,0))="Arbeit",INDEX(Arten,MATCH(U13,Codes,0))="Arbeit"),IF(ROUND((1+INDEX(Beginne,MATCH(U13,Codes,0))-INDEX(EndeRel,MATCH(T13,Codes,0)))*1440,0)&lt;660,1,0),0),0))</f>
      </c>
      <c r="V62" s="1">
        <f>IF(OR(V$52=0,U13="",V13=""),0,IFERROR(IF(AND(INDEX(Arten,MATCH(U13,Codes,0))="Arbeit",INDEX(Arten,MATCH(V13,Codes,0))="Arbeit"),IF(ROUND((1+INDEX(Beginne,MATCH(V13,Codes,0))-INDEX(EndeRel,MATCH(U13,Codes,0)))*1440,0)&lt;660,1,0),0),0))</f>
      </c>
      <c r="W62" s="1">
        <f>IF(OR(W$52=0,V13="",W13=""),0,IFERROR(IF(AND(INDEX(Arten,MATCH(V13,Codes,0))="Arbeit",INDEX(Arten,MATCH(W13,Codes,0))="Arbeit"),IF(ROUND((1+INDEX(Beginne,MATCH(W13,Codes,0))-INDEX(EndeRel,MATCH(V13,Codes,0)))*1440,0)&lt;660,1,0),0),0))</f>
      </c>
      <c r="X62" s="1">
        <f>IF(OR(X$52=0,W13="",X13=""),0,IFERROR(IF(AND(INDEX(Arten,MATCH(W13,Codes,0))="Arbeit",INDEX(Arten,MATCH(X13,Codes,0))="Arbeit"),IF(ROUND((1+INDEX(Beginne,MATCH(X13,Codes,0))-INDEX(EndeRel,MATCH(W13,Codes,0)))*1440,0)&lt;660,1,0),0),0))</f>
      </c>
      <c r="Y62" s="1">
        <f>IF(OR(Y$52=0,X13="",Y13=""),0,IFERROR(IF(AND(INDEX(Arten,MATCH(X13,Codes,0))="Arbeit",INDEX(Arten,MATCH(Y13,Codes,0))="Arbeit"),IF(ROUND((1+INDEX(Beginne,MATCH(Y13,Codes,0))-INDEX(EndeRel,MATCH(X13,Codes,0)))*1440,0)&lt;660,1,0),0),0))</f>
      </c>
      <c r="Z62" s="1">
        <f>IF(OR(Z$52=0,Y13="",Z13=""),0,IFERROR(IF(AND(INDEX(Arten,MATCH(Y13,Codes,0))="Arbeit",INDEX(Arten,MATCH(Z13,Codes,0))="Arbeit"),IF(ROUND((1+INDEX(Beginne,MATCH(Z13,Codes,0))-INDEX(EndeRel,MATCH(Y13,Codes,0)))*1440,0)&lt;660,1,0),0),0))</f>
      </c>
      <c r="AA62" s="1">
        <f>IF(OR(AA$52=0,Z13="",AA13=""),0,IFERROR(IF(AND(INDEX(Arten,MATCH(Z13,Codes,0))="Arbeit",INDEX(Arten,MATCH(AA13,Codes,0))="Arbeit"),IF(ROUND((1+INDEX(Beginne,MATCH(AA13,Codes,0))-INDEX(EndeRel,MATCH(Z13,Codes,0)))*1440,0)&lt;660,1,0),0),0))</f>
      </c>
      <c r="AB62" s="1">
        <f>IF(OR(AB$52=0,AA13="",AB13=""),0,IFERROR(IF(AND(INDEX(Arten,MATCH(AA13,Codes,0))="Arbeit",INDEX(Arten,MATCH(AB13,Codes,0))="Arbeit"),IF(ROUND((1+INDEX(Beginne,MATCH(AB13,Codes,0))-INDEX(EndeRel,MATCH(AA13,Codes,0)))*1440,0)&lt;660,1,0),0),0))</f>
      </c>
      <c r="AC62" s="1">
        <f>IF(OR(AC$52=0,AB13="",AC13=""),0,IFERROR(IF(AND(INDEX(Arten,MATCH(AB13,Codes,0))="Arbeit",INDEX(Arten,MATCH(AC13,Codes,0))="Arbeit"),IF(ROUND((1+INDEX(Beginne,MATCH(AC13,Codes,0))-INDEX(EndeRel,MATCH(AB13,Codes,0)))*1440,0)&lt;660,1,0),0),0))</f>
      </c>
      <c r="AD62" s="1">
        <f>IF(OR(AD$52=0,AC13="",AD13=""),0,IFERROR(IF(AND(INDEX(Arten,MATCH(AC13,Codes,0))="Arbeit",INDEX(Arten,MATCH(AD13,Codes,0))="Arbeit"),IF(ROUND((1+INDEX(Beginne,MATCH(AD13,Codes,0))-INDEX(EndeRel,MATCH(AC13,Codes,0)))*1440,0)&lt;660,1,0),0),0))</f>
      </c>
      <c r="AE62" s="1">
        <f>IF(OR(AE$52=0,AD13="",AE13=""),0,IFERROR(IF(AND(INDEX(Arten,MATCH(AD13,Codes,0))="Arbeit",INDEX(Arten,MATCH(AE13,Codes,0))="Arbeit"),IF(ROUND((1+INDEX(Beginne,MATCH(AE13,Codes,0))-INDEX(EndeRel,MATCH(AD13,Codes,0)))*1440,0)&lt;660,1,0),0),0))</f>
      </c>
      <c r="AF62" s="1">
        <f>IF(OR(AF$52=0,AE13="",AF13=""),0,IFERROR(IF(AND(INDEX(Arten,MATCH(AE13,Codes,0))="Arbeit",INDEX(Arten,MATCH(AF13,Codes,0))="Arbeit"),IF(ROUND((1+INDEX(Beginne,MATCH(AF13,Codes,0))-INDEX(EndeRel,MATCH(AE13,Codes,0)))*1440,0)&lt;660,1,0),0),0))</f>
      </c>
    </row>
    <row r="63" hidden="1" spans="1:32" x14ac:dyDescent="0.25">
      <c r="A63" s="1"/>
      <c r="B63" s="1">
        <f>IF(OR(B$52=0,INDEX('September'!$B$14:$AF$14,DAY(DATE(Jahr,10,0)))="",B14=""),0,IFERROR(IF(AND(INDEX(Arten,MATCH(INDEX('September'!$B$14:$AF$14,DAY(DATE(Jahr,10,0))),Codes,0))="Arbeit",INDEX(Arten,MATCH(B14,Codes,0))="Arbeit"),IF(ROUND((1+INDEX(Beginne,MATCH(B14,Codes,0))-INDEX(EndeRel,MATCH(INDEX('September'!$B$14:$AF$14,DAY(DATE(Jahr,10,0))),Codes,0)))*1440,0)&lt;660,1,0),0),0))</f>
      </c>
      <c r="C63" s="1">
        <f>IF(OR(C$52=0,B14="",C14=""),0,IFERROR(IF(AND(INDEX(Arten,MATCH(B14,Codes,0))="Arbeit",INDEX(Arten,MATCH(C14,Codes,0))="Arbeit"),IF(ROUND((1+INDEX(Beginne,MATCH(C14,Codes,0))-INDEX(EndeRel,MATCH(B14,Codes,0)))*1440,0)&lt;660,1,0),0),0))</f>
      </c>
      <c r="D63" s="1">
        <f>IF(OR(D$52=0,C14="",D14=""),0,IFERROR(IF(AND(INDEX(Arten,MATCH(C14,Codes,0))="Arbeit",INDEX(Arten,MATCH(D14,Codes,0))="Arbeit"),IF(ROUND((1+INDEX(Beginne,MATCH(D14,Codes,0))-INDEX(EndeRel,MATCH(C14,Codes,0)))*1440,0)&lt;660,1,0),0),0))</f>
      </c>
      <c r="E63" s="1">
        <f>IF(OR(E$52=0,D14="",E14=""),0,IFERROR(IF(AND(INDEX(Arten,MATCH(D14,Codes,0))="Arbeit",INDEX(Arten,MATCH(E14,Codes,0))="Arbeit"),IF(ROUND((1+INDEX(Beginne,MATCH(E14,Codes,0))-INDEX(EndeRel,MATCH(D14,Codes,0)))*1440,0)&lt;660,1,0),0),0))</f>
      </c>
      <c r="F63" s="1">
        <f>IF(OR(F$52=0,E14="",F14=""),0,IFERROR(IF(AND(INDEX(Arten,MATCH(E14,Codes,0))="Arbeit",INDEX(Arten,MATCH(F14,Codes,0))="Arbeit"),IF(ROUND((1+INDEX(Beginne,MATCH(F14,Codes,0))-INDEX(EndeRel,MATCH(E14,Codes,0)))*1440,0)&lt;660,1,0),0),0))</f>
      </c>
      <c r="G63" s="1">
        <f>IF(OR(G$52=0,F14="",G14=""),0,IFERROR(IF(AND(INDEX(Arten,MATCH(F14,Codes,0))="Arbeit",INDEX(Arten,MATCH(G14,Codes,0))="Arbeit"),IF(ROUND((1+INDEX(Beginne,MATCH(G14,Codes,0))-INDEX(EndeRel,MATCH(F14,Codes,0)))*1440,0)&lt;660,1,0),0),0))</f>
      </c>
      <c r="H63" s="1">
        <f>IF(OR(H$52=0,G14="",H14=""),0,IFERROR(IF(AND(INDEX(Arten,MATCH(G14,Codes,0))="Arbeit",INDEX(Arten,MATCH(H14,Codes,0))="Arbeit"),IF(ROUND((1+INDEX(Beginne,MATCH(H14,Codes,0))-INDEX(EndeRel,MATCH(G14,Codes,0)))*1440,0)&lt;660,1,0),0),0))</f>
      </c>
      <c r="I63" s="1">
        <f>IF(OR(I$52=0,H14="",I14=""),0,IFERROR(IF(AND(INDEX(Arten,MATCH(H14,Codes,0))="Arbeit",INDEX(Arten,MATCH(I14,Codes,0))="Arbeit"),IF(ROUND((1+INDEX(Beginne,MATCH(I14,Codes,0))-INDEX(EndeRel,MATCH(H14,Codes,0)))*1440,0)&lt;660,1,0),0),0))</f>
      </c>
      <c r="J63" s="1">
        <f>IF(OR(J$52=0,I14="",J14=""),0,IFERROR(IF(AND(INDEX(Arten,MATCH(I14,Codes,0))="Arbeit",INDEX(Arten,MATCH(J14,Codes,0))="Arbeit"),IF(ROUND((1+INDEX(Beginne,MATCH(J14,Codes,0))-INDEX(EndeRel,MATCH(I14,Codes,0)))*1440,0)&lt;660,1,0),0),0))</f>
      </c>
      <c r="K63" s="1">
        <f>IF(OR(K$52=0,J14="",K14=""),0,IFERROR(IF(AND(INDEX(Arten,MATCH(J14,Codes,0))="Arbeit",INDEX(Arten,MATCH(K14,Codes,0))="Arbeit"),IF(ROUND((1+INDEX(Beginne,MATCH(K14,Codes,0))-INDEX(EndeRel,MATCH(J14,Codes,0)))*1440,0)&lt;660,1,0),0),0))</f>
      </c>
      <c r="L63" s="1">
        <f>IF(OR(L$52=0,K14="",L14=""),0,IFERROR(IF(AND(INDEX(Arten,MATCH(K14,Codes,0))="Arbeit",INDEX(Arten,MATCH(L14,Codes,0))="Arbeit"),IF(ROUND((1+INDEX(Beginne,MATCH(L14,Codes,0))-INDEX(EndeRel,MATCH(K14,Codes,0)))*1440,0)&lt;660,1,0),0),0))</f>
      </c>
      <c r="M63" s="1">
        <f>IF(OR(M$52=0,L14="",M14=""),0,IFERROR(IF(AND(INDEX(Arten,MATCH(L14,Codes,0))="Arbeit",INDEX(Arten,MATCH(M14,Codes,0))="Arbeit"),IF(ROUND((1+INDEX(Beginne,MATCH(M14,Codes,0))-INDEX(EndeRel,MATCH(L14,Codes,0)))*1440,0)&lt;660,1,0),0),0))</f>
      </c>
      <c r="N63" s="1">
        <f>IF(OR(N$52=0,M14="",N14=""),0,IFERROR(IF(AND(INDEX(Arten,MATCH(M14,Codes,0))="Arbeit",INDEX(Arten,MATCH(N14,Codes,0))="Arbeit"),IF(ROUND((1+INDEX(Beginne,MATCH(N14,Codes,0))-INDEX(EndeRel,MATCH(M14,Codes,0)))*1440,0)&lt;660,1,0),0),0))</f>
      </c>
      <c r="O63" s="1">
        <f>IF(OR(O$52=0,N14="",O14=""),0,IFERROR(IF(AND(INDEX(Arten,MATCH(N14,Codes,0))="Arbeit",INDEX(Arten,MATCH(O14,Codes,0))="Arbeit"),IF(ROUND((1+INDEX(Beginne,MATCH(O14,Codes,0))-INDEX(EndeRel,MATCH(N14,Codes,0)))*1440,0)&lt;660,1,0),0),0))</f>
      </c>
      <c r="P63" s="1">
        <f>IF(OR(P$52=0,O14="",P14=""),0,IFERROR(IF(AND(INDEX(Arten,MATCH(O14,Codes,0))="Arbeit",INDEX(Arten,MATCH(P14,Codes,0))="Arbeit"),IF(ROUND((1+INDEX(Beginne,MATCH(P14,Codes,0))-INDEX(EndeRel,MATCH(O14,Codes,0)))*1440,0)&lt;660,1,0),0),0))</f>
      </c>
      <c r="Q63" s="1">
        <f>IF(OR(Q$52=0,P14="",Q14=""),0,IFERROR(IF(AND(INDEX(Arten,MATCH(P14,Codes,0))="Arbeit",INDEX(Arten,MATCH(Q14,Codes,0))="Arbeit"),IF(ROUND((1+INDEX(Beginne,MATCH(Q14,Codes,0))-INDEX(EndeRel,MATCH(P14,Codes,0)))*1440,0)&lt;660,1,0),0),0))</f>
      </c>
      <c r="R63" s="1">
        <f>IF(OR(R$52=0,Q14="",R14=""),0,IFERROR(IF(AND(INDEX(Arten,MATCH(Q14,Codes,0))="Arbeit",INDEX(Arten,MATCH(R14,Codes,0))="Arbeit"),IF(ROUND((1+INDEX(Beginne,MATCH(R14,Codes,0))-INDEX(EndeRel,MATCH(Q14,Codes,0)))*1440,0)&lt;660,1,0),0),0))</f>
      </c>
      <c r="S63" s="1">
        <f>IF(OR(S$52=0,R14="",S14=""),0,IFERROR(IF(AND(INDEX(Arten,MATCH(R14,Codes,0))="Arbeit",INDEX(Arten,MATCH(S14,Codes,0))="Arbeit"),IF(ROUND((1+INDEX(Beginne,MATCH(S14,Codes,0))-INDEX(EndeRel,MATCH(R14,Codes,0)))*1440,0)&lt;660,1,0),0),0))</f>
      </c>
      <c r="T63" s="1">
        <f>IF(OR(T$52=0,S14="",T14=""),0,IFERROR(IF(AND(INDEX(Arten,MATCH(S14,Codes,0))="Arbeit",INDEX(Arten,MATCH(T14,Codes,0))="Arbeit"),IF(ROUND((1+INDEX(Beginne,MATCH(T14,Codes,0))-INDEX(EndeRel,MATCH(S14,Codes,0)))*1440,0)&lt;660,1,0),0),0))</f>
      </c>
      <c r="U63" s="1">
        <f>IF(OR(U$52=0,T14="",U14=""),0,IFERROR(IF(AND(INDEX(Arten,MATCH(T14,Codes,0))="Arbeit",INDEX(Arten,MATCH(U14,Codes,0))="Arbeit"),IF(ROUND((1+INDEX(Beginne,MATCH(U14,Codes,0))-INDEX(EndeRel,MATCH(T14,Codes,0)))*1440,0)&lt;660,1,0),0),0))</f>
      </c>
      <c r="V63" s="1">
        <f>IF(OR(V$52=0,U14="",V14=""),0,IFERROR(IF(AND(INDEX(Arten,MATCH(U14,Codes,0))="Arbeit",INDEX(Arten,MATCH(V14,Codes,0))="Arbeit"),IF(ROUND((1+INDEX(Beginne,MATCH(V14,Codes,0))-INDEX(EndeRel,MATCH(U14,Codes,0)))*1440,0)&lt;660,1,0),0),0))</f>
      </c>
      <c r="W63" s="1">
        <f>IF(OR(W$52=0,V14="",W14=""),0,IFERROR(IF(AND(INDEX(Arten,MATCH(V14,Codes,0))="Arbeit",INDEX(Arten,MATCH(W14,Codes,0))="Arbeit"),IF(ROUND((1+INDEX(Beginne,MATCH(W14,Codes,0))-INDEX(EndeRel,MATCH(V14,Codes,0)))*1440,0)&lt;660,1,0),0),0))</f>
      </c>
      <c r="X63" s="1">
        <f>IF(OR(X$52=0,W14="",X14=""),0,IFERROR(IF(AND(INDEX(Arten,MATCH(W14,Codes,0))="Arbeit",INDEX(Arten,MATCH(X14,Codes,0))="Arbeit"),IF(ROUND((1+INDEX(Beginne,MATCH(X14,Codes,0))-INDEX(EndeRel,MATCH(W14,Codes,0)))*1440,0)&lt;660,1,0),0),0))</f>
      </c>
      <c r="Y63" s="1">
        <f>IF(OR(Y$52=0,X14="",Y14=""),0,IFERROR(IF(AND(INDEX(Arten,MATCH(X14,Codes,0))="Arbeit",INDEX(Arten,MATCH(Y14,Codes,0))="Arbeit"),IF(ROUND((1+INDEX(Beginne,MATCH(Y14,Codes,0))-INDEX(EndeRel,MATCH(X14,Codes,0)))*1440,0)&lt;660,1,0),0),0))</f>
      </c>
      <c r="Z63" s="1">
        <f>IF(OR(Z$52=0,Y14="",Z14=""),0,IFERROR(IF(AND(INDEX(Arten,MATCH(Y14,Codes,0))="Arbeit",INDEX(Arten,MATCH(Z14,Codes,0))="Arbeit"),IF(ROUND((1+INDEX(Beginne,MATCH(Z14,Codes,0))-INDEX(EndeRel,MATCH(Y14,Codes,0)))*1440,0)&lt;660,1,0),0),0))</f>
      </c>
      <c r="AA63" s="1">
        <f>IF(OR(AA$52=0,Z14="",AA14=""),0,IFERROR(IF(AND(INDEX(Arten,MATCH(Z14,Codes,0))="Arbeit",INDEX(Arten,MATCH(AA14,Codes,0))="Arbeit"),IF(ROUND((1+INDEX(Beginne,MATCH(AA14,Codes,0))-INDEX(EndeRel,MATCH(Z14,Codes,0)))*1440,0)&lt;660,1,0),0),0))</f>
      </c>
      <c r="AB63" s="1">
        <f>IF(OR(AB$52=0,AA14="",AB14=""),0,IFERROR(IF(AND(INDEX(Arten,MATCH(AA14,Codes,0))="Arbeit",INDEX(Arten,MATCH(AB14,Codes,0))="Arbeit"),IF(ROUND((1+INDEX(Beginne,MATCH(AB14,Codes,0))-INDEX(EndeRel,MATCH(AA14,Codes,0)))*1440,0)&lt;660,1,0),0),0))</f>
      </c>
      <c r="AC63" s="1">
        <f>IF(OR(AC$52=0,AB14="",AC14=""),0,IFERROR(IF(AND(INDEX(Arten,MATCH(AB14,Codes,0))="Arbeit",INDEX(Arten,MATCH(AC14,Codes,0))="Arbeit"),IF(ROUND((1+INDEX(Beginne,MATCH(AC14,Codes,0))-INDEX(EndeRel,MATCH(AB14,Codes,0)))*1440,0)&lt;660,1,0),0),0))</f>
      </c>
      <c r="AD63" s="1">
        <f>IF(OR(AD$52=0,AC14="",AD14=""),0,IFERROR(IF(AND(INDEX(Arten,MATCH(AC14,Codes,0))="Arbeit",INDEX(Arten,MATCH(AD14,Codes,0))="Arbeit"),IF(ROUND((1+INDEX(Beginne,MATCH(AD14,Codes,0))-INDEX(EndeRel,MATCH(AC14,Codes,0)))*1440,0)&lt;660,1,0),0),0))</f>
      </c>
      <c r="AE63" s="1">
        <f>IF(OR(AE$52=0,AD14="",AE14=""),0,IFERROR(IF(AND(INDEX(Arten,MATCH(AD14,Codes,0))="Arbeit",INDEX(Arten,MATCH(AE14,Codes,0))="Arbeit"),IF(ROUND((1+INDEX(Beginne,MATCH(AE14,Codes,0))-INDEX(EndeRel,MATCH(AD14,Codes,0)))*1440,0)&lt;660,1,0),0),0))</f>
      </c>
      <c r="AF63" s="1">
        <f>IF(OR(AF$52=0,AE14="",AF14=""),0,IFERROR(IF(AND(INDEX(Arten,MATCH(AE14,Codes,0))="Arbeit",INDEX(Arten,MATCH(AF14,Codes,0))="Arbeit"),IF(ROUND((1+INDEX(Beginne,MATCH(AF14,Codes,0))-INDEX(EndeRel,MATCH(AE14,Codes,0)))*1440,0)&lt;660,1,0),0),0))</f>
      </c>
    </row>
    <row r="64" hidden="1" spans="1:32" x14ac:dyDescent="0.25">
      <c r="A64" s="1"/>
      <c r="B64" s="1">
        <f>IF(OR(B$52=0,INDEX('September'!$B$15:$AF$15,DAY(DATE(Jahr,10,0)))="",B15=""),0,IFERROR(IF(AND(INDEX(Arten,MATCH(INDEX('September'!$B$15:$AF$15,DAY(DATE(Jahr,10,0))),Codes,0))="Arbeit",INDEX(Arten,MATCH(B15,Codes,0))="Arbeit"),IF(ROUND((1+INDEX(Beginne,MATCH(B15,Codes,0))-INDEX(EndeRel,MATCH(INDEX('September'!$B$15:$AF$15,DAY(DATE(Jahr,10,0))),Codes,0)))*1440,0)&lt;660,1,0),0),0))</f>
      </c>
      <c r="C64" s="1">
        <f>IF(OR(C$52=0,B15="",C15=""),0,IFERROR(IF(AND(INDEX(Arten,MATCH(B15,Codes,0))="Arbeit",INDEX(Arten,MATCH(C15,Codes,0))="Arbeit"),IF(ROUND((1+INDEX(Beginne,MATCH(C15,Codes,0))-INDEX(EndeRel,MATCH(B15,Codes,0)))*1440,0)&lt;660,1,0),0),0))</f>
      </c>
      <c r="D64" s="1">
        <f>IF(OR(D$52=0,C15="",D15=""),0,IFERROR(IF(AND(INDEX(Arten,MATCH(C15,Codes,0))="Arbeit",INDEX(Arten,MATCH(D15,Codes,0))="Arbeit"),IF(ROUND((1+INDEX(Beginne,MATCH(D15,Codes,0))-INDEX(EndeRel,MATCH(C15,Codes,0)))*1440,0)&lt;660,1,0),0),0))</f>
      </c>
      <c r="E64" s="1">
        <f>IF(OR(E$52=0,D15="",E15=""),0,IFERROR(IF(AND(INDEX(Arten,MATCH(D15,Codes,0))="Arbeit",INDEX(Arten,MATCH(E15,Codes,0))="Arbeit"),IF(ROUND((1+INDEX(Beginne,MATCH(E15,Codes,0))-INDEX(EndeRel,MATCH(D15,Codes,0)))*1440,0)&lt;660,1,0),0),0))</f>
      </c>
      <c r="F64" s="1">
        <f>IF(OR(F$52=0,E15="",F15=""),0,IFERROR(IF(AND(INDEX(Arten,MATCH(E15,Codes,0))="Arbeit",INDEX(Arten,MATCH(F15,Codes,0))="Arbeit"),IF(ROUND((1+INDEX(Beginne,MATCH(F15,Codes,0))-INDEX(EndeRel,MATCH(E15,Codes,0)))*1440,0)&lt;660,1,0),0),0))</f>
      </c>
      <c r="G64" s="1">
        <f>IF(OR(G$52=0,F15="",G15=""),0,IFERROR(IF(AND(INDEX(Arten,MATCH(F15,Codes,0))="Arbeit",INDEX(Arten,MATCH(G15,Codes,0))="Arbeit"),IF(ROUND((1+INDEX(Beginne,MATCH(G15,Codes,0))-INDEX(EndeRel,MATCH(F15,Codes,0)))*1440,0)&lt;660,1,0),0),0))</f>
      </c>
      <c r="H64" s="1">
        <f>IF(OR(H$52=0,G15="",H15=""),0,IFERROR(IF(AND(INDEX(Arten,MATCH(G15,Codes,0))="Arbeit",INDEX(Arten,MATCH(H15,Codes,0))="Arbeit"),IF(ROUND((1+INDEX(Beginne,MATCH(H15,Codes,0))-INDEX(EndeRel,MATCH(G15,Codes,0)))*1440,0)&lt;660,1,0),0),0))</f>
      </c>
      <c r="I64" s="1">
        <f>IF(OR(I$52=0,H15="",I15=""),0,IFERROR(IF(AND(INDEX(Arten,MATCH(H15,Codes,0))="Arbeit",INDEX(Arten,MATCH(I15,Codes,0))="Arbeit"),IF(ROUND((1+INDEX(Beginne,MATCH(I15,Codes,0))-INDEX(EndeRel,MATCH(H15,Codes,0)))*1440,0)&lt;660,1,0),0),0))</f>
      </c>
      <c r="J64" s="1">
        <f>IF(OR(J$52=0,I15="",J15=""),0,IFERROR(IF(AND(INDEX(Arten,MATCH(I15,Codes,0))="Arbeit",INDEX(Arten,MATCH(J15,Codes,0))="Arbeit"),IF(ROUND((1+INDEX(Beginne,MATCH(J15,Codes,0))-INDEX(EndeRel,MATCH(I15,Codes,0)))*1440,0)&lt;660,1,0),0),0))</f>
      </c>
      <c r="K64" s="1">
        <f>IF(OR(K$52=0,J15="",K15=""),0,IFERROR(IF(AND(INDEX(Arten,MATCH(J15,Codes,0))="Arbeit",INDEX(Arten,MATCH(K15,Codes,0))="Arbeit"),IF(ROUND((1+INDEX(Beginne,MATCH(K15,Codes,0))-INDEX(EndeRel,MATCH(J15,Codes,0)))*1440,0)&lt;660,1,0),0),0))</f>
      </c>
      <c r="L64" s="1">
        <f>IF(OR(L$52=0,K15="",L15=""),0,IFERROR(IF(AND(INDEX(Arten,MATCH(K15,Codes,0))="Arbeit",INDEX(Arten,MATCH(L15,Codes,0))="Arbeit"),IF(ROUND((1+INDEX(Beginne,MATCH(L15,Codes,0))-INDEX(EndeRel,MATCH(K15,Codes,0)))*1440,0)&lt;660,1,0),0),0))</f>
      </c>
      <c r="M64" s="1">
        <f>IF(OR(M$52=0,L15="",M15=""),0,IFERROR(IF(AND(INDEX(Arten,MATCH(L15,Codes,0))="Arbeit",INDEX(Arten,MATCH(M15,Codes,0))="Arbeit"),IF(ROUND((1+INDEX(Beginne,MATCH(M15,Codes,0))-INDEX(EndeRel,MATCH(L15,Codes,0)))*1440,0)&lt;660,1,0),0),0))</f>
      </c>
      <c r="N64" s="1">
        <f>IF(OR(N$52=0,M15="",N15=""),0,IFERROR(IF(AND(INDEX(Arten,MATCH(M15,Codes,0))="Arbeit",INDEX(Arten,MATCH(N15,Codes,0))="Arbeit"),IF(ROUND((1+INDEX(Beginne,MATCH(N15,Codes,0))-INDEX(EndeRel,MATCH(M15,Codes,0)))*1440,0)&lt;660,1,0),0),0))</f>
      </c>
      <c r="O64" s="1">
        <f>IF(OR(O$52=0,N15="",O15=""),0,IFERROR(IF(AND(INDEX(Arten,MATCH(N15,Codes,0))="Arbeit",INDEX(Arten,MATCH(O15,Codes,0))="Arbeit"),IF(ROUND((1+INDEX(Beginne,MATCH(O15,Codes,0))-INDEX(EndeRel,MATCH(N15,Codes,0)))*1440,0)&lt;660,1,0),0),0))</f>
      </c>
      <c r="P64" s="1">
        <f>IF(OR(P$52=0,O15="",P15=""),0,IFERROR(IF(AND(INDEX(Arten,MATCH(O15,Codes,0))="Arbeit",INDEX(Arten,MATCH(P15,Codes,0))="Arbeit"),IF(ROUND((1+INDEX(Beginne,MATCH(P15,Codes,0))-INDEX(EndeRel,MATCH(O15,Codes,0)))*1440,0)&lt;660,1,0),0),0))</f>
      </c>
      <c r="Q64" s="1">
        <f>IF(OR(Q$52=0,P15="",Q15=""),0,IFERROR(IF(AND(INDEX(Arten,MATCH(P15,Codes,0))="Arbeit",INDEX(Arten,MATCH(Q15,Codes,0))="Arbeit"),IF(ROUND((1+INDEX(Beginne,MATCH(Q15,Codes,0))-INDEX(EndeRel,MATCH(P15,Codes,0)))*1440,0)&lt;660,1,0),0),0))</f>
      </c>
      <c r="R64" s="1">
        <f>IF(OR(R$52=0,Q15="",R15=""),0,IFERROR(IF(AND(INDEX(Arten,MATCH(Q15,Codes,0))="Arbeit",INDEX(Arten,MATCH(R15,Codes,0))="Arbeit"),IF(ROUND((1+INDEX(Beginne,MATCH(R15,Codes,0))-INDEX(EndeRel,MATCH(Q15,Codes,0)))*1440,0)&lt;660,1,0),0),0))</f>
      </c>
      <c r="S64" s="1">
        <f>IF(OR(S$52=0,R15="",S15=""),0,IFERROR(IF(AND(INDEX(Arten,MATCH(R15,Codes,0))="Arbeit",INDEX(Arten,MATCH(S15,Codes,0))="Arbeit"),IF(ROUND((1+INDEX(Beginne,MATCH(S15,Codes,0))-INDEX(EndeRel,MATCH(R15,Codes,0)))*1440,0)&lt;660,1,0),0),0))</f>
      </c>
      <c r="T64" s="1">
        <f>IF(OR(T$52=0,S15="",T15=""),0,IFERROR(IF(AND(INDEX(Arten,MATCH(S15,Codes,0))="Arbeit",INDEX(Arten,MATCH(T15,Codes,0))="Arbeit"),IF(ROUND((1+INDEX(Beginne,MATCH(T15,Codes,0))-INDEX(EndeRel,MATCH(S15,Codes,0)))*1440,0)&lt;660,1,0),0),0))</f>
      </c>
      <c r="U64" s="1">
        <f>IF(OR(U$52=0,T15="",U15=""),0,IFERROR(IF(AND(INDEX(Arten,MATCH(T15,Codes,0))="Arbeit",INDEX(Arten,MATCH(U15,Codes,0))="Arbeit"),IF(ROUND((1+INDEX(Beginne,MATCH(U15,Codes,0))-INDEX(EndeRel,MATCH(T15,Codes,0)))*1440,0)&lt;660,1,0),0),0))</f>
      </c>
      <c r="V64" s="1">
        <f>IF(OR(V$52=0,U15="",V15=""),0,IFERROR(IF(AND(INDEX(Arten,MATCH(U15,Codes,0))="Arbeit",INDEX(Arten,MATCH(V15,Codes,0))="Arbeit"),IF(ROUND((1+INDEX(Beginne,MATCH(V15,Codes,0))-INDEX(EndeRel,MATCH(U15,Codes,0)))*1440,0)&lt;660,1,0),0),0))</f>
      </c>
      <c r="W64" s="1">
        <f>IF(OR(W$52=0,V15="",W15=""),0,IFERROR(IF(AND(INDEX(Arten,MATCH(V15,Codes,0))="Arbeit",INDEX(Arten,MATCH(W15,Codes,0))="Arbeit"),IF(ROUND((1+INDEX(Beginne,MATCH(W15,Codes,0))-INDEX(EndeRel,MATCH(V15,Codes,0)))*1440,0)&lt;660,1,0),0),0))</f>
      </c>
      <c r="X64" s="1">
        <f>IF(OR(X$52=0,W15="",X15=""),0,IFERROR(IF(AND(INDEX(Arten,MATCH(W15,Codes,0))="Arbeit",INDEX(Arten,MATCH(X15,Codes,0))="Arbeit"),IF(ROUND((1+INDEX(Beginne,MATCH(X15,Codes,0))-INDEX(EndeRel,MATCH(W15,Codes,0)))*1440,0)&lt;660,1,0),0),0))</f>
      </c>
      <c r="Y64" s="1">
        <f>IF(OR(Y$52=0,X15="",Y15=""),0,IFERROR(IF(AND(INDEX(Arten,MATCH(X15,Codes,0))="Arbeit",INDEX(Arten,MATCH(Y15,Codes,0))="Arbeit"),IF(ROUND((1+INDEX(Beginne,MATCH(Y15,Codes,0))-INDEX(EndeRel,MATCH(X15,Codes,0)))*1440,0)&lt;660,1,0),0),0))</f>
      </c>
      <c r="Z64" s="1">
        <f>IF(OR(Z$52=0,Y15="",Z15=""),0,IFERROR(IF(AND(INDEX(Arten,MATCH(Y15,Codes,0))="Arbeit",INDEX(Arten,MATCH(Z15,Codes,0))="Arbeit"),IF(ROUND((1+INDEX(Beginne,MATCH(Z15,Codes,0))-INDEX(EndeRel,MATCH(Y15,Codes,0)))*1440,0)&lt;660,1,0),0),0))</f>
      </c>
      <c r="AA64" s="1">
        <f>IF(OR(AA$52=0,Z15="",AA15=""),0,IFERROR(IF(AND(INDEX(Arten,MATCH(Z15,Codes,0))="Arbeit",INDEX(Arten,MATCH(AA15,Codes,0))="Arbeit"),IF(ROUND((1+INDEX(Beginne,MATCH(AA15,Codes,0))-INDEX(EndeRel,MATCH(Z15,Codes,0)))*1440,0)&lt;660,1,0),0),0))</f>
      </c>
      <c r="AB64" s="1">
        <f>IF(OR(AB$52=0,AA15="",AB15=""),0,IFERROR(IF(AND(INDEX(Arten,MATCH(AA15,Codes,0))="Arbeit",INDEX(Arten,MATCH(AB15,Codes,0))="Arbeit"),IF(ROUND((1+INDEX(Beginne,MATCH(AB15,Codes,0))-INDEX(EndeRel,MATCH(AA15,Codes,0)))*1440,0)&lt;660,1,0),0),0))</f>
      </c>
      <c r="AC64" s="1">
        <f>IF(OR(AC$52=0,AB15="",AC15=""),0,IFERROR(IF(AND(INDEX(Arten,MATCH(AB15,Codes,0))="Arbeit",INDEX(Arten,MATCH(AC15,Codes,0))="Arbeit"),IF(ROUND((1+INDEX(Beginne,MATCH(AC15,Codes,0))-INDEX(EndeRel,MATCH(AB15,Codes,0)))*1440,0)&lt;660,1,0),0),0))</f>
      </c>
      <c r="AD64" s="1">
        <f>IF(OR(AD$52=0,AC15="",AD15=""),0,IFERROR(IF(AND(INDEX(Arten,MATCH(AC15,Codes,0))="Arbeit",INDEX(Arten,MATCH(AD15,Codes,0))="Arbeit"),IF(ROUND((1+INDEX(Beginne,MATCH(AD15,Codes,0))-INDEX(EndeRel,MATCH(AC15,Codes,0)))*1440,0)&lt;660,1,0),0),0))</f>
      </c>
      <c r="AE64" s="1">
        <f>IF(OR(AE$52=0,AD15="",AE15=""),0,IFERROR(IF(AND(INDEX(Arten,MATCH(AD15,Codes,0))="Arbeit",INDEX(Arten,MATCH(AE15,Codes,0))="Arbeit"),IF(ROUND((1+INDEX(Beginne,MATCH(AE15,Codes,0))-INDEX(EndeRel,MATCH(AD15,Codes,0)))*1440,0)&lt;660,1,0),0),0))</f>
      </c>
      <c r="AF64" s="1">
        <f>IF(OR(AF$52=0,AE15="",AF15=""),0,IFERROR(IF(AND(INDEX(Arten,MATCH(AE15,Codes,0))="Arbeit",INDEX(Arten,MATCH(AF15,Codes,0))="Arbeit"),IF(ROUND((1+INDEX(Beginne,MATCH(AF15,Codes,0))-INDEX(EndeRel,MATCH(AE15,Codes,0)))*1440,0)&lt;660,1,0),0),0))</f>
      </c>
    </row>
    <row r="65" hidden="1" spans="1:32" x14ac:dyDescent="0.25">
      <c r="A65" s="1"/>
      <c r="B65" s="1">
        <f>IF(OR(B$52=0,INDEX('September'!$B$16:$AF$16,DAY(DATE(Jahr,10,0)))="",B16=""),0,IFERROR(IF(AND(INDEX(Arten,MATCH(INDEX('September'!$B$16:$AF$16,DAY(DATE(Jahr,10,0))),Codes,0))="Arbeit",INDEX(Arten,MATCH(B16,Codes,0))="Arbeit"),IF(ROUND((1+INDEX(Beginne,MATCH(B16,Codes,0))-INDEX(EndeRel,MATCH(INDEX('September'!$B$16:$AF$16,DAY(DATE(Jahr,10,0))),Codes,0)))*1440,0)&lt;660,1,0),0),0))</f>
      </c>
      <c r="C65" s="1">
        <f>IF(OR(C$52=0,B16="",C16=""),0,IFERROR(IF(AND(INDEX(Arten,MATCH(B16,Codes,0))="Arbeit",INDEX(Arten,MATCH(C16,Codes,0))="Arbeit"),IF(ROUND((1+INDEX(Beginne,MATCH(C16,Codes,0))-INDEX(EndeRel,MATCH(B16,Codes,0)))*1440,0)&lt;660,1,0),0),0))</f>
      </c>
      <c r="D65" s="1">
        <f>IF(OR(D$52=0,C16="",D16=""),0,IFERROR(IF(AND(INDEX(Arten,MATCH(C16,Codes,0))="Arbeit",INDEX(Arten,MATCH(D16,Codes,0))="Arbeit"),IF(ROUND((1+INDEX(Beginne,MATCH(D16,Codes,0))-INDEX(EndeRel,MATCH(C16,Codes,0)))*1440,0)&lt;660,1,0),0),0))</f>
      </c>
      <c r="E65" s="1">
        <f>IF(OR(E$52=0,D16="",E16=""),0,IFERROR(IF(AND(INDEX(Arten,MATCH(D16,Codes,0))="Arbeit",INDEX(Arten,MATCH(E16,Codes,0))="Arbeit"),IF(ROUND((1+INDEX(Beginne,MATCH(E16,Codes,0))-INDEX(EndeRel,MATCH(D16,Codes,0)))*1440,0)&lt;660,1,0),0),0))</f>
      </c>
      <c r="F65" s="1">
        <f>IF(OR(F$52=0,E16="",F16=""),0,IFERROR(IF(AND(INDEX(Arten,MATCH(E16,Codes,0))="Arbeit",INDEX(Arten,MATCH(F16,Codes,0))="Arbeit"),IF(ROUND((1+INDEX(Beginne,MATCH(F16,Codes,0))-INDEX(EndeRel,MATCH(E16,Codes,0)))*1440,0)&lt;660,1,0),0),0))</f>
      </c>
      <c r="G65" s="1">
        <f>IF(OR(G$52=0,F16="",G16=""),0,IFERROR(IF(AND(INDEX(Arten,MATCH(F16,Codes,0))="Arbeit",INDEX(Arten,MATCH(G16,Codes,0))="Arbeit"),IF(ROUND((1+INDEX(Beginne,MATCH(G16,Codes,0))-INDEX(EndeRel,MATCH(F16,Codes,0)))*1440,0)&lt;660,1,0),0),0))</f>
      </c>
      <c r="H65" s="1">
        <f>IF(OR(H$52=0,G16="",H16=""),0,IFERROR(IF(AND(INDEX(Arten,MATCH(G16,Codes,0))="Arbeit",INDEX(Arten,MATCH(H16,Codes,0))="Arbeit"),IF(ROUND((1+INDEX(Beginne,MATCH(H16,Codes,0))-INDEX(EndeRel,MATCH(G16,Codes,0)))*1440,0)&lt;660,1,0),0),0))</f>
      </c>
      <c r="I65" s="1">
        <f>IF(OR(I$52=0,H16="",I16=""),0,IFERROR(IF(AND(INDEX(Arten,MATCH(H16,Codes,0))="Arbeit",INDEX(Arten,MATCH(I16,Codes,0))="Arbeit"),IF(ROUND((1+INDEX(Beginne,MATCH(I16,Codes,0))-INDEX(EndeRel,MATCH(H16,Codes,0)))*1440,0)&lt;660,1,0),0),0))</f>
      </c>
      <c r="J65" s="1">
        <f>IF(OR(J$52=0,I16="",J16=""),0,IFERROR(IF(AND(INDEX(Arten,MATCH(I16,Codes,0))="Arbeit",INDEX(Arten,MATCH(J16,Codes,0))="Arbeit"),IF(ROUND((1+INDEX(Beginne,MATCH(J16,Codes,0))-INDEX(EndeRel,MATCH(I16,Codes,0)))*1440,0)&lt;660,1,0),0),0))</f>
      </c>
      <c r="K65" s="1">
        <f>IF(OR(K$52=0,J16="",K16=""),0,IFERROR(IF(AND(INDEX(Arten,MATCH(J16,Codes,0))="Arbeit",INDEX(Arten,MATCH(K16,Codes,0))="Arbeit"),IF(ROUND((1+INDEX(Beginne,MATCH(K16,Codes,0))-INDEX(EndeRel,MATCH(J16,Codes,0)))*1440,0)&lt;660,1,0),0),0))</f>
      </c>
      <c r="L65" s="1">
        <f>IF(OR(L$52=0,K16="",L16=""),0,IFERROR(IF(AND(INDEX(Arten,MATCH(K16,Codes,0))="Arbeit",INDEX(Arten,MATCH(L16,Codes,0))="Arbeit"),IF(ROUND((1+INDEX(Beginne,MATCH(L16,Codes,0))-INDEX(EndeRel,MATCH(K16,Codes,0)))*1440,0)&lt;660,1,0),0),0))</f>
      </c>
      <c r="M65" s="1">
        <f>IF(OR(M$52=0,L16="",M16=""),0,IFERROR(IF(AND(INDEX(Arten,MATCH(L16,Codes,0))="Arbeit",INDEX(Arten,MATCH(M16,Codes,0))="Arbeit"),IF(ROUND((1+INDEX(Beginne,MATCH(M16,Codes,0))-INDEX(EndeRel,MATCH(L16,Codes,0)))*1440,0)&lt;660,1,0),0),0))</f>
      </c>
      <c r="N65" s="1">
        <f>IF(OR(N$52=0,M16="",N16=""),0,IFERROR(IF(AND(INDEX(Arten,MATCH(M16,Codes,0))="Arbeit",INDEX(Arten,MATCH(N16,Codes,0))="Arbeit"),IF(ROUND((1+INDEX(Beginne,MATCH(N16,Codes,0))-INDEX(EndeRel,MATCH(M16,Codes,0)))*1440,0)&lt;660,1,0),0),0))</f>
      </c>
      <c r="O65" s="1">
        <f>IF(OR(O$52=0,N16="",O16=""),0,IFERROR(IF(AND(INDEX(Arten,MATCH(N16,Codes,0))="Arbeit",INDEX(Arten,MATCH(O16,Codes,0))="Arbeit"),IF(ROUND((1+INDEX(Beginne,MATCH(O16,Codes,0))-INDEX(EndeRel,MATCH(N16,Codes,0)))*1440,0)&lt;660,1,0),0),0))</f>
      </c>
      <c r="P65" s="1">
        <f>IF(OR(P$52=0,O16="",P16=""),0,IFERROR(IF(AND(INDEX(Arten,MATCH(O16,Codes,0))="Arbeit",INDEX(Arten,MATCH(P16,Codes,0))="Arbeit"),IF(ROUND((1+INDEX(Beginne,MATCH(P16,Codes,0))-INDEX(EndeRel,MATCH(O16,Codes,0)))*1440,0)&lt;660,1,0),0),0))</f>
      </c>
      <c r="Q65" s="1">
        <f>IF(OR(Q$52=0,P16="",Q16=""),0,IFERROR(IF(AND(INDEX(Arten,MATCH(P16,Codes,0))="Arbeit",INDEX(Arten,MATCH(Q16,Codes,0))="Arbeit"),IF(ROUND((1+INDEX(Beginne,MATCH(Q16,Codes,0))-INDEX(EndeRel,MATCH(P16,Codes,0)))*1440,0)&lt;660,1,0),0),0))</f>
      </c>
      <c r="R65" s="1">
        <f>IF(OR(R$52=0,Q16="",R16=""),0,IFERROR(IF(AND(INDEX(Arten,MATCH(Q16,Codes,0))="Arbeit",INDEX(Arten,MATCH(R16,Codes,0))="Arbeit"),IF(ROUND((1+INDEX(Beginne,MATCH(R16,Codes,0))-INDEX(EndeRel,MATCH(Q16,Codes,0)))*1440,0)&lt;660,1,0),0),0))</f>
      </c>
      <c r="S65" s="1">
        <f>IF(OR(S$52=0,R16="",S16=""),0,IFERROR(IF(AND(INDEX(Arten,MATCH(R16,Codes,0))="Arbeit",INDEX(Arten,MATCH(S16,Codes,0))="Arbeit"),IF(ROUND((1+INDEX(Beginne,MATCH(S16,Codes,0))-INDEX(EndeRel,MATCH(R16,Codes,0)))*1440,0)&lt;660,1,0),0),0))</f>
      </c>
      <c r="T65" s="1">
        <f>IF(OR(T$52=0,S16="",T16=""),0,IFERROR(IF(AND(INDEX(Arten,MATCH(S16,Codes,0))="Arbeit",INDEX(Arten,MATCH(T16,Codes,0))="Arbeit"),IF(ROUND((1+INDEX(Beginne,MATCH(T16,Codes,0))-INDEX(EndeRel,MATCH(S16,Codes,0)))*1440,0)&lt;660,1,0),0),0))</f>
      </c>
      <c r="U65" s="1">
        <f>IF(OR(U$52=0,T16="",U16=""),0,IFERROR(IF(AND(INDEX(Arten,MATCH(T16,Codes,0))="Arbeit",INDEX(Arten,MATCH(U16,Codes,0))="Arbeit"),IF(ROUND((1+INDEX(Beginne,MATCH(U16,Codes,0))-INDEX(EndeRel,MATCH(T16,Codes,0)))*1440,0)&lt;660,1,0),0),0))</f>
      </c>
      <c r="V65" s="1">
        <f>IF(OR(V$52=0,U16="",V16=""),0,IFERROR(IF(AND(INDEX(Arten,MATCH(U16,Codes,0))="Arbeit",INDEX(Arten,MATCH(V16,Codes,0))="Arbeit"),IF(ROUND((1+INDEX(Beginne,MATCH(V16,Codes,0))-INDEX(EndeRel,MATCH(U16,Codes,0)))*1440,0)&lt;660,1,0),0),0))</f>
      </c>
      <c r="W65" s="1">
        <f>IF(OR(W$52=0,V16="",W16=""),0,IFERROR(IF(AND(INDEX(Arten,MATCH(V16,Codes,0))="Arbeit",INDEX(Arten,MATCH(W16,Codes,0))="Arbeit"),IF(ROUND((1+INDEX(Beginne,MATCH(W16,Codes,0))-INDEX(EndeRel,MATCH(V16,Codes,0)))*1440,0)&lt;660,1,0),0),0))</f>
      </c>
      <c r="X65" s="1">
        <f>IF(OR(X$52=0,W16="",X16=""),0,IFERROR(IF(AND(INDEX(Arten,MATCH(W16,Codes,0))="Arbeit",INDEX(Arten,MATCH(X16,Codes,0))="Arbeit"),IF(ROUND((1+INDEX(Beginne,MATCH(X16,Codes,0))-INDEX(EndeRel,MATCH(W16,Codes,0)))*1440,0)&lt;660,1,0),0),0))</f>
      </c>
      <c r="Y65" s="1">
        <f>IF(OR(Y$52=0,X16="",Y16=""),0,IFERROR(IF(AND(INDEX(Arten,MATCH(X16,Codes,0))="Arbeit",INDEX(Arten,MATCH(Y16,Codes,0))="Arbeit"),IF(ROUND((1+INDEX(Beginne,MATCH(Y16,Codes,0))-INDEX(EndeRel,MATCH(X16,Codes,0)))*1440,0)&lt;660,1,0),0),0))</f>
      </c>
      <c r="Z65" s="1">
        <f>IF(OR(Z$52=0,Y16="",Z16=""),0,IFERROR(IF(AND(INDEX(Arten,MATCH(Y16,Codes,0))="Arbeit",INDEX(Arten,MATCH(Z16,Codes,0))="Arbeit"),IF(ROUND((1+INDEX(Beginne,MATCH(Z16,Codes,0))-INDEX(EndeRel,MATCH(Y16,Codes,0)))*1440,0)&lt;660,1,0),0),0))</f>
      </c>
      <c r="AA65" s="1">
        <f>IF(OR(AA$52=0,Z16="",AA16=""),0,IFERROR(IF(AND(INDEX(Arten,MATCH(Z16,Codes,0))="Arbeit",INDEX(Arten,MATCH(AA16,Codes,0))="Arbeit"),IF(ROUND((1+INDEX(Beginne,MATCH(AA16,Codes,0))-INDEX(EndeRel,MATCH(Z16,Codes,0)))*1440,0)&lt;660,1,0),0),0))</f>
      </c>
      <c r="AB65" s="1">
        <f>IF(OR(AB$52=0,AA16="",AB16=""),0,IFERROR(IF(AND(INDEX(Arten,MATCH(AA16,Codes,0))="Arbeit",INDEX(Arten,MATCH(AB16,Codes,0))="Arbeit"),IF(ROUND((1+INDEX(Beginne,MATCH(AB16,Codes,0))-INDEX(EndeRel,MATCH(AA16,Codes,0)))*1440,0)&lt;660,1,0),0),0))</f>
      </c>
      <c r="AC65" s="1">
        <f>IF(OR(AC$52=0,AB16="",AC16=""),0,IFERROR(IF(AND(INDEX(Arten,MATCH(AB16,Codes,0))="Arbeit",INDEX(Arten,MATCH(AC16,Codes,0))="Arbeit"),IF(ROUND((1+INDEX(Beginne,MATCH(AC16,Codes,0))-INDEX(EndeRel,MATCH(AB16,Codes,0)))*1440,0)&lt;660,1,0),0),0))</f>
      </c>
      <c r="AD65" s="1">
        <f>IF(OR(AD$52=0,AC16="",AD16=""),0,IFERROR(IF(AND(INDEX(Arten,MATCH(AC16,Codes,0))="Arbeit",INDEX(Arten,MATCH(AD16,Codes,0))="Arbeit"),IF(ROUND((1+INDEX(Beginne,MATCH(AD16,Codes,0))-INDEX(EndeRel,MATCH(AC16,Codes,0)))*1440,0)&lt;660,1,0),0),0))</f>
      </c>
      <c r="AE65" s="1">
        <f>IF(OR(AE$52=0,AD16="",AE16=""),0,IFERROR(IF(AND(INDEX(Arten,MATCH(AD16,Codes,0))="Arbeit",INDEX(Arten,MATCH(AE16,Codes,0))="Arbeit"),IF(ROUND((1+INDEX(Beginne,MATCH(AE16,Codes,0))-INDEX(EndeRel,MATCH(AD16,Codes,0)))*1440,0)&lt;660,1,0),0),0))</f>
      </c>
      <c r="AF65" s="1">
        <f>IF(OR(AF$52=0,AE16="",AF16=""),0,IFERROR(IF(AND(INDEX(Arten,MATCH(AE16,Codes,0))="Arbeit",INDEX(Arten,MATCH(AF16,Codes,0))="Arbeit"),IF(ROUND((1+INDEX(Beginne,MATCH(AF16,Codes,0))-INDEX(EndeRel,MATCH(AE16,Codes,0)))*1440,0)&lt;660,1,0),0),0))</f>
      </c>
    </row>
    <row r="66" hidden="1" spans="1:32" x14ac:dyDescent="0.25">
      <c r="A66" s="1"/>
      <c r="B66" s="1">
        <f>IF(OR(B$52=0,INDEX('September'!$B$17:$AF$17,DAY(DATE(Jahr,10,0)))="",B17=""),0,IFERROR(IF(AND(INDEX(Arten,MATCH(INDEX('September'!$B$17:$AF$17,DAY(DATE(Jahr,10,0))),Codes,0))="Arbeit",INDEX(Arten,MATCH(B17,Codes,0))="Arbeit"),IF(ROUND((1+INDEX(Beginne,MATCH(B17,Codes,0))-INDEX(EndeRel,MATCH(INDEX('September'!$B$17:$AF$17,DAY(DATE(Jahr,10,0))),Codes,0)))*1440,0)&lt;660,1,0),0),0))</f>
      </c>
      <c r="C66" s="1">
        <f>IF(OR(C$52=0,B17="",C17=""),0,IFERROR(IF(AND(INDEX(Arten,MATCH(B17,Codes,0))="Arbeit",INDEX(Arten,MATCH(C17,Codes,0))="Arbeit"),IF(ROUND((1+INDEX(Beginne,MATCH(C17,Codes,0))-INDEX(EndeRel,MATCH(B17,Codes,0)))*1440,0)&lt;660,1,0),0),0))</f>
      </c>
      <c r="D66" s="1">
        <f>IF(OR(D$52=0,C17="",D17=""),0,IFERROR(IF(AND(INDEX(Arten,MATCH(C17,Codes,0))="Arbeit",INDEX(Arten,MATCH(D17,Codes,0))="Arbeit"),IF(ROUND((1+INDEX(Beginne,MATCH(D17,Codes,0))-INDEX(EndeRel,MATCH(C17,Codes,0)))*1440,0)&lt;660,1,0),0),0))</f>
      </c>
      <c r="E66" s="1">
        <f>IF(OR(E$52=0,D17="",E17=""),0,IFERROR(IF(AND(INDEX(Arten,MATCH(D17,Codes,0))="Arbeit",INDEX(Arten,MATCH(E17,Codes,0))="Arbeit"),IF(ROUND((1+INDEX(Beginne,MATCH(E17,Codes,0))-INDEX(EndeRel,MATCH(D17,Codes,0)))*1440,0)&lt;660,1,0),0),0))</f>
      </c>
      <c r="F66" s="1">
        <f>IF(OR(F$52=0,E17="",F17=""),0,IFERROR(IF(AND(INDEX(Arten,MATCH(E17,Codes,0))="Arbeit",INDEX(Arten,MATCH(F17,Codes,0))="Arbeit"),IF(ROUND((1+INDEX(Beginne,MATCH(F17,Codes,0))-INDEX(EndeRel,MATCH(E17,Codes,0)))*1440,0)&lt;660,1,0),0),0))</f>
      </c>
      <c r="G66" s="1">
        <f>IF(OR(G$52=0,F17="",G17=""),0,IFERROR(IF(AND(INDEX(Arten,MATCH(F17,Codes,0))="Arbeit",INDEX(Arten,MATCH(G17,Codes,0))="Arbeit"),IF(ROUND((1+INDEX(Beginne,MATCH(G17,Codes,0))-INDEX(EndeRel,MATCH(F17,Codes,0)))*1440,0)&lt;660,1,0),0),0))</f>
      </c>
      <c r="H66" s="1">
        <f>IF(OR(H$52=0,G17="",H17=""),0,IFERROR(IF(AND(INDEX(Arten,MATCH(G17,Codes,0))="Arbeit",INDEX(Arten,MATCH(H17,Codes,0))="Arbeit"),IF(ROUND((1+INDEX(Beginne,MATCH(H17,Codes,0))-INDEX(EndeRel,MATCH(G17,Codes,0)))*1440,0)&lt;660,1,0),0),0))</f>
      </c>
      <c r="I66" s="1">
        <f>IF(OR(I$52=0,H17="",I17=""),0,IFERROR(IF(AND(INDEX(Arten,MATCH(H17,Codes,0))="Arbeit",INDEX(Arten,MATCH(I17,Codes,0))="Arbeit"),IF(ROUND((1+INDEX(Beginne,MATCH(I17,Codes,0))-INDEX(EndeRel,MATCH(H17,Codes,0)))*1440,0)&lt;660,1,0),0),0))</f>
      </c>
      <c r="J66" s="1">
        <f>IF(OR(J$52=0,I17="",J17=""),0,IFERROR(IF(AND(INDEX(Arten,MATCH(I17,Codes,0))="Arbeit",INDEX(Arten,MATCH(J17,Codes,0))="Arbeit"),IF(ROUND((1+INDEX(Beginne,MATCH(J17,Codes,0))-INDEX(EndeRel,MATCH(I17,Codes,0)))*1440,0)&lt;660,1,0),0),0))</f>
      </c>
      <c r="K66" s="1">
        <f>IF(OR(K$52=0,J17="",K17=""),0,IFERROR(IF(AND(INDEX(Arten,MATCH(J17,Codes,0))="Arbeit",INDEX(Arten,MATCH(K17,Codes,0))="Arbeit"),IF(ROUND((1+INDEX(Beginne,MATCH(K17,Codes,0))-INDEX(EndeRel,MATCH(J17,Codes,0)))*1440,0)&lt;660,1,0),0),0))</f>
      </c>
      <c r="L66" s="1">
        <f>IF(OR(L$52=0,K17="",L17=""),0,IFERROR(IF(AND(INDEX(Arten,MATCH(K17,Codes,0))="Arbeit",INDEX(Arten,MATCH(L17,Codes,0))="Arbeit"),IF(ROUND((1+INDEX(Beginne,MATCH(L17,Codes,0))-INDEX(EndeRel,MATCH(K17,Codes,0)))*1440,0)&lt;660,1,0),0),0))</f>
      </c>
      <c r="M66" s="1">
        <f>IF(OR(M$52=0,L17="",M17=""),0,IFERROR(IF(AND(INDEX(Arten,MATCH(L17,Codes,0))="Arbeit",INDEX(Arten,MATCH(M17,Codes,0))="Arbeit"),IF(ROUND((1+INDEX(Beginne,MATCH(M17,Codes,0))-INDEX(EndeRel,MATCH(L17,Codes,0)))*1440,0)&lt;660,1,0),0),0))</f>
      </c>
      <c r="N66" s="1">
        <f>IF(OR(N$52=0,M17="",N17=""),0,IFERROR(IF(AND(INDEX(Arten,MATCH(M17,Codes,0))="Arbeit",INDEX(Arten,MATCH(N17,Codes,0))="Arbeit"),IF(ROUND((1+INDEX(Beginne,MATCH(N17,Codes,0))-INDEX(EndeRel,MATCH(M17,Codes,0)))*1440,0)&lt;660,1,0),0),0))</f>
      </c>
      <c r="O66" s="1">
        <f>IF(OR(O$52=0,N17="",O17=""),0,IFERROR(IF(AND(INDEX(Arten,MATCH(N17,Codes,0))="Arbeit",INDEX(Arten,MATCH(O17,Codes,0))="Arbeit"),IF(ROUND((1+INDEX(Beginne,MATCH(O17,Codes,0))-INDEX(EndeRel,MATCH(N17,Codes,0)))*1440,0)&lt;660,1,0),0),0))</f>
      </c>
      <c r="P66" s="1">
        <f>IF(OR(P$52=0,O17="",P17=""),0,IFERROR(IF(AND(INDEX(Arten,MATCH(O17,Codes,0))="Arbeit",INDEX(Arten,MATCH(P17,Codes,0))="Arbeit"),IF(ROUND((1+INDEX(Beginne,MATCH(P17,Codes,0))-INDEX(EndeRel,MATCH(O17,Codes,0)))*1440,0)&lt;660,1,0),0),0))</f>
      </c>
      <c r="Q66" s="1">
        <f>IF(OR(Q$52=0,P17="",Q17=""),0,IFERROR(IF(AND(INDEX(Arten,MATCH(P17,Codes,0))="Arbeit",INDEX(Arten,MATCH(Q17,Codes,0))="Arbeit"),IF(ROUND((1+INDEX(Beginne,MATCH(Q17,Codes,0))-INDEX(EndeRel,MATCH(P17,Codes,0)))*1440,0)&lt;660,1,0),0),0))</f>
      </c>
      <c r="R66" s="1">
        <f>IF(OR(R$52=0,Q17="",R17=""),0,IFERROR(IF(AND(INDEX(Arten,MATCH(Q17,Codes,0))="Arbeit",INDEX(Arten,MATCH(R17,Codes,0))="Arbeit"),IF(ROUND((1+INDEX(Beginne,MATCH(R17,Codes,0))-INDEX(EndeRel,MATCH(Q17,Codes,0)))*1440,0)&lt;660,1,0),0),0))</f>
      </c>
      <c r="S66" s="1">
        <f>IF(OR(S$52=0,R17="",S17=""),0,IFERROR(IF(AND(INDEX(Arten,MATCH(R17,Codes,0))="Arbeit",INDEX(Arten,MATCH(S17,Codes,0))="Arbeit"),IF(ROUND((1+INDEX(Beginne,MATCH(S17,Codes,0))-INDEX(EndeRel,MATCH(R17,Codes,0)))*1440,0)&lt;660,1,0),0),0))</f>
      </c>
      <c r="T66" s="1">
        <f>IF(OR(T$52=0,S17="",T17=""),0,IFERROR(IF(AND(INDEX(Arten,MATCH(S17,Codes,0))="Arbeit",INDEX(Arten,MATCH(T17,Codes,0))="Arbeit"),IF(ROUND((1+INDEX(Beginne,MATCH(T17,Codes,0))-INDEX(EndeRel,MATCH(S17,Codes,0)))*1440,0)&lt;660,1,0),0),0))</f>
      </c>
      <c r="U66" s="1">
        <f>IF(OR(U$52=0,T17="",U17=""),0,IFERROR(IF(AND(INDEX(Arten,MATCH(T17,Codes,0))="Arbeit",INDEX(Arten,MATCH(U17,Codes,0))="Arbeit"),IF(ROUND((1+INDEX(Beginne,MATCH(U17,Codes,0))-INDEX(EndeRel,MATCH(T17,Codes,0)))*1440,0)&lt;660,1,0),0),0))</f>
      </c>
      <c r="V66" s="1">
        <f>IF(OR(V$52=0,U17="",V17=""),0,IFERROR(IF(AND(INDEX(Arten,MATCH(U17,Codes,0))="Arbeit",INDEX(Arten,MATCH(V17,Codes,0))="Arbeit"),IF(ROUND((1+INDEX(Beginne,MATCH(V17,Codes,0))-INDEX(EndeRel,MATCH(U17,Codes,0)))*1440,0)&lt;660,1,0),0),0))</f>
      </c>
      <c r="W66" s="1">
        <f>IF(OR(W$52=0,V17="",W17=""),0,IFERROR(IF(AND(INDEX(Arten,MATCH(V17,Codes,0))="Arbeit",INDEX(Arten,MATCH(W17,Codes,0))="Arbeit"),IF(ROUND((1+INDEX(Beginne,MATCH(W17,Codes,0))-INDEX(EndeRel,MATCH(V17,Codes,0)))*1440,0)&lt;660,1,0),0),0))</f>
      </c>
      <c r="X66" s="1">
        <f>IF(OR(X$52=0,W17="",X17=""),0,IFERROR(IF(AND(INDEX(Arten,MATCH(W17,Codes,0))="Arbeit",INDEX(Arten,MATCH(X17,Codes,0))="Arbeit"),IF(ROUND((1+INDEX(Beginne,MATCH(X17,Codes,0))-INDEX(EndeRel,MATCH(W17,Codes,0)))*1440,0)&lt;660,1,0),0),0))</f>
      </c>
      <c r="Y66" s="1">
        <f>IF(OR(Y$52=0,X17="",Y17=""),0,IFERROR(IF(AND(INDEX(Arten,MATCH(X17,Codes,0))="Arbeit",INDEX(Arten,MATCH(Y17,Codes,0))="Arbeit"),IF(ROUND((1+INDEX(Beginne,MATCH(Y17,Codes,0))-INDEX(EndeRel,MATCH(X17,Codes,0)))*1440,0)&lt;660,1,0),0),0))</f>
      </c>
      <c r="Z66" s="1">
        <f>IF(OR(Z$52=0,Y17="",Z17=""),0,IFERROR(IF(AND(INDEX(Arten,MATCH(Y17,Codes,0))="Arbeit",INDEX(Arten,MATCH(Z17,Codes,0))="Arbeit"),IF(ROUND((1+INDEX(Beginne,MATCH(Z17,Codes,0))-INDEX(EndeRel,MATCH(Y17,Codes,0)))*1440,0)&lt;660,1,0),0),0))</f>
      </c>
      <c r="AA66" s="1">
        <f>IF(OR(AA$52=0,Z17="",AA17=""),0,IFERROR(IF(AND(INDEX(Arten,MATCH(Z17,Codes,0))="Arbeit",INDEX(Arten,MATCH(AA17,Codes,0))="Arbeit"),IF(ROUND((1+INDEX(Beginne,MATCH(AA17,Codes,0))-INDEX(EndeRel,MATCH(Z17,Codes,0)))*1440,0)&lt;660,1,0),0),0))</f>
      </c>
      <c r="AB66" s="1">
        <f>IF(OR(AB$52=0,AA17="",AB17=""),0,IFERROR(IF(AND(INDEX(Arten,MATCH(AA17,Codes,0))="Arbeit",INDEX(Arten,MATCH(AB17,Codes,0))="Arbeit"),IF(ROUND((1+INDEX(Beginne,MATCH(AB17,Codes,0))-INDEX(EndeRel,MATCH(AA17,Codes,0)))*1440,0)&lt;660,1,0),0),0))</f>
      </c>
      <c r="AC66" s="1">
        <f>IF(OR(AC$52=0,AB17="",AC17=""),0,IFERROR(IF(AND(INDEX(Arten,MATCH(AB17,Codes,0))="Arbeit",INDEX(Arten,MATCH(AC17,Codes,0))="Arbeit"),IF(ROUND((1+INDEX(Beginne,MATCH(AC17,Codes,0))-INDEX(EndeRel,MATCH(AB17,Codes,0)))*1440,0)&lt;660,1,0),0),0))</f>
      </c>
      <c r="AD66" s="1">
        <f>IF(OR(AD$52=0,AC17="",AD17=""),0,IFERROR(IF(AND(INDEX(Arten,MATCH(AC17,Codes,0))="Arbeit",INDEX(Arten,MATCH(AD17,Codes,0))="Arbeit"),IF(ROUND((1+INDEX(Beginne,MATCH(AD17,Codes,0))-INDEX(EndeRel,MATCH(AC17,Codes,0)))*1440,0)&lt;660,1,0),0),0))</f>
      </c>
      <c r="AE66" s="1">
        <f>IF(OR(AE$52=0,AD17="",AE17=""),0,IFERROR(IF(AND(INDEX(Arten,MATCH(AD17,Codes,0))="Arbeit",INDEX(Arten,MATCH(AE17,Codes,0))="Arbeit"),IF(ROUND((1+INDEX(Beginne,MATCH(AE17,Codes,0))-INDEX(EndeRel,MATCH(AD17,Codes,0)))*1440,0)&lt;660,1,0),0),0))</f>
      </c>
      <c r="AF66" s="1">
        <f>IF(OR(AF$52=0,AE17="",AF17=""),0,IFERROR(IF(AND(INDEX(Arten,MATCH(AE17,Codes,0))="Arbeit",INDEX(Arten,MATCH(AF17,Codes,0))="Arbeit"),IF(ROUND((1+INDEX(Beginne,MATCH(AF17,Codes,0))-INDEX(EndeRel,MATCH(AE17,Codes,0)))*1440,0)&lt;660,1,0),0),0))</f>
      </c>
    </row>
    <row r="67" hidden="1" spans="1:32" x14ac:dyDescent="0.25">
      <c r="A67" s="1"/>
      <c r="B67" s="1">
        <f>IF(OR(B$52=0,INDEX('September'!$B$18:$AF$18,DAY(DATE(Jahr,10,0)))="",B18=""),0,IFERROR(IF(AND(INDEX(Arten,MATCH(INDEX('September'!$B$18:$AF$18,DAY(DATE(Jahr,10,0))),Codes,0))="Arbeit",INDEX(Arten,MATCH(B18,Codes,0))="Arbeit"),IF(ROUND((1+INDEX(Beginne,MATCH(B18,Codes,0))-INDEX(EndeRel,MATCH(INDEX('September'!$B$18:$AF$18,DAY(DATE(Jahr,10,0))),Codes,0)))*1440,0)&lt;660,1,0),0),0))</f>
      </c>
      <c r="C67" s="1">
        <f>IF(OR(C$52=0,B18="",C18=""),0,IFERROR(IF(AND(INDEX(Arten,MATCH(B18,Codes,0))="Arbeit",INDEX(Arten,MATCH(C18,Codes,0))="Arbeit"),IF(ROUND((1+INDEX(Beginne,MATCH(C18,Codes,0))-INDEX(EndeRel,MATCH(B18,Codes,0)))*1440,0)&lt;660,1,0),0),0))</f>
      </c>
      <c r="D67" s="1">
        <f>IF(OR(D$52=0,C18="",D18=""),0,IFERROR(IF(AND(INDEX(Arten,MATCH(C18,Codes,0))="Arbeit",INDEX(Arten,MATCH(D18,Codes,0))="Arbeit"),IF(ROUND((1+INDEX(Beginne,MATCH(D18,Codes,0))-INDEX(EndeRel,MATCH(C18,Codes,0)))*1440,0)&lt;660,1,0),0),0))</f>
      </c>
      <c r="E67" s="1">
        <f>IF(OR(E$52=0,D18="",E18=""),0,IFERROR(IF(AND(INDEX(Arten,MATCH(D18,Codes,0))="Arbeit",INDEX(Arten,MATCH(E18,Codes,0))="Arbeit"),IF(ROUND((1+INDEX(Beginne,MATCH(E18,Codes,0))-INDEX(EndeRel,MATCH(D18,Codes,0)))*1440,0)&lt;660,1,0),0),0))</f>
      </c>
      <c r="F67" s="1">
        <f>IF(OR(F$52=0,E18="",F18=""),0,IFERROR(IF(AND(INDEX(Arten,MATCH(E18,Codes,0))="Arbeit",INDEX(Arten,MATCH(F18,Codes,0))="Arbeit"),IF(ROUND((1+INDEX(Beginne,MATCH(F18,Codes,0))-INDEX(EndeRel,MATCH(E18,Codes,0)))*1440,0)&lt;660,1,0),0),0))</f>
      </c>
      <c r="G67" s="1">
        <f>IF(OR(G$52=0,F18="",G18=""),0,IFERROR(IF(AND(INDEX(Arten,MATCH(F18,Codes,0))="Arbeit",INDEX(Arten,MATCH(G18,Codes,0))="Arbeit"),IF(ROUND((1+INDEX(Beginne,MATCH(G18,Codes,0))-INDEX(EndeRel,MATCH(F18,Codes,0)))*1440,0)&lt;660,1,0),0),0))</f>
      </c>
      <c r="H67" s="1">
        <f>IF(OR(H$52=0,G18="",H18=""),0,IFERROR(IF(AND(INDEX(Arten,MATCH(G18,Codes,0))="Arbeit",INDEX(Arten,MATCH(H18,Codes,0))="Arbeit"),IF(ROUND((1+INDEX(Beginne,MATCH(H18,Codes,0))-INDEX(EndeRel,MATCH(G18,Codes,0)))*1440,0)&lt;660,1,0),0),0))</f>
      </c>
      <c r="I67" s="1">
        <f>IF(OR(I$52=0,H18="",I18=""),0,IFERROR(IF(AND(INDEX(Arten,MATCH(H18,Codes,0))="Arbeit",INDEX(Arten,MATCH(I18,Codes,0))="Arbeit"),IF(ROUND((1+INDEX(Beginne,MATCH(I18,Codes,0))-INDEX(EndeRel,MATCH(H18,Codes,0)))*1440,0)&lt;660,1,0),0),0))</f>
      </c>
      <c r="J67" s="1">
        <f>IF(OR(J$52=0,I18="",J18=""),0,IFERROR(IF(AND(INDEX(Arten,MATCH(I18,Codes,0))="Arbeit",INDEX(Arten,MATCH(J18,Codes,0))="Arbeit"),IF(ROUND((1+INDEX(Beginne,MATCH(J18,Codes,0))-INDEX(EndeRel,MATCH(I18,Codes,0)))*1440,0)&lt;660,1,0),0),0))</f>
      </c>
      <c r="K67" s="1">
        <f>IF(OR(K$52=0,J18="",K18=""),0,IFERROR(IF(AND(INDEX(Arten,MATCH(J18,Codes,0))="Arbeit",INDEX(Arten,MATCH(K18,Codes,0))="Arbeit"),IF(ROUND((1+INDEX(Beginne,MATCH(K18,Codes,0))-INDEX(EndeRel,MATCH(J18,Codes,0)))*1440,0)&lt;660,1,0),0),0))</f>
      </c>
      <c r="L67" s="1">
        <f>IF(OR(L$52=0,K18="",L18=""),0,IFERROR(IF(AND(INDEX(Arten,MATCH(K18,Codes,0))="Arbeit",INDEX(Arten,MATCH(L18,Codes,0))="Arbeit"),IF(ROUND((1+INDEX(Beginne,MATCH(L18,Codes,0))-INDEX(EndeRel,MATCH(K18,Codes,0)))*1440,0)&lt;660,1,0),0),0))</f>
      </c>
      <c r="M67" s="1">
        <f>IF(OR(M$52=0,L18="",M18=""),0,IFERROR(IF(AND(INDEX(Arten,MATCH(L18,Codes,0))="Arbeit",INDEX(Arten,MATCH(M18,Codes,0))="Arbeit"),IF(ROUND((1+INDEX(Beginne,MATCH(M18,Codes,0))-INDEX(EndeRel,MATCH(L18,Codes,0)))*1440,0)&lt;660,1,0),0),0))</f>
      </c>
      <c r="N67" s="1">
        <f>IF(OR(N$52=0,M18="",N18=""),0,IFERROR(IF(AND(INDEX(Arten,MATCH(M18,Codes,0))="Arbeit",INDEX(Arten,MATCH(N18,Codes,0))="Arbeit"),IF(ROUND((1+INDEX(Beginne,MATCH(N18,Codes,0))-INDEX(EndeRel,MATCH(M18,Codes,0)))*1440,0)&lt;660,1,0),0),0))</f>
      </c>
      <c r="O67" s="1">
        <f>IF(OR(O$52=0,N18="",O18=""),0,IFERROR(IF(AND(INDEX(Arten,MATCH(N18,Codes,0))="Arbeit",INDEX(Arten,MATCH(O18,Codes,0))="Arbeit"),IF(ROUND((1+INDEX(Beginne,MATCH(O18,Codes,0))-INDEX(EndeRel,MATCH(N18,Codes,0)))*1440,0)&lt;660,1,0),0),0))</f>
      </c>
      <c r="P67" s="1">
        <f>IF(OR(P$52=0,O18="",P18=""),0,IFERROR(IF(AND(INDEX(Arten,MATCH(O18,Codes,0))="Arbeit",INDEX(Arten,MATCH(P18,Codes,0))="Arbeit"),IF(ROUND((1+INDEX(Beginne,MATCH(P18,Codes,0))-INDEX(EndeRel,MATCH(O18,Codes,0)))*1440,0)&lt;660,1,0),0),0))</f>
      </c>
      <c r="Q67" s="1">
        <f>IF(OR(Q$52=0,P18="",Q18=""),0,IFERROR(IF(AND(INDEX(Arten,MATCH(P18,Codes,0))="Arbeit",INDEX(Arten,MATCH(Q18,Codes,0))="Arbeit"),IF(ROUND((1+INDEX(Beginne,MATCH(Q18,Codes,0))-INDEX(EndeRel,MATCH(P18,Codes,0)))*1440,0)&lt;660,1,0),0),0))</f>
      </c>
      <c r="R67" s="1">
        <f>IF(OR(R$52=0,Q18="",R18=""),0,IFERROR(IF(AND(INDEX(Arten,MATCH(Q18,Codes,0))="Arbeit",INDEX(Arten,MATCH(R18,Codes,0))="Arbeit"),IF(ROUND((1+INDEX(Beginne,MATCH(R18,Codes,0))-INDEX(EndeRel,MATCH(Q18,Codes,0)))*1440,0)&lt;660,1,0),0),0))</f>
      </c>
      <c r="S67" s="1">
        <f>IF(OR(S$52=0,R18="",S18=""),0,IFERROR(IF(AND(INDEX(Arten,MATCH(R18,Codes,0))="Arbeit",INDEX(Arten,MATCH(S18,Codes,0))="Arbeit"),IF(ROUND((1+INDEX(Beginne,MATCH(S18,Codes,0))-INDEX(EndeRel,MATCH(R18,Codes,0)))*1440,0)&lt;660,1,0),0),0))</f>
      </c>
      <c r="T67" s="1">
        <f>IF(OR(T$52=0,S18="",T18=""),0,IFERROR(IF(AND(INDEX(Arten,MATCH(S18,Codes,0))="Arbeit",INDEX(Arten,MATCH(T18,Codes,0))="Arbeit"),IF(ROUND((1+INDEX(Beginne,MATCH(T18,Codes,0))-INDEX(EndeRel,MATCH(S18,Codes,0)))*1440,0)&lt;660,1,0),0),0))</f>
      </c>
      <c r="U67" s="1">
        <f>IF(OR(U$52=0,T18="",U18=""),0,IFERROR(IF(AND(INDEX(Arten,MATCH(T18,Codes,0))="Arbeit",INDEX(Arten,MATCH(U18,Codes,0))="Arbeit"),IF(ROUND((1+INDEX(Beginne,MATCH(U18,Codes,0))-INDEX(EndeRel,MATCH(T18,Codes,0)))*1440,0)&lt;660,1,0),0),0))</f>
      </c>
      <c r="V67" s="1">
        <f>IF(OR(V$52=0,U18="",V18=""),0,IFERROR(IF(AND(INDEX(Arten,MATCH(U18,Codes,0))="Arbeit",INDEX(Arten,MATCH(V18,Codes,0))="Arbeit"),IF(ROUND((1+INDEX(Beginne,MATCH(V18,Codes,0))-INDEX(EndeRel,MATCH(U18,Codes,0)))*1440,0)&lt;660,1,0),0),0))</f>
      </c>
      <c r="W67" s="1">
        <f>IF(OR(W$52=0,V18="",W18=""),0,IFERROR(IF(AND(INDEX(Arten,MATCH(V18,Codes,0))="Arbeit",INDEX(Arten,MATCH(W18,Codes,0))="Arbeit"),IF(ROUND((1+INDEX(Beginne,MATCH(W18,Codes,0))-INDEX(EndeRel,MATCH(V18,Codes,0)))*1440,0)&lt;660,1,0),0),0))</f>
      </c>
      <c r="X67" s="1">
        <f>IF(OR(X$52=0,W18="",X18=""),0,IFERROR(IF(AND(INDEX(Arten,MATCH(W18,Codes,0))="Arbeit",INDEX(Arten,MATCH(X18,Codes,0))="Arbeit"),IF(ROUND((1+INDEX(Beginne,MATCH(X18,Codes,0))-INDEX(EndeRel,MATCH(W18,Codes,0)))*1440,0)&lt;660,1,0),0),0))</f>
      </c>
      <c r="Y67" s="1">
        <f>IF(OR(Y$52=0,X18="",Y18=""),0,IFERROR(IF(AND(INDEX(Arten,MATCH(X18,Codes,0))="Arbeit",INDEX(Arten,MATCH(Y18,Codes,0))="Arbeit"),IF(ROUND((1+INDEX(Beginne,MATCH(Y18,Codes,0))-INDEX(EndeRel,MATCH(X18,Codes,0)))*1440,0)&lt;660,1,0),0),0))</f>
      </c>
      <c r="Z67" s="1">
        <f>IF(OR(Z$52=0,Y18="",Z18=""),0,IFERROR(IF(AND(INDEX(Arten,MATCH(Y18,Codes,0))="Arbeit",INDEX(Arten,MATCH(Z18,Codes,0))="Arbeit"),IF(ROUND((1+INDEX(Beginne,MATCH(Z18,Codes,0))-INDEX(EndeRel,MATCH(Y18,Codes,0)))*1440,0)&lt;660,1,0),0),0))</f>
      </c>
      <c r="AA67" s="1">
        <f>IF(OR(AA$52=0,Z18="",AA18=""),0,IFERROR(IF(AND(INDEX(Arten,MATCH(Z18,Codes,0))="Arbeit",INDEX(Arten,MATCH(AA18,Codes,0))="Arbeit"),IF(ROUND((1+INDEX(Beginne,MATCH(AA18,Codes,0))-INDEX(EndeRel,MATCH(Z18,Codes,0)))*1440,0)&lt;660,1,0),0),0))</f>
      </c>
      <c r="AB67" s="1">
        <f>IF(OR(AB$52=0,AA18="",AB18=""),0,IFERROR(IF(AND(INDEX(Arten,MATCH(AA18,Codes,0))="Arbeit",INDEX(Arten,MATCH(AB18,Codes,0))="Arbeit"),IF(ROUND((1+INDEX(Beginne,MATCH(AB18,Codes,0))-INDEX(EndeRel,MATCH(AA18,Codes,0)))*1440,0)&lt;660,1,0),0),0))</f>
      </c>
      <c r="AC67" s="1">
        <f>IF(OR(AC$52=0,AB18="",AC18=""),0,IFERROR(IF(AND(INDEX(Arten,MATCH(AB18,Codes,0))="Arbeit",INDEX(Arten,MATCH(AC18,Codes,0))="Arbeit"),IF(ROUND((1+INDEX(Beginne,MATCH(AC18,Codes,0))-INDEX(EndeRel,MATCH(AB18,Codes,0)))*1440,0)&lt;660,1,0),0),0))</f>
      </c>
      <c r="AD67" s="1">
        <f>IF(OR(AD$52=0,AC18="",AD18=""),0,IFERROR(IF(AND(INDEX(Arten,MATCH(AC18,Codes,0))="Arbeit",INDEX(Arten,MATCH(AD18,Codes,0))="Arbeit"),IF(ROUND((1+INDEX(Beginne,MATCH(AD18,Codes,0))-INDEX(EndeRel,MATCH(AC18,Codes,0)))*1440,0)&lt;660,1,0),0),0))</f>
      </c>
      <c r="AE67" s="1">
        <f>IF(OR(AE$52=0,AD18="",AE18=""),0,IFERROR(IF(AND(INDEX(Arten,MATCH(AD18,Codes,0))="Arbeit",INDEX(Arten,MATCH(AE18,Codes,0))="Arbeit"),IF(ROUND((1+INDEX(Beginne,MATCH(AE18,Codes,0))-INDEX(EndeRel,MATCH(AD18,Codes,0)))*1440,0)&lt;660,1,0),0),0))</f>
      </c>
      <c r="AF67" s="1">
        <f>IF(OR(AF$52=0,AE18="",AF18=""),0,IFERROR(IF(AND(INDEX(Arten,MATCH(AE18,Codes,0))="Arbeit",INDEX(Arten,MATCH(AF18,Codes,0))="Arbeit"),IF(ROUND((1+INDEX(Beginne,MATCH(AF18,Codes,0))-INDEX(EndeRel,MATCH(AE18,Codes,0)))*1440,0)&lt;660,1,0),0),0))</f>
      </c>
    </row>
    <row r="68" hidden="1" spans="1:32" x14ac:dyDescent="0.25">
      <c r="A68" s="1"/>
      <c r="B68" s="1">
        <f>IF(OR(B$52=0,INDEX('September'!$B$19:$AF$19,DAY(DATE(Jahr,10,0)))="",B19=""),0,IFERROR(IF(AND(INDEX(Arten,MATCH(INDEX('September'!$B$19:$AF$19,DAY(DATE(Jahr,10,0))),Codes,0))="Arbeit",INDEX(Arten,MATCH(B19,Codes,0))="Arbeit"),IF(ROUND((1+INDEX(Beginne,MATCH(B19,Codes,0))-INDEX(EndeRel,MATCH(INDEX('September'!$B$19:$AF$19,DAY(DATE(Jahr,10,0))),Codes,0)))*1440,0)&lt;660,1,0),0),0))</f>
      </c>
      <c r="C68" s="1">
        <f>IF(OR(C$52=0,B19="",C19=""),0,IFERROR(IF(AND(INDEX(Arten,MATCH(B19,Codes,0))="Arbeit",INDEX(Arten,MATCH(C19,Codes,0))="Arbeit"),IF(ROUND((1+INDEX(Beginne,MATCH(C19,Codes,0))-INDEX(EndeRel,MATCH(B19,Codes,0)))*1440,0)&lt;660,1,0),0),0))</f>
      </c>
      <c r="D68" s="1">
        <f>IF(OR(D$52=0,C19="",D19=""),0,IFERROR(IF(AND(INDEX(Arten,MATCH(C19,Codes,0))="Arbeit",INDEX(Arten,MATCH(D19,Codes,0))="Arbeit"),IF(ROUND((1+INDEX(Beginne,MATCH(D19,Codes,0))-INDEX(EndeRel,MATCH(C19,Codes,0)))*1440,0)&lt;660,1,0),0),0))</f>
      </c>
      <c r="E68" s="1">
        <f>IF(OR(E$52=0,D19="",E19=""),0,IFERROR(IF(AND(INDEX(Arten,MATCH(D19,Codes,0))="Arbeit",INDEX(Arten,MATCH(E19,Codes,0))="Arbeit"),IF(ROUND((1+INDEX(Beginne,MATCH(E19,Codes,0))-INDEX(EndeRel,MATCH(D19,Codes,0)))*1440,0)&lt;660,1,0),0),0))</f>
      </c>
      <c r="F68" s="1">
        <f>IF(OR(F$52=0,E19="",F19=""),0,IFERROR(IF(AND(INDEX(Arten,MATCH(E19,Codes,0))="Arbeit",INDEX(Arten,MATCH(F19,Codes,0))="Arbeit"),IF(ROUND((1+INDEX(Beginne,MATCH(F19,Codes,0))-INDEX(EndeRel,MATCH(E19,Codes,0)))*1440,0)&lt;660,1,0),0),0))</f>
      </c>
      <c r="G68" s="1">
        <f>IF(OR(G$52=0,F19="",G19=""),0,IFERROR(IF(AND(INDEX(Arten,MATCH(F19,Codes,0))="Arbeit",INDEX(Arten,MATCH(G19,Codes,0))="Arbeit"),IF(ROUND((1+INDEX(Beginne,MATCH(G19,Codes,0))-INDEX(EndeRel,MATCH(F19,Codes,0)))*1440,0)&lt;660,1,0),0),0))</f>
      </c>
      <c r="H68" s="1">
        <f>IF(OR(H$52=0,G19="",H19=""),0,IFERROR(IF(AND(INDEX(Arten,MATCH(G19,Codes,0))="Arbeit",INDEX(Arten,MATCH(H19,Codes,0))="Arbeit"),IF(ROUND((1+INDEX(Beginne,MATCH(H19,Codes,0))-INDEX(EndeRel,MATCH(G19,Codes,0)))*1440,0)&lt;660,1,0),0),0))</f>
      </c>
      <c r="I68" s="1">
        <f>IF(OR(I$52=0,H19="",I19=""),0,IFERROR(IF(AND(INDEX(Arten,MATCH(H19,Codes,0))="Arbeit",INDEX(Arten,MATCH(I19,Codes,0))="Arbeit"),IF(ROUND((1+INDEX(Beginne,MATCH(I19,Codes,0))-INDEX(EndeRel,MATCH(H19,Codes,0)))*1440,0)&lt;660,1,0),0),0))</f>
      </c>
      <c r="J68" s="1">
        <f>IF(OR(J$52=0,I19="",J19=""),0,IFERROR(IF(AND(INDEX(Arten,MATCH(I19,Codes,0))="Arbeit",INDEX(Arten,MATCH(J19,Codes,0))="Arbeit"),IF(ROUND((1+INDEX(Beginne,MATCH(J19,Codes,0))-INDEX(EndeRel,MATCH(I19,Codes,0)))*1440,0)&lt;660,1,0),0),0))</f>
      </c>
      <c r="K68" s="1">
        <f>IF(OR(K$52=0,J19="",K19=""),0,IFERROR(IF(AND(INDEX(Arten,MATCH(J19,Codes,0))="Arbeit",INDEX(Arten,MATCH(K19,Codes,0))="Arbeit"),IF(ROUND((1+INDEX(Beginne,MATCH(K19,Codes,0))-INDEX(EndeRel,MATCH(J19,Codes,0)))*1440,0)&lt;660,1,0),0),0))</f>
      </c>
      <c r="L68" s="1">
        <f>IF(OR(L$52=0,K19="",L19=""),0,IFERROR(IF(AND(INDEX(Arten,MATCH(K19,Codes,0))="Arbeit",INDEX(Arten,MATCH(L19,Codes,0))="Arbeit"),IF(ROUND((1+INDEX(Beginne,MATCH(L19,Codes,0))-INDEX(EndeRel,MATCH(K19,Codes,0)))*1440,0)&lt;660,1,0),0),0))</f>
      </c>
      <c r="M68" s="1">
        <f>IF(OR(M$52=0,L19="",M19=""),0,IFERROR(IF(AND(INDEX(Arten,MATCH(L19,Codes,0))="Arbeit",INDEX(Arten,MATCH(M19,Codes,0))="Arbeit"),IF(ROUND((1+INDEX(Beginne,MATCH(M19,Codes,0))-INDEX(EndeRel,MATCH(L19,Codes,0)))*1440,0)&lt;660,1,0),0),0))</f>
      </c>
      <c r="N68" s="1">
        <f>IF(OR(N$52=0,M19="",N19=""),0,IFERROR(IF(AND(INDEX(Arten,MATCH(M19,Codes,0))="Arbeit",INDEX(Arten,MATCH(N19,Codes,0))="Arbeit"),IF(ROUND((1+INDEX(Beginne,MATCH(N19,Codes,0))-INDEX(EndeRel,MATCH(M19,Codes,0)))*1440,0)&lt;660,1,0),0),0))</f>
      </c>
      <c r="O68" s="1">
        <f>IF(OR(O$52=0,N19="",O19=""),0,IFERROR(IF(AND(INDEX(Arten,MATCH(N19,Codes,0))="Arbeit",INDEX(Arten,MATCH(O19,Codes,0))="Arbeit"),IF(ROUND((1+INDEX(Beginne,MATCH(O19,Codes,0))-INDEX(EndeRel,MATCH(N19,Codes,0)))*1440,0)&lt;660,1,0),0),0))</f>
      </c>
      <c r="P68" s="1">
        <f>IF(OR(P$52=0,O19="",P19=""),0,IFERROR(IF(AND(INDEX(Arten,MATCH(O19,Codes,0))="Arbeit",INDEX(Arten,MATCH(P19,Codes,0))="Arbeit"),IF(ROUND((1+INDEX(Beginne,MATCH(P19,Codes,0))-INDEX(EndeRel,MATCH(O19,Codes,0)))*1440,0)&lt;660,1,0),0),0))</f>
      </c>
      <c r="Q68" s="1">
        <f>IF(OR(Q$52=0,P19="",Q19=""),0,IFERROR(IF(AND(INDEX(Arten,MATCH(P19,Codes,0))="Arbeit",INDEX(Arten,MATCH(Q19,Codes,0))="Arbeit"),IF(ROUND((1+INDEX(Beginne,MATCH(Q19,Codes,0))-INDEX(EndeRel,MATCH(P19,Codes,0)))*1440,0)&lt;660,1,0),0),0))</f>
      </c>
      <c r="R68" s="1">
        <f>IF(OR(R$52=0,Q19="",R19=""),0,IFERROR(IF(AND(INDEX(Arten,MATCH(Q19,Codes,0))="Arbeit",INDEX(Arten,MATCH(R19,Codes,0))="Arbeit"),IF(ROUND((1+INDEX(Beginne,MATCH(R19,Codes,0))-INDEX(EndeRel,MATCH(Q19,Codes,0)))*1440,0)&lt;660,1,0),0),0))</f>
      </c>
      <c r="S68" s="1">
        <f>IF(OR(S$52=0,R19="",S19=""),0,IFERROR(IF(AND(INDEX(Arten,MATCH(R19,Codes,0))="Arbeit",INDEX(Arten,MATCH(S19,Codes,0))="Arbeit"),IF(ROUND((1+INDEX(Beginne,MATCH(S19,Codes,0))-INDEX(EndeRel,MATCH(R19,Codes,0)))*1440,0)&lt;660,1,0),0),0))</f>
      </c>
      <c r="T68" s="1">
        <f>IF(OR(T$52=0,S19="",T19=""),0,IFERROR(IF(AND(INDEX(Arten,MATCH(S19,Codes,0))="Arbeit",INDEX(Arten,MATCH(T19,Codes,0))="Arbeit"),IF(ROUND((1+INDEX(Beginne,MATCH(T19,Codes,0))-INDEX(EndeRel,MATCH(S19,Codes,0)))*1440,0)&lt;660,1,0),0),0))</f>
      </c>
      <c r="U68" s="1">
        <f>IF(OR(U$52=0,T19="",U19=""),0,IFERROR(IF(AND(INDEX(Arten,MATCH(T19,Codes,0))="Arbeit",INDEX(Arten,MATCH(U19,Codes,0))="Arbeit"),IF(ROUND((1+INDEX(Beginne,MATCH(U19,Codes,0))-INDEX(EndeRel,MATCH(T19,Codes,0)))*1440,0)&lt;660,1,0),0),0))</f>
      </c>
      <c r="V68" s="1">
        <f>IF(OR(V$52=0,U19="",V19=""),0,IFERROR(IF(AND(INDEX(Arten,MATCH(U19,Codes,0))="Arbeit",INDEX(Arten,MATCH(V19,Codes,0))="Arbeit"),IF(ROUND((1+INDEX(Beginne,MATCH(V19,Codes,0))-INDEX(EndeRel,MATCH(U19,Codes,0)))*1440,0)&lt;660,1,0),0),0))</f>
      </c>
      <c r="W68" s="1">
        <f>IF(OR(W$52=0,V19="",W19=""),0,IFERROR(IF(AND(INDEX(Arten,MATCH(V19,Codes,0))="Arbeit",INDEX(Arten,MATCH(W19,Codes,0))="Arbeit"),IF(ROUND((1+INDEX(Beginne,MATCH(W19,Codes,0))-INDEX(EndeRel,MATCH(V19,Codes,0)))*1440,0)&lt;660,1,0),0),0))</f>
      </c>
      <c r="X68" s="1">
        <f>IF(OR(X$52=0,W19="",X19=""),0,IFERROR(IF(AND(INDEX(Arten,MATCH(W19,Codes,0))="Arbeit",INDEX(Arten,MATCH(X19,Codes,0))="Arbeit"),IF(ROUND((1+INDEX(Beginne,MATCH(X19,Codes,0))-INDEX(EndeRel,MATCH(W19,Codes,0)))*1440,0)&lt;660,1,0),0),0))</f>
      </c>
      <c r="Y68" s="1">
        <f>IF(OR(Y$52=0,X19="",Y19=""),0,IFERROR(IF(AND(INDEX(Arten,MATCH(X19,Codes,0))="Arbeit",INDEX(Arten,MATCH(Y19,Codes,0))="Arbeit"),IF(ROUND((1+INDEX(Beginne,MATCH(Y19,Codes,0))-INDEX(EndeRel,MATCH(X19,Codes,0)))*1440,0)&lt;660,1,0),0),0))</f>
      </c>
      <c r="Z68" s="1">
        <f>IF(OR(Z$52=0,Y19="",Z19=""),0,IFERROR(IF(AND(INDEX(Arten,MATCH(Y19,Codes,0))="Arbeit",INDEX(Arten,MATCH(Z19,Codes,0))="Arbeit"),IF(ROUND((1+INDEX(Beginne,MATCH(Z19,Codes,0))-INDEX(EndeRel,MATCH(Y19,Codes,0)))*1440,0)&lt;660,1,0),0),0))</f>
      </c>
      <c r="AA68" s="1">
        <f>IF(OR(AA$52=0,Z19="",AA19=""),0,IFERROR(IF(AND(INDEX(Arten,MATCH(Z19,Codes,0))="Arbeit",INDEX(Arten,MATCH(AA19,Codes,0))="Arbeit"),IF(ROUND((1+INDEX(Beginne,MATCH(AA19,Codes,0))-INDEX(EndeRel,MATCH(Z19,Codes,0)))*1440,0)&lt;660,1,0),0),0))</f>
      </c>
      <c r="AB68" s="1">
        <f>IF(OR(AB$52=0,AA19="",AB19=""),0,IFERROR(IF(AND(INDEX(Arten,MATCH(AA19,Codes,0))="Arbeit",INDEX(Arten,MATCH(AB19,Codes,0))="Arbeit"),IF(ROUND((1+INDEX(Beginne,MATCH(AB19,Codes,0))-INDEX(EndeRel,MATCH(AA19,Codes,0)))*1440,0)&lt;660,1,0),0),0))</f>
      </c>
      <c r="AC68" s="1">
        <f>IF(OR(AC$52=0,AB19="",AC19=""),0,IFERROR(IF(AND(INDEX(Arten,MATCH(AB19,Codes,0))="Arbeit",INDEX(Arten,MATCH(AC19,Codes,0))="Arbeit"),IF(ROUND((1+INDEX(Beginne,MATCH(AC19,Codes,0))-INDEX(EndeRel,MATCH(AB19,Codes,0)))*1440,0)&lt;660,1,0),0),0))</f>
      </c>
      <c r="AD68" s="1">
        <f>IF(OR(AD$52=0,AC19="",AD19=""),0,IFERROR(IF(AND(INDEX(Arten,MATCH(AC19,Codes,0))="Arbeit",INDEX(Arten,MATCH(AD19,Codes,0))="Arbeit"),IF(ROUND((1+INDEX(Beginne,MATCH(AD19,Codes,0))-INDEX(EndeRel,MATCH(AC19,Codes,0)))*1440,0)&lt;660,1,0),0),0))</f>
      </c>
      <c r="AE68" s="1">
        <f>IF(OR(AE$52=0,AD19="",AE19=""),0,IFERROR(IF(AND(INDEX(Arten,MATCH(AD19,Codes,0))="Arbeit",INDEX(Arten,MATCH(AE19,Codes,0))="Arbeit"),IF(ROUND((1+INDEX(Beginne,MATCH(AE19,Codes,0))-INDEX(EndeRel,MATCH(AD19,Codes,0)))*1440,0)&lt;660,1,0),0),0))</f>
      </c>
      <c r="AF68" s="1">
        <f>IF(OR(AF$52=0,AE19="",AF19=""),0,IFERROR(IF(AND(INDEX(Arten,MATCH(AE19,Codes,0))="Arbeit",INDEX(Arten,MATCH(AF19,Codes,0))="Arbeit"),IF(ROUND((1+INDEX(Beginne,MATCH(AF19,Codes,0))-INDEX(EndeRel,MATCH(AE19,Codes,0)))*1440,0)&lt;660,1,0),0),0))</f>
      </c>
    </row>
    <row r="69" hidden="1" spans="1:32" x14ac:dyDescent="0.25">
      <c r="A69" s="1"/>
      <c r="B69" s="1">
        <f>IF(OR(B$52=0,INDEX('September'!$B$20:$AF$20,DAY(DATE(Jahr,10,0)))="",B20=""),0,IFERROR(IF(AND(INDEX(Arten,MATCH(INDEX('September'!$B$20:$AF$20,DAY(DATE(Jahr,10,0))),Codes,0))="Arbeit",INDEX(Arten,MATCH(B20,Codes,0))="Arbeit"),IF(ROUND((1+INDEX(Beginne,MATCH(B20,Codes,0))-INDEX(EndeRel,MATCH(INDEX('September'!$B$20:$AF$20,DAY(DATE(Jahr,10,0))),Codes,0)))*1440,0)&lt;660,1,0),0),0))</f>
      </c>
      <c r="C69" s="1">
        <f>IF(OR(C$52=0,B20="",C20=""),0,IFERROR(IF(AND(INDEX(Arten,MATCH(B20,Codes,0))="Arbeit",INDEX(Arten,MATCH(C20,Codes,0))="Arbeit"),IF(ROUND((1+INDEX(Beginne,MATCH(C20,Codes,0))-INDEX(EndeRel,MATCH(B20,Codes,0)))*1440,0)&lt;660,1,0),0),0))</f>
      </c>
      <c r="D69" s="1">
        <f>IF(OR(D$52=0,C20="",D20=""),0,IFERROR(IF(AND(INDEX(Arten,MATCH(C20,Codes,0))="Arbeit",INDEX(Arten,MATCH(D20,Codes,0))="Arbeit"),IF(ROUND((1+INDEX(Beginne,MATCH(D20,Codes,0))-INDEX(EndeRel,MATCH(C20,Codes,0)))*1440,0)&lt;660,1,0),0),0))</f>
      </c>
      <c r="E69" s="1">
        <f>IF(OR(E$52=0,D20="",E20=""),0,IFERROR(IF(AND(INDEX(Arten,MATCH(D20,Codes,0))="Arbeit",INDEX(Arten,MATCH(E20,Codes,0))="Arbeit"),IF(ROUND((1+INDEX(Beginne,MATCH(E20,Codes,0))-INDEX(EndeRel,MATCH(D20,Codes,0)))*1440,0)&lt;660,1,0),0),0))</f>
      </c>
      <c r="F69" s="1">
        <f>IF(OR(F$52=0,E20="",F20=""),0,IFERROR(IF(AND(INDEX(Arten,MATCH(E20,Codes,0))="Arbeit",INDEX(Arten,MATCH(F20,Codes,0))="Arbeit"),IF(ROUND((1+INDEX(Beginne,MATCH(F20,Codes,0))-INDEX(EndeRel,MATCH(E20,Codes,0)))*1440,0)&lt;660,1,0),0),0))</f>
      </c>
      <c r="G69" s="1">
        <f>IF(OR(G$52=0,F20="",G20=""),0,IFERROR(IF(AND(INDEX(Arten,MATCH(F20,Codes,0))="Arbeit",INDEX(Arten,MATCH(G20,Codes,0))="Arbeit"),IF(ROUND((1+INDEX(Beginne,MATCH(G20,Codes,0))-INDEX(EndeRel,MATCH(F20,Codes,0)))*1440,0)&lt;660,1,0),0),0))</f>
      </c>
      <c r="H69" s="1">
        <f>IF(OR(H$52=0,G20="",H20=""),0,IFERROR(IF(AND(INDEX(Arten,MATCH(G20,Codes,0))="Arbeit",INDEX(Arten,MATCH(H20,Codes,0))="Arbeit"),IF(ROUND((1+INDEX(Beginne,MATCH(H20,Codes,0))-INDEX(EndeRel,MATCH(G20,Codes,0)))*1440,0)&lt;660,1,0),0),0))</f>
      </c>
      <c r="I69" s="1">
        <f>IF(OR(I$52=0,H20="",I20=""),0,IFERROR(IF(AND(INDEX(Arten,MATCH(H20,Codes,0))="Arbeit",INDEX(Arten,MATCH(I20,Codes,0))="Arbeit"),IF(ROUND((1+INDEX(Beginne,MATCH(I20,Codes,0))-INDEX(EndeRel,MATCH(H20,Codes,0)))*1440,0)&lt;660,1,0),0),0))</f>
      </c>
      <c r="J69" s="1">
        <f>IF(OR(J$52=0,I20="",J20=""),0,IFERROR(IF(AND(INDEX(Arten,MATCH(I20,Codes,0))="Arbeit",INDEX(Arten,MATCH(J20,Codes,0))="Arbeit"),IF(ROUND((1+INDEX(Beginne,MATCH(J20,Codes,0))-INDEX(EndeRel,MATCH(I20,Codes,0)))*1440,0)&lt;660,1,0),0),0))</f>
      </c>
      <c r="K69" s="1">
        <f>IF(OR(K$52=0,J20="",K20=""),0,IFERROR(IF(AND(INDEX(Arten,MATCH(J20,Codes,0))="Arbeit",INDEX(Arten,MATCH(K20,Codes,0))="Arbeit"),IF(ROUND((1+INDEX(Beginne,MATCH(K20,Codes,0))-INDEX(EndeRel,MATCH(J20,Codes,0)))*1440,0)&lt;660,1,0),0),0))</f>
      </c>
      <c r="L69" s="1">
        <f>IF(OR(L$52=0,K20="",L20=""),0,IFERROR(IF(AND(INDEX(Arten,MATCH(K20,Codes,0))="Arbeit",INDEX(Arten,MATCH(L20,Codes,0))="Arbeit"),IF(ROUND((1+INDEX(Beginne,MATCH(L20,Codes,0))-INDEX(EndeRel,MATCH(K20,Codes,0)))*1440,0)&lt;660,1,0),0),0))</f>
      </c>
      <c r="M69" s="1">
        <f>IF(OR(M$52=0,L20="",M20=""),0,IFERROR(IF(AND(INDEX(Arten,MATCH(L20,Codes,0))="Arbeit",INDEX(Arten,MATCH(M20,Codes,0))="Arbeit"),IF(ROUND((1+INDEX(Beginne,MATCH(M20,Codes,0))-INDEX(EndeRel,MATCH(L20,Codes,0)))*1440,0)&lt;660,1,0),0),0))</f>
      </c>
      <c r="N69" s="1">
        <f>IF(OR(N$52=0,M20="",N20=""),0,IFERROR(IF(AND(INDEX(Arten,MATCH(M20,Codes,0))="Arbeit",INDEX(Arten,MATCH(N20,Codes,0))="Arbeit"),IF(ROUND((1+INDEX(Beginne,MATCH(N20,Codes,0))-INDEX(EndeRel,MATCH(M20,Codes,0)))*1440,0)&lt;660,1,0),0),0))</f>
      </c>
      <c r="O69" s="1">
        <f>IF(OR(O$52=0,N20="",O20=""),0,IFERROR(IF(AND(INDEX(Arten,MATCH(N20,Codes,0))="Arbeit",INDEX(Arten,MATCH(O20,Codes,0))="Arbeit"),IF(ROUND((1+INDEX(Beginne,MATCH(O20,Codes,0))-INDEX(EndeRel,MATCH(N20,Codes,0)))*1440,0)&lt;660,1,0),0),0))</f>
      </c>
      <c r="P69" s="1">
        <f>IF(OR(P$52=0,O20="",P20=""),0,IFERROR(IF(AND(INDEX(Arten,MATCH(O20,Codes,0))="Arbeit",INDEX(Arten,MATCH(P20,Codes,0))="Arbeit"),IF(ROUND((1+INDEX(Beginne,MATCH(P20,Codes,0))-INDEX(EndeRel,MATCH(O20,Codes,0)))*1440,0)&lt;660,1,0),0),0))</f>
      </c>
      <c r="Q69" s="1">
        <f>IF(OR(Q$52=0,P20="",Q20=""),0,IFERROR(IF(AND(INDEX(Arten,MATCH(P20,Codes,0))="Arbeit",INDEX(Arten,MATCH(Q20,Codes,0))="Arbeit"),IF(ROUND((1+INDEX(Beginne,MATCH(Q20,Codes,0))-INDEX(EndeRel,MATCH(P20,Codes,0)))*1440,0)&lt;660,1,0),0),0))</f>
      </c>
      <c r="R69" s="1">
        <f>IF(OR(R$52=0,Q20="",R20=""),0,IFERROR(IF(AND(INDEX(Arten,MATCH(Q20,Codes,0))="Arbeit",INDEX(Arten,MATCH(R20,Codes,0))="Arbeit"),IF(ROUND((1+INDEX(Beginne,MATCH(R20,Codes,0))-INDEX(EndeRel,MATCH(Q20,Codes,0)))*1440,0)&lt;660,1,0),0),0))</f>
      </c>
      <c r="S69" s="1">
        <f>IF(OR(S$52=0,R20="",S20=""),0,IFERROR(IF(AND(INDEX(Arten,MATCH(R20,Codes,0))="Arbeit",INDEX(Arten,MATCH(S20,Codes,0))="Arbeit"),IF(ROUND((1+INDEX(Beginne,MATCH(S20,Codes,0))-INDEX(EndeRel,MATCH(R20,Codes,0)))*1440,0)&lt;660,1,0),0),0))</f>
      </c>
      <c r="T69" s="1">
        <f>IF(OR(T$52=0,S20="",T20=""),0,IFERROR(IF(AND(INDEX(Arten,MATCH(S20,Codes,0))="Arbeit",INDEX(Arten,MATCH(T20,Codes,0))="Arbeit"),IF(ROUND((1+INDEX(Beginne,MATCH(T20,Codes,0))-INDEX(EndeRel,MATCH(S20,Codes,0)))*1440,0)&lt;660,1,0),0),0))</f>
      </c>
      <c r="U69" s="1">
        <f>IF(OR(U$52=0,T20="",U20=""),0,IFERROR(IF(AND(INDEX(Arten,MATCH(T20,Codes,0))="Arbeit",INDEX(Arten,MATCH(U20,Codes,0))="Arbeit"),IF(ROUND((1+INDEX(Beginne,MATCH(U20,Codes,0))-INDEX(EndeRel,MATCH(T20,Codes,0)))*1440,0)&lt;660,1,0),0),0))</f>
      </c>
      <c r="V69" s="1">
        <f>IF(OR(V$52=0,U20="",V20=""),0,IFERROR(IF(AND(INDEX(Arten,MATCH(U20,Codes,0))="Arbeit",INDEX(Arten,MATCH(V20,Codes,0))="Arbeit"),IF(ROUND((1+INDEX(Beginne,MATCH(V20,Codes,0))-INDEX(EndeRel,MATCH(U20,Codes,0)))*1440,0)&lt;660,1,0),0),0))</f>
      </c>
      <c r="W69" s="1">
        <f>IF(OR(W$52=0,V20="",W20=""),0,IFERROR(IF(AND(INDEX(Arten,MATCH(V20,Codes,0))="Arbeit",INDEX(Arten,MATCH(W20,Codes,0))="Arbeit"),IF(ROUND((1+INDEX(Beginne,MATCH(W20,Codes,0))-INDEX(EndeRel,MATCH(V20,Codes,0)))*1440,0)&lt;660,1,0),0),0))</f>
      </c>
      <c r="X69" s="1">
        <f>IF(OR(X$52=0,W20="",X20=""),0,IFERROR(IF(AND(INDEX(Arten,MATCH(W20,Codes,0))="Arbeit",INDEX(Arten,MATCH(X20,Codes,0))="Arbeit"),IF(ROUND((1+INDEX(Beginne,MATCH(X20,Codes,0))-INDEX(EndeRel,MATCH(W20,Codes,0)))*1440,0)&lt;660,1,0),0),0))</f>
      </c>
      <c r="Y69" s="1">
        <f>IF(OR(Y$52=0,X20="",Y20=""),0,IFERROR(IF(AND(INDEX(Arten,MATCH(X20,Codes,0))="Arbeit",INDEX(Arten,MATCH(Y20,Codes,0))="Arbeit"),IF(ROUND((1+INDEX(Beginne,MATCH(Y20,Codes,0))-INDEX(EndeRel,MATCH(X20,Codes,0)))*1440,0)&lt;660,1,0),0),0))</f>
      </c>
      <c r="Z69" s="1">
        <f>IF(OR(Z$52=0,Y20="",Z20=""),0,IFERROR(IF(AND(INDEX(Arten,MATCH(Y20,Codes,0))="Arbeit",INDEX(Arten,MATCH(Z20,Codes,0))="Arbeit"),IF(ROUND((1+INDEX(Beginne,MATCH(Z20,Codes,0))-INDEX(EndeRel,MATCH(Y20,Codes,0)))*1440,0)&lt;660,1,0),0),0))</f>
      </c>
      <c r="AA69" s="1">
        <f>IF(OR(AA$52=0,Z20="",AA20=""),0,IFERROR(IF(AND(INDEX(Arten,MATCH(Z20,Codes,0))="Arbeit",INDEX(Arten,MATCH(AA20,Codes,0))="Arbeit"),IF(ROUND((1+INDEX(Beginne,MATCH(AA20,Codes,0))-INDEX(EndeRel,MATCH(Z20,Codes,0)))*1440,0)&lt;660,1,0),0),0))</f>
      </c>
      <c r="AB69" s="1">
        <f>IF(OR(AB$52=0,AA20="",AB20=""),0,IFERROR(IF(AND(INDEX(Arten,MATCH(AA20,Codes,0))="Arbeit",INDEX(Arten,MATCH(AB20,Codes,0))="Arbeit"),IF(ROUND((1+INDEX(Beginne,MATCH(AB20,Codes,0))-INDEX(EndeRel,MATCH(AA20,Codes,0)))*1440,0)&lt;660,1,0),0),0))</f>
      </c>
      <c r="AC69" s="1">
        <f>IF(OR(AC$52=0,AB20="",AC20=""),0,IFERROR(IF(AND(INDEX(Arten,MATCH(AB20,Codes,0))="Arbeit",INDEX(Arten,MATCH(AC20,Codes,0))="Arbeit"),IF(ROUND((1+INDEX(Beginne,MATCH(AC20,Codes,0))-INDEX(EndeRel,MATCH(AB20,Codes,0)))*1440,0)&lt;660,1,0),0),0))</f>
      </c>
      <c r="AD69" s="1">
        <f>IF(OR(AD$52=0,AC20="",AD20=""),0,IFERROR(IF(AND(INDEX(Arten,MATCH(AC20,Codes,0))="Arbeit",INDEX(Arten,MATCH(AD20,Codes,0))="Arbeit"),IF(ROUND((1+INDEX(Beginne,MATCH(AD20,Codes,0))-INDEX(EndeRel,MATCH(AC20,Codes,0)))*1440,0)&lt;660,1,0),0),0))</f>
      </c>
      <c r="AE69" s="1">
        <f>IF(OR(AE$52=0,AD20="",AE20=""),0,IFERROR(IF(AND(INDEX(Arten,MATCH(AD20,Codes,0))="Arbeit",INDEX(Arten,MATCH(AE20,Codes,0))="Arbeit"),IF(ROUND((1+INDEX(Beginne,MATCH(AE20,Codes,0))-INDEX(EndeRel,MATCH(AD20,Codes,0)))*1440,0)&lt;660,1,0),0),0))</f>
      </c>
      <c r="AF69" s="1">
        <f>IF(OR(AF$52=0,AE20="",AF20=""),0,IFERROR(IF(AND(INDEX(Arten,MATCH(AE20,Codes,0))="Arbeit",INDEX(Arten,MATCH(AF20,Codes,0))="Arbeit"),IF(ROUND((1+INDEX(Beginne,MATCH(AF20,Codes,0))-INDEX(EndeRel,MATCH(AE20,Codes,0)))*1440,0)&lt;660,1,0),0),0))</f>
      </c>
    </row>
    <row r="70" hidden="1" spans="1:32" x14ac:dyDescent="0.25">
      <c r="A70" s="1"/>
      <c r="B70" s="1">
        <f>IF(OR(B$52=0,INDEX('September'!$B$21:$AF$21,DAY(DATE(Jahr,10,0)))="",B21=""),0,IFERROR(IF(AND(INDEX(Arten,MATCH(INDEX('September'!$B$21:$AF$21,DAY(DATE(Jahr,10,0))),Codes,0))="Arbeit",INDEX(Arten,MATCH(B21,Codes,0))="Arbeit"),IF(ROUND((1+INDEX(Beginne,MATCH(B21,Codes,0))-INDEX(EndeRel,MATCH(INDEX('September'!$B$21:$AF$21,DAY(DATE(Jahr,10,0))),Codes,0)))*1440,0)&lt;660,1,0),0),0))</f>
      </c>
      <c r="C70" s="1">
        <f>IF(OR(C$52=0,B21="",C21=""),0,IFERROR(IF(AND(INDEX(Arten,MATCH(B21,Codes,0))="Arbeit",INDEX(Arten,MATCH(C21,Codes,0))="Arbeit"),IF(ROUND((1+INDEX(Beginne,MATCH(C21,Codes,0))-INDEX(EndeRel,MATCH(B21,Codes,0)))*1440,0)&lt;660,1,0),0),0))</f>
      </c>
      <c r="D70" s="1">
        <f>IF(OR(D$52=0,C21="",D21=""),0,IFERROR(IF(AND(INDEX(Arten,MATCH(C21,Codes,0))="Arbeit",INDEX(Arten,MATCH(D21,Codes,0))="Arbeit"),IF(ROUND((1+INDEX(Beginne,MATCH(D21,Codes,0))-INDEX(EndeRel,MATCH(C21,Codes,0)))*1440,0)&lt;660,1,0),0),0))</f>
      </c>
      <c r="E70" s="1">
        <f>IF(OR(E$52=0,D21="",E21=""),0,IFERROR(IF(AND(INDEX(Arten,MATCH(D21,Codes,0))="Arbeit",INDEX(Arten,MATCH(E21,Codes,0))="Arbeit"),IF(ROUND((1+INDEX(Beginne,MATCH(E21,Codes,0))-INDEX(EndeRel,MATCH(D21,Codes,0)))*1440,0)&lt;660,1,0),0),0))</f>
      </c>
      <c r="F70" s="1">
        <f>IF(OR(F$52=0,E21="",F21=""),0,IFERROR(IF(AND(INDEX(Arten,MATCH(E21,Codes,0))="Arbeit",INDEX(Arten,MATCH(F21,Codes,0))="Arbeit"),IF(ROUND((1+INDEX(Beginne,MATCH(F21,Codes,0))-INDEX(EndeRel,MATCH(E21,Codes,0)))*1440,0)&lt;660,1,0),0),0))</f>
      </c>
      <c r="G70" s="1">
        <f>IF(OR(G$52=0,F21="",G21=""),0,IFERROR(IF(AND(INDEX(Arten,MATCH(F21,Codes,0))="Arbeit",INDEX(Arten,MATCH(G21,Codes,0))="Arbeit"),IF(ROUND((1+INDEX(Beginne,MATCH(G21,Codes,0))-INDEX(EndeRel,MATCH(F21,Codes,0)))*1440,0)&lt;660,1,0),0),0))</f>
      </c>
      <c r="H70" s="1">
        <f>IF(OR(H$52=0,G21="",H21=""),0,IFERROR(IF(AND(INDEX(Arten,MATCH(G21,Codes,0))="Arbeit",INDEX(Arten,MATCH(H21,Codes,0))="Arbeit"),IF(ROUND((1+INDEX(Beginne,MATCH(H21,Codes,0))-INDEX(EndeRel,MATCH(G21,Codes,0)))*1440,0)&lt;660,1,0),0),0))</f>
      </c>
      <c r="I70" s="1">
        <f>IF(OR(I$52=0,H21="",I21=""),0,IFERROR(IF(AND(INDEX(Arten,MATCH(H21,Codes,0))="Arbeit",INDEX(Arten,MATCH(I21,Codes,0))="Arbeit"),IF(ROUND((1+INDEX(Beginne,MATCH(I21,Codes,0))-INDEX(EndeRel,MATCH(H21,Codes,0)))*1440,0)&lt;660,1,0),0),0))</f>
      </c>
      <c r="J70" s="1">
        <f>IF(OR(J$52=0,I21="",J21=""),0,IFERROR(IF(AND(INDEX(Arten,MATCH(I21,Codes,0))="Arbeit",INDEX(Arten,MATCH(J21,Codes,0))="Arbeit"),IF(ROUND((1+INDEX(Beginne,MATCH(J21,Codes,0))-INDEX(EndeRel,MATCH(I21,Codes,0)))*1440,0)&lt;660,1,0),0),0))</f>
      </c>
      <c r="K70" s="1">
        <f>IF(OR(K$52=0,J21="",K21=""),0,IFERROR(IF(AND(INDEX(Arten,MATCH(J21,Codes,0))="Arbeit",INDEX(Arten,MATCH(K21,Codes,0))="Arbeit"),IF(ROUND((1+INDEX(Beginne,MATCH(K21,Codes,0))-INDEX(EndeRel,MATCH(J21,Codes,0)))*1440,0)&lt;660,1,0),0),0))</f>
      </c>
      <c r="L70" s="1">
        <f>IF(OR(L$52=0,K21="",L21=""),0,IFERROR(IF(AND(INDEX(Arten,MATCH(K21,Codes,0))="Arbeit",INDEX(Arten,MATCH(L21,Codes,0))="Arbeit"),IF(ROUND((1+INDEX(Beginne,MATCH(L21,Codes,0))-INDEX(EndeRel,MATCH(K21,Codes,0)))*1440,0)&lt;660,1,0),0),0))</f>
      </c>
      <c r="M70" s="1">
        <f>IF(OR(M$52=0,L21="",M21=""),0,IFERROR(IF(AND(INDEX(Arten,MATCH(L21,Codes,0))="Arbeit",INDEX(Arten,MATCH(M21,Codes,0))="Arbeit"),IF(ROUND((1+INDEX(Beginne,MATCH(M21,Codes,0))-INDEX(EndeRel,MATCH(L21,Codes,0)))*1440,0)&lt;660,1,0),0),0))</f>
      </c>
      <c r="N70" s="1">
        <f>IF(OR(N$52=0,M21="",N21=""),0,IFERROR(IF(AND(INDEX(Arten,MATCH(M21,Codes,0))="Arbeit",INDEX(Arten,MATCH(N21,Codes,0))="Arbeit"),IF(ROUND((1+INDEX(Beginne,MATCH(N21,Codes,0))-INDEX(EndeRel,MATCH(M21,Codes,0)))*1440,0)&lt;660,1,0),0),0))</f>
      </c>
      <c r="O70" s="1">
        <f>IF(OR(O$52=0,N21="",O21=""),0,IFERROR(IF(AND(INDEX(Arten,MATCH(N21,Codes,0))="Arbeit",INDEX(Arten,MATCH(O21,Codes,0))="Arbeit"),IF(ROUND((1+INDEX(Beginne,MATCH(O21,Codes,0))-INDEX(EndeRel,MATCH(N21,Codes,0)))*1440,0)&lt;660,1,0),0),0))</f>
      </c>
      <c r="P70" s="1">
        <f>IF(OR(P$52=0,O21="",P21=""),0,IFERROR(IF(AND(INDEX(Arten,MATCH(O21,Codes,0))="Arbeit",INDEX(Arten,MATCH(P21,Codes,0))="Arbeit"),IF(ROUND((1+INDEX(Beginne,MATCH(P21,Codes,0))-INDEX(EndeRel,MATCH(O21,Codes,0)))*1440,0)&lt;660,1,0),0),0))</f>
      </c>
      <c r="Q70" s="1">
        <f>IF(OR(Q$52=0,P21="",Q21=""),0,IFERROR(IF(AND(INDEX(Arten,MATCH(P21,Codes,0))="Arbeit",INDEX(Arten,MATCH(Q21,Codes,0))="Arbeit"),IF(ROUND((1+INDEX(Beginne,MATCH(Q21,Codes,0))-INDEX(EndeRel,MATCH(P21,Codes,0)))*1440,0)&lt;660,1,0),0),0))</f>
      </c>
      <c r="R70" s="1">
        <f>IF(OR(R$52=0,Q21="",R21=""),0,IFERROR(IF(AND(INDEX(Arten,MATCH(Q21,Codes,0))="Arbeit",INDEX(Arten,MATCH(R21,Codes,0))="Arbeit"),IF(ROUND((1+INDEX(Beginne,MATCH(R21,Codes,0))-INDEX(EndeRel,MATCH(Q21,Codes,0)))*1440,0)&lt;660,1,0),0),0))</f>
      </c>
      <c r="S70" s="1">
        <f>IF(OR(S$52=0,R21="",S21=""),0,IFERROR(IF(AND(INDEX(Arten,MATCH(R21,Codes,0))="Arbeit",INDEX(Arten,MATCH(S21,Codes,0))="Arbeit"),IF(ROUND((1+INDEX(Beginne,MATCH(S21,Codes,0))-INDEX(EndeRel,MATCH(R21,Codes,0)))*1440,0)&lt;660,1,0),0),0))</f>
      </c>
      <c r="T70" s="1">
        <f>IF(OR(T$52=0,S21="",T21=""),0,IFERROR(IF(AND(INDEX(Arten,MATCH(S21,Codes,0))="Arbeit",INDEX(Arten,MATCH(T21,Codes,0))="Arbeit"),IF(ROUND((1+INDEX(Beginne,MATCH(T21,Codes,0))-INDEX(EndeRel,MATCH(S21,Codes,0)))*1440,0)&lt;660,1,0),0),0))</f>
      </c>
      <c r="U70" s="1">
        <f>IF(OR(U$52=0,T21="",U21=""),0,IFERROR(IF(AND(INDEX(Arten,MATCH(T21,Codes,0))="Arbeit",INDEX(Arten,MATCH(U21,Codes,0))="Arbeit"),IF(ROUND((1+INDEX(Beginne,MATCH(U21,Codes,0))-INDEX(EndeRel,MATCH(T21,Codes,0)))*1440,0)&lt;660,1,0),0),0))</f>
      </c>
      <c r="V70" s="1">
        <f>IF(OR(V$52=0,U21="",V21=""),0,IFERROR(IF(AND(INDEX(Arten,MATCH(U21,Codes,0))="Arbeit",INDEX(Arten,MATCH(V21,Codes,0))="Arbeit"),IF(ROUND((1+INDEX(Beginne,MATCH(V21,Codes,0))-INDEX(EndeRel,MATCH(U21,Codes,0)))*1440,0)&lt;660,1,0),0),0))</f>
      </c>
      <c r="W70" s="1">
        <f>IF(OR(W$52=0,V21="",W21=""),0,IFERROR(IF(AND(INDEX(Arten,MATCH(V21,Codes,0))="Arbeit",INDEX(Arten,MATCH(W21,Codes,0))="Arbeit"),IF(ROUND((1+INDEX(Beginne,MATCH(W21,Codes,0))-INDEX(EndeRel,MATCH(V21,Codes,0)))*1440,0)&lt;660,1,0),0),0))</f>
      </c>
      <c r="X70" s="1">
        <f>IF(OR(X$52=0,W21="",X21=""),0,IFERROR(IF(AND(INDEX(Arten,MATCH(W21,Codes,0))="Arbeit",INDEX(Arten,MATCH(X21,Codes,0))="Arbeit"),IF(ROUND((1+INDEX(Beginne,MATCH(X21,Codes,0))-INDEX(EndeRel,MATCH(W21,Codes,0)))*1440,0)&lt;660,1,0),0),0))</f>
      </c>
      <c r="Y70" s="1">
        <f>IF(OR(Y$52=0,X21="",Y21=""),0,IFERROR(IF(AND(INDEX(Arten,MATCH(X21,Codes,0))="Arbeit",INDEX(Arten,MATCH(Y21,Codes,0))="Arbeit"),IF(ROUND((1+INDEX(Beginne,MATCH(Y21,Codes,0))-INDEX(EndeRel,MATCH(X21,Codes,0)))*1440,0)&lt;660,1,0),0),0))</f>
      </c>
      <c r="Z70" s="1">
        <f>IF(OR(Z$52=0,Y21="",Z21=""),0,IFERROR(IF(AND(INDEX(Arten,MATCH(Y21,Codes,0))="Arbeit",INDEX(Arten,MATCH(Z21,Codes,0))="Arbeit"),IF(ROUND((1+INDEX(Beginne,MATCH(Z21,Codes,0))-INDEX(EndeRel,MATCH(Y21,Codes,0)))*1440,0)&lt;660,1,0),0),0))</f>
      </c>
      <c r="AA70" s="1">
        <f>IF(OR(AA$52=0,Z21="",AA21=""),0,IFERROR(IF(AND(INDEX(Arten,MATCH(Z21,Codes,0))="Arbeit",INDEX(Arten,MATCH(AA21,Codes,0))="Arbeit"),IF(ROUND((1+INDEX(Beginne,MATCH(AA21,Codes,0))-INDEX(EndeRel,MATCH(Z21,Codes,0)))*1440,0)&lt;660,1,0),0),0))</f>
      </c>
      <c r="AB70" s="1">
        <f>IF(OR(AB$52=0,AA21="",AB21=""),0,IFERROR(IF(AND(INDEX(Arten,MATCH(AA21,Codes,0))="Arbeit",INDEX(Arten,MATCH(AB21,Codes,0))="Arbeit"),IF(ROUND((1+INDEX(Beginne,MATCH(AB21,Codes,0))-INDEX(EndeRel,MATCH(AA21,Codes,0)))*1440,0)&lt;660,1,0),0),0))</f>
      </c>
      <c r="AC70" s="1">
        <f>IF(OR(AC$52=0,AB21="",AC21=""),0,IFERROR(IF(AND(INDEX(Arten,MATCH(AB21,Codes,0))="Arbeit",INDEX(Arten,MATCH(AC21,Codes,0))="Arbeit"),IF(ROUND((1+INDEX(Beginne,MATCH(AC21,Codes,0))-INDEX(EndeRel,MATCH(AB21,Codes,0)))*1440,0)&lt;660,1,0),0),0))</f>
      </c>
      <c r="AD70" s="1">
        <f>IF(OR(AD$52=0,AC21="",AD21=""),0,IFERROR(IF(AND(INDEX(Arten,MATCH(AC21,Codes,0))="Arbeit",INDEX(Arten,MATCH(AD21,Codes,0))="Arbeit"),IF(ROUND((1+INDEX(Beginne,MATCH(AD21,Codes,0))-INDEX(EndeRel,MATCH(AC21,Codes,0)))*1440,0)&lt;660,1,0),0),0))</f>
      </c>
      <c r="AE70" s="1">
        <f>IF(OR(AE$52=0,AD21="",AE21=""),0,IFERROR(IF(AND(INDEX(Arten,MATCH(AD21,Codes,0))="Arbeit",INDEX(Arten,MATCH(AE21,Codes,0))="Arbeit"),IF(ROUND((1+INDEX(Beginne,MATCH(AE21,Codes,0))-INDEX(EndeRel,MATCH(AD21,Codes,0)))*1440,0)&lt;660,1,0),0),0))</f>
      </c>
      <c r="AF70" s="1">
        <f>IF(OR(AF$52=0,AE21="",AF21=""),0,IFERROR(IF(AND(INDEX(Arten,MATCH(AE21,Codes,0))="Arbeit",INDEX(Arten,MATCH(AF21,Codes,0))="Arbeit"),IF(ROUND((1+INDEX(Beginne,MATCH(AF21,Codes,0))-INDEX(EndeRel,MATCH(AE21,Codes,0)))*1440,0)&lt;660,1,0),0),0))</f>
      </c>
    </row>
    <row r="71" hidden="1" spans="1:32" x14ac:dyDescent="0.25">
      <c r="A71" s="1"/>
      <c r="B71" s="1">
        <f>IF(OR(B$52=0,INDEX('September'!$B$22:$AF$22,DAY(DATE(Jahr,10,0)))="",B22=""),0,IFERROR(IF(AND(INDEX(Arten,MATCH(INDEX('September'!$B$22:$AF$22,DAY(DATE(Jahr,10,0))),Codes,0))="Arbeit",INDEX(Arten,MATCH(B22,Codes,0))="Arbeit"),IF(ROUND((1+INDEX(Beginne,MATCH(B22,Codes,0))-INDEX(EndeRel,MATCH(INDEX('September'!$B$22:$AF$22,DAY(DATE(Jahr,10,0))),Codes,0)))*1440,0)&lt;660,1,0),0),0))</f>
      </c>
      <c r="C71" s="1">
        <f>IF(OR(C$52=0,B22="",C22=""),0,IFERROR(IF(AND(INDEX(Arten,MATCH(B22,Codes,0))="Arbeit",INDEX(Arten,MATCH(C22,Codes,0))="Arbeit"),IF(ROUND((1+INDEX(Beginne,MATCH(C22,Codes,0))-INDEX(EndeRel,MATCH(B22,Codes,0)))*1440,0)&lt;660,1,0),0),0))</f>
      </c>
      <c r="D71" s="1">
        <f>IF(OR(D$52=0,C22="",D22=""),0,IFERROR(IF(AND(INDEX(Arten,MATCH(C22,Codes,0))="Arbeit",INDEX(Arten,MATCH(D22,Codes,0))="Arbeit"),IF(ROUND((1+INDEX(Beginne,MATCH(D22,Codes,0))-INDEX(EndeRel,MATCH(C22,Codes,0)))*1440,0)&lt;660,1,0),0),0))</f>
      </c>
      <c r="E71" s="1">
        <f>IF(OR(E$52=0,D22="",E22=""),0,IFERROR(IF(AND(INDEX(Arten,MATCH(D22,Codes,0))="Arbeit",INDEX(Arten,MATCH(E22,Codes,0))="Arbeit"),IF(ROUND((1+INDEX(Beginne,MATCH(E22,Codes,0))-INDEX(EndeRel,MATCH(D22,Codes,0)))*1440,0)&lt;660,1,0),0),0))</f>
      </c>
      <c r="F71" s="1">
        <f>IF(OR(F$52=0,E22="",F22=""),0,IFERROR(IF(AND(INDEX(Arten,MATCH(E22,Codes,0))="Arbeit",INDEX(Arten,MATCH(F22,Codes,0))="Arbeit"),IF(ROUND((1+INDEX(Beginne,MATCH(F22,Codes,0))-INDEX(EndeRel,MATCH(E22,Codes,0)))*1440,0)&lt;660,1,0),0),0))</f>
      </c>
      <c r="G71" s="1">
        <f>IF(OR(G$52=0,F22="",G22=""),0,IFERROR(IF(AND(INDEX(Arten,MATCH(F22,Codes,0))="Arbeit",INDEX(Arten,MATCH(G22,Codes,0))="Arbeit"),IF(ROUND((1+INDEX(Beginne,MATCH(G22,Codes,0))-INDEX(EndeRel,MATCH(F22,Codes,0)))*1440,0)&lt;660,1,0),0),0))</f>
      </c>
      <c r="H71" s="1">
        <f>IF(OR(H$52=0,G22="",H22=""),0,IFERROR(IF(AND(INDEX(Arten,MATCH(G22,Codes,0))="Arbeit",INDEX(Arten,MATCH(H22,Codes,0))="Arbeit"),IF(ROUND((1+INDEX(Beginne,MATCH(H22,Codes,0))-INDEX(EndeRel,MATCH(G22,Codes,0)))*1440,0)&lt;660,1,0),0),0))</f>
      </c>
      <c r="I71" s="1">
        <f>IF(OR(I$52=0,H22="",I22=""),0,IFERROR(IF(AND(INDEX(Arten,MATCH(H22,Codes,0))="Arbeit",INDEX(Arten,MATCH(I22,Codes,0))="Arbeit"),IF(ROUND((1+INDEX(Beginne,MATCH(I22,Codes,0))-INDEX(EndeRel,MATCH(H22,Codes,0)))*1440,0)&lt;660,1,0),0),0))</f>
      </c>
      <c r="J71" s="1">
        <f>IF(OR(J$52=0,I22="",J22=""),0,IFERROR(IF(AND(INDEX(Arten,MATCH(I22,Codes,0))="Arbeit",INDEX(Arten,MATCH(J22,Codes,0))="Arbeit"),IF(ROUND((1+INDEX(Beginne,MATCH(J22,Codes,0))-INDEX(EndeRel,MATCH(I22,Codes,0)))*1440,0)&lt;660,1,0),0),0))</f>
      </c>
      <c r="K71" s="1">
        <f>IF(OR(K$52=0,J22="",K22=""),0,IFERROR(IF(AND(INDEX(Arten,MATCH(J22,Codes,0))="Arbeit",INDEX(Arten,MATCH(K22,Codes,0))="Arbeit"),IF(ROUND((1+INDEX(Beginne,MATCH(K22,Codes,0))-INDEX(EndeRel,MATCH(J22,Codes,0)))*1440,0)&lt;660,1,0),0),0))</f>
      </c>
      <c r="L71" s="1">
        <f>IF(OR(L$52=0,K22="",L22=""),0,IFERROR(IF(AND(INDEX(Arten,MATCH(K22,Codes,0))="Arbeit",INDEX(Arten,MATCH(L22,Codes,0))="Arbeit"),IF(ROUND((1+INDEX(Beginne,MATCH(L22,Codes,0))-INDEX(EndeRel,MATCH(K22,Codes,0)))*1440,0)&lt;660,1,0),0),0))</f>
      </c>
      <c r="M71" s="1">
        <f>IF(OR(M$52=0,L22="",M22=""),0,IFERROR(IF(AND(INDEX(Arten,MATCH(L22,Codes,0))="Arbeit",INDEX(Arten,MATCH(M22,Codes,0))="Arbeit"),IF(ROUND((1+INDEX(Beginne,MATCH(M22,Codes,0))-INDEX(EndeRel,MATCH(L22,Codes,0)))*1440,0)&lt;660,1,0),0),0))</f>
      </c>
      <c r="N71" s="1">
        <f>IF(OR(N$52=0,M22="",N22=""),0,IFERROR(IF(AND(INDEX(Arten,MATCH(M22,Codes,0))="Arbeit",INDEX(Arten,MATCH(N22,Codes,0))="Arbeit"),IF(ROUND((1+INDEX(Beginne,MATCH(N22,Codes,0))-INDEX(EndeRel,MATCH(M22,Codes,0)))*1440,0)&lt;660,1,0),0),0))</f>
      </c>
      <c r="O71" s="1">
        <f>IF(OR(O$52=0,N22="",O22=""),0,IFERROR(IF(AND(INDEX(Arten,MATCH(N22,Codes,0))="Arbeit",INDEX(Arten,MATCH(O22,Codes,0))="Arbeit"),IF(ROUND((1+INDEX(Beginne,MATCH(O22,Codes,0))-INDEX(EndeRel,MATCH(N22,Codes,0)))*1440,0)&lt;660,1,0),0),0))</f>
      </c>
      <c r="P71" s="1">
        <f>IF(OR(P$52=0,O22="",P22=""),0,IFERROR(IF(AND(INDEX(Arten,MATCH(O22,Codes,0))="Arbeit",INDEX(Arten,MATCH(P22,Codes,0))="Arbeit"),IF(ROUND((1+INDEX(Beginne,MATCH(P22,Codes,0))-INDEX(EndeRel,MATCH(O22,Codes,0)))*1440,0)&lt;660,1,0),0),0))</f>
      </c>
      <c r="Q71" s="1">
        <f>IF(OR(Q$52=0,P22="",Q22=""),0,IFERROR(IF(AND(INDEX(Arten,MATCH(P22,Codes,0))="Arbeit",INDEX(Arten,MATCH(Q22,Codes,0))="Arbeit"),IF(ROUND((1+INDEX(Beginne,MATCH(Q22,Codes,0))-INDEX(EndeRel,MATCH(P22,Codes,0)))*1440,0)&lt;660,1,0),0),0))</f>
      </c>
      <c r="R71" s="1">
        <f>IF(OR(R$52=0,Q22="",R22=""),0,IFERROR(IF(AND(INDEX(Arten,MATCH(Q22,Codes,0))="Arbeit",INDEX(Arten,MATCH(R22,Codes,0))="Arbeit"),IF(ROUND((1+INDEX(Beginne,MATCH(R22,Codes,0))-INDEX(EndeRel,MATCH(Q22,Codes,0)))*1440,0)&lt;660,1,0),0),0))</f>
      </c>
      <c r="S71" s="1">
        <f>IF(OR(S$52=0,R22="",S22=""),0,IFERROR(IF(AND(INDEX(Arten,MATCH(R22,Codes,0))="Arbeit",INDEX(Arten,MATCH(S22,Codes,0))="Arbeit"),IF(ROUND((1+INDEX(Beginne,MATCH(S22,Codes,0))-INDEX(EndeRel,MATCH(R22,Codes,0)))*1440,0)&lt;660,1,0),0),0))</f>
      </c>
      <c r="T71" s="1">
        <f>IF(OR(T$52=0,S22="",T22=""),0,IFERROR(IF(AND(INDEX(Arten,MATCH(S22,Codes,0))="Arbeit",INDEX(Arten,MATCH(T22,Codes,0))="Arbeit"),IF(ROUND((1+INDEX(Beginne,MATCH(T22,Codes,0))-INDEX(EndeRel,MATCH(S22,Codes,0)))*1440,0)&lt;660,1,0),0),0))</f>
      </c>
      <c r="U71" s="1">
        <f>IF(OR(U$52=0,T22="",U22=""),0,IFERROR(IF(AND(INDEX(Arten,MATCH(T22,Codes,0))="Arbeit",INDEX(Arten,MATCH(U22,Codes,0))="Arbeit"),IF(ROUND((1+INDEX(Beginne,MATCH(U22,Codes,0))-INDEX(EndeRel,MATCH(T22,Codes,0)))*1440,0)&lt;660,1,0),0),0))</f>
      </c>
      <c r="V71" s="1">
        <f>IF(OR(V$52=0,U22="",V22=""),0,IFERROR(IF(AND(INDEX(Arten,MATCH(U22,Codes,0))="Arbeit",INDEX(Arten,MATCH(V22,Codes,0))="Arbeit"),IF(ROUND((1+INDEX(Beginne,MATCH(V22,Codes,0))-INDEX(EndeRel,MATCH(U22,Codes,0)))*1440,0)&lt;660,1,0),0),0))</f>
      </c>
      <c r="W71" s="1">
        <f>IF(OR(W$52=0,V22="",W22=""),0,IFERROR(IF(AND(INDEX(Arten,MATCH(V22,Codes,0))="Arbeit",INDEX(Arten,MATCH(W22,Codes,0))="Arbeit"),IF(ROUND((1+INDEX(Beginne,MATCH(W22,Codes,0))-INDEX(EndeRel,MATCH(V22,Codes,0)))*1440,0)&lt;660,1,0),0),0))</f>
      </c>
      <c r="X71" s="1">
        <f>IF(OR(X$52=0,W22="",X22=""),0,IFERROR(IF(AND(INDEX(Arten,MATCH(W22,Codes,0))="Arbeit",INDEX(Arten,MATCH(X22,Codes,0))="Arbeit"),IF(ROUND((1+INDEX(Beginne,MATCH(X22,Codes,0))-INDEX(EndeRel,MATCH(W22,Codes,0)))*1440,0)&lt;660,1,0),0),0))</f>
      </c>
      <c r="Y71" s="1">
        <f>IF(OR(Y$52=0,X22="",Y22=""),0,IFERROR(IF(AND(INDEX(Arten,MATCH(X22,Codes,0))="Arbeit",INDEX(Arten,MATCH(Y22,Codes,0))="Arbeit"),IF(ROUND((1+INDEX(Beginne,MATCH(Y22,Codes,0))-INDEX(EndeRel,MATCH(X22,Codes,0)))*1440,0)&lt;660,1,0),0),0))</f>
      </c>
      <c r="Z71" s="1">
        <f>IF(OR(Z$52=0,Y22="",Z22=""),0,IFERROR(IF(AND(INDEX(Arten,MATCH(Y22,Codes,0))="Arbeit",INDEX(Arten,MATCH(Z22,Codes,0))="Arbeit"),IF(ROUND((1+INDEX(Beginne,MATCH(Z22,Codes,0))-INDEX(EndeRel,MATCH(Y22,Codes,0)))*1440,0)&lt;660,1,0),0),0))</f>
      </c>
      <c r="AA71" s="1">
        <f>IF(OR(AA$52=0,Z22="",AA22=""),0,IFERROR(IF(AND(INDEX(Arten,MATCH(Z22,Codes,0))="Arbeit",INDEX(Arten,MATCH(AA22,Codes,0))="Arbeit"),IF(ROUND((1+INDEX(Beginne,MATCH(AA22,Codes,0))-INDEX(EndeRel,MATCH(Z22,Codes,0)))*1440,0)&lt;660,1,0),0),0))</f>
      </c>
      <c r="AB71" s="1">
        <f>IF(OR(AB$52=0,AA22="",AB22=""),0,IFERROR(IF(AND(INDEX(Arten,MATCH(AA22,Codes,0))="Arbeit",INDEX(Arten,MATCH(AB22,Codes,0))="Arbeit"),IF(ROUND((1+INDEX(Beginne,MATCH(AB22,Codes,0))-INDEX(EndeRel,MATCH(AA22,Codes,0)))*1440,0)&lt;660,1,0),0),0))</f>
      </c>
      <c r="AC71" s="1">
        <f>IF(OR(AC$52=0,AB22="",AC22=""),0,IFERROR(IF(AND(INDEX(Arten,MATCH(AB22,Codes,0))="Arbeit",INDEX(Arten,MATCH(AC22,Codes,0))="Arbeit"),IF(ROUND((1+INDEX(Beginne,MATCH(AC22,Codes,0))-INDEX(EndeRel,MATCH(AB22,Codes,0)))*1440,0)&lt;660,1,0),0),0))</f>
      </c>
      <c r="AD71" s="1">
        <f>IF(OR(AD$52=0,AC22="",AD22=""),0,IFERROR(IF(AND(INDEX(Arten,MATCH(AC22,Codes,0))="Arbeit",INDEX(Arten,MATCH(AD22,Codes,0))="Arbeit"),IF(ROUND((1+INDEX(Beginne,MATCH(AD22,Codes,0))-INDEX(EndeRel,MATCH(AC22,Codes,0)))*1440,0)&lt;660,1,0),0),0))</f>
      </c>
      <c r="AE71" s="1">
        <f>IF(OR(AE$52=0,AD22="",AE22=""),0,IFERROR(IF(AND(INDEX(Arten,MATCH(AD22,Codes,0))="Arbeit",INDEX(Arten,MATCH(AE22,Codes,0))="Arbeit"),IF(ROUND((1+INDEX(Beginne,MATCH(AE22,Codes,0))-INDEX(EndeRel,MATCH(AD22,Codes,0)))*1440,0)&lt;660,1,0),0),0))</f>
      </c>
      <c r="AF71" s="1">
        <f>IF(OR(AF$52=0,AE22="",AF22=""),0,IFERROR(IF(AND(INDEX(Arten,MATCH(AE22,Codes,0))="Arbeit",INDEX(Arten,MATCH(AF22,Codes,0))="Arbeit"),IF(ROUND((1+INDEX(Beginne,MATCH(AF22,Codes,0))-INDEX(EndeRel,MATCH(AE22,Codes,0)))*1440,0)&lt;660,1,0),0),0))</f>
      </c>
    </row>
    <row r="72" hidden="1" spans="1:32" x14ac:dyDescent="0.25">
      <c r="A72" s="1"/>
      <c r="B72" s="1">
        <f>IF(OR(B$52=0,INDEX('September'!$B$23:$AF$23,DAY(DATE(Jahr,10,0)))="",B23=""),0,IFERROR(IF(AND(INDEX(Arten,MATCH(INDEX('September'!$B$23:$AF$23,DAY(DATE(Jahr,10,0))),Codes,0))="Arbeit",INDEX(Arten,MATCH(B23,Codes,0))="Arbeit"),IF(ROUND((1+INDEX(Beginne,MATCH(B23,Codes,0))-INDEX(EndeRel,MATCH(INDEX('September'!$B$23:$AF$23,DAY(DATE(Jahr,10,0))),Codes,0)))*1440,0)&lt;660,1,0),0),0))</f>
      </c>
      <c r="C72" s="1">
        <f>IF(OR(C$52=0,B23="",C23=""),0,IFERROR(IF(AND(INDEX(Arten,MATCH(B23,Codes,0))="Arbeit",INDEX(Arten,MATCH(C23,Codes,0))="Arbeit"),IF(ROUND((1+INDEX(Beginne,MATCH(C23,Codes,0))-INDEX(EndeRel,MATCH(B23,Codes,0)))*1440,0)&lt;660,1,0),0),0))</f>
      </c>
      <c r="D72" s="1">
        <f>IF(OR(D$52=0,C23="",D23=""),0,IFERROR(IF(AND(INDEX(Arten,MATCH(C23,Codes,0))="Arbeit",INDEX(Arten,MATCH(D23,Codes,0))="Arbeit"),IF(ROUND((1+INDEX(Beginne,MATCH(D23,Codes,0))-INDEX(EndeRel,MATCH(C23,Codes,0)))*1440,0)&lt;660,1,0),0),0))</f>
      </c>
      <c r="E72" s="1">
        <f>IF(OR(E$52=0,D23="",E23=""),0,IFERROR(IF(AND(INDEX(Arten,MATCH(D23,Codes,0))="Arbeit",INDEX(Arten,MATCH(E23,Codes,0))="Arbeit"),IF(ROUND((1+INDEX(Beginne,MATCH(E23,Codes,0))-INDEX(EndeRel,MATCH(D23,Codes,0)))*1440,0)&lt;660,1,0),0),0))</f>
      </c>
      <c r="F72" s="1">
        <f>IF(OR(F$52=0,E23="",F23=""),0,IFERROR(IF(AND(INDEX(Arten,MATCH(E23,Codes,0))="Arbeit",INDEX(Arten,MATCH(F23,Codes,0))="Arbeit"),IF(ROUND((1+INDEX(Beginne,MATCH(F23,Codes,0))-INDEX(EndeRel,MATCH(E23,Codes,0)))*1440,0)&lt;660,1,0),0),0))</f>
      </c>
      <c r="G72" s="1">
        <f>IF(OR(G$52=0,F23="",G23=""),0,IFERROR(IF(AND(INDEX(Arten,MATCH(F23,Codes,0))="Arbeit",INDEX(Arten,MATCH(G23,Codes,0))="Arbeit"),IF(ROUND((1+INDEX(Beginne,MATCH(G23,Codes,0))-INDEX(EndeRel,MATCH(F23,Codes,0)))*1440,0)&lt;660,1,0),0),0))</f>
      </c>
      <c r="H72" s="1">
        <f>IF(OR(H$52=0,G23="",H23=""),0,IFERROR(IF(AND(INDEX(Arten,MATCH(G23,Codes,0))="Arbeit",INDEX(Arten,MATCH(H23,Codes,0))="Arbeit"),IF(ROUND((1+INDEX(Beginne,MATCH(H23,Codes,0))-INDEX(EndeRel,MATCH(G23,Codes,0)))*1440,0)&lt;660,1,0),0),0))</f>
      </c>
      <c r="I72" s="1">
        <f>IF(OR(I$52=0,H23="",I23=""),0,IFERROR(IF(AND(INDEX(Arten,MATCH(H23,Codes,0))="Arbeit",INDEX(Arten,MATCH(I23,Codes,0))="Arbeit"),IF(ROUND((1+INDEX(Beginne,MATCH(I23,Codes,0))-INDEX(EndeRel,MATCH(H23,Codes,0)))*1440,0)&lt;660,1,0),0),0))</f>
      </c>
      <c r="J72" s="1">
        <f>IF(OR(J$52=0,I23="",J23=""),0,IFERROR(IF(AND(INDEX(Arten,MATCH(I23,Codes,0))="Arbeit",INDEX(Arten,MATCH(J23,Codes,0))="Arbeit"),IF(ROUND((1+INDEX(Beginne,MATCH(J23,Codes,0))-INDEX(EndeRel,MATCH(I23,Codes,0)))*1440,0)&lt;660,1,0),0),0))</f>
      </c>
      <c r="K72" s="1">
        <f>IF(OR(K$52=0,J23="",K23=""),0,IFERROR(IF(AND(INDEX(Arten,MATCH(J23,Codes,0))="Arbeit",INDEX(Arten,MATCH(K23,Codes,0))="Arbeit"),IF(ROUND((1+INDEX(Beginne,MATCH(K23,Codes,0))-INDEX(EndeRel,MATCH(J23,Codes,0)))*1440,0)&lt;660,1,0),0),0))</f>
      </c>
      <c r="L72" s="1">
        <f>IF(OR(L$52=0,K23="",L23=""),0,IFERROR(IF(AND(INDEX(Arten,MATCH(K23,Codes,0))="Arbeit",INDEX(Arten,MATCH(L23,Codes,0))="Arbeit"),IF(ROUND((1+INDEX(Beginne,MATCH(L23,Codes,0))-INDEX(EndeRel,MATCH(K23,Codes,0)))*1440,0)&lt;660,1,0),0),0))</f>
      </c>
      <c r="M72" s="1">
        <f>IF(OR(M$52=0,L23="",M23=""),0,IFERROR(IF(AND(INDEX(Arten,MATCH(L23,Codes,0))="Arbeit",INDEX(Arten,MATCH(M23,Codes,0))="Arbeit"),IF(ROUND((1+INDEX(Beginne,MATCH(M23,Codes,0))-INDEX(EndeRel,MATCH(L23,Codes,0)))*1440,0)&lt;660,1,0),0),0))</f>
      </c>
      <c r="N72" s="1">
        <f>IF(OR(N$52=0,M23="",N23=""),0,IFERROR(IF(AND(INDEX(Arten,MATCH(M23,Codes,0))="Arbeit",INDEX(Arten,MATCH(N23,Codes,0))="Arbeit"),IF(ROUND((1+INDEX(Beginne,MATCH(N23,Codes,0))-INDEX(EndeRel,MATCH(M23,Codes,0)))*1440,0)&lt;660,1,0),0),0))</f>
      </c>
      <c r="O72" s="1">
        <f>IF(OR(O$52=0,N23="",O23=""),0,IFERROR(IF(AND(INDEX(Arten,MATCH(N23,Codes,0))="Arbeit",INDEX(Arten,MATCH(O23,Codes,0))="Arbeit"),IF(ROUND((1+INDEX(Beginne,MATCH(O23,Codes,0))-INDEX(EndeRel,MATCH(N23,Codes,0)))*1440,0)&lt;660,1,0),0),0))</f>
      </c>
      <c r="P72" s="1">
        <f>IF(OR(P$52=0,O23="",P23=""),0,IFERROR(IF(AND(INDEX(Arten,MATCH(O23,Codes,0))="Arbeit",INDEX(Arten,MATCH(P23,Codes,0))="Arbeit"),IF(ROUND((1+INDEX(Beginne,MATCH(P23,Codes,0))-INDEX(EndeRel,MATCH(O23,Codes,0)))*1440,0)&lt;660,1,0),0),0))</f>
      </c>
      <c r="Q72" s="1">
        <f>IF(OR(Q$52=0,P23="",Q23=""),0,IFERROR(IF(AND(INDEX(Arten,MATCH(P23,Codes,0))="Arbeit",INDEX(Arten,MATCH(Q23,Codes,0))="Arbeit"),IF(ROUND((1+INDEX(Beginne,MATCH(Q23,Codes,0))-INDEX(EndeRel,MATCH(P23,Codes,0)))*1440,0)&lt;660,1,0),0),0))</f>
      </c>
      <c r="R72" s="1">
        <f>IF(OR(R$52=0,Q23="",R23=""),0,IFERROR(IF(AND(INDEX(Arten,MATCH(Q23,Codes,0))="Arbeit",INDEX(Arten,MATCH(R23,Codes,0))="Arbeit"),IF(ROUND((1+INDEX(Beginne,MATCH(R23,Codes,0))-INDEX(EndeRel,MATCH(Q23,Codes,0)))*1440,0)&lt;660,1,0),0),0))</f>
      </c>
      <c r="S72" s="1">
        <f>IF(OR(S$52=0,R23="",S23=""),0,IFERROR(IF(AND(INDEX(Arten,MATCH(R23,Codes,0))="Arbeit",INDEX(Arten,MATCH(S23,Codes,0))="Arbeit"),IF(ROUND((1+INDEX(Beginne,MATCH(S23,Codes,0))-INDEX(EndeRel,MATCH(R23,Codes,0)))*1440,0)&lt;660,1,0),0),0))</f>
      </c>
      <c r="T72" s="1">
        <f>IF(OR(T$52=0,S23="",T23=""),0,IFERROR(IF(AND(INDEX(Arten,MATCH(S23,Codes,0))="Arbeit",INDEX(Arten,MATCH(T23,Codes,0))="Arbeit"),IF(ROUND((1+INDEX(Beginne,MATCH(T23,Codes,0))-INDEX(EndeRel,MATCH(S23,Codes,0)))*1440,0)&lt;660,1,0),0),0))</f>
      </c>
      <c r="U72" s="1">
        <f>IF(OR(U$52=0,T23="",U23=""),0,IFERROR(IF(AND(INDEX(Arten,MATCH(T23,Codes,0))="Arbeit",INDEX(Arten,MATCH(U23,Codes,0))="Arbeit"),IF(ROUND((1+INDEX(Beginne,MATCH(U23,Codes,0))-INDEX(EndeRel,MATCH(T23,Codes,0)))*1440,0)&lt;660,1,0),0),0))</f>
      </c>
      <c r="V72" s="1">
        <f>IF(OR(V$52=0,U23="",V23=""),0,IFERROR(IF(AND(INDEX(Arten,MATCH(U23,Codes,0))="Arbeit",INDEX(Arten,MATCH(V23,Codes,0))="Arbeit"),IF(ROUND((1+INDEX(Beginne,MATCH(V23,Codes,0))-INDEX(EndeRel,MATCH(U23,Codes,0)))*1440,0)&lt;660,1,0),0),0))</f>
      </c>
      <c r="W72" s="1">
        <f>IF(OR(W$52=0,V23="",W23=""),0,IFERROR(IF(AND(INDEX(Arten,MATCH(V23,Codes,0))="Arbeit",INDEX(Arten,MATCH(W23,Codes,0))="Arbeit"),IF(ROUND((1+INDEX(Beginne,MATCH(W23,Codes,0))-INDEX(EndeRel,MATCH(V23,Codes,0)))*1440,0)&lt;660,1,0),0),0))</f>
      </c>
      <c r="X72" s="1">
        <f>IF(OR(X$52=0,W23="",X23=""),0,IFERROR(IF(AND(INDEX(Arten,MATCH(W23,Codes,0))="Arbeit",INDEX(Arten,MATCH(X23,Codes,0))="Arbeit"),IF(ROUND((1+INDEX(Beginne,MATCH(X23,Codes,0))-INDEX(EndeRel,MATCH(W23,Codes,0)))*1440,0)&lt;660,1,0),0),0))</f>
      </c>
      <c r="Y72" s="1">
        <f>IF(OR(Y$52=0,X23="",Y23=""),0,IFERROR(IF(AND(INDEX(Arten,MATCH(X23,Codes,0))="Arbeit",INDEX(Arten,MATCH(Y23,Codes,0))="Arbeit"),IF(ROUND((1+INDEX(Beginne,MATCH(Y23,Codes,0))-INDEX(EndeRel,MATCH(X23,Codes,0)))*1440,0)&lt;660,1,0),0),0))</f>
      </c>
      <c r="Z72" s="1">
        <f>IF(OR(Z$52=0,Y23="",Z23=""),0,IFERROR(IF(AND(INDEX(Arten,MATCH(Y23,Codes,0))="Arbeit",INDEX(Arten,MATCH(Z23,Codes,0))="Arbeit"),IF(ROUND((1+INDEX(Beginne,MATCH(Z23,Codes,0))-INDEX(EndeRel,MATCH(Y23,Codes,0)))*1440,0)&lt;660,1,0),0),0))</f>
      </c>
      <c r="AA72" s="1">
        <f>IF(OR(AA$52=0,Z23="",AA23=""),0,IFERROR(IF(AND(INDEX(Arten,MATCH(Z23,Codes,0))="Arbeit",INDEX(Arten,MATCH(AA23,Codes,0))="Arbeit"),IF(ROUND((1+INDEX(Beginne,MATCH(AA23,Codes,0))-INDEX(EndeRel,MATCH(Z23,Codes,0)))*1440,0)&lt;660,1,0),0),0))</f>
      </c>
      <c r="AB72" s="1">
        <f>IF(OR(AB$52=0,AA23="",AB23=""),0,IFERROR(IF(AND(INDEX(Arten,MATCH(AA23,Codes,0))="Arbeit",INDEX(Arten,MATCH(AB23,Codes,0))="Arbeit"),IF(ROUND((1+INDEX(Beginne,MATCH(AB23,Codes,0))-INDEX(EndeRel,MATCH(AA23,Codes,0)))*1440,0)&lt;660,1,0),0),0))</f>
      </c>
      <c r="AC72" s="1">
        <f>IF(OR(AC$52=0,AB23="",AC23=""),0,IFERROR(IF(AND(INDEX(Arten,MATCH(AB23,Codes,0))="Arbeit",INDEX(Arten,MATCH(AC23,Codes,0))="Arbeit"),IF(ROUND((1+INDEX(Beginne,MATCH(AC23,Codes,0))-INDEX(EndeRel,MATCH(AB23,Codes,0)))*1440,0)&lt;660,1,0),0),0))</f>
      </c>
      <c r="AD72" s="1">
        <f>IF(OR(AD$52=0,AC23="",AD23=""),0,IFERROR(IF(AND(INDEX(Arten,MATCH(AC23,Codes,0))="Arbeit",INDEX(Arten,MATCH(AD23,Codes,0))="Arbeit"),IF(ROUND((1+INDEX(Beginne,MATCH(AD23,Codes,0))-INDEX(EndeRel,MATCH(AC23,Codes,0)))*1440,0)&lt;660,1,0),0),0))</f>
      </c>
      <c r="AE72" s="1">
        <f>IF(OR(AE$52=0,AD23="",AE23=""),0,IFERROR(IF(AND(INDEX(Arten,MATCH(AD23,Codes,0))="Arbeit",INDEX(Arten,MATCH(AE23,Codes,0))="Arbeit"),IF(ROUND((1+INDEX(Beginne,MATCH(AE23,Codes,0))-INDEX(EndeRel,MATCH(AD23,Codes,0)))*1440,0)&lt;660,1,0),0),0))</f>
      </c>
      <c r="AF72" s="1">
        <f>IF(OR(AF$52=0,AE23="",AF23=""),0,IFERROR(IF(AND(INDEX(Arten,MATCH(AE23,Codes,0))="Arbeit",INDEX(Arten,MATCH(AF23,Codes,0))="Arbeit"),IF(ROUND((1+INDEX(Beginne,MATCH(AF23,Codes,0))-INDEX(EndeRel,MATCH(AE23,Codes,0)))*1440,0)&lt;660,1,0),0),0))</f>
      </c>
    </row>
    <row r="73" hidden="1" spans="1:32" x14ac:dyDescent="0.25">
      <c r="A73" s="1"/>
      <c r="B73" s="1">
        <f>IF(OR(B$52=0,INDEX('September'!$B$24:$AF$24,DAY(DATE(Jahr,10,0)))="",B24=""),0,IFERROR(IF(AND(INDEX(Arten,MATCH(INDEX('September'!$B$24:$AF$24,DAY(DATE(Jahr,10,0))),Codes,0))="Arbeit",INDEX(Arten,MATCH(B24,Codes,0))="Arbeit"),IF(ROUND((1+INDEX(Beginne,MATCH(B24,Codes,0))-INDEX(EndeRel,MATCH(INDEX('September'!$B$24:$AF$24,DAY(DATE(Jahr,10,0))),Codes,0)))*1440,0)&lt;660,1,0),0),0))</f>
      </c>
      <c r="C73" s="1">
        <f>IF(OR(C$52=0,B24="",C24=""),0,IFERROR(IF(AND(INDEX(Arten,MATCH(B24,Codes,0))="Arbeit",INDEX(Arten,MATCH(C24,Codes,0))="Arbeit"),IF(ROUND((1+INDEX(Beginne,MATCH(C24,Codes,0))-INDEX(EndeRel,MATCH(B24,Codes,0)))*1440,0)&lt;660,1,0),0),0))</f>
      </c>
      <c r="D73" s="1">
        <f>IF(OR(D$52=0,C24="",D24=""),0,IFERROR(IF(AND(INDEX(Arten,MATCH(C24,Codes,0))="Arbeit",INDEX(Arten,MATCH(D24,Codes,0))="Arbeit"),IF(ROUND((1+INDEX(Beginne,MATCH(D24,Codes,0))-INDEX(EndeRel,MATCH(C24,Codes,0)))*1440,0)&lt;660,1,0),0),0))</f>
      </c>
      <c r="E73" s="1">
        <f>IF(OR(E$52=0,D24="",E24=""),0,IFERROR(IF(AND(INDEX(Arten,MATCH(D24,Codes,0))="Arbeit",INDEX(Arten,MATCH(E24,Codes,0))="Arbeit"),IF(ROUND((1+INDEX(Beginne,MATCH(E24,Codes,0))-INDEX(EndeRel,MATCH(D24,Codes,0)))*1440,0)&lt;660,1,0),0),0))</f>
      </c>
      <c r="F73" s="1">
        <f>IF(OR(F$52=0,E24="",F24=""),0,IFERROR(IF(AND(INDEX(Arten,MATCH(E24,Codes,0))="Arbeit",INDEX(Arten,MATCH(F24,Codes,0))="Arbeit"),IF(ROUND((1+INDEX(Beginne,MATCH(F24,Codes,0))-INDEX(EndeRel,MATCH(E24,Codes,0)))*1440,0)&lt;660,1,0),0),0))</f>
      </c>
      <c r="G73" s="1">
        <f>IF(OR(G$52=0,F24="",G24=""),0,IFERROR(IF(AND(INDEX(Arten,MATCH(F24,Codes,0))="Arbeit",INDEX(Arten,MATCH(G24,Codes,0))="Arbeit"),IF(ROUND((1+INDEX(Beginne,MATCH(G24,Codes,0))-INDEX(EndeRel,MATCH(F24,Codes,0)))*1440,0)&lt;660,1,0),0),0))</f>
      </c>
      <c r="H73" s="1">
        <f>IF(OR(H$52=0,G24="",H24=""),0,IFERROR(IF(AND(INDEX(Arten,MATCH(G24,Codes,0))="Arbeit",INDEX(Arten,MATCH(H24,Codes,0))="Arbeit"),IF(ROUND((1+INDEX(Beginne,MATCH(H24,Codes,0))-INDEX(EndeRel,MATCH(G24,Codes,0)))*1440,0)&lt;660,1,0),0),0))</f>
      </c>
      <c r="I73" s="1">
        <f>IF(OR(I$52=0,H24="",I24=""),0,IFERROR(IF(AND(INDEX(Arten,MATCH(H24,Codes,0))="Arbeit",INDEX(Arten,MATCH(I24,Codes,0))="Arbeit"),IF(ROUND((1+INDEX(Beginne,MATCH(I24,Codes,0))-INDEX(EndeRel,MATCH(H24,Codes,0)))*1440,0)&lt;660,1,0),0),0))</f>
      </c>
      <c r="J73" s="1">
        <f>IF(OR(J$52=0,I24="",J24=""),0,IFERROR(IF(AND(INDEX(Arten,MATCH(I24,Codes,0))="Arbeit",INDEX(Arten,MATCH(J24,Codes,0))="Arbeit"),IF(ROUND((1+INDEX(Beginne,MATCH(J24,Codes,0))-INDEX(EndeRel,MATCH(I24,Codes,0)))*1440,0)&lt;660,1,0),0),0))</f>
      </c>
      <c r="K73" s="1">
        <f>IF(OR(K$52=0,J24="",K24=""),0,IFERROR(IF(AND(INDEX(Arten,MATCH(J24,Codes,0))="Arbeit",INDEX(Arten,MATCH(K24,Codes,0))="Arbeit"),IF(ROUND((1+INDEX(Beginne,MATCH(K24,Codes,0))-INDEX(EndeRel,MATCH(J24,Codes,0)))*1440,0)&lt;660,1,0),0),0))</f>
      </c>
      <c r="L73" s="1">
        <f>IF(OR(L$52=0,K24="",L24=""),0,IFERROR(IF(AND(INDEX(Arten,MATCH(K24,Codes,0))="Arbeit",INDEX(Arten,MATCH(L24,Codes,0))="Arbeit"),IF(ROUND((1+INDEX(Beginne,MATCH(L24,Codes,0))-INDEX(EndeRel,MATCH(K24,Codes,0)))*1440,0)&lt;660,1,0),0),0))</f>
      </c>
      <c r="M73" s="1">
        <f>IF(OR(M$52=0,L24="",M24=""),0,IFERROR(IF(AND(INDEX(Arten,MATCH(L24,Codes,0))="Arbeit",INDEX(Arten,MATCH(M24,Codes,0))="Arbeit"),IF(ROUND((1+INDEX(Beginne,MATCH(M24,Codes,0))-INDEX(EndeRel,MATCH(L24,Codes,0)))*1440,0)&lt;660,1,0),0),0))</f>
      </c>
      <c r="N73" s="1">
        <f>IF(OR(N$52=0,M24="",N24=""),0,IFERROR(IF(AND(INDEX(Arten,MATCH(M24,Codes,0))="Arbeit",INDEX(Arten,MATCH(N24,Codes,0))="Arbeit"),IF(ROUND((1+INDEX(Beginne,MATCH(N24,Codes,0))-INDEX(EndeRel,MATCH(M24,Codes,0)))*1440,0)&lt;660,1,0),0),0))</f>
      </c>
      <c r="O73" s="1">
        <f>IF(OR(O$52=0,N24="",O24=""),0,IFERROR(IF(AND(INDEX(Arten,MATCH(N24,Codes,0))="Arbeit",INDEX(Arten,MATCH(O24,Codes,0))="Arbeit"),IF(ROUND((1+INDEX(Beginne,MATCH(O24,Codes,0))-INDEX(EndeRel,MATCH(N24,Codes,0)))*1440,0)&lt;660,1,0),0),0))</f>
      </c>
      <c r="P73" s="1">
        <f>IF(OR(P$52=0,O24="",P24=""),0,IFERROR(IF(AND(INDEX(Arten,MATCH(O24,Codes,0))="Arbeit",INDEX(Arten,MATCH(P24,Codes,0))="Arbeit"),IF(ROUND((1+INDEX(Beginne,MATCH(P24,Codes,0))-INDEX(EndeRel,MATCH(O24,Codes,0)))*1440,0)&lt;660,1,0),0),0))</f>
      </c>
      <c r="Q73" s="1">
        <f>IF(OR(Q$52=0,P24="",Q24=""),0,IFERROR(IF(AND(INDEX(Arten,MATCH(P24,Codes,0))="Arbeit",INDEX(Arten,MATCH(Q24,Codes,0))="Arbeit"),IF(ROUND((1+INDEX(Beginne,MATCH(Q24,Codes,0))-INDEX(EndeRel,MATCH(P24,Codes,0)))*1440,0)&lt;660,1,0),0),0))</f>
      </c>
      <c r="R73" s="1">
        <f>IF(OR(R$52=0,Q24="",R24=""),0,IFERROR(IF(AND(INDEX(Arten,MATCH(Q24,Codes,0))="Arbeit",INDEX(Arten,MATCH(R24,Codes,0))="Arbeit"),IF(ROUND((1+INDEX(Beginne,MATCH(R24,Codes,0))-INDEX(EndeRel,MATCH(Q24,Codes,0)))*1440,0)&lt;660,1,0),0),0))</f>
      </c>
      <c r="S73" s="1">
        <f>IF(OR(S$52=0,R24="",S24=""),0,IFERROR(IF(AND(INDEX(Arten,MATCH(R24,Codes,0))="Arbeit",INDEX(Arten,MATCH(S24,Codes,0))="Arbeit"),IF(ROUND((1+INDEX(Beginne,MATCH(S24,Codes,0))-INDEX(EndeRel,MATCH(R24,Codes,0)))*1440,0)&lt;660,1,0),0),0))</f>
      </c>
      <c r="T73" s="1">
        <f>IF(OR(T$52=0,S24="",T24=""),0,IFERROR(IF(AND(INDEX(Arten,MATCH(S24,Codes,0))="Arbeit",INDEX(Arten,MATCH(T24,Codes,0))="Arbeit"),IF(ROUND((1+INDEX(Beginne,MATCH(T24,Codes,0))-INDEX(EndeRel,MATCH(S24,Codes,0)))*1440,0)&lt;660,1,0),0),0))</f>
      </c>
      <c r="U73" s="1">
        <f>IF(OR(U$52=0,T24="",U24=""),0,IFERROR(IF(AND(INDEX(Arten,MATCH(T24,Codes,0))="Arbeit",INDEX(Arten,MATCH(U24,Codes,0))="Arbeit"),IF(ROUND((1+INDEX(Beginne,MATCH(U24,Codes,0))-INDEX(EndeRel,MATCH(T24,Codes,0)))*1440,0)&lt;660,1,0),0),0))</f>
      </c>
      <c r="V73" s="1">
        <f>IF(OR(V$52=0,U24="",V24=""),0,IFERROR(IF(AND(INDEX(Arten,MATCH(U24,Codes,0))="Arbeit",INDEX(Arten,MATCH(V24,Codes,0))="Arbeit"),IF(ROUND((1+INDEX(Beginne,MATCH(V24,Codes,0))-INDEX(EndeRel,MATCH(U24,Codes,0)))*1440,0)&lt;660,1,0),0),0))</f>
      </c>
      <c r="W73" s="1">
        <f>IF(OR(W$52=0,V24="",W24=""),0,IFERROR(IF(AND(INDEX(Arten,MATCH(V24,Codes,0))="Arbeit",INDEX(Arten,MATCH(W24,Codes,0))="Arbeit"),IF(ROUND((1+INDEX(Beginne,MATCH(W24,Codes,0))-INDEX(EndeRel,MATCH(V24,Codes,0)))*1440,0)&lt;660,1,0),0),0))</f>
      </c>
      <c r="X73" s="1">
        <f>IF(OR(X$52=0,W24="",X24=""),0,IFERROR(IF(AND(INDEX(Arten,MATCH(W24,Codes,0))="Arbeit",INDEX(Arten,MATCH(X24,Codes,0))="Arbeit"),IF(ROUND((1+INDEX(Beginne,MATCH(X24,Codes,0))-INDEX(EndeRel,MATCH(W24,Codes,0)))*1440,0)&lt;660,1,0),0),0))</f>
      </c>
      <c r="Y73" s="1">
        <f>IF(OR(Y$52=0,X24="",Y24=""),0,IFERROR(IF(AND(INDEX(Arten,MATCH(X24,Codes,0))="Arbeit",INDEX(Arten,MATCH(Y24,Codes,0))="Arbeit"),IF(ROUND((1+INDEX(Beginne,MATCH(Y24,Codes,0))-INDEX(EndeRel,MATCH(X24,Codes,0)))*1440,0)&lt;660,1,0),0),0))</f>
      </c>
      <c r="Z73" s="1">
        <f>IF(OR(Z$52=0,Y24="",Z24=""),0,IFERROR(IF(AND(INDEX(Arten,MATCH(Y24,Codes,0))="Arbeit",INDEX(Arten,MATCH(Z24,Codes,0))="Arbeit"),IF(ROUND((1+INDEX(Beginne,MATCH(Z24,Codes,0))-INDEX(EndeRel,MATCH(Y24,Codes,0)))*1440,0)&lt;660,1,0),0),0))</f>
      </c>
      <c r="AA73" s="1">
        <f>IF(OR(AA$52=0,Z24="",AA24=""),0,IFERROR(IF(AND(INDEX(Arten,MATCH(Z24,Codes,0))="Arbeit",INDEX(Arten,MATCH(AA24,Codes,0))="Arbeit"),IF(ROUND((1+INDEX(Beginne,MATCH(AA24,Codes,0))-INDEX(EndeRel,MATCH(Z24,Codes,0)))*1440,0)&lt;660,1,0),0),0))</f>
      </c>
      <c r="AB73" s="1">
        <f>IF(OR(AB$52=0,AA24="",AB24=""),0,IFERROR(IF(AND(INDEX(Arten,MATCH(AA24,Codes,0))="Arbeit",INDEX(Arten,MATCH(AB24,Codes,0))="Arbeit"),IF(ROUND((1+INDEX(Beginne,MATCH(AB24,Codes,0))-INDEX(EndeRel,MATCH(AA24,Codes,0)))*1440,0)&lt;660,1,0),0),0))</f>
      </c>
      <c r="AC73" s="1">
        <f>IF(OR(AC$52=0,AB24="",AC24=""),0,IFERROR(IF(AND(INDEX(Arten,MATCH(AB24,Codes,0))="Arbeit",INDEX(Arten,MATCH(AC24,Codes,0))="Arbeit"),IF(ROUND((1+INDEX(Beginne,MATCH(AC24,Codes,0))-INDEX(EndeRel,MATCH(AB24,Codes,0)))*1440,0)&lt;660,1,0),0),0))</f>
      </c>
      <c r="AD73" s="1">
        <f>IF(OR(AD$52=0,AC24="",AD24=""),0,IFERROR(IF(AND(INDEX(Arten,MATCH(AC24,Codes,0))="Arbeit",INDEX(Arten,MATCH(AD24,Codes,0))="Arbeit"),IF(ROUND((1+INDEX(Beginne,MATCH(AD24,Codes,0))-INDEX(EndeRel,MATCH(AC24,Codes,0)))*1440,0)&lt;660,1,0),0),0))</f>
      </c>
      <c r="AE73" s="1">
        <f>IF(OR(AE$52=0,AD24="",AE24=""),0,IFERROR(IF(AND(INDEX(Arten,MATCH(AD24,Codes,0))="Arbeit",INDEX(Arten,MATCH(AE24,Codes,0))="Arbeit"),IF(ROUND((1+INDEX(Beginne,MATCH(AE24,Codes,0))-INDEX(EndeRel,MATCH(AD24,Codes,0)))*1440,0)&lt;660,1,0),0),0))</f>
      </c>
      <c r="AF73" s="1">
        <f>IF(OR(AF$52=0,AE24="",AF24=""),0,IFERROR(IF(AND(INDEX(Arten,MATCH(AE24,Codes,0))="Arbeit",INDEX(Arten,MATCH(AF24,Codes,0))="Arbeit"),IF(ROUND((1+INDEX(Beginne,MATCH(AF24,Codes,0))-INDEX(EndeRel,MATCH(AE24,Codes,0)))*1440,0)&lt;660,1,0),0),0))</f>
      </c>
    </row>
    <row r="74" hidden="1" spans="1:32" x14ac:dyDescent="0.25">
      <c r="A74" s="1"/>
      <c r="B74" s="1">
        <f>IF(OR(B$52=0,INDEX('September'!$B$25:$AF$25,DAY(DATE(Jahr,10,0)))="",B25=""),0,IFERROR(IF(AND(INDEX(Arten,MATCH(INDEX('September'!$B$25:$AF$25,DAY(DATE(Jahr,10,0))),Codes,0))="Arbeit",INDEX(Arten,MATCH(B25,Codes,0))="Arbeit"),IF(ROUND((1+INDEX(Beginne,MATCH(B25,Codes,0))-INDEX(EndeRel,MATCH(INDEX('September'!$B$25:$AF$25,DAY(DATE(Jahr,10,0))),Codes,0)))*1440,0)&lt;660,1,0),0),0))</f>
      </c>
      <c r="C74" s="1">
        <f>IF(OR(C$52=0,B25="",C25=""),0,IFERROR(IF(AND(INDEX(Arten,MATCH(B25,Codes,0))="Arbeit",INDEX(Arten,MATCH(C25,Codes,0))="Arbeit"),IF(ROUND((1+INDEX(Beginne,MATCH(C25,Codes,0))-INDEX(EndeRel,MATCH(B25,Codes,0)))*1440,0)&lt;660,1,0),0),0))</f>
      </c>
      <c r="D74" s="1">
        <f>IF(OR(D$52=0,C25="",D25=""),0,IFERROR(IF(AND(INDEX(Arten,MATCH(C25,Codes,0))="Arbeit",INDEX(Arten,MATCH(D25,Codes,0))="Arbeit"),IF(ROUND((1+INDEX(Beginne,MATCH(D25,Codes,0))-INDEX(EndeRel,MATCH(C25,Codes,0)))*1440,0)&lt;660,1,0),0),0))</f>
      </c>
      <c r="E74" s="1">
        <f>IF(OR(E$52=0,D25="",E25=""),0,IFERROR(IF(AND(INDEX(Arten,MATCH(D25,Codes,0))="Arbeit",INDEX(Arten,MATCH(E25,Codes,0))="Arbeit"),IF(ROUND((1+INDEX(Beginne,MATCH(E25,Codes,0))-INDEX(EndeRel,MATCH(D25,Codes,0)))*1440,0)&lt;660,1,0),0),0))</f>
      </c>
      <c r="F74" s="1">
        <f>IF(OR(F$52=0,E25="",F25=""),0,IFERROR(IF(AND(INDEX(Arten,MATCH(E25,Codes,0))="Arbeit",INDEX(Arten,MATCH(F25,Codes,0))="Arbeit"),IF(ROUND((1+INDEX(Beginne,MATCH(F25,Codes,0))-INDEX(EndeRel,MATCH(E25,Codes,0)))*1440,0)&lt;660,1,0),0),0))</f>
      </c>
      <c r="G74" s="1">
        <f>IF(OR(G$52=0,F25="",G25=""),0,IFERROR(IF(AND(INDEX(Arten,MATCH(F25,Codes,0))="Arbeit",INDEX(Arten,MATCH(G25,Codes,0))="Arbeit"),IF(ROUND((1+INDEX(Beginne,MATCH(G25,Codes,0))-INDEX(EndeRel,MATCH(F25,Codes,0)))*1440,0)&lt;660,1,0),0),0))</f>
      </c>
      <c r="H74" s="1">
        <f>IF(OR(H$52=0,G25="",H25=""),0,IFERROR(IF(AND(INDEX(Arten,MATCH(G25,Codes,0))="Arbeit",INDEX(Arten,MATCH(H25,Codes,0))="Arbeit"),IF(ROUND((1+INDEX(Beginne,MATCH(H25,Codes,0))-INDEX(EndeRel,MATCH(G25,Codes,0)))*1440,0)&lt;660,1,0),0),0))</f>
      </c>
      <c r="I74" s="1">
        <f>IF(OR(I$52=0,H25="",I25=""),0,IFERROR(IF(AND(INDEX(Arten,MATCH(H25,Codes,0))="Arbeit",INDEX(Arten,MATCH(I25,Codes,0))="Arbeit"),IF(ROUND((1+INDEX(Beginne,MATCH(I25,Codes,0))-INDEX(EndeRel,MATCH(H25,Codes,0)))*1440,0)&lt;660,1,0),0),0))</f>
      </c>
      <c r="J74" s="1">
        <f>IF(OR(J$52=0,I25="",J25=""),0,IFERROR(IF(AND(INDEX(Arten,MATCH(I25,Codes,0))="Arbeit",INDEX(Arten,MATCH(J25,Codes,0))="Arbeit"),IF(ROUND((1+INDEX(Beginne,MATCH(J25,Codes,0))-INDEX(EndeRel,MATCH(I25,Codes,0)))*1440,0)&lt;660,1,0),0),0))</f>
      </c>
      <c r="K74" s="1">
        <f>IF(OR(K$52=0,J25="",K25=""),0,IFERROR(IF(AND(INDEX(Arten,MATCH(J25,Codes,0))="Arbeit",INDEX(Arten,MATCH(K25,Codes,0))="Arbeit"),IF(ROUND((1+INDEX(Beginne,MATCH(K25,Codes,0))-INDEX(EndeRel,MATCH(J25,Codes,0)))*1440,0)&lt;660,1,0),0),0))</f>
      </c>
      <c r="L74" s="1">
        <f>IF(OR(L$52=0,K25="",L25=""),0,IFERROR(IF(AND(INDEX(Arten,MATCH(K25,Codes,0))="Arbeit",INDEX(Arten,MATCH(L25,Codes,0))="Arbeit"),IF(ROUND((1+INDEX(Beginne,MATCH(L25,Codes,0))-INDEX(EndeRel,MATCH(K25,Codes,0)))*1440,0)&lt;660,1,0),0),0))</f>
      </c>
      <c r="M74" s="1">
        <f>IF(OR(M$52=0,L25="",M25=""),0,IFERROR(IF(AND(INDEX(Arten,MATCH(L25,Codes,0))="Arbeit",INDEX(Arten,MATCH(M25,Codes,0))="Arbeit"),IF(ROUND((1+INDEX(Beginne,MATCH(M25,Codes,0))-INDEX(EndeRel,MATCH(L25,Codes,0)))*1440,0)&lt;660,1,0),0),0))</f>
      </c>
      <c r="N74" s="1">
        <f>IF(OR(N$52=0,M25="",N25=""),0,IFERROR(IF(AND(INDEX(Arten,MATCH(M25,Codes,0))="Arbeit",INDEX(Arten,MATCH(N25,Codes,0))="Arbeit"),IF(ROUND((1+INDEX(Beginne,MATCH(N25,Codes,0))-INDEX(EndeRel,MATCH(M25,Codes,0)))*1440,0)&lt;660,1,0),0),0))</f>
      </c>
      <c r="O74" s="1">
        <f>IF(OR(O$52=0,N25="",O25=""),0,IFERROR(IF(AND(INDEX(Arten,MATCH(N25,Codes,0))="Arbeit",INDEX(Arten,MATCH(O25,Codes,0))="Arbeit"),IF(ROUND((1+INDEX(Beginne,MATCH(O25,Codes,0))-INDEX(EndeRel,MATCH(N25,Codes,0)))*1440,0)&lt;660,1,0),0),0))</f>
      </c>
      <c r="P74" s="1">
        <f>IF(OR(P$52=0,O25="",P25=""),0,IFERROR(IF(AND(INDEX(Arten,MATCH(O25,Codes,0))="Arbeit",INDEX(Arten,MATCH(P25,Codes,0))="Arbeit"),IF(ROUND((1+INDEX(Beginne,MATCH(P25,Codes,0))-INDEX(EndeRel,MATCH(O25,Codes,0)))*1440,0)&lt;660,1,0),0),0))</f>
      </c>
      <c r="Q74" s="1">
        <f>IF(OR(Q$52=0,P25="",Q25=""),0,IFERROR(IF(AND(INDEX(Arten,MATCH(P25,Codes,0))="Arbeit",INDEX(Arten,MATCH(Q25,Codes,0))="Arbeit"),IF(ROUND((1+INDEX(Beginne,MATCH(Q25,Codes,0))-INDEX(EndeRel,MATCH(P25,Codes,0)))*1440,0)&lt;660,1,0),0),0))</f>
      </c>
      <c r="R74" s="1">
        <f>IF(OR(R$52=0,Q25="",R25=""),0,IFERROR(IF(AND(INDEX(Arten,MATCH(Q25,Codes,0))="Arbeit",INDEX(Arten,MATCH(R25,Codes,0))="Arbeit"),IF(ROUND((1+INDEX(Beginne,MATCH(R25,Codes,0))-INDEX(EndeRel,MATCH(Q25,Codes,0)))*1440,0)&lt;660,1,0),0),0))</f>
      </c>
      <c r="S74" s="1">
        <f>IF(OR(S$52=0,R25="",S25=""),0,IFERROR(IF(AND(INDEX(Arten,MATCH(R25,Codes,0))="Arbeit",INDEX(Arten,MATCH(S25,Codes,0))="Arbeit"),IF(ROUND((1+INDEX(Beginne,MATCH(S25,Codes,0))-INDEX(EndeRel,MATCH(R25,Codes,0)))*1440,0)&lt;660,1,0),0),0))</f>
      </c>
      <c r="T74" s="1">
        <f>IF(OR(T$52=0,S25="",T25=""),0,IFERROR(IF(AND(INDEX(Arten,MATCH(S25,Codes,0))="Arbeit",INDEX(Arten,MATCH(T25,Codes,0))="Arbeit"),IF(ROUND((1+INDEX(Beginne,MATCH(T25,Codes,0))-INDEX(EndeRel,MATCH(S25,Codes,0)))*1440,0)&lt;660,1,0),0),0))</f>
      </c>
      <c r="U74" s="1">
        <f>IF(OR(U$52=0,T25="",U25=""),0,IFERROR(IF(AND(INDEX(Arten,MATCH(T25,Codes,0))="Arbeit",INDEX(Arten,MATCH(U25,Codes,0))="Arbeit"),IF(ROUND((1+INDEX(Beginne,MATCH(U25,Codes,0))-INDEX(EndeRel,MATCH(T25,Codes,0)))*1440,0)&lt;660,1,0),0),0))</f>
      </c>
      <c r="V74" s="1">
        <f>IF(OR(V$52=0,U25="",V25=""),0,IFERROR(IF(AND(INDEX(Arten,MATCH(U25,Codes,0))="Arbeit",INDEX(Arten,MATCH(V25,Codes,0))="Arbeit"),IF(ROUND((1+INDEX(Beginne,MATCH(V25,Codes,0))-INDEX(EndeRel,MATCH(U25,Codes,0)))*1440,0)&lt;660,1,0),0),0))</f>
      </c>
      <c r="W74" s="1">
        <f>IF(OR(W$52=0,V25="",W25=""),0,IFERROR(IF(AND(INDEX(Arten,MATCH(V25,Codes,0))="Arbeit",INDEX(Arten,MATCH(W25,Codes,0))="Arbeit"),IF(ROUND((1+INDEX(Beginne,MATCH(W25,Codes,0))-INDEX(EndeRel,MATCH(V25,Codes,0)))*1440,0)&lt;660,1,0),0),0))</f>
      </c>
      <c r="X74" s="1">
        <f>IF(OR(X$52=0,W25="",X25=""),0,IFERROR(IF(AND(INDEX(Arten,MATCH(W25,Codes,0))="Arbeit",INDEX(Arten,MATCH(X25,Codes,0))="Arbeit"),IF(ROUND((1+INDEX(Beginne,MATCH(X25,Codes,0))-INDEX(EndeRel,MATCH(W25,Codes,0)))*1440,0)&lt;660,1,0),0),0))</f>
      </c>
      <c r="Y74" s="1">
        <f>IF(OR(Y$52=0,X25="",Y25=""),0,IFERROR(IF(AND(INDEX(Arten,MATCH(X25,Codes,0))="Arbeit",INDEX(Arten,MATCH(Y25,Codes,0))="Arbeit"),IF(ROUND((1+INDEX(Beginne,MATCH(Y25,Codes,0))-INDEX(EndeRel,MATCH(X25,Codes,0)))*1440,0)&lt;660,1,0),0),0))</f>
      </c>
      <c r="Z74" s="1">
        <f>IF(OR(Z$52=0,Y25="",Z25=""),0,IFERROR(IF(AND(INDEX(Arten,MATCH(Y25,Codes,0))="Arbeit",INDEX(Arten,MATCH(Z25,Codes,0))="Arbeit"),IF(ROUND((1+INDEX(Beginne,MATCH(Z25,Codes,0))-INDEX(EndeRel,MATCH(Y25,Codes,0)))*1440,0)&lt;660,1,0),0),0))</f>
      </c>
      <c r="AA74" s="1">
        <f>IF(OR(AA$52=0,Z25="",AA25=""),0,IFERROR(IF(AND(INDEX(Arten,MATCH(Z25,Codes,0))="Arbeit",INDEX(Arten,MATCH(AA25,Codes,0))="Arbeit"),IF(ROUND((1+INDEX(Beginne,MATCH(AA25,Codes,0))-INDEX(EndeRel,MATCH(Z25,Codes,0)))*1440,0)&lt;660,1,0),0),0))</f>
      </c>
      <c r="AB74" s="1">
        <f>IF(OR(AB$52=0,AA25="",AB25=""),0,IFERROR(IF(AND(INDEX(Arten,MATCH(AA25,Codes,0))="Arbeit",INDEX(Arten,MATCH(AB25,Codes,0))="Arbeit"),IF(ROUND((1+INDEX(Beginne,MATCH(AB25,Codes,0))-INDEX(EndeRel,MATCH(AA25,Codes,0)))*1440,0)&lt;660,1,0),0),0))</f>
      </c>
      <c r="AC74" s="1">
        <f>IF(OR(AC$52=0,AB25="",AC25=""),0,IFERROR(IF(AND(INDEX(Arten,MATCH(AB25,Codes,0))="Arbeit",INDEX(Arten,MATCH(AC25,Codes,0))="Arbeit"),IF(ROUND((1+INDEX(Beginne,MATCH(AC25,Codes,0))-INDEX(EndeRel,MATCH(AB25,Codes,0)))*1440,0)&lt;660,1,0),0),0))</f>
      </c>
      <c r="AD74" s="1">
        <f>IF(OR(AD$52=0,AC25="",AD25=""),0,IFERROR(IF(AND(INDEX(Arten,MATCH(AC25,Codes,0))="Arbeit",INDEX(Arten,MATCH(AD25,Codes,0))="Arbeit"),IF(ROUND((1+INDEX(Beginne,MATCH(AD25,Codes,0))-INDEX(EndeRel,MATCH(AC25,Codes,0)))*1440,0)&lt;660,1,0),0),0))</f>
      </c>
      <c r="AE74" s="1">
        <f>IF(OR(AE$52=0,AD25="",AE25=""),0,IFERROR(IF(AND(INDEX(Arten,MATCH(AD25,Codes,0))="Arbeit",INDEX(Arten,MATCH(AE25,Codes,0))="Arbeit"),IF(ROUND((1+INDEX(Beginne,MATCH(AE25,Codes,0))-INDEX(EndeRel,MATCH(AD25,Codes,0)))*1440,0)&lt;660,1,0),0),0))</f>
      </c>
      <c r="AF74" s="1">
        <f>IF(OR(AF$52=0,AE25="",AF25=""),0,IFERROR(IF(AND(INDEX(Arten,MATCH(AE25,Codes,0))="Arbeit",INDEX(Arten,MATCH(AF25,Codes,0))="Arbeit"),IF(ROUND((1+INDEX(Beginne,MATCH(AF25,Codes,0))-INDEX(EndeRel,MATCH(AE25,Codes,0)))*1440,0)&lt;660,1,0),0),0))</f>
      </c>
    </row>
    <row r="75" hidden="1" spans="1:32" x14ac:dyDescent="0.25">
      <c r="A75" s="1"/>
      <c r="B75" s="1">
        <f>IF(OR(B$52=0,INDEX('September'!$B$26:$AF$26,DAY(DATE(Jahr,10,0)))="",B26=""),0,IFERROR(IF(AND(INDEX(Arten,MATCH(INDEX('September'!$B$26:$AF$26,DAY(DATE(Jahr,10,0))),Codes,0))="Arbeit",INDEX(Arten,MATCH(B26,Codes,0))="Arbeit"),IF(ROUND((1+INDEX(Beginne,MATCH(B26,Codes,0))-INDEX(EndeRel,MATCH(INDEX('September'!$B$26:$AF$26,DAY(DATE(Jahr,10,0))),Codes,0)))*1440,0)&lt;660,1,0),0),0))</f>
      </c>
      <c r="C75" s="1">
        <f>IF(OR(C$52=0,B26="",C26=""),0,IFERROR(IF(AND(INDEX(Arten,MATCH(B26,Codes,0))="Arbeit",INDEX(Arten,MATCH(C26,Codes,0))="Arbeit"),IF(ROUND((1+INDEX(Beginne,MATCH(C26,Codes,0))-INDEX(EndeRel,MATCH(B26,Codes,0)))*1440,0)&lt;660,1,0),0),0))</f>
      </c>
      <c r="D75" s="1">
        <f>IF(OR(D$52=0,C26="",D26=""),0,IFERROR(IF(AND(INDEX(Arten,MATCH(C26,Codes,0))="Arbeit",INDEX(Arten,MATCH(D26,Codes,0))="Arbeit"),IF(ROUND((1+INDEX(Beginne,MATCH(D26,Codes,0))-INDEX(EndeRel,MATCH(C26,Codes,0)))*1440,0)&lt;660,1,0),0),0))</f>
      </c>
      <c r="E75" s="1">
        <f>IF(OR(E$52=0,D26="",E26=""),0,IFERROR(IF(AND(INDEX(Arten,MATCH(D26,Codes,0))="Arbeit",INDEX(Arten,MATCH(E26,Codes,0))="Arbeit"),IF(ROUND((1+INDEX(Beginne,MATCH(E26,Codes,0))-INDEX(EndeRel,MATCH(D26,Codes,0)))*1440,0)&lt;660,1,0),0),0))</f>
      </c>
      <c r="F75" s="1">
        <f>IF(OR(F$52=0,E26="",F26=""),0,IFERROR(IF(AND(INDEX(Arten,MATCH(E26,Codes,0))="Arbeit",INDEX(Arten,MATCH(F26,Codes,0))="Arbeit"),IF(ROUND((1+INDEX(Beginne,MATCH(F26,Codes,0))-INDEX(EndeRel,MATCH(E26,Codes,0)))*1440,0)&lt;660,1,0),0),0))</f>
      </c>
      <c r="G75" s="1">
        <f>IF(OR(G$52=0,F26="",G26=""),0,IFERROR(IF(AND(INDEX(Arten,MATCH(F26,Codes,0))="Arbeit",INDEX(Arten,MATCH(G26,Codes,0))="Arbeit"),IF(ROUND((1+INDEX(Beginne,MATCH(G26,Codes,0))-INDEX(EndeRel,MATCH(F26,Codes,0)))*1440,0)&lt;660,1,0),0),0))</f>
      </c>
      <c r="H75" s="1">
        <f>IF(OR(H$52=0,G26="",H26=""),0,IFERROR(IF(AND(INDEX(Arten,MATCH(G26,Codes,0))="Arbeit",INDEX(Arten,MATCH(H26,Codes,0))="Arbeit"),IF(ROUND((1+INDEX(Beginne,MATCH(H26,Codes,0))-INDEX(EndeRel,MATCH(G26,Codes,0)))*1440,0)&lt;660,1,0),0),0))</f>
      </c>
      <c r="I75" s="1">
        <f>IF(OR(I$52=0,H26="",I26=""),0,IFERROR(IF(AND(INDEX(Arten,MATCH(H26,Codes,0))="Arbeit",INDEX(Arten,MATCH(I26,Codes,0))="Arbeit"),IF(ROUND((1+INDEX(Beginne,MATCH(I26,Codes,0))-INDEX(EndeRel,MATCH(H26,Codes,0)))*1440,0)&lt;660,1,0),0),0))</f>
      </c>
      <c r="J75" s="1">
        <f>IF(OR(J$52=0,I26="",J26=""),0,IFERROR(IF(AND(INDEX(Arten,MATCH(I26,Codes,0))="Arbeit",INDEX(Arten,MATCH(J26,Codes,0))="Arbeit"),IF(ROUND((1+INDEX(Beginne,MATCH(J26,Codes,0))-INDEX(EndeRel,MATCH(I26,Codes,0)))*1440,0)&lt;660,1,0),0),0))</f>
      </c>
      <c r="K75" s="1">
        <f>IF(OR(K$52=0,J26="",K26=""),0,IFERROR(IF(AND(INDEX(Arten,MATCH(J26,Codes,0))="Arbeit",INDEX(Arten,MATCH(K26,Codes,0))="Arbeit"),IF(ROUND((1+INDEX(Beginne,MATCH(K26,Codes,0))-INDEX(EndeRel,MATCH(J26,Codes,0)))*1440,0)&lt;660,1,0),0),0))</f>
      </c>
      <c r="L75" s="1">
        <f>IF(OR(L$52=0,K26="",L26=""),0,IFERROR(IF(AND(INDEX(Arten,MATCH(K26,Codes,0))="Arbeit",INDEX(Arten,MATCH(L26,Codes,0))="Arbeit"),IF(ROUND((1+INDEX(Beginne,MATCH(L26,Codes,0))-INDEX(EndeRel,MATCH(K26,Codes,0)))*1440,0)&lt;660,1,0),0),0))</f>
      </c>
      <c r="M75" s="1">
        <f>IF(OR(M$52=0,L26="",M26=""),0,IFERROR(IF(AND(INDEX(Arten,MATCH(L26,Codes,0))="Arbeit",INDEX(Arten,MATCH(M26,Codes,0))="Arbeit"),IF(ROUND((1+INDEX(Beginne,MATCH(M26,Codes,0))-INDEX(EndeRel,MATCH(L26,Codes,0)))*1440,0)&lt;660,1,0),0),0))</f>
      </c>
      <c r="N75" s="1">
        <f>IF(OR(N$52=0,M26="",N26=""),0,IFERROR(IF(AND(INDEX(Arten,MATCH(M26,Codes,0))="Arbeit",INDEX(Arten,MATCH(N26,Codes,0))="Arbeit"),IF(ROUND((1+INDEX(Beginne,MATCH(N26,Codes,0))-INDEX(EndeRel,MATCH(M26,Codes,0)))*1440,0)&lt;660,1,0),0),0))</f>
      </c>
      <c r="O75" s="1">
        <f>IF(OR(O$52=0,N26="",O26=""),0,IFERROR(IF(AND(INDEX(Arten,MATCH(N26,Codes,0))="Arbeit",INDEX(Arten,MATCH(O26,Codes,0))="Arbeit"),IF(ROUND((1+INDEX(Beginne,MATCH(O26,Codes,0))-INDEX(EndeRel,MATCH(N26,Codes,0)))*1440,0)&lt;660,1,0),0),0))</f>
      </c>
      <c r="P75" s="1">
        <f>IF(OR(P$52=0,O26="",P26=""),0,IFERROR(IF(AND(INDEX(Arten,MATCH(O26,Codes,0))="Arbeit",INDEX(Arten,MATCH(P26,Codes,0))="Arbeit"),IF(ROUND((1+INDEX(Beginne,MATCH(P26,Codes,0))-INDEX(EndeRel,MATCH(O26,Codes,0)))*1440,0)&lt;660,1,0),0),0))</f>
      </c>
      <c r="Q75" s="1">
        <f>IF(OR(Q$52=0,P26="",Q26=""),0,IFERROR(IF(AND(INDEX(Arten,MATCH(P26,Codes,0))="Arbeit",INDEX(Arten,MATCH(Q26,Codes,0))="Arbeit"),IF(ROUND((1+INDEX(Beginne,MATCH(Q26,Codes,0))-INDEX(EndeRel,MATCH(P26,Codes,0)))*1440,0)&lt;660,1,0),0),0))</f>
      </c>
      <c r="R75" s="1">
        <f>IF(OR(R$52=0,Q26="",R26=""),0,IFERROR(IF(AND(INDEX(Arten,MATCH(Q26,Codes,0))="Arbeit",INDEX(Arten,MATCH(R26,Codes,0))="Arbeit"),IF(ROUND((1+INDEX(Beginne,MATCH(R26,Codes,0))-INDEX(EndeRel,MATCH(Q26,Codes,0)))*1440,0)&lt;660,1,0),0),0))</f>
      </c>
      <c r="S75" s="1">
        <f>IF(OR(S$52=0,R26="",S26=""),0,IFERROR(IF(AND(INDEX(Arten,MATCH(R26,Codes,0))="Arbeit",INDEX(Arten,MATCH(S26,Codes,0))="Arbeit"),IF(ROUND((1+INDEX(Beginne,MATCH(S26,Codes,0))-INDEX(EndeRel,MATCH(R26,Codes,0)))*1440,0)&lt;660,1,0),0),0))</f>
      </c>
      <c r="T75" s="1">
        <f>IF(OR(T$52=0,S26="",T26=""),0,IFERROR(IF(AND(INDEX(Arten,MATCH(S26,Codes,0))="Arbeit",INDEX(Arten,MATCH(T26,Codes,0))="Arbeit"),IF(ROUND((1+INDEX(Beginne,MATCH(T26,Codes,0))-INDEX(EndeRel,MATCH(S26,Codes,0)))*1440,0)&lt;660,1,0),0),0))</f>
      </c>
      <c r="U75" s="1">
        <f>IF(OR(U$52=0,T26="",U26=""),0,IFERROR(IF(AND(INDEX(Arten,MATCH(T26,Codes,0))="Arbeit",INDEX(Arten,MATCH(U26,Codes,0))="Arbeit"),IF(ROUND((1+INDEX(Beginne,MATCH(U26,Codes,0))-INDEX(EndeRel,MATCH(T26,Codes,0)))*1440,0)&lt;660,1,0),0),0))</f>
      </c>
      <c r="V75" s="1">
        <f>IF(OR(V$52=0,U26="",V26=""),0,IFERROR(IF(AND(INDEX(Arten,MATCH(U26,Codes,0))="Arbeit",INDEX(Arten,MATCH(V26,Codes,0))="Arbeit"),IF(ROUND((1+INDEX(Beginne,MATCH(V26,Codes,0))-INDEX(EndeRel,MATCH(U26,Codes,0)))*1440,0)&lt;660,1,0),0),0))</f>
      </c>
      <c r="W75" s="1">
        <f>IF(OR(W$52=0,V26="",W26=""),0,IFERROR(IF(AND(INDEX(Arten,MATCH(V26,Codes,0))="Arbeit",INDEX(Arten,MATCH(W26,Codes,0))="Arbeit"),IF(ROUND((1+INDEX(Beginne,MATCH(W26,Codes,0))-INDEX(EndeRel,MATCH(V26,Codes,0)))*1440,0)&lt;660,1,0),0),0))</f>
      </c>
      <c r="X75" s="1">
        <f>IF(OR(X$52=0,W26="",X26=""),0,IFERROR(IF(AND(INDEX(Arten,MATCH(W26,Codes,0))="Arbeit",INDEX(Arten,MATCH(X26,Codes,0))="Arbeit"),IF(ROUND((1+INDEX(Beginne,MATCH(X26,Codes,0))-INDEX(EndeRel,MATCH(W26,Codes,0)))*1440,0)&lt;660,1,0),0),0))</f>
      </c>
      <c r="Y75" s="1">
        <f>IF(OR(Y$52=0,X26="",Y26=""),0,IFERROR(IF(AND(INDEX(Arten,MATCH(X26,Codes,0))="Arbeit",INDEX(Arten,MATCH(Y26,Codes,0))="Arbeit"),IF(ROUND((1+INDEX(Beginne,MATCH(Y26,Codes,0))-INDEX(EndeRel,MATCH(X26,Codes,0)))*1440,0)&lt;660,1,0),0),0))</f>
      </c>
      <c r="Z75" s="1">
        <f>IF(OR(Z$52=0,Y26="",Z26=""),0,IFERROR(IF(AND(INDEX(Arten,MATCH(Y26,Codes,0))="Arbeit",INDEX(Arten,MATCH(Z26,Codes,0))="Arbeit"),IF(ROUND((1+INDEX(Beginne,MATCH(Z26,Codes,0))-INDEX(EndeRel,MATCH(Y26,Codes,0)))*1440,0)&lt;660,1,0),0),0))</f>
      </c>
      <c r="AA75" s="1">
        <f>IF(OR(AA$52=0,Z26="",AA26=""),0,IFERROR(IF(AND(INDEX(Arten,MATCH(Z26,Codes,0))="Arbeit",INDEX(Arten,MATCH(AA26,Codes,0))="Arbeit"),IF(ROUND((1+INDEX(Beginne,MATCH(AA26,Codes,0))-INDEX(EndeRel,MATCH(Z26,Codes,0)))*1440,0)&lt;660,1,0),0),0))</f>
      </c>
      <c r="AB75" s="1">
        <f>IF(OR(AB$52=0,AA26="",AB26=""),0,IFERROR(IF(AND(INDEX(Arten,MATCH(AA26,Codes,0))="Arbeit",INDEX(Arten,MATCH(AB26,Codes,0))="Arbeit"),IF(ROUND((1+INDEX(Beginne,MATCH(AB26,Codes,0))-INDEX(EndeRel,MATCH(AA26,Codes,0)))*1440,0)&lt;660,1,0),0),0))</f>
      </c>
      <c r="AC75" s="1">
        <f>IF(OR(AC$52=0,AB26="",AC26=""),0,IFERROR(IF(AND(INDEX(Arten,MATCH(AB26,Codes,0))="Arbeit",INDEX(Arten,MATCH(AC26,Codes,0))="Arbeit"),IF(ROUND((1+INDEX(Beginne,MATCH(AC26,Codes,0))-INDEX(EndeRel,MATCH(AB26,Codes,0)))*1440,0)&lt;660,1,0),0),0))</f>
      </c>
      <c r="AD75" s="1">
        <f>IF(OR(AD$52=0,AC26="",AD26=""),0,IFERROR(IF(AND(INDEX(Arten,MATCH(AC26,Codes,0))="Arbeit",INDEX(Arten,MATCH(AD26,Codes,0))="Arbeit"),IF(ROUND((1+INDEX(Beginne,MATCH(AD26,Codes,0))-INDEX(EndeRel,MATCH(AC26,Codes,0)))*1440,0)&lt;660,1,0),0),0))</f>
      </c>
      <c r="AE75" s="1">
        <f>IF(OR(AE$52=0,AD26="",AE26=""),0,IFERROR(IF(AND(INDEX(Arten,MATCH(AD26,Codes,0))="Arbeit",INDEX(Arten,MATCH(AE26,Codes,0))="Arbeit"),IF(ROUND((1+INDEX(Beginne,MATCH(AE26,Codes,0))-INDEX(EndeRel,MATCH(AD26,Codes,0)))*1440,0)&lt;660,1,0),0),0))</f>
      </c>
      <c r="AF75" s="1">
        <f>IF(OR(AF$52=0,AE26="",AF26=""),0,IFERROR(IF(AND(INDEX(Arten,MATCH(AE26,Codes,0))="Arbeit",INDEX(Arten,MATCH(AF26,Codes,0))="Arbeit"),IF(ROUND((1+INDEX(Beginne,MATCH(AF26,Codes,0))-INDEX(EndeRel,MATCH(AE26,Codes,0)))*1440,0)&lt;660,1,0),0),0))</f>
      </c>
    </row>
    <row r="76" hidden="1" spans="1:32" x14ac:dyDescent="0.25">
      <c r="A76" s="1"/>
      <c r="B76" s="1">
        <f>IF(OR(B$52=0,INDEX('September'!$B$27:$AF$27,DAY(DATE(Jahr,10,0)))="",B27=""),0,IFERROR(IF(AND(INDEX(Arten,MATCH(INDEX('September'!$B$27:$AF$27,DAY(DATE(Jahr,10,0))),Codes,0))="Arbeit",INDEX(Arten,MATCH(B27,Codes,0))="Arbeit"),IF(ROUND((1+INDEX(Beginne,MATCH(B27,Codes,0))-INDEX(EndeRel,MATCH(INDEX('September'!$B$27:$AF$27,DAY(DATE(Jahr,10,0))),Codes,0)))*1440,0)&lt;660,1,0),0),0))</f>
      </c>
      <c r="C76" s="1">
        <f>IF(OR(C$52=0,B27="",C27=""),0,IFERROR(IF(AND(INDEX(Arten,MATCH(B27,Codes,0))="Arbeit",INDEX(Arten,MATCH(C27,Codes,0))="Arbeit"),IF(ROUND((1+INDEX(Beginne,MATCH(C27,Codes,0))-INDEX(EndeRel,MATCH(B27,Codes,0)))*1440,0)&lt;660,1,0),0),0))</f>
      </c>
      <c r="D76" s="1">
        <f>IF(OR(D$52=0,C27="",D27=""),0,IFERROR(IF(AND(INDEX(Arten,MATCH(C27,Codes,0))="Arbeit",INDEX(Arten,MATCH(D27,Codes,0))="Arbeit"),IF(ROUND((1+INDEX(Beginne,MATCH(D27,Codes,0))-INDEX(EndeRel,MATCH(C27,Codes,0)))*1440,0)&lt;660,1,0),0),0))</f>
      </c>
      <c r="E76" s="1">
        <f>IF(OR(E$52=0,D27="",E27=""),0,IFERROR(IF(AND(INDEX(Arten,MATCH(D27,Codes,0))="Arbeit",INDEX(Arten,MATCH(E27,Codes,0))="Arbeit"),IF(ROUND((1+INDEX(Beginne,MATCH(E27,Codes,0))-INDEX(EndeRel,MATCH(D27,Codes,0)))*1440,0)&lt;660,1,0),0),0))</f>
      </c>
      <c r="F76" s="1">
        <f>IF(OR(F$52=0,E27="",F27=""),0,IFERROR(IF(AND(INDEX(Arten,MATCH(E27,Codes,0))="Arbeit",INDEX(Arten,MATCH(F27,Codes,0))="Arbeit"),IF(ROUND((1+INDEX(Beginne,MATCH(F27,Codes,0))-INDEX(EndeRel,MATCH(E27,Codes,0)))*1440,0)&lt;660,1,0),0),0))</f>
      </c>
      <c r="G76" s="1">
        <f>IF(OR(G$52=0,F27="",G27=""),0,IFERROR(IF(AND(INDEX(Arten,MATCH(F27,Codes,0))="Arbeit",INDEX(Arten,MATCH(G27,Codes,0))="Arbeit"),IF(ROUND((1+INDEX(Beginne,MATCH(G27,Codes,0))-INDEX(EndeRel,MATCH(F27,Codes,0)))*1440,0)&lt;660,1,0),0),0))</f>
      </c>
      <c r="H76" s="1">
        <f>IF(OR(H$52=0,G27="",H27=""),0,IFERROR(IF(AND(INDEX(Arten,MATCH(G27,Codes,0))="Arbeit",INDEX(Arten,MATCH(H27,Codes,0))="Arbeit"),IF(ROUND((1+INDEX(Beginne,MATCH(H27,Codes,0))-INDEX(EndeRel,MATCH(G27,Codes,0)))*1440,0)&lt;660,1,0),0),0))</f>
      </c>
      <c r="I76" s="1">
        <f>IF(OR(I$52=0,H27="",I27=""),0,IFERROR(IF(AND(INDEX(Arten,MATCH(H27,Codes,0))="Arbeit",INDEX(Arten,MATCH(I27,Codes,0))="Arbeit"),IF(ROUND((1+INDEX(Beginne,MATCH(I27,Codes,0))-INDEX(EndeRel,MATCH(H27,Codes,0)))*1440,0)&lt;660,1,0),0),0))</f>
      </c>
      <c r="J76" s="1">
        <f>IF(OR(J$52=0,I27="",J27=""),0,IFERROR(IF(AND(INDEX(Arten,MATCH(I27,Codes,0))="Arbeit",INDEX(Arten,MATCH(J27,Codes,0))="Arbeit"),IF(ROUND((1+INDEX(Beginne,MATCH(J27,Codes,0))-INDEX(EndeRel,MATCH(I27,Codes,0)))*1440,0)&lt;660,1,0),0),0))</f>
      </c>
      <c r="K76" s="1">
        <f>IF(OR(K$52=0,J27="",K27=""),0,IFERROR(IF(AND(INDEX(Arten,MATCH(J27,Codes,0))="Arbeit",INDEX(Arten,MATCH(K27,Codes,0))="Arbeit"),IF(ROUND((1+INDEX(Beginne,MATCH(K27,Codes,0))-INDEX(EndeRel,MATCH(J27,Codes,0)))*1440,0)&lt;660,1,0),0),0))</f>
      </c>
      <c r="L76" s="1">
        <f>IF(OR(L$52=0,K27="",L27=""),0,IFERROR(IF(AND(INDEX(Arten,MATCH(K27,Codes,0))="Arbeit",INDEX(Arten,MATCH(L27,Codes,0))="Arbeit"),IF(ROUND((1+INDEX(Beginne,MATCH(L27,Codes,0))-INDEX(EndeRel,MATCH(K27,Codes,0)))*1440,0)&lt;660,1,0),0),0))</f>
      </c>
      <c r="M76" s="1">
        <f>IF(OR(M$52=0,L27="",M27=""),0,IFERROR(IF(AND(INDEX(Arten,MATCH(L27,Codes,0))="Arbeit",INDEX(Arten,MATCH(M27,Codes,0))="Arbeit"),IF(ROUND((1+INDEX(Beginne,MATCH(M27,Codes,0))-INDEX(EndeRel,MATCH(L27,Codes,0)))*1440,0)&lt;660,1,0),0),0))</f>
      </c>
      <c r="N76" s="1">
        <f>IF(OR(N$52=0,M27="",N27=""),0,IFERROR(IF(AND(INDEX(Arten,MATCH(M27,Codes,0))="Arbeit",INDEX(Arten,MATCH(N27,Codes,0))="Arbeit"),IF(ROUND((1+INDEX(Beginne,MATCH(N27,Codes,0))-INDEX(EndeRel,MATCH(M27,Codes,0)))*1440,0)&lt;660,1,0),0),0))</f>
      </c>
      <c r="O76" s="1">
        <f>IF(OR(O$52=0,N27="",O27=""),0,IFERROR(IF(AND(INDEX(Arten,MATCH(N27,Codes,0))="Arbeit",INDEX(Arten,MATCH(O27,Codes,0))="Arbeit"),IF(ROUND((1+INDEX(Beginne,MATCH(O27,Codes,0))-INDEX(EndeRel,MATCH(N27,Codes,0)))*1440,0)&lt;660,1,0),0),0))</f>
      </c>
      <c r="P76" s="1">
        <f>IF(OR(P$52=0,O27="",P27=""),0,IFERROR(IF(AND(INDEX(Arten,MATCH(O27,Codes,0))="Arbeit",INDEX(Arten,MATCH(P27,Codes,0))="Arbeit"),IF(ROUND((1+INDEX(Beginne,MATCH(P27,Codes,0))-INDEX(EndeRel,MATCH(O27,Codes,0)))*1440,0)&lt;660,1,0),0),0))</f>
      </c>
      <c r="Q76" s="1">
        <f>IF(OR(Q$52=0,P27="",Q27=""),0,IFERROR(IF(AND(INDEX(Arten,MATCH(P27,Codes,0))="Arbeit",INDEX(Arten,MATCH(Q27,Codes,0))="Arbeit"),IF(ROUND((1+INDEX(Beginne,MATCH(Q27,Codes,0))-INDEX(EndeRel,MATCH(P27,Codes,0)))*1440,0)&lt;660,1,0),0),0))</f>
      </c>
      <c r="R76" s="1">
        <f>IF(OR(R$52=0,Q27="",R27=""),0,IFERROR(IF(AND(INDEX(Arten,MATCH(Q27,Codes,0))="Arbeit",INDEX(Arten,MATCH(R27,Codes,0))="Arbeit"),IF(ROUND((1+INDEX(Beginne,MATCH(R27,Codes,0))-INDEX(EndeRel,MATCH(Q27,Codes,0)))*1440,0)&lt;660,1,0),0),0))</f>
      </c>
      <c r="S76" s="1">
        <f>IF(OR(S$52=0,R27="",S27=""),0,IFERROR(IF(AND(INDEX(Arten,MATCH(R27,Codes,0))="Arbeit",INDEX(Arten,MATCH(S27,Codes,0))="Arbeit"),IF(ROUND((1+INDEX(Beginne,MATCH(S27,Codes,0))-INDEX(EndeRel,MATCH(R27,Codes,0)))*1440,0)&lt;660,1,0),0),0))</f>
      </c>
      <c r="T76" s="1">
        <f>IF(OR(T$52=0,S27="",T27=""),0,IFERROR(IF(AND(INDEX(Arten,MATCH(S27,Codes,0))="Arbeit",INDEX(Arten,MATCH(T27,Codes,0))="Arbeit"),IF(ROUND((1+INDEX(Beginne,MATCH(T27,Codes,0))-INDEX(EndeRel,MATCH(S27,Codes,0)))*1440,0)&lt;660,1,0),0),0))</f>
      </c>
      <c r="U76" s="1">
        <f>IF(OR(U$52=0,T27="",U27=""),0,IFERROR(IF(AND(INDEX(Arten,MATCH(T27,Codes,0))="Arbeit",INDEX(Arten,MATCH(U27,Codes,0))="Arbeit"),IF(ROUND((1+INDEX(Beginne,MATCH(U27,Codes,0))-INDEX(EndeRel,MATCH(T27,Codes,0)))*1440,0)&lt;660,1,0),0),0))</f>
      </c>
      <c r="V76" s="1">
        <f>IF(OR(V$52=0,U27="",V27=""),0,IFERROR(IF(AND(INDEX(Arten,MATCH(U27,Codes,0))="Arbeit",INDEX(Arten,MATCH(V27,Codes,0))="Arbeit"),IF(ROUND((1+INDEX(Beginne,MATCH(V27,Codes,0))-INDEX(EndeRel,MATCH(U27,Codes,0)))*1440,0)&lt;660,1,0),0),0))</f>
      </c>
      <c r="W76" s="1">
        <f>IF(OR(W$52=0,V27="",W27=""),0,IFERROR(IF(AND(INDEX(Arten,MATCH(V27,Codes,0))="Arbeit",INDEX(Arten,MATCH(W27,Codes,0))="Arbeit"),IF(ROUND((1+INDEX(Beginne,MATCH(W27,Codes,0))-INDEX(EndeRel,MATCH(V27,Codes,0)))*1440,0)&lt;660,1,0),0),0))</f>
      </c>
      <c r="X76" s="1">
        <f>IF(OR(X$52=0,W27="",X27=""),0,IFERROR(IF(AND(INDEX(Arten,MATCH(W27,Codes,0))="Arbeit",INDEX(Arten,MATCH(X27,Codes,0))="Arbeit"),IF(ROUND((1+INDEX(Beginne,MATCH(X27,Codes,0))-INDEX(EndeRel,MATCH(W27,Codes,0)))*1440,0)&lt;660,1,0),0),0))</f>
      </c>
      <c r="Y76" s="1">
        <f>IF(OR(Y$52=0,X27="",Y27=""),0,IFERROR(IF(AND(INDEX(Arten,MATCH(X27,Codes,0))="Arbeit",INDEX(Arten,MATCH(Y27,Codes,0))="Arbeit"),IF(ROUND((1+INDEX(Beginne,MATCH(Y27,Codes,0))-INDEX(EndeRel,MATCH(X27,Codes,0)))*1440,0)&lt;660,1,0),0),0))</f>
      </c>
      <c r="Z76" s="1">
        <f>IF(OR(Z$52=0,Y27="",Z27=""),0,IFERROR(IF(AND(INDEX(Arten,MATCH(Y27,Codes,0))="Arbeit",INDEX(Arten,MATCH(Z27,Codes,0))="Arbeit"),IF(ROUND((1+INDEX(Beginne,MATCH(Z27,Codes,0))-INDEX(EndeRel,MATCH(Y27,Codes,0)))*1440,0)&lt;660,1,0),0),0))</f>
      </c>
      <c r="AA76" s="1">
        <f>IF(OR(AA$52=0,Z27="",AA27=""),0,IFERROR(IF(AND(INDEX(Arten,MATCH(Z27,Codes,0))="Arbeit",INDEX(Arten,MATCH(AA27,Codes,0))="Arbeit"),IF(ROUND((1+INDEX(Beginne,MATCH(AA27,Codes,0))-INDEX(EndeRel,MATCH(Z27,Codes,0)))*1440,0)&lt;660,1,0),0),0))</f>
      </c>
      <c r="AB76" s="1">
        <f>IF(OR(AB$52=0,AA27="",AB27=""),0,IFERROR(IF(AND(INDEX(Arten,MATCH(AA27,Codes,0))="Arbeit",INDEX(Arten,MATCH(AB27,Codes,0))="Arbeit"),IF(ROUND((1+INDEX(Beginne,MATCH(AB27,Codes,0))-INDEX(EndeRel,MATCH(AA27,Codes,0)))*1440,0)&lt;660,1,0),0),0))</f>
      </c>
      <c r="AC76" s="1">
        <f>IF(OR(AC$52=0,AB27="",AC27=""),0,IFERROR(IF(AND(INDEX(Arten,MATCH(AB27,Codes,0))="Arbeit",INDEX(Arten,MATCH(AC27,Codes,0))="Arbeit"),IF(ROUND((1+INDEX(Beginne,MATCH(AC27,Codes,0))-INDEX(EndeRel,MATCH(AB27,Codes,0)))*1440,0)&lt;660,1,0),0),0))</f>
      </c>
      <c r="AD76" s="1">
        <f>IF(OR(AD$52=0,AC27="",AD27=""),0,IFERROR(IF(AND(INDEX(Arten,MATCH(AC27,Codes,0))="Arbeit",INDEX(Arten,MATCH(AD27,Codes,0))="Arbeit"),IF(ROUND((1+INDEX(Beginne,MATCH(AD27,Codes,0))-INDEX(EndeRel,MATCH(AC27,Codes,0)))*1440,0)&lt;660,1,0),0),0))</f>
      </c>
      <c r="AE76" s="1">
        <f>IF(OR(AE$52=0,AD27="",AE27=""),0,IFERROR(IF(AND(INDEX(Arten,MATCH(AD27,Codes,0))="Arbeit",INDEX(Arten,MATCH(AE27,Codes,0))="Arbeit"),IF(ROUND((1+INDEX(Beginne,MATCH(AE27,Codes,0))-INDEX(EndeRel,MATCH(AD27,Codes,0)))*1440,0)&lt;660,1,0),0),0))</f>
      </c>
      <c r="AF76" s="1">
        <f>IF(OR(AF$52=0,AE27="",AF27=""),0,IFERROR(IF(AND(INDEX(Arten,MATCH(AE27,Codes,0))="Arbeit",INDEX(Arten,MATCH(AF27,Codes,0))="Arbeit"),IF(ROUND((1+INDEX(Beginne,MATCH(AF27,Codes,0))-INDEX(EndeRel,MATCH(AE27,Codes,0)))*1440,0)&lt;660,1,0),0),0))</f>
      </c>
    </row>
    <row r="77" hidden="1" spans="1:32" x14ac:dyDescent="0.25">
      <c r="A77" s="1"/>
      <c r="B77" s="1">
        <f>IF(OR(B$52=0,INDEX('September'!$B$28:$AF$28,DAY(DATE(Jahr,10,0)))="",B28=""),0,IFERROR(IF(AND(INDEX(Arten,MATCH(INDEX('September'!$B$28:$AF$28,DAY(DATE(Jahr,10,0))),Codes,0))="Arbeit",INDEX(Arten,MATCH(B28,Codes,0))="Arbeit"),IF(ROUND((1+INDEX(Beginne,MATCH(B28,Codes,0))-INDEX(EndeRel,MATCH(INDEX('September'!$B$28:$AF$28,DAY(DATE(Jahr,10,0))),Codes,0)))*1440,0)&lt;660,1,0),0),0))</f>
      </c>
      <c r="C77" s="1">
        <f>IF(OR(C$52=0,B28="",C28=""),0,IFERROR(IF(AND(INDEX(Arten,MATCH(B28,Codes,0))="Arbeit",INDEX(Arten,MATCH(C28,Codes,0))="Arbeit"),IF(ROUND((1+INDEX(Beginne,MATCH(C28,Codes,0))-INDEX(EndeRel,MATCH(B28,Codes,0)))*1440,0)&lt;660,1,0),0),0))</f>
      </c>
      <c r="D77" s="1">
        <f>IF(OR(D$52=0,C28="",D28=""),0,IFERROR(IF(AND(INDEX(Arten,MATCH(C28,Codes,0))="Arbeit",INDEX(Arten,MATCH(D28,Codes,0))="Arbeit"),IF(ROUND((1+INDEX(Beginne,MATCH(D28,Codes,0))-INDEX(EndeRel,MATCH(C28,Codes,0)))*1440,0)&lt;660,1,0),0),0))</f>
      </c>
      <c r="E77" s="1">
        <f>IF(OR(E$52=0,D28="",E28=""),0,IFERROR(IF(AND(INDEX(Arten,MATCH(D28,Codes,0))="Arbeit",INDEX(Arten,MATCH(E28,Codes,0))="Arbeit"),IF(ROUND((1+INDEX(Beginne,MATCH(E28,Codes,0))-INDEX(EndeRel,MATCH(D28,Codes,0)))*1440,0)&lt;660,1,0),0),0))</f>
      </c>
      <c r="F77" s="1">
        <f>IF(OR(F$52=0,E28="",F28=""),0,IFERROR(IF(AND(INDEX(Arten,MATCH(E28,Codes,0))="Arbeit",INDEX(Arten,MATCH(F28,Codes,0))="Arbeit"),IF(ROUND((1+INDEX(Beginne,MATCH(F28,Codes,0))-INDEX(EndeRel,MATCH(E28,Codes,0)))*1440,0)&lt;660,1,0),0),0))</f>
      </c>
      <c r="G77" s="1">
        <f>IF(OR(G$52=0,F28="",G28=""),0,IFERROR(IF(AND(INDEX(Arten,MATCH(F28,Codes,0))="Arbeit",INDEX(Arten,MATCH(G28,Codes,0))="Arbeit"),IF(ROUND((1+INDEX(Beginne,MATCH(G28,Codes,0))-INDEX(EndeRel,MATCH(F28,Codes,0)))*1440,0)&lt;660,1,0),0),0))</f>
      </c>
      <c r="H77" s="1">
        <f>IF(OR(H$52=0,G28="",H28=""),0,IFERROR(IF(AND(INDEX(Arten,MATCH(G28,Codes,0))="Arbeit",INDEX(Arten,MATCH(H28,Codes,0))="Arbeit"),IF(ROUND((1+INDEX(Beginne,MATCH(H28,Codes,0))-INDEX(EndeRel,MATCH(G28,Codes,0)))*1440,0)&lt;660,1,0),0),0))</f>
      </c>
      <c r="I77" s="1">
        <f>IF(OR(I$52=0,H28="",I28=""),0,IFERROR(IF(AND(INDEX(Arten,MATCH(H28,Codes,0))="Arbeit",INDEX(Arten,MATCH(I28,Codes,0))="Arbeit"),IF(ROUND((1+INDEX(Beginne,MATCH(I28,Codes,0))-INDEX(EndeRel,MATCH(H28,Codes,0)))*1440,0)&lt;660,1,0),0),0))</f>
      </c>
      <c r="J77" s="1">
        <f>IF(OR(J$52=0,I28="",J28=""),0,IFERROR(IF(AND(INDEX(Arten,MATCH(I28,Codes,0))="Arbeit",INDEX(Arten,MATCH(J28,Codes,0))="Arbeit"),IF(ROUND((1+INDEX(Beginne,MATCH(J28,Codes,0))-INDEX(EndeRel,MATCH(I28,Codes,0)))*1440,0)&lt;660,1,0),0),0))</f>
      </c>
      <c r="K77" s="1">
        <f>IF(OR(K$52=0,J28="",K28=""),0,IFERROR(IF(AND(INDEX(Arten,MATCH(J28,Codes,0))="Arbeit",INDEX(Arten,MATCH(K28,Codes,0))="Arbeit"),IF(ROUND((1+INDEX(Beginne,MATCH(K28,Codes,0))-INDEX(EndeRel,MATCH(J28,Codes,0)))*1440,0)&lt;660,1,0),0),0))</f>
      </c>
      <c r="L77" s="1">
        <f>IF(OR(L$52=0,K28="",L28=""),0,IFERROR(IF(AND(INDEX(Arten,MATCH(K28,Codes,0))="Arbeit",INDEX(Arten,MATCH(L28,Codes,0))="Arbeit"),IF(ROUND((1+INDEX(Beginne,MATCH(L28,Codes,0))-INDEX(EndeRel,MATCH(K28,Codes,0)))*1440,0)&lt;660,1,0),0),0))</f>
      </c>
      <c r="M77" s="1">
        <f>IF(OR(M$52=0,L28="",M28=""),0,IFERROR(IF(AND(INDEX(Arten,MATCH(L28,Codes,0))="Arbeit",INDEX(Arten,MATCH(M28,Codes,0))="Arbeit"),IF(ROUND((1+INDEX(Beginne,MATCH(M28,Codes,0))-INDEX(EndeRel,MATCH(L28,Codes,0)))*1440,0)&lt;660,1,0),0),0))</f>
      </c>
      <c r="N77" s="1">
        <f>IF(OR(N$52=0,M28="",N28=""),0,IFERROR(IF(AND(INDEX(Arten,MATCH(M28,Codes,0))="Arbeit",INDEX(Arten,MATCH(N28,Codes,0))="Arbeit"),IF(ROUND((1+INDEX(Beginne,MATCH(N28,Codes,0))-INDEX(EndeRel,MATCH(M28,Codes,0)))*1440,0)&lt;660,1,0),0),0))</f>
      </c>
      <c r="O77" s="1">
        <f>IF(OR(O$52=0,N28="",O28=""),0,IFERROR(IF(AND(INDEX(Arten,MATCH(N28,Codes,0))="Arbeit",INDEX(Arten,MATCH(O28,Codes,0))="Arbeit"),IF(ROUND((1+INDEX(Beginne,MATCH(O28,Codes,0))-INDEX(EndeRel,MATCH(N28,Codes,0)))*1440,0)&lt;660,1,0),0),0))</f>
      </c>
      <c r="P77" s="1">
        <f>IF(OR(P$52=0,O28="",P28=""),0,IFERROR(IF(AND(INDEX(Arten,MATCH(O28,Codes,0))="Arbeit",INDEX(Arten,MATCH(P28,Codes,0))="Arbeit"),IF(ROUND((1+INDEX(Beginne,MATCH(P28,Codes,0))-INDEX(EndeRel,MATCH(O28,Codes,0)))*1440,0)&lt;660,1,0),0),0))</f>
      </c>
      <c r="Q77" s="1">
        <f>IF(OR(Q$52=0,P28="",Q28=""),0,IFERROR(IF(AND(INDEX(Arten,MATCH(P28,Codes,0))="Arbeit",INDEX(Arten,MATCH(Q28,Codes,0))="Arbeit"),IF(ROUND((1+INDEX(Beginne,MATCH(Q28,Codes,0))-INDEX(EndeRel,MATCH(P28,Codes,0)))*1440,0)&lt;660,1,0),0),0))</f>
      </c>
      <c r="R77" s="1">
        <f>IF(OR(R$52=0,Q28="",R28=""),0,IFERROR(IF(AND(INDEX(Arten,MATCH(Q28,Codes,0))="Arbeit",INDEX(Arten,MATCH(R28,Codes,0))="Arbeit"),IF(ROUND((1+INDEX(Beginne,MATCH(R28,Codes,0))-INDEX(EndeRel,MATCH(Q28,Codes,0)))*1440,0)&lt;660,1,0),0),0))</f>
      </c>
      <c r="S77" s="1">
        <f>IF(OR(S$52=0,R28="",S28=""),0,IFERROR(IF(AND(INDEX(Arten,MATCH(R28,Codes,0))="Arbeit",INDEX(Arten,MATCH(S28,Codes,0))="Arbeit"),IF(ROUND((1+INDEX(Beginne,MATCH(S28,Codes,0))-INDEX(EndeRel,MATCH(R28,Codes,0)))*1440,0)&lt;660,1,0),0),0))</f>
      </c>
      <c r="T77" s="1">
        <f>IF(OR(T$52=0,S28="",T28=""),0,IFERROR(IF(AND(INDEX(Arten,MATCH(S28,Codes,0))="Arbeit",INDEX(Arten,MATCH(T28,Codes,0))="Arbeit"),IF(ROUND((1+INDEX(Beginne,MATCH(T28,Codes,0))-INDEX(EndeRel,MATCH(S28,Codes,0)))*1440,0)&lt;660,1,0),0),0))</f>
      </c>
      <c r="U77" s="1">
        <f>IF(OR(U$52=0,T28="",U28=""),0,IFERROR(IF(AND(INDEX(Arten,MATCH(T28,Codes,0))="Arbeit",INDEX(Arten,MATCH(U28,Codes,0))="Arbeit"),IF(ROUND((1+INDEX(Beginne,MATCH(U28,Codes,0))-INDEX(EndeRel,MATCH(T28,Codes,0)))*1440,0)&lt;660,1,0),0),0))</f>
      </c>
      <c r="V77" s="1">
        <f>IF(OR(V$52=0,U28="",V28=""),0,IFERROR(IF(AND(INDEX(Arten,MATCH(U28,Codes,0))="Arbeit",INDEX(Arten,MATCH(V28,Codes,0))="Arbeit"),IF(ROUND((1+INDEX(Beginne,MATCH(V28,Codes,0))-INDEX(EndeRel,MATCH(U28,Codes,0)))*1440,0)&lt;660,1,0),0),0))</f>
      </c>
      <c r="W77" s="1">
        <f>IF(OR(W$52=0,V28="",W28=""),0,IFERROR(IF(AND(INDEX(Arten,MATCH(V28,Codes,0))="Arbeit",INDEX(Arten,MATCH(W28,Codes,0))="Arbeit"),IF(ROUND((1+INDEX(Beginne,MATCH(W28,Codes,0))-INDEX(EndeRel,MATCH(V28,Codes,0)))*1440,0)&lt;660,1,0),0),0))</f>
      </c>
      <c r="X77" s="1">
        <f>IF(OR(X$52=0,W28="",X28=""),0,IFERROR(IF(AND(INDEX(Arten,MATCH(W28,Codes,0))="Arbeit",INDEX(Arten,MATCH(X28,Codes,0))="Arbeit"),IF(ROUND((1+INDEX(Beginne,MATCH(X28,Codes,0))-INDEX(EndeRel,MATCH(W28,Codes,0)))*1440,0)&lt;660,1,0),0),0))</f>
      </c>
      <c r="Y77" s="1">
        <f>IF(OR(Y$52=0,X28="",Y28=""),0,IFERROR(IF(AND(INDEX(Arten,MATCH(X28,Codes,0))="Arbeit",INDEX(Arten,MATCH(Y28,Codes,0))="Arbeit"),IF(ROUND((1+INDEX(Beginne,MATCH(Y28,Codes,0))-INDEX(EndeRel,MATCH(X28,Codes,0)))*1440,0)&lt;660,1,0),0),0))</f>
      </c>
      <c r="Z77" s="1">
        <f>IF(OR(Z$52=0,Y28="",Z28=""),0,IFERROR(IF(AND(INDEX(Arten,MATCH(Y28,Codes,0))="Arbeit",INDEX(Arten,MATCH(Z28,Codes,0))="Arbeit"),IF(ROUND((1+INDEX(Beginne,MATCH(Z28,Codes,0))-INDEX(EndeRel,MATCH(Y28,Codes,0)))*1440,0)&lt;660,1,0),0),0))</f>
      </c>
      <c r="AA77" s="1">
        <f>IF(OR(AA$52=0,Z28="",AA28=""),0,IFERROR(IF(AND(INDEX(Arten,MATCH(Z28,Codes,0))="Arbeit",INDEX(Arten,MATCH(AA28,Codes,0))="Arbeit"),IF(ROUND((1+INDEX(Beginne,MATCH(AA28,Codes,0))-INDEX(EndeRel,MATCH(Z28,Codes,0)))*1440,0)&lt;660,1,0),0),0))</f>
      </c>
      <c r="AB77" s="1">
        <f>IF(OR(AB$52=0,AA28="",AB28=""),0,IFERROR(IF(AND(INDEX(Arten,MATCH(AA28,Codes,0))="Arbeit",INDEX(Arten,MATCH(AB28,Codes,0))="Arbeit"),IF(ROUND((1+INDEX(Beginne,MATCH(AB28,Codes,0))-INDEX(EndeRel,MATCH(AA28,Codes,0)))*1440,0)&lt;660,1,0),0),0))</f>
      </c>
      <c r="AC77" s="1">
        <f>IF(OR(AC$52=0,AB28="",AC28=""),0,IFERROR(IF(AND(INDEX(Arten,MATCH(AB28,Codes,0))="Arbeit",INDEX(Arten,MATCH(AC28,Codes,0))="Arbeit"),IF(ROUND((1+INDEX(Beginne,MATCH(AC28,Codes,0))-INDEX(EndeRel,MATCH(AB28,Codes,0)))*1440,0)&lt;660,1,0),0),0))</f>
      </c>
      <c r="AD77" s="1">
        <f>IF(OR(AD$52=0,AC28="",AD28=""),0,IFERROR(IF(AND(INDEX(Arten,MATCH(AC28,Codes,0))="Arbeit",INDEX(Arten,MATCH(AD28,Codes,0))="Arbeit"),IF(ROUND((1+INDEX(Beginne,MATCH(AD28,Codes,0))-INDEX(EndeRel,MATCH(AC28,Codes,0)))*1440,0)&lt;660,1,0),0),0))</f>
      </c>
      <c r="AE77" s="1">
        <f>IF(OR(AE$52=0,AD28="",AE28=""),0,IFERROR(IF(AND(INDEX(Arten,MATCH(AD28,Codes,0))="Arbeit",INDEX(Arten,MATCH(AE28,Codes,0))="Arbeit"),IF(ROUND((1+INDEX(Beginne,MATCH(AE28,Codes,0))-INDEX(EndeRel,MATCH(AD28,Codes,0)))*1440,0)&lt;660,1,0),0),0))</f>
      </c>
      <c r="AF77" s="1">
        <f>IF(OR(AF$52=0,AE28="",AF28=""),0,IFERROR(IF(AND(INDEX(Arten,MATCH(AE28,Codes,0))="Arbeit",INDEX(Arten,MATCH(AF28,Codes,0))="Arbeit"),IF(ROUND((1+INDEX(Beginne,MATCH(AF28,Codes,0))-INDEX(EndeRel,MATCH(AE28,Codes,0)))*1440,0)&lt;660,1,0),0),0))</f>
      </c>
    </row>
    <row r="78" hidden="1" spans="1:32" x14ac:dyDescent="0.25">
      <c r="A78" s="1"/>
      <c r="B78" s="1">
        <f>IF(OR(B$52=0,INDEX('September'!$B$29:$AF$29,DAY(DATE(Jahr,10,0)))="",B29=""),0,IFERROR(IF(AND(INDEX(Arten,MATCH(INDEX('September'!$B$29:$AF$29,DAY(DATE(Jahr,10,0))),Codes,0))="Arbeit",INDEX(Arten,MATCH(B29,Codes,0))="Arbeit"),IF(ROUND((1+INDEX(Beginne,MATCH(B29,Codes,0))-INDEX(EndeRel,MATCH(INDEX('September'!$B$29:$AF$29,DAY(DATE(Jahr,10,0))),Codes,0)))*1440,0)&lt;660,1,0),0),0))</f>
      </c>
      <c r="C78" s="1">
        <f>IF(OR(C$52=0,B29="",C29=""),0,IFERROR(IF(AND(INDEX(Arten,MATCH(B29,Codes,0))="Arbeit",INDEX(Arten,MATCH(C29,Codes,0))="Arbeit"),IF(ROUND((1+INDEX(Beginne,MATCH(C29,Codes,0))-INDEX(EndeRel,MATCH(B29,Codes,0)))*1440,0)&lt;660,1,0),0),0))</f>
      </c>
      <c r="D78" s="1">
        <f>IF(OR(D$52=0,C29="",D29=""),0,IFERROR(IF(AND(INDEX(Arten,MATCH(C29,Codes,0))="Arbeit",INDEX(Arten,MATCH(D29,Codes,0))="Arbeit"),IF(ROUND((1+INDEX(Beginne,MATCH(D29,Codes,0))-INDEX(EndeRel,MATCH(C29,Codes,0)))*1440,0)&lt;660,1,0),0),0))</f>
      </c>
      <c r="E78" s="1">
        <f>IF(OR(E$52=0,D29="",E29=""),0,IFERROR(IF(AND(INDEX(Arten,MATCH(D29,Codes,0))="Arbeit",INDEX(Arten,MATCH(E29,Codes,0))="Arbeit"),IF(ROUND((1+INDEX(Beginne,MATCH(E29,Codes,0))-INDEX(EndeRel,MATCH(D29,Codes,0)))*1440,0)&lt;660,1,0),0),0))</f>
      </c>
      <c r="F78" s="1">
        <f>IF(OR(F$52=0,E29="",F29=""),0,IFERROR(IF(AND(INDEX(Arten,MATCH(E29,Codes,0))="Arbeit",INDEX(Arten,MATCH(F29,Codes,0))="Arbeit"),IF(ROUND((1+INDEX(Beginne,MATCH(F29,Codes,0))-INDEX(EndeRel,MATCH(E29,Codes,0)))*1440,0)&lt;660,1,0),0),0))</f>
      </c>
      <c r="G78" s="1">
        <f>IF(OR(G$52=0,F29="",G29=""),0,IFERROR(IF(AND(INDEX(Arten,MATCH(F29,Codes,0))="Arbeit",INDEX(Arten,MATCH(G29,Codes,0))="Arbeit"),IF(ROUND((1+INDEX(Beginne,MATCH(G29,Codes,0))-INDEX(EndeRel,MATCH(F29,Codes,0)))*1440,0)&lt;660,1,0),0),0))</f>
      </c>
      <c r="H78" s="1">
        <f>IF(OR(H$52=0,G29="",H29=""),0,IFERROR(IF(AND(INDEX(Arten,MATCH(G29,Codes,0))="Arbeit",INDEX(Arten,MATCH(H29,Codes,0))="Arbeit"),IF(ROUND((1+INDEX(Beginne,MATCH(H29,Codes,0))-INDEX(EndeRel,MATCH(G29,Codes,0)))*1440,0)&lt;660,1,0),0),0))</f>
      </c>
      <c r="I78" s="1">
        <f>IF(OR(I$52=0,H29="",I29=""),0,IFERROR(IF(AND(INDEX(Arten,MATCH(H29,Codes,0))="Arbeit",INDEX(Arten,MATCH(I29,Codes,0))="Arbeit"),IF(ROUND((1+INDEX(Beginne,MATCH(I29,Codes,0))-INDEX(EndeRel,MATCH(H29,Codes,0)))*1440,0)&lt;660,1,0),0),0))</f>
      </c>
      <c r="J78" s="1">
        <f>IF(OR(J$52=0,I29="",J29=""),0,IFERROR(IF(AND(INDEX(Arten,MATCH(I29,Codes,0))="Arbeit",INDEX(Arten,MATCH(J29,Codes,0))="Arbeit"),IF(ROUND((1+INDEX(Beginne,MATCH(J29,Codes,0))-INDEX(EndeRel,MATCH(I29,Codes,0)))*1440,0)&lt;660,1,0),0),0))</f>
      </c>
      <c r="K78" s="1">
        <f>IF(OR(K$52=0,J29="",K29=""),0,IFERROR(IF(AND(INDEX(Arten,MATCH(J29,Codes,0))="Arbeit",INDEX(Arten,MATCH(K29,Codes,0))="Arbeit"),IF(ROUND((1+INDEX(Beginne,MATCH(K29,Codes,0))-INDEX(EndeRel,MATCH(J29,Codes,0)))*1440,0)&lt;660,1,0),0),0))</f>
      </c>
      <c r="L78" s="1">
        <f>IF(OR(L$52=0,K29="",L29=""),0,IFERROR(IF(AND(INDEX(Arten,MATCH(K29,Codes,0))="Arbeit",INDEX(Arten,MATCH(L29,Codes,0))="Arbeit"),IF(ROUND((1+INDEX(Beginne,MATCH(L29,Codes,0))-INDEX(EndeRel,MATCH(K29,Codes,0)))*1440,0)&lt;660,1,0),0),0))</f>
      </c>
      <c r="M78" s="1">
        <f>IF(OR(M$52=0,L29="",M29=""),0,IFERROR(IF(AND(INDEX(Arten,MATCH(L29,Codes,0))="Arbeit",INDEX(Arten,MATCH(M29,Codes,0))="Arbeit"),IF(ROUND((1+INDEX(Beginne,MATCH(M29,Codes,0))-INDEX(EndeRel,MATCH(L29,Codes,0)))*1440,0)&lt;660,1,0),0),0))</f>
      </c>
      <c r="N78" s="1">
        <f>IF(OR(N$52=0,M29="",N29=""),0,IFERROR(IF(AND(INDEX(Arten,MATCH(M29,Codes,0))="Arbeit",INDEX(Arten,MATCH(N29,Codes,0))="Arbeit"),IF(ROUND((1+INDEX(Beginne,MATCH(N29,Codes,0))-INDEX(EndeRel,MATCH(M29,Codes,0)))*1440,0)&lt;660,1,0),0),0))</f>
      </c>
      <c r="O78" s="1">
        <f>IF(OR(O$52=0,N29="",O29=""),0,IFERROR(IF(AND(INDEX(Arten,MATCH(N29,Codes,0))="Arbeit",INDEX(Arten,MATCH(O29,Codes,0))="Arbeit"),IF(ROUND((1+INDEX(Beginne,MATCH(O29,Codes,0))-INDEX(EndeRel,MATCH(N29,Codes,0)))*1440,0)&lt;660,1,0),0),0))</f>
      </c>
      <c r="P78" s="1">
        <f>IF(OR(P$52=0,O29="",P29=""),0,IFERROR(IF(AND(INDEX(Arten,MATCH(O29,Codes,0))="Arbeit",INDEX(Arten,MATCH(P29,Codes,0))="Arbeit"),IF(ROUND((1+INDEX(Beginne,MATCH(P29,Codes,0))-INDEX(EndeRel,MATCH(O29,Codes,0)))*1440,0)&lt;660,1,0),0),0))</f>
      </c>
      <c r="Q78" s="1">
        <f>IF(OR(Q$52=0,P29="",Q29=""),0,IFERROR(IF(AND(INDEX(Arten,MATCH(P29,Codes,0))="Arbeit",INDEX(Arten,MATCH(Q29,Codes,0))="Arbeit"),IF(ROUND((1+INDEX(Beginne,MATCH(Q29,Codes,0))-INDEX(EndeRel,MATCH(P29,Codes,0)))*1440,0)&lt;660,1,0),0),0))</f>
      </c>
      <c r="R78" s="1">
        <f>IF(OR(R$52=0,Q29="",R29=""),0,IFERROR(IF(AND(INDEX(Arten,MATCH(Q29,Codes,0))="Arbeit",INDEX(Arten,MATCH(R29,Codes,0))="Arbeit"),IF(ROUND((1+INDEX(Beginne,MATCH(R29,Codes,0))-INDEX(EndeRel,MATCH(Q29,Codes,0)))*1440,0)&lt;660,1,0),0),0))</f>
      </c>
      <c r="S78" s="1">
        <f>IF(OR(S$52=0,R29="",S29=""),0,IFERROR(IF(AND(INDEX(Arten,MATCH(R29,Codes,0))="Arbeit",INDEX(Arten,MATCH(S29,Codes,0))="Arbeit"),IF(ROUND((1+INDEX(Beginne,MATCH(S29,Codes,0))-INDEX(EndeRel,MATCH(R29,Codes,0)))*1440,0)&lt;660,1,0),0),0))</f>
      </c>
      <c r="T78" s="1">
        <f>IF(OR(T$52=0,S29="",T29=""),0,IFERROR(IF(AND(INDEX(Arten,MATCH(S29,Codes,0))="Arbeit",INDEX(Arten,MATCH(T29,Codes,0))="Arbeit"),IF(ROUND((1+INDEX(Beginne,MATCH(T29,Codes,0))-INDEX(EndeRel,MATCH(S29,Codes,0)))*1440,0)&lt;660,1,0),0),0))</f>
      </c>
      <c r="U78" s="1">
        <f>IF(OR(U$52=0,T29="",U29=""),0,IFERROR(IF(AND(INDEX(Arten,MATCH(T29,Codes,0))="Arbeit",INDEX(Arten,MATCH(U29,Codes,0))="Arbeit"),IF(ROUND((1+INDEX(Beginne,MATCH(U29,Codes,0))-INDEX(EndeRel,MATCH(T29,Codes,0)))*1440,0)&lt;660,1,0),0),0))</f>
      </c>
      <c r="V78" s="1">
        <f>IF(OR(V$52=0,U29="",V29=""),0,IFERROR(IF(AND(INDEX(Arten,MATCH(U29,Codes,0))="Arbeit",INDEX(Arten,MATCH(V29,Codes,0))="Arbeit"),IF(ROUND((1+INDEX(Beginne,MATCH(V29,Codes,0))-INDEX(EndeRel,MATCH(U29,Codes,0)))*1440,0)&lt;660,1,0),0),0))</f>
      </c>
      <c r="W78" s="1">
        <f>IF(OR(W$52=0,V29="",W29=""),0,IFERROR(IF(AND(INDEX(Arten,MATCH(V29,Codes,0))="Arbeit",INDEX(Arten,MATCH(W29,Codes,0))="Arbeit"),IF(ROUND((1+INDEX(Beginne,MATCH(W29,Codes,0))-INDEX(EndeRel,MATCH(V29,Codes,0)))*1440,0)&lt;660,1,0),0),0))</f>
      </c>
      <c r="X78" s="1">
        <f>IF(OR(X$52=0,W29="",X29=""),0,IFERROR(IF(AND(INDEX(Arten,MATCH(W29,Codes,0))="Arbeit",INDEX(Arten,MATCH(X29,Codes,0))="Arbeit"),IF(ROUND((1+INDEX(Beginne,MATCH(X29,Codes,0))-INDEX(EndeRel,MATCH(W29,Codes,0)))*1440,0)&lt;660,1,0),0),0))</f>
      </c>
      <c r="Y78" s="1">
        <f>IF(OR(Y$52=0,X29="",Y29=""),0,IFERROR(IF(AND(INDEX(Arten,MATCH(X29,Codes,0))="Arbeit",INDEX(Arten,MATCH(Y29,Codes,0))="Arbeit"),IF(ROUND((1+INDEX(Beginne,MATCH(Y29,Codes,0))-INDEX(EndeRel,MATCH(X29,Codes,0)))*1440,0)&lt;660,1,0),0),0))</f>
      </c>
      <c r="Z78" s="1">
        <f>IF(OR(Z$52=0,Y29="",Z29=""),0,IFERROR(IF(AND(INDEX(Arten,MATCH(Y29,Codes,0))="Arbeit",INDEX(Arten,MATCH(Z29,Codes,0))="Arbeit"),IF(ROUND((1+INDEX(Beginne,MATCH(Z29,Codes,0))-INDEX(EndeRel,MATCH(Y29,Codes,0)))*1440,0)&lt;660,1,0),0),0))</f>
      </c>
      <c r="AA78" s="1">
        <f>IF(OR(AA$52=0,Z29="",AA29=""),0,IFERROR(IF(AND(INDEX(Arten,MATCH(Z29,Codes,0))="Arbeit",INDEX(Arten,MATCH(AA29,Codes,0))="Arbeit"),IF(ROUND((1+INDEX(Beginne,MATCH(AA29,Codes,0))-INDEX(EndeRel,MATCH(Z29,Codes,0)))*1440,0)&lt;660,1,0),0),0))</f>
      </c>
      <c r="AB78" s="1">
        <f>IF(OR(AB$52=0,AA29="",AB29=""),0,IFERROR(IF(AND(INDEX(Arten,MATCH(AA29,Codes,0))="Arbeit",INDEX(Arten,MATCH(AB29,Codes,0))="Arbeit"),IF(ROUND((1+INDEX(Beginne,MATCH(AB29,Codes,0))-INDEX(EndeRel,MATCH(AA29,Codes,0)))*1440,0)&lt;660,1,0),0),0))</f>
      </c>
      <c r="AC78" s="1">
        <f>IF(OR(AC$52=0,AB29="",AC29=""),0,IFERROR(IF(AND(INDEX(Arten,MATCH(AB29,Codes,0))="Arbeit",INDEX(Arten,MATCH(AC29,Codes,0))="Arbeit"),IF(ROUND((1+INDEX(Beginne,MATCH(AC29,Codes,0))-INDEX(EndeRel,MATCH(AB29,Codes,0)))*1440,0)&lt;660,1,0),0),0))</f>
      </c>
      <c r="AD78" s="1">
        <f>IF(OR(AD$52=0,AC29="",AD29=""),0,IFERROR(IF(AND(INDEX(Arten,MATCH(AC29,Codes,0))="Arbeit",INDEX(Arten,MATCH(AD29,Codes,0))="Arbeit"),IF(ROUND((1+INDEX(Beginne,MATCH(AD29,Codes,0))-INDEX(EndeRel,MATCH(AC29,Codes,0)))*1440,0)&lt;660,1,0),0),0))</f>
      </c>
      <c r="AE78" s="1">
        <f>IF(OR(AE$52=0,AD29="",AE29=""),0,IFERROR(IF(AND(INDEX(Arten,MATCH(AD29,Codes,0))="Arbeit",INDEX(Arten,MATCH(AE29,Codes,0))="Arbeit"),IF(ROUND((1+INDEX(Beginne,MATCH(AE29,Codes,0))-INDEX(EndeRel,MATCH(AD29,Codes,0)))*1440,0)&lt;660,1,0),0),0))</f>
      </c>
      <c r="AF78" s="1">
        <f>IF(OR(AF$52=0,AE29="",AF29=""),0,IFERROR(IF(AND(INDEX(Arten,MATCH(AE29,Codes,0))="Arbeit",INDEX(Arten,MATCH(AF29,Codes,0))="Arbeit"),IF(ROUND((1+INDEX(Beginne,MATCH(AF29,Codes,0))-INDEX(EndeRel,MATCH(AE29,Codes,0)))*1440,0)&lt;660,1,0),0),0))</f>
      </c>
    </row>
    <row r="79" hidden="1" spans="1:32" x14ac:dyDescent="0.25">
      <c r="A79" s="1"/>
      <c r="B79" s="1">
        <f>IF(OR(B$52=0,INDEX('September'!$B$30:$AF$30,DAY(DATE(Jahr,10,0)))="",B30=""),0,IFERROR(IF(AND(INDEX(Arten,MATCH(INDEX('September'!$B$30:$AF$30,DAY(DATE(Jahr,10,0))),Codes,0))="Arbeit",INDEX(Arten,MATCH(B30,Codes,0))="Arbeit"),IF(ROUND((1+INDEX(Beginne,MATCH(B30,Codes,0))-INDEX(EndeRel,MATCH(INDEX('September'!$B$30:$AF$30,DAY(DATE(Jahr,10,0))),Codes,0)))*1440,0)&lt;660,1,0),0),0))</f>
      </c>
      <c r="C79" s="1">
        <f>IF(OR(C$52=0,B30="",C30=""),0,IFERROR(IF(AND(INDEX(Arten,MATCH(B30,Codes,0))="Arbeit",INDEX(Arten,MATCH(C30,Codes,0))="Arbeit"),IF(ROUND((1+INDEX(Beginne,MATCH(C30,Codes,0))-INDEX(EndeRel,MATCH(B30,Codes,0)))*1440,0)&lt;660,1,0),0),0))</f>
      </c>
      <c r="D79" s="1">
        <f>IF(OR(D$52=0,C30="",D30=""),0,IFERROR(IF(AND(INDEX(Arten,MATCH(C30,Codes,0))="Arbeit",INDEX(Arten,MATCH(D30,Codes,0))="Arbeit"),IF(ROUND((1+INDEX(Beginne,MATCH(D30,Codes,0))-INDEX(EndeRel,MATCH(C30,Codes,0)))*1440,0)&lt;660,1,0),0),0))</f>
      </c>
      <c r="E79" s="1">
        <f>IF(OR(E$52=0,D30="",E30=""),0,IFERROR(IF(AND(INDEX(Arten,MATCH(D30,Codes,0))="Arbeit",INDEX(Arten,MATCH(E30,Codes,0))="Arbeit"),IF(ROUND((1+INDEX(Beginne,MATCH(E30,Codes,0))-INDEX(EndeRel,MATCH(D30,Codes,0)))*1440,0)&lt;660,1,0),0),0))</f>
      </c>
      <c r="F79" s="1">
        <f>IF(OR(F$52=0,E30="",F30=""),0,IFERROR(IF(AND(INDEX(Arten,MATCH(E30,Codes,0))="Arbeit",INDEX(Arten,MATCH(F30,Codes,0))="Arbeit"),IF(ROUND((1+INDEX(Beginne,MATCH(F30,Codes,0))-INDEX(EndeRel,MATCH(E30,Codes,0)))*1440,0)&lt;660,1,0),0),0))</f>
      </c>
      <c r="G79" s="1">
        <f>IF(OR(G$52=0,F30="",G30=""),0,IFERROR(IF(AND(INDEX(Arten,MATCH(F30,Codes,0))="Arbeit",INDEX(Arten,MATCH(G30,Codes,0))="Arbeit"),IF(ROUND((1+INDEX(Beginne,MATCH(G30,Codes,0))-INDEX(EndeRel,MATCH(F30,Codes,0)))*1440,0)&lt;660,1,0),0),0))</f>
      </c>
      <c r="H79" s="1">
        <f>IF(OR(H$52=0,G30="",H30=""),0,IFERROR(IF(AND(INDEX(Arten,MATCH(G30,Codes,0))="Arbeit",INDEX(Arten,MATCH(H30,Codes,0))="Arbeit"),IF(ROUND((1+INDEX(Beginne,MATCH(H30,Codes,0))-INDEX(EndeRel,MATCH(G30,Codes,0)))*1440,0)&lt;660,1,0),0),0))</f>
      </c>
      <c r="I79" s="1">
        <f>IF(OR(I$52=0,H30="",I30=""),0,IFERROR(IF(AND(INDEX(Arten,MATCH(H30,Codes,0))="Arbeit",INDEX(Arten,MATCH(I30,Codes,0))="Arbeit"),IF(ROUND((1+INDEX(Beginne,MATCH(I30,Codes,0))-INDEX(EndeRel,MATCH(H30,Codes,0)))*1440,0)&lt;660,1,0),0),0))</f>
      </c>
      <c r="J79" s="1">
        <f>IF(OR(J$52=0,I30="",J30=""),0,IFERROR(IF(AND(INDEX(Arten,MATCH(I30,Codes,0))="Arbeit",INDEX(Arten,MATCH(J30,Codes,0))="Arbeit"),IF(ROUND((1+INDEX(Beginne,MATCH(J30,Codes,0))-INDEX(EndeRel,MATCH(I30,Codes,0)))*1440,0)&lt;660,1,0),0),0))</f>
      </c>
      <c r="K79" s="1">
        <f>IF(OR(K$52=0,J30="",K30=""),0,IFERROR(IF(AND(INDEX(Arten,MATCH(J30,Codes,0))="Arbeit",INDEX(Arten,MATCH(K30,Codes,0))="Arbeit"),IF(ROUND((1+INDEX(Beginne,MATCH(K30,Codes,0))-INDEX(EndeRel,MATCH(J30,Codes,0)))*1440,0)&lt;660,1,0),0),0))</f>
      </c>
      <c r="L79" s="1">
        <f>IF(OR(L$52=0,K30="",L30=""),0,IFERROR(IF(AND(INDEX(Arten,MATCH(K30,Codes,0))="Arbeit",INDEX(Arten,MATCH(L30,Codes,0))="Arbeit"),IF(ROUND((1+INDEX(Beginne,MATCH(L30,Codes,0))-INDEX(EndeRel,MATCH(K30,Codes,0)))*1440,0)&lt;660,1,0),0),0))</f>
      </c>
      <c r="M79" s="1">
        <f>IF(OR(M$52=0,L30="",M30=""),0,IFERROR(IF(AND(INDEX(Arten,MATCH(L30,Codes,0))="Arbeit",INDEX(Arten,MATCH(M30,Codes,0))="Arbeit"),IF(ROUND((1+INDEX(Beginne,MATCH(M30,Codes,0))-INDEX(EndeRel,MATCH(L30,Codes,0)))*1440,0)&lt;660,1,0),0),0))</f>
      </c>
      <c r="N79" s="1">
        <f>IF(OR(N$52=0,M30="",N30=""),0,IFERROR(IF(AND(INDEX(Arten,MATCH(M30,Codes,0))="Arbeit",INDEX(Arten,MATCH(N30,Codes,0))="Arbeit"),IF(ROUND((1+INDEX(Beginne,MATCH(N30,Codes,0))-INDEX(EndeRel,MATCH(M30,Codes,0)))*1440,0)&lt;660,1,0),0),0))</f>
      </c>
      <c r="O79" s="1">
        <f>IF(OR(O$52=0,N30="",O30=""),0,IFERROR(IF(AND(INDEX(Arten,MATCH(N30,Codes,0))="Arbeit",INDEX(Arten,MATCH(O30,Codes,0))="Arbeit"),IF(ROUND((1+INDEX(Beginne,MATCH(O30,Codes,0))-INDEX(EndeRel,MATCH(N30,Codes,0)))*1440,0)&lt;660,1,0),0),0))</f>
      </c>
      <c r="P79" s="1">
        <f>IF(OR(P$52=0,O30="",P30=""),0,IFERROR(IF(AND(INDEX(Arten,MATCH(O30,Codes,0))="Arbeit",INDEX(Arten,MATCH(P30,Codes,0))="Arbeit"),IF(ROUND((1+INDEX(Beginne,MATCH(P30,Codes,0))-INDEX(EndeRel,MATCH(O30,Codes,0)))*1440,0)&lt;660,1,0),0),0))</f>
      </c>
      <c r="Q79" s="1">
        <f>IF(OR(Q$52=0,P30="",Q30=""),0,IFERROR(IF(AND(INDEX(Arten,MATCH(P30,Codes,0))="Arbeit",INDEX(Arten,MATCH(Q30,Codes,0))="Arbeit"),IF(ROUND((1+INDEX(Beginne,MATCH(Q30,Codes,0))-INDEX(EndeRel,MATCH(P30,Codes,0)))*1440,0)&lt;660,1,0),0),0))</f>
      </c>
      <c r="R79" s="1">
        <f>IF(OR(R$52=0,Q30="",R30=""),0,IFERROR(IF(AND(INDEX(Arten,MATCH(Q30,Codes,0))="Arbeit",INDEX(Arten,MATCH(R30,Codes,0))="Arbeit"),IF(ROUND((1+INDEX(Beginne,MATCH(R30,Codes,0))-INDEX(EndeRel,MATCH(Q30,Codes,0)))*1440,0)&lt;660,1,0),0),0))</f>
      </c>
      <c r="S79" s="1">
        <f>IF(OR(S$52=0,R30="",S30=""),0,IFERROR(IF(AND(INDEX(Arten,MATCH(R30,Codes,0))="Arbeit",INDEX(Arten,MATCH(S30,Codes,0))="Arbeit"),IF(ROUND((1+INDEX(Beginne,MATCH(S30,Codes,0))-INDEX(EndeRel,MATCH(R30,Codes,0)))*1440,0)&lt;660,1,0),0),0))</f>
      </c>
      <c r="T79" s="1">
        <f>IF(OR(T$52=0,S30="",T30=""),0,IFERROR(IF(AND(INDEX(Arten,MATCH(S30,Codes,0))="Arbeit",INDEX(Arten,MATCH(T30,Codes,0))="Arbeit"),IF(ROUND((1+INDEX(Beginne,MATCH(T30,Codes,0))-INDEX(EndeRel,MATCH(S30,Codes,0)))*1440,0)&lt;660,1,0),0),0))</f>
      </c>
      <c r="U79" s="1">
        <f>IF(OR(U$52=0,T30="",U30=""),0,IFERROR(IF(AND(INDEX(Arten,MATCH(T30,Codes,0))="Arbeit",INDEX(Arten,MATCH(U30,Codes,0))="Arbeit"),IF(ROUND((1+INDEX(Beginne,MATCH(U30,Codes,0))-INDEX(EndeRel,MATCH(T30,Codes,0)))*1440,0)&lt;660,1,0),0),0))</f>
      </c>
      <c r="V79" s="1">
        <f>IF(OR(V$52=0,U30="",V30=""),0,IFERROR(IF(AND(INDEX(Arten,MATCH(U30,Codes,0))="Arbeit",INDEX(Arten,MATCH(V30,Codes,0))="Arbeit"),IF(ROUND((1+INDEX(Beginne,MATCH(V30,Codes,0))-INDEX(EndeRel,MATCH(U30,Codes,0)))*1440,0)&lt;660,1,0),0),0))</f>
      </c>
      <c r="W79" s="1">
        <f>IF(OR(W$52=0,V30="",W30=""),0,IFERROR(IF(AND(INDEX(Arten,MATCH(V30,Codes,0))="Arbeit",INDEX(Arten,MATCH(W30,Codes,0))="Arbeit"),IF(ROUND((1+INDEX(Beginne,MATCH(W30,Codes,0))-INDEX(EndeRel,MATCH(V30,Codes,0)))*1440,0)&lt;660,1,0),0),0))</f>
      </c>
      <c r="X79" s="1">
        <f>IF(OR(X$52=0,W30="",X30=""),0,IFERROR(IF(AND(INDEX(Arten,MATCH(W30,Codes,0))="Arbeit",INDEX(Arten,MATCH(X30,Codes,0))="Arbeit"),IF(ROUND((1+INDEX(Beginne,MATCH(X30,Codes,0))-INDEX(EndeRel,MATCH(W30,Codes,0)))*1440,0)&lt;660,1,0),0),0))</f>
      </c>
      <c r="Y79" s="1">
        <f>IF(OR(Y$52=0,X30="",Y30=""),0,IFERROR(IF(AND(INDEX(Arten,MATCH(X30,Codes,0))="Arbeit",INDEX(Arten,MATCH(Y30,Codes,0))="Arbeit"),IF(ROUND((1+INDEX(Beginne,MATCH(Y30,Codes,0))-INDEX(EndeRel,MATCH(X30,Codes,0)))*1440,0)&lt;660,1,0),0),0))</f>
      </c>
      <c r="Z79" s="1">
        <f>IF(OR(Z$52=0,Y30="",Z30=""),0,IFERROR(IF(AND(INDEX(Arten,MATCH(Y30,Codes,0))="Arbeit",INDEX(Arten,MATCH(Z30,Codes,0))="Arbeit"),IF(ROUND((1+INDEX(Beginne,MATCH(Z30,Codes,0))-INDEX(EndeRel,MATCH(Y30,Codes,0)))*1440,0)&lt;660,1,0),0),0))</f>
      </c>
      <c r="AA79" s="1">
        <f>IF(OR(AA$52=0,Z30="",AA30=""),0,IFERROR(IF(AND(INDEX(Arten,MATCH(Z30,Codes,0))="Arbeit",INDEX(Arten,MATCH(AA30,Codes,0))="Arbeit"),IF(ROUND((1+INDEX(Beginne,MATCH(AA30,Codes,0))-INDEX(EndeRel,MATCH(Z30,Codes,0)))*1440,0)&lt;660,1,0),0),0))</f>
      </c>
      <c r="AB79" s="1">
        <f>IF(OR(AB$52=0,AA30="",AB30=""),0,IFERROR(IF(AND(INDEX(Arten,MATCH(AA30,Codes,0))="Arbeit",INDEX(Arten,MATCH(AB30,Codes,0))="Arbeit"),IF(ROUND((1+INDEX(Beginne,MATCH(AB30,Codes,0))-INDEX(EndeRel,MATCH(AA30,Codes,0)))*1440,0)&lt;660,1,0),0),0))</f>
      </c>
      <c r="AC79" s="1">
        <f>IF(OR(AC$52=0,AB30="",AC30=""),0,IFERROR(IF(AND(INDEX(Arten,MATCH(AB30,Codes,0))="Arbeit",INDEX(Arten,MATCH(AC30,Codes,0))="Arbeit"),IF(ROUND((1+INDEX(Beginne,MATCH(AC30,Codes,0))-INDEX(EndeRel,MATCH(AB30,Codes,0)))*1440,0)&lt;660,1,0),0),0))</f>
      </c>
      <c r="AD79" s="1">
        <f>IF(OR(AD$52=0,AC30="",AD30=""),0,IFERROR(IF(AND(INDEX(Arten,MATCH(AC30,Codes,0))="Arbeit",INDEX(Arten,MATCH(AD30,Codes,0))="Arbeit"),IF(ROUND((1+INDEX(Beginne,MATCH(AD30,Codes,0))-INDEX(EndeRel,MATCH(AC30,Codes,0)))*1440,0)&lt;660,1,0),0),0))</f>
      </c>
      <c r="AE79" s="1">
        <f>IF(OR(AE$52=0,AD30="",AE30=""),0,IFERROR(IF(AND(INDEX(Arten,MATCH(AD30,Codes,0))="Arbeit",INDEX(Arten,MATCH(AE30,Codes,0))="Arbeit"),IF(ROUND((1+INDEX(Beginne,MATCH(AE30,Codes,0))-INDEX(EndeRel,MATCH(AD30,Codes,0)))*1440,0)&lt;660,1,0),0),0))</f>
      </c>
      <c r="AF79" s="1">
        <f>IF(OR(AF$52=0,AE30="",AF30=""),0,IFERROR(IF(AND(INDEX(Arten,MATCH(AE30,Codes,0))="Arbeit",INDEX(Arten,MATCH(AF30,Codes,0))="Arbeit"),IF(ROUND((1+INDEX(Beginne,MATCH(AF30,Codes,0))-INDEX(EndeRel,MATCH(AE30,Codes,0)))*1440,0)&lt;660,1,0),0),0))</f>
      </c>
    </row>
    <row r="80" hidden="1" spans="1:32" x14ac:dyDescent="0.25">
      <c r="A80" s="1"/>
      <c r="B80" s="1">
        <f>IF(OR(B$52=0,INDEX('September'!$B$31:$AF$31,DAY(DATE(Jahr,10,0)))="",B31=""),0,IFERROR(IF(AND(INDEX(Arten,MATCH(INDEX('September'!$B$31:$AF$31,DAY(DATE(Jahr,10,0))),Codes,0))="Arbeit",INDEX(Arten,MATCH(B31,Codes,0))="Arbeit"),IF(ROUND((1+INDEX(Beginne,MATCH(B31,Codes,0))-INDEX(EndeRel,MATCH(INDEX('September'!$B$31:$AF$31,DAY(DATE(Jahr,10,0))),Codes,0)))*1440,0)&lt;660,1,0),0),0))</f>
      </c>
      <c r="C80" s="1">
        <f>IF(OR(C$52=0,B31="",C31=""),0,IFERROR(IF(AND(INDEX(Arten,MATCH(B31,Codes,0))="Arbeit",INDEX(Arten,MATCH(C31,Codes,0))="Arbeit"),IF(ROUND((1+INDEX(Beginne,MATCH(C31,Codes,0))-INDEX(EndeRel,MATCH(B31,Codes,0)))*1440,0)&lt;660,1,0),0),0))</f>
      </c>
      <c r="D80" s="1">
        <f>IF(OR(D$52=0,C31="",D31=""),0,IFERROR(IF(AND(INDEX(Arten,MATCH(C31,Codes,0))="Arbeit",INDEX(Arten,MATCH(D31,Codes,0))="Arbeit"),IF(ROUND((1+INDEX(Beginne,MATCH(D31,Codes,0))-INDEX(EndeRel,MATCH(C31,Codes,0)))*1440,0)&lt;660,1,0),0),0))</f>
      </c>
      <c r="E80" s="1">
        <f>IF(OR(E$52=0,D31="",E31=""),0,IFERROR(IF(AND(INDEX(Arten,MATCH(D31,Codes,0))="Arbeit",INDEX(Arten,MATCH(E31,Codes,0))="Arbeit"),IF(ROUND((1+INDEX(Beginne,MATCH(E31,Codes,0))-INDEX(EndeRel,MATCH(D31,Codes,0)))*1440,0)&lt;660,1,0),0),0))</f>
      </c>
      <c r="F80" s="1">
        <f>IF(OR(F$52=0,E31="",F31=""),0,IFERROR(IF(AND(INDEX(Arten,MATCH(E31,Codes,0))="Arbeit",INDEX(Arten,MATCH(F31,Codes,0))="Arbeit"),IF(ROUND((1+INDEX(Beginne,MATCH(F31,Codes,0))-INDEX(EndeRel,MATCH(E31,Codes,0)))*1440,0)&lt;660,1,0),0),0))</f>
      </c>
      <c r="G80" s="1">
        <f>IF(OR(G$52=0,F31="",G31=""),0,IFERROR(IF(AND(INDEX(Arten,MATCH(F31,Codes,0))="Arbeit",INDEX(Arten,MATCH(G31,Codes,0))="Arbeit"),IF(ROUND((1+INDEX(Beginne,MATCH(G31,Codes,0))-INDEX(EndeRel,MATCH(F31,Codes,0)))*1440,0)&lt;660,1,0),0),0))</f>
      </c>
      <c r="H80" s="1">
        <f>IF(OR(H$52=0,G31="",H31=""),0,IFERROR(IF(AND(INDEX(Arten,MATCH(G31,Codes,0))="Arbeit",INDEX(Arten,MATCH(H31,Codes,0))="Arbeit"),IF(ROUND((1+INDEX(Beginne,MATCH(H31,Codes,0))-INDEX(EndeRel,MATCH(G31,Codes,0)))*1440,0)&lt;660,1,0),0),0))</f>
      </c>
      <c r="I80" s="1">
        <f>IF(OR(I$52=0,H31="",I31=""),0,IFERROR(IF(AND(INDEX(Arten,MATCH(H31,Codes,0))="Arbeit",INDEX(Arten,MATCH(I31,Codes,0))="Arbeit"),IF(ROUND((1+INDEX(Beginne,MATCH(I31,Codes,0))-INDEX(EndeRel,MATCH(H31,Codes,0)))*1440,0)&lt;660,1,0),0),0))</f>
      </c>
      <c r="J80" s="1">
        <f>IF(OR(J$52=0,I31="",J31=""),0,IFERROR(IF(AND(INDEX(Arten,MATCH(I31,Codes,0))="Arbeit",INDEX(Arten,MATCH(J31,Codes,0))="Arbeit"),IF(ROUND((1+INDEX(Beginne,MATCH(J31,Codes,0))-INDEX(EndeRel,MATCH(I31,Codes,0)))*1440,0)&lt;660,1,0),0),0))</f>
      </c>
      <c r="K80" s="1">
        <f>IF(OR(K$52=0,J31="",K31=""),0,IFERROR(IF(AND(INDEX(Arten,MATCH(J31,Codes,0))="Arbeit",INDEX(Arten,MATCH(K31,Codes,0))="Arbeit"),IF(ROUND((1+INDEX(Beginne,MATCH(K31,Codes,0))-INDEX(EndeRel,MATCH(J31,Codes,0)))*1440,0)&lt;660,1,0),0),0))</f>
      </c>
      <c r="L80" s="1">
        <f>IF(OR(L$52=0,K31="",L31=""),0,IFERROR(IF(AND(INDEX(Arten,MATCH(K31,Codes,0))="Arbeit",INDEX(Arten,MATCH(L31,Codes,0))="Arbeit"),IF(ROUND((1+INDEX(Beginne,MATCH(L31,Codes,0))-INDEX(EndeRel,MATCH(K31,Codes,0)))*1440,0)&lt;660,1,0),0),0))</f>
      </c>
      <c r="M80" s="1">
        <f>IF(OR(M$52=0,L31="",M31=""),0,IFERROR(IF(AND(INDEX(Arten,MATCH(L31,Codes,0))="Arbeit",INDEX(Arten,MATCH(M31,Codes,0))="Arbeit"),IF(ROUND((1+INDEX(Beginne,MATCH(M31,Codes,0))-INDEX(EndeRel,MATCH(L31,Codes,0)))*1440,0)&lt;660,1,0),0),0))</f>
      </c>
      <c r="N80" s="1">
        <f>IF(OR(N$52=0,M31="",N31=""),0,IFERROR(IF(AND(INDEX(Arten,MATCH(M31,Codes,0))="Arbeit",INDEX(Arten,MATCH(N31,Codes,0))="Arbeit"),IF(ROUND((1+INDEX(Beginne,MATCH(N31,Codes,0))-INDEX(EndeRel,MATCH(M31,Codes,0)))*1440,0)&lt;660,1,0),0),0))</f>
      </c>
      <c r="O80" s="1">
        <f>IF(OR(O$52=0,N31="",O31=""),0,IFERROR(IF(AND(INDEX(Arten,MATCH(N31,Codes,0))="Arbeit",INDEX(Arten,MATCH(O31,Codes,0))="Arbeit"),IF(ROUND((1+INDEX(Beginne,MATCH(O31,Codes,0))-INDEX(EndeRel,MATCH(N31,Codes,0)))*1440,0)&lt;660,1,0),0),0))</f>
      </c>
      <c r="P80" s="1">
        <f>IF(OR(P$52=0,O31="",P31=""),0,IFERROR(IF(AND(INDEX(Arten,MATCH(O31,Codes,0))="Arbeit",INDEX(Arten,MATCH(P31,Codes,0))="Arbeit"),IF(ROUND((1+INDEX(Beginne,MATCH(P31,Codes,0))-INDEX(EndeRel,MATCH(O31,Codes,0)))*1440,0)&lt;660,1,0),0),0))</f>
      </c>
      <c r="Q80" s="1">
        <f>IF(OR(Q$52=0,P31="",Q31=""),0,IFERROR(IF(AND(INDEX(Arten,MATCH(P31,Codes,0))="Arbeit",INDEX(Arten,MATCH(Q31,Codes,0))="Arbeit"),IF(ROUND((1+INDEX(Beginne,MATCH(Q31,Codes,0))-INDEX(EndeRel,MATCH(P31,Codes,0)))*1440,0)&lt;660,1,0),0),0))</f>
      </c>
      <c r="R80" s="1">
        <f>IF(OR(R$52=0,Q31="",R31=""),0,IFERROR(IF(AND(INDEX(Arten,MATCH(Q31,Codes,0))="Arbeit",INDEX(Arten,MATCH(R31,Codes,0))="Arbeit"),IF(ROUND((1+INDEX(Beginne,MATCH(R31,Codes,0))-INDEX(EndeRel,MATCH(Q31,Codes,0)))*1440,0)&lt;660,1,0),0),0))</f>
      </c>
      <c r="S80" s="1">
        <f>IF(OR(S$52=0,R31="",S31=""),0,IFERROR(IF(AND(INDEX(Arten,MATCH(R31,Codes,0))="Arbeit",INDEX(Arten,MATCH(S31,Codes,0))="Arbeit"),IF(ROUND((1+INDEX(Beginne,MATCH(S31,Codes,0))-INDEX(EndeRel,MATCH(R31,Codes,0)))*1440,0)&lt;660,1,0),0),0))</f>
      </c>
      <c r="T80" s="1">
        <f>IF(OR(T$52=0,S31="",T31=""),0,IFERROR(IF(AND(INDEX(Arten,MATCH(S31,Codes,0))="Arbeit",INDEX(Arten,MATCH(T31,Codes,0))="Arbeit"),IF(ROUND((1+INDEX(Beginne,MATCH(T31,Codes,0))-INDEX(EndeRel,MATCH(S31,Codes,0)))*1440,0)&lt;660,1,0),0),0))</f>
      </c>
      <c r="U80" s="1">
        <f>IF(OR(U$52=0,T31="",U31=""),0,IFERROR(IF(AND(INDEX(Arten,MATCH(T31,Codes,0))="Arbeit",INDEX(Arten,MATCH(U31,Codes,0))="Arbeit"),IF(ROUND((1+INDEX(Beginne,MATCH(U31,Codes,0))-INDEX(EndeRel,MATCH(T31,Codes,0)))*1440,0)&lt;660,1,0),0),0))</f>
      </c>
      <c r="V80" s="1">
        <f>IF(OR(V$52=0,U31="",V31=""),0,IFERROR(IF(AND(INDEX(Arten,MATCH(U31,Codes,0))="Arbeit",INDEX(Arten,MATCH(V31,Codes,0))="Arbeit"),IF(ROUND((1+INDEX(Beginne,MATCH(V31,Codes,0))-INDEX(EndeRel,MATCH(U31,Codes,0)))*1440,0)&lt;660,1,0),0),0))</f>
      </c>
      <c r="W80" s="1">
        <f>IF(OR(W$52=0,V31="",W31=""),0,IFERROR(IF(AND(INDEX(Arten,MATCH(V31,Codes,0))="Arbeit",INDEX(Arten,MATCH(W31,Codes,0))="Arbeit"),IF(ROUND((1+INDEX(Beginne,MATCH(W31,Codes,0))-INDEX(EndeRel,MATCH(V31,Codes,0)))*1440,0)&lt;660,1,0),0),0))</f>
      </c>
      <c r="X80" s="1">
        <f>IF(OR(X$52=0,W31="",X31=""),0,IFERROR(IF(AND(INDEX(Arten,MATCH(W31,Codes,0))="Arbeit",INDEX(Arten,MATCH(X31,Codes,0))="Arbeit"),IF(ROUND((1+INDEX(Beginne,MATCH(X31,Codes,0))-INDEX(EndeRel,MATCH(W31,Codes,0)))*1440,0)&lt;660,1,0),0),0))</f>
      </c>
      <c r="Y80" s="1">
        <f>IF(OR(Y$52=0,X31="",Y31=""),0,IFERROR(IF(AND(INDEX(Arten,MATCH(X31,Codes,0))="Arbeit",INDEX(Arten,MATCH(Y31,Codes,0))="Arbeit"),IF(ROUND((1+INDEX(Beginne,MATCH(Y31,Codes,0))-INDEX(EndeRel,MATCH(X31,Codes,0)))*1440,0)&lt;660,1,0),0),0))</f>
      </c>
      <c r="Z80" s="1">
        <f>IF(OR(Z$52=0,Y31="",Z31=""),0,IFERROR(IF(AND(INDEX(Arten,MATCH(Y31,Codes,0))="Arbeit",INDEX(Arten,MATCH(Z31,Codes,0))="Arbeit"),IF(ROUND((1+INDEX(Beginne,MATCH(Z31,Codes,0))-INDEX(EndeRel,MATCH(Y31,Codes,0)))*1440,0)&lt;660,1,0),0),0))</f>
      </c>
      <c r="AA80" s="1">
        <f>IF(OR(AA$52=0,Z31="",AA31=""),0,IFERROR(IF(AND(INDEX(Arten,MATCH(Z31,Codes,0))="Arbeit",INDEX(Arten,MATCH(AA31,Codes,0))="Arbeit"),IF(ROUND((1+INDEX(Beginne,MATCH(AA31,Codes,0))-INDEX(EndeRel,MATCH(Z31,Codes,0)))*1440,0)&lt;660,1,0),0),0))</f>
      </c>
      <c r="AB80" s="1">
        <f>IF(OR(AB$52=0,AA31="",AB31=""),0,IFERROR(IF(AND(INDEX(Arten,MATCH(AA31,Codes,0))="Arbeit",INDEX(Arten,MATCH(AB31,Codes,0))="Arbeit"),IF(ROUND((1+INDEX(Beginne,MATCH(AB31,Codes,0))-INDEX(EndeRel,MATCH(AA31,Codes,0)))*1440,0)&lt;660,1,0),0),0))</f>
      </c>
      <c r="AC80" s="1">
        <f>IF(OR(AC$52=0,AB31="",AC31=""),0,IFERROR(IF(AND(INDEX(Arten,MATCH(AB31,Codes,0))="Arbeit",INDEX(Arten,MATCH(AC31,Codes,0))="Arbeit"),IF(ROUND((1+INDEX(Beginne,MATCH(AC31,Codes,0))-INDEX(EndeRel,MATCH(AB31,Codes,0)))*1440,0)&lt;660,1,0),0),0))</f>
      </c>
      <c r="AD80" s="1">
        <f>IF(OR(AD$52=0,AC31="",AD31=""),0,IFERROR(IF(AND(INDEX(Arten,MATCH(AC31,Codes,0))="Arbeit",INDEX(Arten,MATCH(AD31,Codes,0))="Arbeit"),IF(ROUND((1+INDEX(Beginne,MATCH(AD31,Codes,0))-INDEX(EndeRel,MATCH(AC31,Codes,0)))*1440,0)&lt;660,1,0),0),0))</f>
      </c>
      <c r="AE80" s="1">
        <f>IF(OR(AE$52=0,AD31="",AE31=""),0,IFERROR(IF(AND(INDEX(Arten,MATCH(AD31,Codes,0))="Arbeit",INDEX(Arten,MATCH(AE31,Codes,0))="Arbeit"),IF(ROUND((1+INDEX(Beginne,MATCH(AE31,Codes,0))-INDEX(EndeRel,MATCH(AD31,Codes,0)))*1440,0)&lt;660,1,0),0),0))</f>
      </c>
      <c r="AF80" s="1">
        <f>IF(OR(AF$52=0,AE31="",AF31=""),0,IFERROR(IF(AND(INDEX(Arten,MATCH(AE31,Codes,0))="Arbeit",INDEX(Arten,MATCH(AF31,Codes,0))="Arbeit"),IF(ROUND((1+INDEX(Beginne,MATCH(AF31,Codes,0))-INDEX(EndeRel,MATCH(AE31,Codes,0)))*1440,0)&lt;660,1,0),0),0))</f>
      </c>
    </row>
    <row r="81" hidden="1" spans="1:32" x14ac:dyDescent="0.25">
      <c r="A81" s="1"/>
      <c r="B81" s="1">
        <f>IF(OR(B$52=0,INDEX('September'!$B$32:$AF$32,DAY(DATE(Jahr,10,0)))="",B32=""),0,IFERROR(IF(AND(INDEX(Arten,MATCH(INDEX('September'!$B$32:$AF$32,DAY(DATE(Jahr,10,0))),Codes,0))="Arbeit",INDEX(Arten,MATCH(B32,Codes,0))="Arbeit"),IF(ROUND((1+INDEX(Beginne,MATCH(B32,Codes,0))-INDEX(EndeRel,MATCH(INDEX('September'!$B$32:$AF$32,DAY(DATE(Jahr,10,0))),Codes,0)))*1440,0)&lt;660,1,0),0),0))</f>
      </c>
      <c r="C81" s="1">
        <f>IF(OR(C$52=0,B32="",C32=""),0,IFERROR(IF(AND(INDEX(Arten,MATCH(B32,Codes,0))="Arbeit",INDEX(Arten,MATCH(C32,Codes,0))="Arbeit"),IF(ROUND((1+INDEX(Beginne,MATCH(C32,Codes,0))-INDEX(EndeRel,MATCH(B32,Codes,0)))*1440,0)&lt;660,1,0),0),0))</f>
      </c>
      <c r="D81" s="1">
        <f>IF(OR(D$52=0,C32="",D32=""),0,IFERROR(IF(AND(INDEX(Arten,MATCH(C32,Codes,0))="Arbeit",INDEX(Arten,MATCH(D32,Codes,0))="Arbeit"),IF(ROUND((1+INDEX(Beginne,MATCH(D32,Codes,0))-INDEX(EndeRel,MATCH(C32,Codes,0)))*1440,0)&lt;660,1,0),0),0))</f>
      </c>
      <c r="E81" s="1">
        <f>IF(OR(E$52=0,D32="",E32=""),0,IFERROR(IF(AND(INDEX(Arten,MATCH(D32,Codes,0))="Arbeit",INDEX(Arten,MATCH(E32,Codes,0))="Arbeit"),IF(ROUND((1+INDEX(Beginne,MATCH(E32,Codes,0))-INDEX(EndeRel,MATCH(D32,Codes,0)))*1440,0)&lt;660,1,0),0),0))</f>
      </c>
      <c r="F81" s="1">
        <f>IF(OR(F$52=0,E32="",F32=""),0,IFERROR(IF(AND(INDEX(Arten,MATCH(E32,Codes,0))="Arbeit",INDEX(Arten,MATCH(F32,Codes,0))="Arbeit"),IF(ROUND((1+INDEX(Beginne,MATCH(F32,Codes,0))-INDEX(EndeRel,MATCH(E32,Codes,0)))*1440,0)&lt;660,1,0),0),0))</f>
      </c>
      <c r="G81" s="1">
        <f>IF(OR(G$52=0,F32="",G32=""),0,IFERROR(IF(AND(INDEX(Arten,MATCH(F32,Codes,0))="Arbeit",INDEX(Arten,MATCH(G32,Codes,0))="Arbeit"),IF(ROUND((1+INDEX(Beginne,MATCH(G32,Codes,0))-INDEX(EndeRel,MATCH(F32,Codes,0)))*1440,0)&lt;660,1,0),0),0))</f>
      </c>
      <c r="H81" s="1">
        <f>IF(OR(H$52=0,G32="",H32=""),0,IFERROR(IF(AND(INDEX(Arten,MATCH(G32,Codes,0))="Arbeit",INDEX(Arten,MATCH(H32,Codes,0))="Arbeit"),IF(ROUND((1+INDEX(Beginne,MATCH(H32,Codes,0))-INDEX(EndeRel,MATCH(G32,Codes,0)))*1440,0)&lt;660,1,0),0),0))</f>
      </c>
      <c r="I81" s="1">
        <f>IF(OR(I$52=0,H32="",I32=""),0,IFERROR(IF(AND(INDEX(Arten,MATCH(H32,Codes,0))="Arbeit",INDEX(Arten,MATCH(I32,Codes,0))="Arbeit"),IF(ROUND((1+INDEX(Beginne,MATCH(I32,Codes,0))-INDEX(EndeRel,MATCH(H32,Codes,0)))*1440,0)&lt;660,1,0),0),0))</f>
      </c>
      <c r="J81" s="1">
        <f>IF(OR(J$52=0,I32="",J32=""),0,IFERROR(IF(AND(INDEX(Arten,MATCH(I32,Codes,0))="Arbeit",INDEX(Arten,MATCH(J32,Codes,0))="Arbeit"),IF(ROUND((1+INDEX(Beginne,MATCH(J32,Codes,0))-INDEX(EndeRel,MATCH(I32,Codes,0)))*1440,0)&lt;660,1,0),0),0))</f>
      </c>
      <c r="K81" s="1">
        <f>IF(OR(K$52=0,J32="",K32=""),0,IFERROR(IF(AND(INDEX(Arten,MATCH(J32,Codes,0))="Arbeit",INDEX(Arten,MATCH(K32,Codes,0))="Arbeit"),IF(ROUND((1+INDEX(Beginne,MATCH(K32,Codes,0))-INDEX(EndeRel,MATCH(J32,Codes,0)))*1440,0)&lt;660,1,0),0),0))</f>
      </c>
      <c r="L81" s="1">
        <f>IF(OR(L$52=0,K32="",L32=""),0,IFERROR(IF(AND(INDEX(Arten,MATCH(K32,Codes,0))="Arbeit",INDEX(Arten,MATCH(L32,Codes,0))="Arbeit"),IF(ROUND((1+INDEX(Beginne,MATCH(L32,Codes,0))-INDEX(EndeRel,MATCH(K32,Codes,0)))*1440,0)&lt;660,1,0),0),0))</f>
      </c>
      <c r="M81" s="1">
        <f>IF(OR(M$52=0,L32="",M32=""),0,IFERROR(IF(AND(INDEX(Arten,MATCH(L32,Codes,0))="Arbeit",INDEX(Arten,MATCH(M32,Codes,0))="Arbeit"),IF(ROUND((1+INDEX(Beginne,MATCH(M32,Codes,0))-INDEX(EndeRel,MATCH(L32,Codes,0)))*1440,0)&lt;660,1,0),0),0))</f>
      </c>
      <c r="N81" s="1">
        <f>IF(OR(N$52=0,M32="",N32=""),0,IFERROR(IF(AND(INDEX(Arten,MATCH(M32,Codes,0))="Arbeit",INDEX(Arten,MATCH(N32,Codes,0))="Arbeit"),IF(ROUND((1+INDEX(Beginne,MATCH(N32,Codes,0))-INDEX(EndeRel,MATCH(M32,Codes,0)))*1440,0)&lt;660,1,0),0),0))</f>
      </c>
      <c r="O81" s="1">
        <f>IF(OR(O$52=0,N32="",O32=""),0,IFERROR(IF(AND(INDEX(Arten,MATCH(N32,Codes,0))="Arbeit",INDEX(Arten,MATCH(O32,Codes,0))="Arbeit"),IF(ROUND((1+INDEX(Beginne,MATCH(O32,Codes,0))-INDEX(EndeRel,MATCH(N32,Codes,0)))*1440,0)&lt;660,1,0),0),0))</f>
      </c>
      <c r="P81" s="1">
        <f>IF(OR(P$52=0,O32="",P32=""),0,IFERROR(IF(AND(INDEX(Arten,MATCH(O32,Codes,0))="Arbeit",INDEX(Arten,MATCH(P32,Codes,0))="Arbeit"),IF(ROUND((1+INDEX(Beginne,MATCH(P32,Codes,0))-INDEX(EndeRel,MATCH(O32,Codes,0)))*1440,0)&lt;660,1,0),0),0))</f>
      </c>
      <c r="Q81" s="1">
        <f>IF(OR(Q$52=0,P32="",Q32=""),0,IFERROR(IF(AND(INDEX(Arten,MATCH(P32,Codes,0))="Arbeit",INDEX(Arten,MATCH(Q32,Codes,0))="Arbeit"),IF(ROUND((1+INDEX(Beginne,MATCH(Q32,Codes,0))-INDEX(EndeRel,MATCH(P32,Codes,0)))*1440,0)&lt;660,1,0),0),0))</f>
      </c>
      <c r="R81" s="1">
        <f>IF(OR(R$52=0,Q32="",R32=""),0,IFERROR(IF(AND(INDEX(Arten,MATCH(Q32,Codes,0))="Arbeit",INDEX(Arten,MATCH(R32,Codes,0))="Arbeit"),IF(ROUND((1+INDEX(Beginne,MATCH(R32,Codes,0))-INDEX(EndeRel,MATCH(Q32,Codes,0)))*1440,0)&lt;660,1,0),0),0))</f>
      </c>
      <c r="S81" s="1">
        <f>IF(OR(S$52=0,R32="",S32=""),0,IFERROR(IF(AND(INDEX(Arten,MATCH(R32,Codes,0))="Arbeit",INDEX(Arten,MATCH(S32,Codes,0))="Arbeit"),IF(ROUND((1+INDEX(Beginne,MATCH(S32,Codes,0))-INDEX(EndeRel,MATCH(R32,Codes,0)))*1440,0)&lt;660,1,0),0),0))</f>
      </c>
      <c r="T81" s="1">
        <f>IF(OR(T$52=0,S32="",T32=""),0,IFERROR(IF(AND(INDEX(Arten,MATCH(S32,Codes,0))="Arbeit",INDEX(Arten,MATCH(T32,Codes,0))="Arbeit"),IF(ROUND((1+INDEX(Beginne,MATCH(T32,Codes,0))-INDEX(EndeRel,MATCH(S32,Codes,0)))*1440,0)&lt;660,1,0),0),0))</f>
      </c>
      <c r="U81" s="1">
        <f>IF(OR(U$52=0,T32="",U32=""),0,IFERROR(IF(AND(INDEX(Arten,MATCH(T32,Codes,0))="Arbeit",INDEX(Arten,MATCH(U32,Codes,0))="Arbeit"),IF(ROUND((1+INDEX(Beginne,MATCH(U32,Codes,0))-INDEX(EndeRel,MATCH(T32,Codes,0)))*1440,0)&lt;660,1,0),0),0))</f>
      </c>
      <c r="V81" s="1">
        <f>IF(OR(V$52=0,U32="",V32=""),0,IFERROR(IF(AND(INDEX(Arten,MATCH(U32,Codes,0))="Arbeit",INDEX(Arten,MATCH(V32,Codes,0))="Arbeit"),IF(ROUND((1+INDEX(Beginne,MATCH(V32,Codes,0))-INDEX(EndeRel,MATCH(U32,Codes,0)))*1440,0)&lt;660,1,0),0),0))</f>
      </c>
      <c r="W81" s="1">
        <f>IF(OR(W$52=0,V32="",W32=""),0,IFERROR(IF(AND(INDEX(Arten,MATCH(V32,Codes,0))="Arbeit",INDEX(Arten,MATCH(W32,Codes,0))="Arbeit"),IF(ROUND((1+INDEX(Beginne,MATCH(W32,Codes,0))-INDEX(EndeRel,MATCH(V32,Codes,0)))*1440,0)&lt;660,1,0),0),0))</f>
      </c>
      <c r="X81" s="1">
        <f>IF(OR(X$52=0,W32="",X32=""),0,IFERROR(IF(AND(INDEX(Arten,MATCH(W32,Codes,0))="Arbeit",INDEX(Arten,MATCH(X32,Codes,0))="Arbeit"),IF(ROUND((1+INDEX(Beginne,MATCH(X32,Codes,0))-INDEX(EndeRel,MATCH(W32,Codes,0)))*1440,0)&lt;660,1,0),0),0))</f>
      </c>
      <c r="Y81" s="1">
        <f>IF(OR(Y$52=0,X32="",Y32=""),0,IFERROR(IF(AND(INDEX(Arten,MATCH(X32,Codes,0))="Arbeit",INDEX(Arten,MATCH(Y32,Codes,0))="Arbeit"),IF(ROUND((1+INDEX(Beginne,MATCH(Y32,Codes,0))-INDEX(EndeRel,MATCH(X32,Codes,0)))*1440,0)&lt;660,1,0),0),0))</f>
      </c>
      <c r="Z81" s="1">
        <f>IF(OR(Z$52=0,Y32="",Z32=""),0,IFERROR(IF(AND(INDEX(Arten,MATCH(Y32,Codes,0))="Arbeit",INDEX(Arten,MATCH(Z32,Codes,0))="Arbeit"),IF(ROUND((1+INDEX(Beginne,MATCH(Z32,Codes,0))-INDEX(EndeRel,MATCH(Y32,Codes,0)))*1440,0)&lt;660,1,0),0),0))</f>
      </c>
      <c r="AA81" s="1">
        <f>IF(OR(AA$52=0,Z32="",AA32=""),0,IFERROR(IF(AND(INDEX(Arten,MATCH(Z32,Codes,0))="Arbeit",INDEX(Arten,MATCH(AA32,Codes,0))="Arbeit"),IF(ROUND((1+INDEX(Beginne,MATCH(AA32,Codes,0))-INDEX(EndeRel,MATCH(Z32,Codes,0)))*1440,0)&lt;660,1,0),0),0))</f>
      </c>
      <c r="AB81" s="1">
        <f>IF(OR(AB$52=0,AA32="",AB32=""),0,IFERROR(IF(AND(INDEX(Arten,MATCH(AA32,Codes,0))="Arbeit",INDEX(Arten,MATCH(AB32,Codes,0))="Arbeit"),IF(ROUND((1+INDEX(Beginne,MATCH(AB32,Codes,0))-INDEX(EndeRel,MATCH(AA32,Codes,0)))*1440,0)&lt;660,1,0),0),0))</f>
      </c>
      <c r="AC81" s="1">
        <f>IF(OR(AC$52=0,AB32="",AC32=""),0,IFERROR(IF(AND(INDEX(Arten,MATCH(AB32,Codes,0))="Arbeit",INDEX(Arten,MATCH(AC32,Codes,0))="Arbeit"),IF(ROUND((1+INDEX(Beginne,MATCH(AC32,Codes,0))-INDEX(EndeRel,MATCH(AB32,Codes,0)))*1440,0)&lt;660,1,0),0),0))</f>
      </c>
      <c r="AD81" s="1">
        <f>IF(OR(AD$52=0,AC32="",AD32=""),0,IFERROR(IF(AND(INDEX(Arten,MATCH(AC32,Codes,0))="Arbeit",INDEX(Arten,MATCH(AD32,Codes,0))="Arbeit"),IF(ROUND((1+INDEX(Beginne,MATCH(AD32,Codes,0))-INDEX(EndeRel,MATCH(AC32,Codes,0)))*1440,0)&lt;660,1,0),0),0))</f>
      </c>
      <c r="AE81" s="1">
        <f>IF(OR(AE$52=0,AD32="",AE32=""),0,IFERROR(IF(AND(INDEX(Arten,MATCH(AD32,Codes,0))="Arbeit",INDEX(Arten,MATCH(AE32,Codes,0))="Arbeit"),IF(ROUND((1+INDEX(Beginne,MATCH(AE32,Codes,0))-INDEX(EndeRel,MATCH(AD32,Codes,0)))*1440,0)&lt;660,1,0),0),0))</f>
      </c>
      <c r="AF81" s="1">
        <f>IF(OR(AF$52=0,AE32="",AF32=""),0,IFERROR(IF(AND(INDEX(Arten,MATCH(AE32,Codes,0))="Arbeit",INDEX(Arten,MATCH(AF32,Codes,0))="Arbeit"),IF(ROUND((1+INDEX(Beginne,MATCH(AF32,Codes,0))-INDEX(EndeRel,MATCH(AE32,Codes,0)))*1440,0)&lt;660,1,0),0),0))</f>
      </c>
    </row>
    <row r="82" hidden="1" spans="1:32" x14ac:dyDescent="0.25">
      <c r="A82" s="1"/>
      <c r="B82" s="1">
        <f>IF(OR(B$52=0,INDEX('September'!$B$33:$AF$33,DAY(DATE(Jahr,10,0)))="",B33=""),0,IFERROR(IF(AND(INDEX(Arten,MATCH(INDEX('September'!$B$33:$AF$33,DAY(DATE(Jahr,10,0))),Codes,0))="Arbeit",INDEX(Arten,MATCH(B33,Codes,0))="Arbeit"),IF(ROUND((1+INDEX(Beginne,MATCH(B33,Codes,0))-INDEX(EndeRel,MATCH(INDEX('September'!$B$33:$AF$33,DAY(DATE(Jahr,10,0))),Codes,0)))*1440,0)&lt;660,1,0),0),0))</f>
      </c>
      <c r="C82" s="1">
        <f>IF(OR(C$52=0,B33="",C33=""),0,IFERROR(IF(AND(INDEX(Arten,MATCH(B33,Codes,0))="Arbeit",INDEX(Arten,MATCH(C33,Codes,0))="Arbeit"),IF(ROUND((1+INDEX(Beginne,MATCH(C33,Codes,0))-INDEX(EndeRel,MATCH(B33,Codes,0)))*1440,0)&lt;660,1,0),0),0))</f>
      </c>
      <c r="D82" s="1">
        <f>IF(OR(D$52=0,C33="",D33=""),0,IFERROR(IF(AND(INDEX(Arten,MATCH(C33,Codes,0))="Arbeit",INDEX(Arten,MATCH(D33,Codes,0))="Arbeit"),IF(ROUND((1+INDEX(Beginne,MATCH(D33,Codes,0))-INDEX(EndeRel,MATCH(C33,Codes,0)))*1440,0)&lt;660,1,0),0),0))</f>
      </c>
      <c r="E82" s="1">
        <f>IF(OR(E$52=0,D33="",E33=""),0,IFERROR(IF(AND(INDEX(Arten,MATCH(D33,Codes,0))="Arbeit",INDEX(Arten,MATCH(E33,Codes,0))="Arbeit"),IF(ROUND((1+INDEX(Beginne,MATCH(E33,Codes,0))-INDEX(EndeRel,MATCH(D33,Codes,0)))*1440,0)&lt;660,1,0),0),0))</f>
      </c>
      <c r="F82" s="1">
        <f>IF(OR(F$52=0,E33="",F33=""),0,IFERROR(IF(AND(INDEX(Arten,MATCH(E33,Codes,0))="Arbeit",INDEX(Arten,MATCH(F33,Codes,0))="Arbeit"),IF(ROUND((1+INDEX(Beginne,MATCH(F33,Codes,0))-INDEX(EndeRel,MATCH(E33,Codes,0)))*1440,0)&lt;660,1,0),0),0))</f>
      </c>
      <c r="G82" s="1">
        <f>IF(OR(G$52=0,F33="",G33=""),0,IFERROR(IF(AND(INDEX(Arten,MATCH(F33,Codes,0))="Arbeit",INDEX(Arten,MATCH(G33,Codes,0))="Arbeit"),IF(ROUND((1+INDEX(Beginne,MATCH(G33,Codes,0))-INDEX(EndeRel,MATCH(F33,Codes,0)))*1440,0)&lt;660,1,0),0),0))</f>
      </c>
      <c r="H82" s="1">
        <f>IF(OR(H$52=0,G33="",H33=""),0,IFERROR(IF(AND(INDEX(Arten,MATCH(G33,Codes,0))="Arbeit",INDEX(Arten,MATCH(H33,Codes,0))="Arbeit"),IF(ROUND((1+INDEX(Beginne,MATCH(H33,Codes,0))-INDEX(EndeRel,MATCH(G33,Codes,0)))*1440,0)&lt;660,1,0),0),0))</f>
      </c>
      <c r="I82" s="1">
        <f>IF(OR(I$52=0,H33="",I33=""),0,IFERROR(IF(AND(INDEX(Arten,MATCH(H33,Codes,0))="Arbeit",INDEX(Arten,MATCH(I33,Codes,0))="Arbeit"),IF(ROUND((1+INDEX(Beginne,MATCH(I33,Codes,0))-INDEX(EndeRel,MATCH(H33,Codes,0)))*1440,0)&lt;660,1,0),0),0))</f>
      </c>
      <c r="J82" s="1">
        <f>IF(OR(J$52=0,I33="",J33=""),0,IFERROR(IF(AND(INDEX(Arten,MATCH(I33,Codes,0))="Arbeit",INDEX(Arten,MATCH(J33,Codes,0))="Arbeit"),IF(ROUND((1+INDEX(Beginne,MATCH(J33,Codes,0))-INDEX(EndeRel,MATCH(I33,Codes,0)))*1440,0)&lt;660,1,0),0),0))</f>
      </c>
      <c r="K82" s="1">
        <f>IF(OR(K$52=0,J33="",K33=""),0,IFERROR(IF(AND(INDEX(Arten,MATCH(J33,Codes,0))="Arbeit",INDEX(Arten,MATCH(K33,Codes,0))="Arbeit"),IF(ROUND((1+INDEX(Beginne,MATCH(K33,Codes,0))-INDEX(EndeRel,MATCH(J33,Codes,0)))*1440,0)&lt;660,1,0),0),0))</f>
      </c>
      <c r="L82" s="1">
        <f>IF(OR(L$52=0,K33="",L33=""),0,IFERROR(IF(AND(INDEX(Arten,MATCH(K33,Codes,0))="Arbeit",INDEX(Arten,MATCH(L33,Codes,0))="Arbeit"),IF(ROUND((1+INDEX(Beginne,MATCH(L33,Codes,0))-INDEX(EndeRel,MATCH(K33,Codes,0)))*1440,0)&lt;660,1,0),0),0))</f>
      </c>
      <c r="M82" s="1">
        <f>IF(OR(M$52=0,L33="",M33=""),0,IFERROR(IF(AND(INDEX(Arten,MATCH(L33,Codes,0))="Arbeit",INDEX(Arten,MATCH(M33,Codes,0))="Arbeit"),IF(ROUND((1+INDEX(Beginne,MATCH(M33,Codes,0))-INDEX(EndeRel,MATCH(L33,Codes,0)))*1440,0)&lt;660,1,0),0),0))</f>
      </c>
      <c r="N82" s="1">
        <f>IF(OR(N$52=0,M33="",N33=""),0,IFERROR(IF(AND(INDEX(Arten,MATCH(M33,Codes,0))="Arbeit",INDEX(Arten,MATCH(N33,Codes,0))="Arbeit"),IF(ROUND((1+INDEX(Beginne,MATCH(N33,Codes,0))-INDEX(EndeRel,MATCH(M33,Codes,0)))*1440,0)&lt;660,1,0),0),0))</f>
      </c>
      <c r="O82" s="1">
        <f>IF(OR(O$52=0,N33="",O33=""),0,IFERROR(IF(AND(INDEX(Arten,MATCH(N33,Codes,0))="Arbeit",INDEX(Arten,MATCH(O33,Codes,0))="Arbeit"),IF(ROUND((1+INDEX(Beginne,MATCH(O33,Codes,0))-INDEX(EndeRel,MATCH(N33,Codes,0)))*1440,0)&lt;660,1,0),0),0))</f>
      </c>
      <c r="P82" s="1">
        <f>IF(OR(P$52=0,O33="",P33=""),0,IFERROR(IF(AND(INDEX(Arten,MATCH(O33,Codes,0))="Arbeit",INDEX(Arten,MATCH(P33,Codes,0))="Arbeit"),IF(ROUND((1+INDEX(Beginne,MATCH(P33,Codes,0))-INDEX(EndeRel,MATCH(O33,Codes,0)))*1440,0)&lt;660,1,0),0),0))</f>
      </c>
      <c r="Q82" s="1">
        <f>IF(OR(Q$52=0,P33="",Q33=""),0,IFERROR(IF(AND(INDEX(Arten,MATCH(P33,Codes,0))="Arbeit",INDEX(Arten,MATCH(Q33,Codes,0))="Arbeit"),IF(ROUND((1+INDEX(Beginne,MATCH(Q33,Codes,0))-INDEX(EndeRel,MATCH(P33,Codes,0)))*1440,0)&lt;660,1,0),0),0))</f>
      </c>
      <c r="R82" s="1">
        <f>IF(OR(R$52=0,Q33="",R33=""),0,IFERROR(IF(AND(INDEX(Arten,MATCH(Q33,Codes,0))="Arbeit",INDEX(Arten,MATCH(R33,Codes,0))="Arbeit"),IF(ROUND((1+INDEX(Beginne,MATCH(R33,Codes,0))-INDEX(EndeRel,MATCH(Q33,Codes,0)))*1440,0)&lt;660,1,0),0),0))</f>
      </c>
      <c r="S82" s="1">
        <f>IF(OR(S$52=0,R33="",S33=""),0,IFERROR(IF(AND(INDEX(Arten,MATCH(R33,Codes,0))="Arbeit",INDEX(Arten,MATCH(S33,Codes,0))="Arbeit"),IF(ROUND((1+INDEX(Beginne,MATCH(S33,Codes,0))-INDEX(EndeRel,MATCH(R33,Codes,0)))*1440,0)&lt;660,1,0),0),0))</f>
      </c>
      <c r="T82" s="1">
        <f>IF(OR(T$52=0,S33="",T33=""),0,IFERROR(IF(AND(INDEX(Arten,MATCH(S33,Codes,0))="Arbeit",INDEX(Arten,MATCH(T33,Codes,0))="Arbeit"),IF(ROUND((1+INDEX(Beginne,MATCH(T33,Codes,0))-INDEX(EndeRel,MATCH(S33,Codes,0)))*1440,0)&lt;660,1,0),0),0))</f>
      </c>
      <c r="U82" s="1">
        <f>IF(OR(U$52=0,T33="",U33=""),0,IFERROR(IF(AND(INDEX(Arten,MATCH(T33,Codes,0))="Arbeit",INDEX(Arten,MATCH(U33,Codes,0))="Arbeit"),IF(ROUND((1+INDEX(Beginne,MATCH(U33,Codes,0))-INDEX(EndeRel,MATCH(T33,Codes,0)))*1440,0)&lt;660,1,0),0),0))</f>
      </c>
      <c r="V82" s="1">
        <f>IF(OR(V$52=0,U33="",V33=""),0,IFERROR(IF(AND(INDEX(Arten,MATCH(U33,Codes,0))="Arbeit",INDEX(Arten,MATCH(V33,Codes,0))="Arbeit"),IF(ROUND((1+INDEX(Beginne,MATCH(V33,Codes,0))-INDEX(EndeRel,MATCH(U33,Codes,0)))*1440,0)&lt;660,1,0),0),0))</f>
      </c>
      <c r="W82" s="1">
        <f>IF(OR(W$52=0,V33="",W33=""),0,IFERROR(IF(AND(INDEX(Arten,MATCH(V33,Codes,0))="Arbeit",INDEX(Arten,MATCH(W33,Codes,0))="Arbeit"),IF(ROUND((1+INDEX(Beginne,MATCH(W33,Codes,0))-INDEX(EndeRel,MATCH(V33,Codes,0)))*1440,0)&lt;660,1,0),0),0))</f>
      </c>
      <c r="X82" s="1">
        <f>IF(OR(X$52=0,W33="",X33=""),0,IFERROR(IF(AND(INDEX(Arten,MATCH(W33,Codes,0))="Arbeit",INDEX(Arten,MATCH(X33,Codes,0))="Arbeit"),IF(ROUND((1+INDEX(Beginne,MATCH(X33,Codes,0))-INDEX(EndeRel,MATCH(W33,Codes,0)))*1440,0)&lt;660,1,0),0),0))</f>
      </c>
      <c r="Y82" s="1">
        <f>IF(OR(Y$52=0,X33="",Y33=""),0,IFERROR(IF(AND(INDEX(Arten,MATCH(X33,Codes,0))="Arbeit",INDEX(Arten,MATCH(Y33,Codes,0))="Arbeit"),IF(ROUND((1+INDEX(Beginne,MATCH(Y33,Codes,0))-INDEX(EndeRel,MATCH(X33,Codes,0)))*1440,0)&lt;660,1,0),0),0))</f>
      </c>
      <c r="Z82" s="1">
        <f>IF(OR(Z$52=0,Y33="",Z33=""),0,IFERROR(IF(AND(INDEX(Arten,MATCH(Y33,Codes,0))="Arbeit",INDEX(Arten,MATCH(Z33,Codes,0))="Arbeit"),IF(ROUND((1+INDEX(Beginne,MATCH(Z33,Codes,0))-INDEX(EndeRel,MATCH(Y33,Codes,0)))*1440,0)&lt;660,1,0),0),0))</f>
      </c>
      <c r="AA82" s="1">
        <f>IF(OR(AA$52=0,Z33="",AA33=""),0,IFERROR(IF(AND(INDEX(Arten,MATCH(Z33,Codes,0))="Arbeit",INDEX(Arten,MATCH(AA33,Codes,0))="Arbeit"),IF(ROUND((1+INDEX(Beginne,MATCH(AA33,Codes,0))-INDEX(EndeRel,MATCH(Z33,Codes,0)))*1440,0)&lt;660,1,0),0),0))</f>
      </c>
      <c r="AB82" s="1">
        <f>IF(OR(AB$52=0,AA33="",AB33=""),0,IFERROR(IF(AND(INDEX(Arten,MATCH(AA33,Codes,0))="Arbeit",INDEX(Arten,MATCH(AB33,Codes,0))="Arbeit"),IF(ROUND((1+INDEX(Beginne,MATCH(AB33,Codes,0))-INDEX(EndeRel,MATCH(AA33,Codes,0)))*1440,0)&lt;660,1,0),0),0))</f>
      </c>
      <c r="AC82" s="1">
        <f>IF(OR(AC$52=0,AB33="",AC33=""),0,IFERROR(IF(AND(INDEX(Arten,MATCH(AB33,Codes,0))="Arbeit",INDEX(Arten,MATCH(AC33,Codes,0))="Arbeit"),IF(ROUND((1+INDEX(Beginne,MATCH(AC33,Codes,0))-INDEX(EndeRel,MATCH(AB33,Codes,0)))*1440,0)&lt;660,1,0),0),0))</f>
      </c>
      <c r="AD82" s="1">
        <f>IF(OR(AD$52=0,AC33="",AD33=""),0,IFERROR(IF(AND(INDEX(Arten,MATCH(AC33,Codes,0))="Arbeit",INDEX(Arten,MATCH(AD33,Codes,0))="Arbeit"),IF(ROUND((1+INDEX(Beginne,MATCH(AD33,Codes,0))-INDEX(EndeRel,MATCH(AC33,Codes,0)))*1440,0)&lt;660,1,0),0),0))</f>
      </c>
      <c r="AE82" s="1">
        <f>IF(OR(AE$52=0,AD33="",AE33=""),0,IFERROR(IF(AND(INDEX(Arten,MATCH(AD33,Codes,0))="Arbeit",INDEX(Arten,MATCH(AE33,Codes,0))="Arbeit"),IF(ROUND((1+INDEX(Beginne,MATCH(AE33,Codes,0))-INDEX(EndeRel,MATCH(AD33,Codes,0)))*1440,0)&lt;660,1,0),0),0))</f>
      </c>
      <c r="AF82" s="1">
        <f>IF(OR(AF$52=0,AE33="",AF33=""),0,IFERROR(IF(AND(INDEX(Arten,MATCH(AE33,Codes,0))="Arbeit",INDEX(Arten,MATCH(AF33,Codes,0))="Arbeit"),IF(ROUND((1+INDEX(Beginne,MATCH(AF33,Codes,0))-INDEX(EndeRel,MATCH(AE33,Codes,0)))*1440,0)&lt;660,1,0),0),0))</f>
      </c>
    </row>
    <row r="83" hidden="1" spans="1:32" x14ac:dyDescent="0.25">
      <c r="A83" s="1"/>
      <c r="B83" s="1">
        <f>IF(OR(B$52=0,INDEX('September'!$B$34:$AF$34,DAY(DATE(Jahr,10,0)))="",B34=""),0,IFERROR(IF(AND(INDEX(Arten,MATCH(INDEX('September'!$B$34:$AF$34,DAY(DATE(Jahr,10,0))),Codes,0))="Arbeit",INDEX(Arten,MATCH(B34,Codes,0))="Arbeit"),IF(ROUND((1+INDEX(Beginne,MATCH(B34,Codes,0))-INDEX(EndeRel,MATCH(INDEX('September'!$B$34:$AF$34,DAY(DATE(Jahr,10,0))),Codes,0)))*1440,0)&lt;660,1,0),0),0))</f>
      </c>
      <c r="C83" s="1">
        <f>IF(OR(C$52=0,B34="",C34=""),0,IFERROR(IF(AND(INDEX(Arten,MATCH(B34,Codes,0))="Arbeit",INDEX(Arten,MATCH(C34,Codes,0))="Arbeit"),IF(ROUND((1+INDEX(Beginne,MATCH(C34,Codes,0))-INDEX(EndeRel,MATCH(B34,Codes,0)))*1440,0)&lt;660,1,0),0),0))</f>
      </c>
      <c r="D83" s="1">
        <f>IF(OR(D$52=0,C34="",D34=""),0,IFERROR(IF(AND(INDEX(Arten,MATCH(C34,Codes,0))="Arbeit",INDEX(Arten,MATCH(D34,Codes,0))="Arbeit"),IF(ROUND((1+INDEX(Beginne,MATCH(D34,Codes,0))-INDEX(EndeRel,MATCH(C34,Codes,0)))*1440,0)&lt;660,1,0),0),0))</f>
      </c>
      <c r="E83" s="1">
        <f>IF(OR(E$52=0,D34="",E34=""),0,IFERROR(IF(AND(INDEX(Arten,MATCH(D34,Codes,0))="Arbeit",INDEX(Arten,MATCH(E34,Codes,0))="Arbeit"),IF(ROUND((1+INDEX(Beginne,MATCH(E34,Codes,0))-INDEX(EndeRel,MATCH(D34,Codes,0)))*1440,0)&lt;660,1,0),0),0))</f>
      </c>
      <c r="F83" s="1">
        <f>IF(OR(F$52=0,E34="",F34=""),0,IFERROR(IF(AND(INDEX(Arten,MATCH(E34,Codes,0))="Arbeit",INDEX(Arten,MATCH(F34,Codes,0))="Arbeit"),IF(ROUND((1+INDEX(Beginne,MATCH(F34,Codes,0))-INDEX(EndeRel,MATCH(E34,Codes,0)))*1440,0)&lt;660,1,0),0),0))</f>
      </c>
      <c r="G83" s="1">
        <f>IF(OR(G$52=0,F34="",G34=""),0,IFERROR(IF(AND(INDEX(Arten,MATCH(F34,Codes,0))="Arbeit",INDEX(Arten,MATCH(G34,Codes,0))="Arbeit"),IF(ROUND((1+INDEX(Beginne,MATCH(G34,Codes,0))-INDEX(EndeRel,MATCH(F34,Codes,0)))*1440,0)&lt;660,1,0),0),0))</f>
      </c>
      <c r="H83" s="1">
        <f>IF(OR(H$52=0,G34="",H34=""),0,IFERROR(IF(AND(INDEX(Arten,MATCH(G34,Codes,0))="Arbeit",INDEX(Arten,MATCH(H34,Codes,0))="Arbeit"),IF(ROUND((1+INDEX(Beginne,MATCH(H34,Codes,0))-INDEX(EndeRel,MATCH(G34,Codes,0)))*1440,0)&lt;660,1,0),0),0))</f>
      </c>
      <c r="I83" s="1">
        <f>IF(OR(I$52=0,H34="",I34=""),0,IFERROR(IF(AND(INDEX(Arten,MATCH(H34,Codes,0))="Arbeit",INDEX(Arten,MATCH(I34,Codes,0))="Arbeit"),IF(ROUND((1+INDEX(Beginne,MATCH(I34,Codes,0))-INDEX(EndeRel,MATCH(H34,Codes,0)))*1440,0)&lt;660,1,0),0),0))</f>
      </c>
      <c r="J83" s="1">
        <f>IF(OR(J$52=0,I34="",J34=""),0,IFERROR(IF(AND(INDEX(Arten,MATCH(I34,Codes,0))="Arbeit",INDEX(Arten,MATCH(J34,Codes,0))="Arbeit"),IF(ROUND((1+INDEX(Beginne,MATCH(J34,Codes,0))-INDEX(EndeRel,MATCH(I34,Codes,0)))*1440,0)&lt;660,1,0),0),0))</f>
      </c>
      <c r="K83" s="1">
        <f>IF(OR(K$52=0,J34="",K34=""),0,IFERROR(IF(AND(INDEX(Arten,MATCH(J34,Codes,0))="Arbeit",INDEX(Arten,MATCH(K34,Codes,0))="Arbeit"),IF(ROUND((1+INDEX(Beginne,MATCH(K34,Codes,0))-INDEX(EndeRel,MATCH(J34,Codes,0)))*1440,0)&lt;660,1,0),0),0))</f>
      </c>
      <c r="L83" s="1">
        <f>IF(OR(L$52=0,K34="",L34=""),0,IFERROR(IF(AND(INDEX(Arten,MATCH(K34,Codes,0))="Arbeit",INDEX(Arten,MATCH(L34,Codes,0))="Arbeit"),IF(ROUND((1+INDEX(Beginne,MATCH(L34,Codes,0))-INDEX(EndeRel,MATCH(K34,Codes,0)))*1440,0)&lt;660,1,0),0),0))</f>
      </c>
      <c r="M83" s="1">
        <f>IF(OR(M$52=0,L34="",M34=""),0,IFERROR(IF(AND(INDEX(Arten,MATCH(L34,Codes,0))="Arbeit",INDEX(Arten,MATCH(M34,Codes,0))="Arbeit"),IF(ROUND((1+INDEX(Beginne,MATCH(M34,Codes,0))-INDEX(EndeRel,MATCH(L34,Codes,0)))*1440,0)&lt;660,1,0),0),0))</f>
      </c>
      <c r="N83" s="1">
        <f>IF(OR(N$52=0,M34="",N34=""),0,IFERROR(IF(AND(INDEX(Arten,MATCH(M34,Codes,0))="Arbeit",INDEX(Arten,MATCH(N34,Codes,0))="Arbeit"),IF(ROUND((1+INDEX(Beginne,MATCH(N34,Codes,0))-INDEX(EndeRel,MATCH(M34,Codes,0)))*1440,0)&lt;660,1,0),0),0))</f>
      </c>
      <c r="O83" s="1">
        <f>IF(OR(O$52=0,N34="",O34=""),0,IFERROR(IF(AND(INDEX(Arten,MATCH(N34,Codes,0))="Arbeit",INDEX(Arten,MATCH(O34,Codes,0))="Arbeit"),IF(ROUND((1+INDEX(Beginne,MATCH(O34,Codes,0))-INDEX(EndeRel,MATCH(N34,Codes,0)))*1440,0)&lt;660,1,0),0),0))</f>
      </c>
      <c r="P83" s="1">
        <f>IF(OR(P$52=0,O34="",P34=""),0,IFERROR(IF(AND(INDEX(Arten,MATCH(O34,Codes,0))="Arbeit",INDEX(Arten,MATCH(P34,Codes,0))="Arbeit"),IF(ROUND((1+INDEX(Beginne,MATCH(P34,Codes,0))-INDEX(EndeRel,MATCH(O34,Codes,0)))*1440,0)&lt;660,1,0),0),0))</f>
      </c>
      <c r="Q83" s="1">
        <f>IF(OR(Q$52=0,P34="",Q34=""),0,IFERROR(IF(AND(INDEX(Arten,MATCH(P34,Codes,0))="Arbeit",INDEX(Arten,MATCH(Q34,Codes,0))="Arbeit"),IF(ROUND((1+INDEX(Beginne,MATCH(Q34,Codes,0))-INDEX(EndeRel,MATCH(P34,Codes,0)))*1440,0)&lt;660,1,0),0),0))</f>
      </c>
      <c r="R83" s="1">
        <f>IF(OR(R$52=0,Q34="",R34=""),0,IFERROR(IF(AND(INDEX(Arten,MATCH(Q34,Codes,0))="Arbeit",INDEX(Arten,MATCH(R34,Codes,0))="Arbeit"),IF(ROUND((1+INDEX(Beginne,MATCH(R34,Codes,0))-INDEX(EndeRel,MATCH(Q34,Codes,0)))*1440,0)&lt;660,1,0),0),0))</f>
      </c>
      <c r="S83" s="1">
        <f>IF(OR(S$52=0,R34="",S34=""),0,IFERROR(IF(AND(INDEX(Arten,MATCH(R34,Codes,0))="Arbeit",INDEX(Arten,MATCH(S34,Codes,0))="Arbeit"),IF(ROUND((1+INDEX(Beginne,MATCH(S34,Codes,0))-INDEX(EndeRel,MATCH(R34,Codes,0)))*1440,0)&lt;660,1,0),0),0))</f>
      </c>
      <c r="T83" s="1">
        <f>IF(OR(T$52=0,S34="",T34=""),0,IFERROR(IF(AND(INDEX(Arten,MATCH(S34,Codes,0))="Arbeit",INDEX(Arten,MATCH(T34,Codes,0))="Arbeit"),IF(ROUND((1+INDEX(Beginne,MATCH(T34,Codes,0))-INDEX(EndeRel,MATCH(S34,Codes,0)))*1440,0)&lt;660,1,0),0),0))</f>
      </c>
      <c r="U83" s="1">
        <f>IF(OR(U$52=0,T34="",U34=""),0,IFERROR(IF(AND(INDEX(Arten,MATCH(T34,Codes,0))="Arbeit",INDEX(Arten,MATCH(U34,Codes,0))="Arbeit"),IF(ROUND((1+INDEX(Beginne,MATCH(U34,Codes,0))-INDEX(EndeRel,MATCH(T34,Codes,0)))*1440,0)&lt;660,1,0),0),0))</f>
      </c>
      <c r="V83" s="1">
        <f>IF(OR(V$52=0,U34="",V34=""),0,IFERROR(IF(AND(INDEX(Arten,MATCH(U34,Codes,0))="Arbeit",INDEX(Arten,MATCH(V34,Codes,0))="Arbeit"),IF(ROUND((1+INDEX(Beginne,MATCH(V34,Codes,0))-INDEX(EndeRel,MATCH(U34,Codes,0)))*1440,0)&lt;660,1,0),0),0))</f>
      </c>
      <c r="W83" s="1">
        <f>IF(OR(W$52=0,V34="",W34=""),0,IFERROR(IF(AND(INDEX(Arten,MATCH(V34,Codes,0))="Arbeit",INDEX(Arten,MATCH(W34,Codes,0))="Arbeit"),IF(ROUND((1+INDEX(Beginne,MATCH(W34,Codes,0))-INDEX(EndeRel,MATCH(V34,Codes,0)))*1440,0)&lt;660,1,0),0),0))</f>
      </c>
      <c r="X83" s="1">
        <f>IF(OR(X$52=0,W34="",X34=""),0,IFERROR(IF(AND(INDEX(Arten,MATCH(W34,Codes,0))="Arbeit",INDEX(Arten,MATCH(X34,Codes,0))="Arbeit"),IF(ROUND((1+INDEX(Beginne,MATCH(X34,Codes,0))-INDEX(EndeRel,MATCH(W34,Codes,0)))*1440,0)&lt;660,1,0),0),0))</f>
      </c>
      <c r="Y83" s="1">
        <f>IF(OR(Y$52=0,X34="",Y34=""),0,IFERROR(IF(AND(INDEX(Arten,MATCH(X34,Codes,0))="Arbeit",INDEX(Arten,MATCH(Y34,Codes,0))="Arbeit"),IF(ROUND((1+INDEX(Beginne,MATCH(Y34,Codes,0))-INDEX(EndeRel,MATCH(X34,Codes,0)))*1440,0)&lt;660,1,0),0),0))</f>
      </c>
      <c r="Z83" s="1">
        <f>IF(OR(Z$52=0,Y34="",Z34=""),0,IFERROR(IF(AND(INDEX(Arten,MATCH(Y34,Codes,0))="Arbeit",INDEX(Arten,MATCH(Z34,Codes,0))="Arbeit"),IF(ROUND((1+INDEX(Beginne,MATCH(Z34,Codes,0))-INDEX(EndeRel,MATCH(Y34,Codes,0)))*1440,0)&lt;660,1,0),0),0))</f>
      </c>
      <c r="AA83" s="1">
        <f>IF(OR(AA$52=0,Z34="",AA34=""),0,IFERROR(IF(AND(INDEX(Arten,MATCH(Z34,Codes,0))="Arbeit",INDEX(Arten,MATCH(AA34,Codes,0))="Arbeit"),IF(ROUND((1+INDEX(Beginne,MATCH(AA34,Codes,0))-INDEX(EndeRel,MATCH(Z34,Codes,0)))*1440,0)&lt;660,1,0),0),0))</f>
      </c>
      <c r="AB83" s="1">
        <f>IF(OR(AB$52=0,AA34="",AB34=""),0,IFERROR(IF(AND(INDEX(Arten,MATCH(AA34,Codes,0))="Arbeit",INDEX(Arten,MATCH(AB34,Codes,0))="Arbeit"),IF(ROUND((1+INDEX(Beginne,MATCH(AB34,Codes,0))-INDEX(EndeRel,MATCH(AA34,Codes,0)))*1440,0)&lt;660,1,0),0),0))</f>
      </c>
      <c r="AC83" s="1">
        <f>IF(OR(AC$52=0,AB34="",AC34=""),0,IFERROR(IF(AND(INDEX(Arten,MATCH(AB34,Codes,0))="Arbeit",INDEX(Arten,MATCH(AC34,Codes,0))="Arbeit"),IF(ROUND((1+INDEX(Beginne,MATCH(AC34,Codes,0))-INDEX(EndeRel,MATCH(AB34,Codes,0)))*1440,0)&lt;660,1,0),0),0))</f>
      </c>
      <c r="AD83" s="1">
        <f>IF(OR(AD$52=0,AC34="",AD34=""),0,IFERROR(IF(AND(INDEX(Arten,MATCH(AC34,Codes,0))="Arbeit",INDEX(Arten,MATCH(AD34,Codes,0))="Arbeit"),IF(ROUND((1+INDEX(Beginne,MATCH(AD34,Codes,0))-INDEX(EndeRel,MATCH(AC34,Codes,0)))*1440,0)&lt;660,1,0),0),0))</f>
      </c>
      <c r="AE83" s="1">
        <f>IF(OR(AE$52=0,AD34="",AE34=""),0,IFERROR(IF(AND(INDEX(Arten,MATCH(AD34,Codes,0))="Arbeit",INDEX(Arten,MATCH(AE34,Codes,0))="Arbeit"),IF(ROUND((1+INDEX(Beginne,MATCH(AE34,Codes,0))-INDEX(EndeRel,MATCH(AD34,Codes,0)))*1440,0)&lt;660,1,0),0),0))</f>
      </c>
      <c r="AF83" s="1">
        <f>IF(OR(AF$52=0,AE34="",AF34=""),0,IFERROR(IF(AND(INDEX(Arten,MATCH(AE34,Codes,0))="Arbeit",INDEX(Arten,MATCH(AF34,Codes,0))="Arbeit"),IF(ROUND((1+INDEX(Beginne,MATCH(AF34,Codes,0))-INDEX(EndeRel,MATCH(AE34,Codes,0)))*1440,0)&lt;660,1,0),0),0))</f>
      </c>
    </row>
    <row r="84" hidden="1" spans="1:32" x14ac:dyDescent="0.25">
      <c r="A84" s="1"/>
      <c r="B84" s="1">
        <f>IF(OR(B$52=0,INDEX('September'!$B$35:$AF$35,DAY(DATE(Jahr,10,0)))="",B35=""),0,IFERROR(IF(AND(INDEX(Arten,MATCH(INDEX('September'!$B$35:$AF$35,DAY(DATE(Jahr,10,0))),Codes,0))="Arbeit",INDEX(Arten,MATCH(B35,Codes,0))="Arbeit"),IF(ROUND((1+INDEX(Beginne,MATCH(B35,Codes,0))-INDEX(EndeRel,MATCH(INDEX('September'!$B$35:$AF$35,DAY(DATE(Jahr,10,0))),Codes,0)))*1440,0)&lt;660,1,0),0),0))</f>
      </c>
      <c r="C84" s="1">
        <f>IF(OR(C$52=0,B35="",C35=""),0,IFERROR(IF(AND(INDEX(Arten,MATCH(B35,Codes,0))="Arbeit",INDEX(Arten,MATCH(C35,Codes,0))="Arbeit"),IF(ROUND((1+INDEX(Beginne,MATCH(C35,Codes,0))-INDEX(EndeRel,MATCH(B35,Codes,0)))*1440,0)&lt;660,1,0),0),0))</f>
      </c>
      <c r="D84" s="1">
        <f>IF(OR(D$52=0,C35="",D35=""),0,IFERROR(IF(AND(INDEX(Arten,MATCH(C35,Codes,0))="Arbeit",INDEX(Arten,MATCH(D35,Codes,0))="Arbeit"),IF(ROUND((1+INDEX(Beginne,MATCH(D35,Codes,0))-INDEX(EndeRel,MATCH(C35,Codes,0)))*1440,0)&lt;660,1,0),0),0))</f>
      </c>
      <c r="E84" s="1">
        <f>IF(OR(E$52=0,D35="",E35=""),0,IFERROR(IF(AND(INDEX(Arten,MATCH(D35,Codes,0))="Arbeit",INDEX(Arten,MATCH(E35,Codes,0))="Arbeit"),IF(ROUND((1+INDEX(Beginne,MATCH(E35,Codes,0))-INDEX(EndeRel,MATCH(D35,Codes,0)))*1440,0)&lt;660,1,0),0),0))</f>
      </c>
      <c r="F84" s="1">
        <f>IF(OR(F$52=0,E35="",F35=""),0,IFERROR(IF(AND(INDEX(Arten,MATCH(E35,Codes,0))="Arbeit",INDEX(Arten,MATCH(F35,Codes,0))="Arbeit"),IF(ROUND((1+INDEX(Beginne,MATCH(F35,Codes,0))-INDEX(EndeRel,MATCH(E35,Codes,0)))*1440,0)&lt;660,1,0),0),0))</f>
      </c>
      <c r="G84" s="1">
        <f>IF(OR(G$52=0,F35="",G35=""),0,IFERROR(IF(AND(INDEX(Arten,MATCH(F35,Codes,0))="Arbeit",INDEX(Arten,MATCH(G35,Codes,0))="Arbeit"),IF(ROUND((1+INDEX(Beginne,MATCH(G35,Codes,0))-INDEX(EndeRel,MATCH(F35,Codes,0)))*1440,0)&lt;660,1,0),0),0))</f>
      </c>
      <c r="H84" s="1">
        <f>IF(OR(H$52=0,G35="",H35=""),0,IFERROR(IF(AND(INDEX(Arten,MATCH(G35,Codes,0))="Arbeit",INDEX(Arten,MATCH(H35,Codes,0))="Arbeit"),IF(ROUND((1+INDEX(Beginne,MATCH(H35,Codes,0))-INDEX(EndeRel,MATCH(G35,Codes,0)))*1440,0)&lt;660,1,0),0),0))</f>
      </c>
      <c r="I84" s="1">
        <f>IF(OR(I$52=0,H35="",I35=""),0,IFERROR(IF(AND(INDEX(Arten,MATCH(H35,Codes,0))="Arbeit",INDEX(Arten,MATCH(I35,Codes,0))="Arbeit"),IF(ROUND((1+INDEX(Beginne,MATCH(I35,Codes,0))-INDEX(EndeRel,MATCH(H35,Codes,0)))*1440,0)&lt;660,1,0),0),0))</f>
      </c>
      <c r="J84" s="1">
        <f>IF(OR(J$52=0,I35="",J35=""),0,IFERROR(IF(AND(INDEX(Arten,MATCH(I35,Codes,0))="Arbeit",INDEX(Arten,MATCH(J35,Codes,0))="Arbeit"),IF(ROUND((1+INDEX(Beginne,MATCH(J35,Codes,0))-INDEX(EndeRel,MATCH(I35,Codes,0)))*1440,0)&lt;660,1,0),0),0))</f>
      </c>
      <c r="K84" s="1">
        <f>IF(OR(K$52=0,J35="",K35=""),0,IFERROR(IF(AND(INDEX(Arten,MATCH(J35,Codes,0))="Arbeit",INDEX(Arten,MATCH(K35,Codes,0))="Arbeit"),IF(ROUND((1+INDEX(Beginne,MATCH(K35,Codes,0))-INDEX(EndeRel,MATCH(J35,Codes,0)))*1440,0)&lt;660,1,0),0),0))</f>
      </c>
      <c r="L84" s="1">
        <f>IF(OR(L$52=0,K35="",L35=""),0,IFERROR(IF(AND(INDEX(Arten,MATCH(K35,Codes,0))="Arbeit",INDEX(Arten,MATCH(L35,Codes,0))="Arbeit"),IF(ROUND((1+INDEX(Beginne,MATCH(L35,Codes,0))-INDEX(EndeRel,MATCH(K35,Codes,0)))*1440,0)&lt;660,1,0),0),0))</f>
      </c>
      <c r="M84" s="1">
        <f>IF(OR(M$52=0,L35="",M35=""),0,IFERROR(IF(AND(INDEX(Arten,MATCH(L35,Codes,0))="Arbeit",INDEX(Arten,MATCH(M35,Codes,0))="Arbeit"),IF(ROUND((1+INDEX(Beginne,MATCH(M35,Codes,0))-INDEX(EndeRel,MATCH(L35,Codes,0)))*1440,0)&lt;660,1,0),0),0))</f>
      </c>
      <c r="N84" s="1">
        <f>IF(OR(N$52=0,M35="",N35=""),0,IFERROR(IF(AND(INDEX(Arten,MATCH(M35,Codes,0))="Arbeit",INDEX(Arten,MATCH(N35,Codes,0))="Arbeit"),IF(ROUND((1+INDEX(Beginne,MATCH(N35,Codes,0))-INDEX(EndeRel,MATCH(M35,Codes,0)))*1440,0)&lt;660,1,0),0),0))</f>
      </c>
      <c r="O84" s="1">
        <f>IF(OR(O$52=0,N35="",O35=""),0,IFERROR(IF(AND(INDEX(Arten,MATCH(N35,Codes,0))="Arbeit",INDEX(Arten,MATCH(O35,Codes,0))="Arbeit"),IF(ROUND((1+INDEX(Beginne,MATCH(O35,Codes,0))-INDEX(EndeRel,MATCH(N35,Codes,0)))*1440,0)&lt;660,1,0),0),0))</f>
      </c>
      <c r="P84" s="1">
        <f>IF(OR(P$52=0,O35="",P35=""),0,IFERROR(IF(AND(INDEX(Arten,MATCH(O35,Codes,0))="Arbeit",INDEX(Arten,MATCH(P35,Codes,0))="Arbeit"),IF(ROUND((1+INDEX(Beginne,MATCH(P35,Codes,0))-INDEX(EndeRel,MATCH(O35,Codes,0)))*1440,0)&lt;660,1,0),0),0))</f>
      </c>
      <c r="Q84" s="1">
        <f>IF(OR(Q$52=0,P35="",Q35=""),0,IFERROR(IF(AND(INDEX(Arten,MATCH(P35,Codes,0))="Arbeit",INDEX(Arten,MATCH(Q35,Codes,0))="Arbeit"),IF(ROUND((1+INDEX(Beginne,MATCH(Q35,Codes,0))-INDEX(EndeRel,MATCH(P35,Codes,0)))*1440,0)&lt;660,1,0),0),0))</f>
      </c>
      <c r="R84" s="1">
        <f>IF(OR(R$52=0,Q35="",R35=""),0,IFERROR(IF(AND(INDEX(Arten,MATCH(Q35,Codes,0))="Arbeit",INDEX(Arten,MATCH(R35,Codes,0))="Arbeit"),IF(ROUND((1+INDEX(Beginne,MATCH(R35,Codes,0))-INDEX(EndeRel,MATCH(Q35,Codes,0)))*1440,0)&lt;660,1,0),0),0))</f>
      </c>
      <c r="S84" s="1">
        <f>IF(OR(S$52=0,R35="",S35=""),0,IFERROR(IF(AND(INDEX(Arten,MATCH(R35,Codes,0))="Arbeit",INDEX(Arten,MATCH(S35,Codes,0))="Arbeit"),IF(ROUND((1+INDEX(Beginne,MATCH(S35,Codes,0))-INDEX(EndeRel,MATCH(R35,Codes,0)))*1440,0)&lt;660,1,0),0),0))</f>
      </c>
      <c r="T84" s="1">
        <f>IF(OR(T$52=0,S35="",T35=""),0,IFERROR(IF(AND(INDEX(Arten,MATCH(S35,Codes,0))="Arbeit",INDEX(Arten,MATCH(T35,Codes,0))="Arbeit"),IF(ROUND((1+INDEX(Beginne,MATCH(T35,Codes,0))-INDEX(EndeRel,MATCH(S35,Codes,0)))*1440,0)&lt;660,1,0),0),0))</f>
      </c>
      <c r="U84" s="1">
        <f>IF(OR(U$52=0,T35="",U35=""),0,IFERROR(IF(AND(INDEX(Arten,MATCH(T35,Codes,0))="Arbeit",INDEX(Arten,MATCH(U35,Codes,0))="Arbeit"),IF(ROUND((1+INDEX(Beginne,MATCH(U35,Codes,0))-INDEX(EndeRel,MATCH(T35,Codes,0)))*1440,0)&lt;660,1,0),0),0))</f>
      </c>
      <c r="V84" s="1">
        <f>IF(OR(V$52=0,U35="",V35=""),0,IFERROR(IF(AND(INDEX(Arten,MATCH(U35,Codes,0))="Arbeit",INDEX(Arten,MATCH(V35,Codes,0))="Arbeit"),IF(ROUND((1+INDEX(Beginne,MATCH(V35,Codes,0))-INDEX(EndeRel,MATCH(U35,Codes,0)))*1440,0)&lt;660,1,0),0),0))</f>
      </c>
      <c r="W84" s="1">
        <f>IF(OR(W$52=0,V35="",W35=""),0,IFERROR(IF(AND(INDEX(Arten,MATCH(V35,Codes,0))="Arbeit",INDEX(Arten,MATCH(W35,Codes,0))="Arbeit"),IF(ROUND((1+INDEX(Beginne,MATCH(W35,Codes,0))-INDEX(EndeRel,MATCH(V35,Codes,0)))*1440,0)&lt;660,1,0),0),0))</f>
      </c>
      <c r="X84" s="1">
        <f>IF(OR(X$52=0,W35="",X35=""),0,IFERROR(IF(AND(INDEX(Arten,MATCH(W35,Codes,0))="Arbeit",INDEX(Arten,MATCH(X35,Codes,0))="Arbeit"),IF(ROUND((1+INDEX(Beginne,MATCH(X35,Codes,0))-INDEX(EndeRel,MATCH(W35,Codes,0)))*1440,0)&lt;660,1,0),0),0))</f>
      </c>
      <c r="Y84" s="1">
        <f>IF(OR(Y$52=0,X35="",Y35=""),0,IFERROR(IF(AND(INDEX(Arten,MATCH(X35,Codes,0))="Arbeit",INDEX(Arten,MATCH(Y35,Codes,0))="Arbeit"),IF(ROUND((1+INDEX(Beginne,MATCH(Y35,Codes,0))-INDEX(EndeRel,MATCH(X35,Codes,0)))*1440,0)&lt;660,1,0),0),0))</f>
      </c>
      <c r="Z84" s="1">
        <f>IF(OR(Z$52=0,Y35="",Z35=""),0,IFERROR(IF(AND(INDEX(Arten,MATCH(Y35,Codes,0))="Arbeit",INDEX(Arten,MATCH(Z35,Codes,0))="Arbeit"),IF(ROUND((1+INDEX(Beginne,MATCH(Z35,Codes,0))-INDEX(EndeRel,MATCH(Y35,Codes,0)))*1440,0)&lt;660,1,0),0),0))</f>
      </c>
      <c r="AA84" s="1">
        <f>IF(OR(AA$52=0,Z35="",AA35=""),0,IFERROR(IF(AND(INDEX(Arten,MATCH(Z35,Codes,0))="Arbeit",INDEX(Arten,MATCH(AA35,Codes,0))="Arbeit"),IF(ROUND((1+INDEX(Beginne,MATCH(AA35,Codes,0))-INDEX(EndeRel,MATCH(Z35,Codes,0)))*1440,0)&lt;660,1,0),0),0))</f>
      </c>
      <c r="AB84" s="1">
        <f>IF(OR(AB$52=0,AA35="",AB35=""),0,IFERROR(IF(AND(INDEX(Arten,MATCH(AA35,Codes,0))="Arbeit",INDEX(Arten,MATCH(AB35,Codes,0))="Arbeit"),IF(ROUND((1+INDEX(Beginne,MATCH(AB35,Codes,0))-INDEX(EndeRel,MATCH(AA35,Codes,0)))*1440,0)&lt;660,1,0),0),0))</f>
      </c>
      <c r="AC84" s="1">
        <f>IF(OR(AC$52=0,AB35="",AC35=""),0,IFERROR(IF(AND(INDEX(Arten,MATCH(AB35,Codes,0))="Arbeit",INDEX(Arten,MATCH(AC35,Codes,0))="Arbeit"),IF(ROUND((1+INDEX(Beginne,MATCH(AC35,Codes,0))-INDEX(EndeRel,MATCH(AB35,Codes,0)))*1440,0)&lt;660,1,0),0),0))</f>
      </c>
      <c r="AD84" s="1">
        <f>IF(OR(AD$52=0,AC35="",AD35=""),0,IFERROR(IF(AND(INDEX(Arten,MATCH(AC35,Codes,0))="Arbeit",INDEX(Arten,MATCH(AD35,Codes,0))="Arbeit"),IF(ROUND((1+INDEX(Beginne,MATCH(AD35,Codes,0))-INDEX(EndeRel,MATCH(AC35,Codes,0)))*1440,0)&lt;660,1,0),0),0))</f>
      </c>
      <c r="AE84" s="1">
        <f>IF(OR(AE$52=0,AD35="",AE35=""),0,IFERROR(IF(AND(INDEX(Arten,MATCH(AD35,Codes,0))="Arbeit",INDEX(Arten,MATCH(AE35,Codes,0))="Arbeit"),IF(ROUND((1+INDEX(Beginne,MATCH(AE35,Codes,0))-INDEX(EndeRel,MATCH(AD35,Codes,0)))*1440,0)&lt;660,1,0),0),0))</f>
      </c>
      <c r="AF84" s="1">
        <f>IF(OR(AF$52=0,AE35="",AF35=""),0,IFERROR(IF(AND(INDEX(Arten,MATCH(AE35,Codes,0))="Arbeit",INDEX(Arten,MATCH(AF35,Codes,0))="Arbeit"),IF(ROUND((1+INDEX(Beginne,MATCH(AF35,Codes,0))-INDEX(EndeRel,MATCH(AE35,Codes,0)))*1440,0)&lt;660,1,0),0),0))</f>
      </c>
    </row>
    <row r="86" hidden="1" spans="1:32" x14ac:dyDescent="0.25">
      <c r="A86" s="1"/>
      <c r="B86" s="1">
        <f>IF($AM38="","",IF(OR(B$51&gt;=6,B$50=1),N(INDEX(MinFrei,MATCH(1,ArbeitNr,0))),N(INDEX(MinWerktag,MATCH(1,ArbeitNr,0)))))</f>
      </c>
      <c r="C86" s="1">
        <f>IF($AM38="","",IF(OR(C$51&gt;=6,C$50=1),N(INDEX(MinFrei,MATCH(1,ArbeitNr,0))),N(INDEX(MinWerktag,MATCH(1,ArbeitNr,0)))))</f>
      </c>
      <c r="D86" s="1">
        <f>IF($AM38="","",IF(OR(D$51&gt;=6,D$50=1),N(INDEX(MinFrei,MATCH(1,ArbeitNr,0))),N(INDEX(MinWerktag,MATCH(1,ArbeitNr,0)))))</f>
      </c>
      <c r="E86" s="1">
        <f>IF($AM38="","",IF(OR(E$51&gt;=6,E$50=1),N(INDEX(MinFrei,MATCH(1,ArbeitNr,0))),N(INDEX(MinWerktag,MATCH(1,ArbeitNr,0)))))</f>
      </c>
      <c r="F86" s="1">
        <f>IF($AM38="","",IF(OR(F$51&gt;=6,F$50=1),N(INDEX(MinFrei,MATCH(1,ArbeitNr,0))),N(INDEX(MinWerktag,MATCH(1,ArbeitNr,0)))))</f>
      </c>
      <c r="G86" s="1">
        <f>IF($AM38="","",IF(OR(G$51&gt;=6,G$50=1),N(INDEX(MinFrei,MATCH(1,ArbeitNr,0))),N(INDEX(MinWerktag,MATCH(1,ArbeitNr,0)))))</f>
      </c>
      <c r="H86" s="1">
        <f>IF($AM38="","",IF(OR(H$51&gt;=6,H$50=1),N(INDEX(MinFrei,MATCH(1,ArbeitNr,0))),N(INDEX(MinWerktag,MATCH(1,ArbeitNr,0)))))</f>
      </c>
      <c r="I86" s="1">
        <f>IF($AM38="","",IF(OR(I$51&gt;=6,I$50=1),N(INDEX(MinFrei,MATCH(1,ArbeitNr,0))),N(INDEX(MinWerktag,MATCH(1,ArbeitNr,0)))))</f>
      </c>
      <c r="J86" s="1">
        <f>IF($AM38="","",IF(OR(J$51&gt;=6,J$50=1),N(INDEX(MinFrei,MATCH(1,ArbeitNr,0))),N(INDEX(MinWerktag,MATCH(1,ArbeitNr,0)))))</f>
      </c>
      <c r="K86" s="1">
        <f>IF($AM38="","",IF(OR(K$51&gt;=6,K$50=1),N(INDEX(MinFrei,MATCH(1,ArbeitNr,0))),N(INDEX(MinWerktag,MATCH(1,ArbeitNr,0)))))</f>
      </c>
      <c r="L86" s="1">
        <f>IF($AM38="","",IF(OR(L$51&gt;=6,L$50=1),N(INDEX(MinFrei,MATCH(1,ArbeitNr,0))),N(INDEX(MinWerktag,MATCH(1,ArbeitNr,0)))))</f>
      </c>
      <c r="M86" s="1">
        <f>IF($AM38="","",IF(OR(M$51&gt;=6,M$50=1),N(INDEX(MinFrei,MATCH(1,ArbeitNr,0))),N(INDEX(MinWerktag,MATCH(1,ArbeitNr,0)))))</f>
      </c>
      <c r="N86" s="1">
        <f>IF($AM38="","",IF(OR(N$51&gt;=6,N$50=1),N(INDEX(MinFrei,MATCH(1,ArbeitNr,0))),N(INDEX(MinWerktag,MATCH(1,ArbeitNr,0)))))</f>
      </c>
      <c r="O86" s="1">
        <f>IF($AM38="","",IF(OR(O$51&gt;=6,O$50=1),N(INDEX(MinFrei,MATCH(1,ArbeitNr,0))),N(INDEX(MinWerktag,MATCH(1,ArbeitNr,0)))))</f>
      </c>
      <c r="P86" s="1">
        <f>IF($AM38="","",IF(OR(P$51&gt;=6,P$50=1),N(INDEX(MinFrei,MATCH(1,ArbeitNr,0))),N(INDEX(MinWerktag,MATCH(1,ArbeitNr,0)))))</f>
      </c>
      <c r="Q86" s="1">
        <f>IF($AM38="","",IF(OR(Q$51&gt;=6,Q$50=1),N(INDEX(MinFrei,MATCH(1,ArbeitNr,0))),N(INDEX(MinWerktag,MATCH(1,ArbeitNr,0)))))</f>
      </c>
      <c r="R86" s="1">
        <f>IF($AM38="","",IF(OR(R$51&gt;=6,R$50=1),N(INDEX(MinFrei,MATCH(1,ArbeitNr,0))),N(INDEX(MinWerktag,MATCH(1,ArbeitNr,0)))))</f>
      </c>
      <c r="S86" s="1">
        <f>IF($AM38="","",IF(OR(S$51&gt;=6,S$50=1),N(INDEX(MinFrei,MATCH(1,ArbeitNr,0))),N(INDEX(MinWerktag,MATCH(1,ArbeitNr,0)))))</f>
      </c>
      <c r="T86" s="1">
        <f>IF($AM38="","",IF(OR(T$51&gt;=6,T$50=1),N(INDEX(MinFrei,MATCH(1,ArbeitNr,0))),N(INDEX(MinWerktag,MATCH(1,ArbeitNr,0)))))</f>
      </c>
      <c r="U86" s="1">
        <f>IF($AM38="","",IF(OR(U$51&gt;=6,U$50=1),N(INDEX(MinFrei,MATCH(1,ArbeitNr,0))),N(INDEX(MinWerktag,MATCH(1,ArbeitNr,0)))))</f>
      </c>
      <c r="V86" s="1">
        <f>IF($AM38="","",IF(OR(V$51&gt;=6,V$50=1),N(INDEX(MinFrei,MATCH(1,ArbeitNr,0))),N(INDEX(MinWerktag,MATCH(1,ArbeitNr,0)))))</f>
      </c>
      <c r="W86" s="1">
        <f>IF($AM38="","",IF(OR(W$51&gt;=6,W$50=1),N(INDEX(MinFrei,MATCH(1,ArbeitNr,0))),N(INDEX(MinWerktag,MATCH(1,ArbeitNr,0)))))</f>
      </c>
      <c r="X86" s="1">
        <f>IF($AM38="","",IF(OR(X$51&gt;=6,X$50=1),N(INDEX(MinFrei,MATCH(1,ArbeitNr,0))),N(INDEX(MinWerktag,MATCH(1,ArbeitNr,0)))))</f>
      </c>
      <c r="Y86" s="1">
        <f>IF($AM38="","",IF(OR(Y$51&gt;=6,Y$50=1),N(INDEX(MinFrei,MATCH(1,ArbeitNr,0))),N(INDEX(MinWerktag,MATCH(1,ArbeitNr,0)))))</f>
      </c>
      <c r="Z86" s="1">
        <f>IF($AM38="","",IF(OR(Z$51&gt;=6,Z$50=1),N(INDEX(MinFrei,MATCH(1,ArbeitNr,0))),N(INDEX(MinWerktag,MATCH(1,ArbeitNr,0)))))</f>
      </c>
      <c r="AA86" s="1">
        <f>IF($AM38="","",IF(OR(AA$51&gt;=6,AA$50=1),N(INDEX(MinFrei,MATCH(1,ArbeitNr,0))),N(INDEX(MinWerktag,MATCH(1,ArbeitNr,0)))))</f>
      </c>
      <c r="AB86" s="1">
        <f>IF($AM38="","",IF(OR(AB$51&gt;=6,AB$50=1),N(INDEX(MinFrei,MATCH(1,ArbeitNr,0))),N(INDEX(MinWerktag,MATCH(1,ArbeitNr,0)))))</f>
      </c>
      <c r="AC86" s="1">
        <f>IF($AM38="","",IF(OR(AC$51&gt;=6,AC$50=1),N(INDEX(MinFrei,MATCH(1,ArbeitNr,0))),N(INDEX(MinWerktag,MATCH(1,ArbeitNr,0)))))</f>
      </c>
      <c r="AD86" s="1">
        <f>IF($AM38="","",IF(OR(AD$51&gt;=6,AD$50=1),N(INDEX(MinFrei,MATCH(1,ArbeitNr,0))),N(INDEX(MinWerktag,MATCH(1,ArbeitNr,0)))))</f>
      </c>
      <c r="AE86" s="1">
        <f>IF($AM38="","",IF(OR(AE$51&gt;=6,AE$50=1),N(INDEX(MinFrei,MATCH(1,ArbeitNr,0))),N(INDEX(MinWerktag,MATCH(1,ArbeitNr,0)))))</f>
      </c>
      <c r="AF86" s="1">
        <f>IF($AM38="","",IF(OR(AF$51&gt;=6,AF$50=1),N(INDEX(MinFrei,MATCH(1,ArbeitNr,0))),N(INDEX(MinWerktag,MATCH(1,ArbeitNr,0)))))</f>
      </c>
    </row>
    <row r="87" hidden="1" spans="1:32" x14ac:dyDescent="0.25">
      <c r="A87" s="1"/>
      <c r="B87" s="1">
        <f>IF($AM39="","",IF(OR(B$51&gt;=6,B$50=1),N(INDEX(MinFrei,MATCH(2,ArbeitNr,0))),N(INDEX(MinWerktag,MATCH(2,ArbeitNr,0)))))</f>
      </c>
      <c r="C87" s="1">
        <f>IF($AM39="","",IF(OR(C$51&gt;=6,C$50=1),N(INDEX(MinFrei,MATCH(2,ArbeitNr,0))),N(INDEX(MinWerktag,MATCH(2,ArbeitNr,0)))))</f>
      </c>
      <c r="D87" s="1">
        <f>IF($AM39="","",IF(OR(D$51&gt;=6,D$50=1),N(INDEX(MinFrei,MATCH(2,ArbeitNr,0))),N(INDEX(MinWerktag,MATCH(2,ArbeitNr,0)))))</f>
      </c>
      <c r="E87" s="1">
        <f>IF($AM39="","",IF(OR(E$51&gt;=6,E$50=1),N(INDEX(MinFrei,MATCH(2,ArbeitNr,0))),N(INDEX(MinWerktag,MATCH(2,ArbeitNr,0)))))</f>
      </c>
      <c r="F87" s="1">
        <f>IF($AM39="","",IF(OR(F$51&gt;=6,F$50=1),N(INDEX(MinFrei,MATCH(2,ArbeitNr,0))),N(INDEX(MinWerktag,MATCH(2,ArbeitNr,0)))))</f>
      </c>
      <c r="G87" s="1">
        <f>IF($AM39="","",IF(OR(G$51&gt;=6,G$50=1),N(INDEX(MinFrei,MATCH(2,ArbeitNr,0))),N(INDEX(MinWerktag,MATCH(2,ArbeitNr,0)))))</f>
      </c>
      <c r="H87" s="1">
        <f>IF($AM39="","",IF(OR(H$51&gt;=6,H$50=1),N(INDEX(MinFrei,MATCH(2,ArbeitNr,0))),N(INDEX(MinWerktag,MATCH(2,ArbeitNr,0)))))</f>
      </c>
      <c r="I87" s="1">
        <f>IF($AM39="","",IF(OR(I$51&gt;=6,I$50=1),N(INDEX(MinFrei,MATCH(2,ArbeitNr,0))),N(INDEX(MinWerktag,MATCH(2,ArbeitNr,0)))))</f>
      </c>
      <c r="J87" s="1">
        <f>IF($AM39="","",IF(OR(J$51&gt;=6,J$50=1),N(INDEX(MinFrei,MATCH(2,ArbeitNr,0))),N(INDEX(MinWerktag,MATCH(2,ArbeitNr,0)))))</f>
      </c>
      <c r="K87" s="1">
        <f>IF($AM39="","",IF(OR(K$51&gt;=6,K$50=1),N(INDEX(MinFrei,MATCH(2,ArbeitNr,0))),N(INDEX(MinWerktag,MATCH(2,ArbeitNr,0)))))</f>
      </c>
      <c r="L87" s="1">
        <f>IF($AM39="","",IF(OR(L$51&gt;=6,L$50=1),N(INDEX(MinFrei,MATCH(2,ArbeitNr,0))),N(INDEX(MinWerktag,MATCH(2,ArbeitNr,0)))))</f>
      </c>
      <c r="M87" s="1">
        <f>IF($AM39="","",IF(OR(M$51&gt;=6,M$50=1),N(INDEX(MinFrei,MATCH(2,ArbeitNr,0))),N(INDEX(MinWerktag,MATCH(2,ArbeitNr,0)))))</f>
      </c>
      <c r="N87" s="1">
        <f>IF($AM39="","",IF(OR(N$51&gt;=6,N$50=1),N(INDEX(MinFrei,MATCH(2,ArbeitNr,0))),N(INDEX(MinWerktag,MATCH(2,ArbeitNr,0)))))</f>
      </c>
      <c r="O87" s="1">
        <f>IF($AM39="","",IF(OR(O$51&gt;=6,O$50=1),N(INDEX(MinFrei,MATCH(2,ArbeitNr,0))),N(INDEX(MinWerktag,MATCH(2,ArbeitNr,0)))))</f>
      </c>
      <c r="P87" s="1">
        <f>IF($AM39="","",IF(OR(P$51&gt;=6,P$50=1),N(INDEX(MinFrei,MATCH(2,ArbeitNr,0))),N(INDEX(MinWerktag,MATCH(2,ArbeitNr,0)))))</f>
      </c>
      <c r="Q87" s="1">
        <f>IF($AM39="","",IF(OR(Q$51&gt;=6,Q$50=1),N(INDEX(MinFrei,MATCH(2,ArbeitNr,0))),N(INDEX(MinWerktag,MATCH(2,ArbeitNr,0)))))</f>
      </c>
      <c r="R87" s="1">
        <f>IF($AM39="","",IF(OR(R$51&gt;=6,R$50=1),N(INDEX(MinFrei,MATCH(2,ArbeitNr,0))),N(INDEX(MinWerktag,MATCH(2,ArbeitNr,0)))))</f>
      </c>
      <c r="S87" s="1">
        <f>IF($AM39="","",IF(OR(S$51&gt;=6,S$50=1),N(INDEX(MinFrei,MATCH(2,ArbeitNr,0))),N(INDEX(MinWerktag,MATCH(2,ArbeitNr,0)))))</f>
      </c>
      <c r="T87" s="1">
        <f>IF($AM39="","",IF(OR(T$51&gt;=6,T$50=1),N(INDEX(MinFrei,MATCH(2,ArbeitNr,0))),N(INDEX(MinWerktag,MATCH(2,ArbeitNr,0)))))</f>
      </c>
      <c r="U87" s="1">
        <f>IF($AM39="","",IF(OR(U$51&gt;=6,U$50=1),N(INDEX(MinFrei,MATCH(2,ArbeitNr,0))),N(INDEX(MinWerktag,MATCH(2,ArbeitNr,0)))))</f>
      </c>
      <c r="V87" s="1">
        <f>IF($AM39="","",IF(OR(V$51&gt;=6,V$50=1),N(INDEX(MinFrei,MATCH(2,ArbeitNr,0))),N(INDEX(MinWerktag,MATCH(2,ArbeitNr,0)))))</f>
      </c>
      <c r="W87" s="1">
        <f>IF($AM39="","",IF(OR(W$51&gt;=6,W$50=1),N(INDEX(MinFrei,MATCH(2,ArbeitNr,0))),N(INDEX(MinWerktag,MATCH(2,ArbeitNr,0)))))</f>
      </c>
      <c r="X87" s="1">
        <f>IF($AM39="","",IF(OR(X$51&gt;=6,X$50=1),N(INDEX(MinFrei,MATCH(2,ArbeitNr,0))),N(INDEX(MinWerktag,MATCH(2,ArbeitNr,0)))))</f>
      </c>
      <c r="Y87" s="1">
        <f>IF($AM39="","",IF(OR(Y$51&gt;=6,Y$50=1),N(INDEX(MinFrei,MATCH(2,ArbeitNr,0))),N(INDEX(MinWerktag,MATCH(2,ArbeitNr,0)))))</f>
      </c>
      <c r="Z87" s="1">
        <f>IF($AM39="","",IF(OR(Z$51&gt;=6,Z$50=1),N(INDEX(MinFrei,MATCH(2,ArbeitNr,0))),N(INDEX(MinWerktag,MATCH(2,ArbeitNr,0)))))</f>
      </c>
      <c r="AA87" s="1">
        <f>IF($AM39="","",IF(OR(AA$51&gt;=6,AA$50=1),N(INDEX(MinFrei,MATCH(2,ArbeitNr,0))),N(INDEX(MinWerktag,MATCH(2,ArbeitNr,0)))))</f>
      </c>
      <c r="AB87" s="1">
        <f>IF($AM39="","",IF(OR(AB$51&gt;=6,AB$50=1),N(INDEX(MinFrei,MATCH(2,ArbeitNr,0))),N(INDEX(MinWerktag,MATCH(2,ArbeitNr,0)))))</f>
      </c>
      <c r="AC87" s="1">
        <f>IF($AM39="","",IF(OR(AC$51&gt;=6,AC$50=1),N(INDEX(MinFrei,MATCH(2,ArbeitNr,0))),N(INDEX(MinWerktag,MATCH(2,ArbeitNr,0)))))</f>
      </c>
      <c r="AD87" s="1">
        <f>IF($AM39="","",IF(OR(AD$51&gt;=6,AD$50=1),N(INDEX(MinFrei,MATCH(2,ArbeitNr,0))),N(INDEX(MinWerktag,MATCH(2,ArbeitNr,0)))))</f>
      </c>
      <c r="AE87" s="1">
        <f>IF($AM39="","",IF(OR(AE$51&gt;=6,AE$50=1),N(INDEX(MinFrei,MATCH(2,ArbeitNr,0))),N(INDEX(MinWerktag,MATCH(2,ArbeitNr,0)))))</f>
      </c>
      <c r="AF87" s="1">
        <f>IF($AM39="","",IF(OR(AF$51&gt;=6,AF$50=1),N(INDEX(MinFrei,MATCH(2,ArbeitNr,0))),N(INDEX(MinWerktag,MATCH(2,ArbeitNr,0)))))</f>
      </c>
    </row>
    <row r="88" hidden="1" spans="1:32" x14ac:dyDescent="0.25">
      <c r="A88" s="1"/>
      <c r="B88" s="1">
        <f>IF($AM40="","",IF(OR(B$51&gt;=6,B$50=1),N(INDEX(MinFrei,MATCH(3,ArbeitNr,0))),N(INDEX(MinWerktag,MATCH(3,ArbeitNr,0)))))</f>
      </c>
      <c r="C88" s="1">
        <f>IF($AM40="","",IF(OR(C$51&gt;=6,C$50=1),N(INDEX(MinFrei,MATCH(3,ArbeitNr,0))),N(INDEX(MinWerktag,MATCH(3,ArbeitNr,0)))))</f>
      </c>
      <c r="D88" s="1">
        <f>IF($AM40="","",IF(OR(D$51&gt;=6,D$50=1),N(INDEX(MinFrei,MATCH(3,ArbeitNr,0))),N(INDEX(MinWerktag,MATCH(3,ArbeitNr,0)))))</f>
      </c>
      <c r="E88" s="1">
        <f>IF($AM40="","",IF(OR(E$51&gt;=6,E$50=1),N(INDEX(MinFrei,MATCH(3,ArbeitNr,0))),N(INDEX(MinWerktag,MATCH(3,ArbeitNr,0)))))</f>
      </c>
      <c r="F88" s="1">
        <f>IF($AM40="","",IF(OR(F$51&gt;=6,F$50=1),N(INDEX(MinFrei,MATCH(3,ArbeitNr,0))),N(INDEX(MinWerktag,MATCH(3,ArbeitNr,0)))))</f>
      </c>
      <c r="G88" s="1">
        <f>IF($AM40="","",IF(OR(G$51&gt;=6,G$50=1),N(INDEX(MinFrei,MATCH(3,ArbeitNr,0))),N(INDEX(MinWerktag,MATCH(3,ArbeitNr,0)))))</f>
      </c>
      <c r="H88" s="1">
        <f>IF($AM40="","",IF(OR(H$51&gt;=6,H$50=1),N(INDEX(MinFrei,MATCH(3,ArbeitNr,0))),N(INDEX(MinWerktag,MATCH(3,ArbeitNr,0)))))</f>
      </c>
      <c r="I88" s="1">
        <f>IF($AM40="","",IF(OR(I$51&gt;=6,I$50=1),N(INDEX(MinFrei,MATCH(3,ArbeitNr,0))),N(INDEX(MinWerktag,MATCH(3,ArbeitNr,0)))))</f>
      </c>
      <c r="J88" s="1">
        <f>IF($AM40="","",IF(OR(J$51&gt;=6,J$50=1),N(INDEX(MinFrei,MATCH(3,ArbeitNr,0))),N(INDEX(MinWerktag,MATCH(3,ArbeitNr,0)))))</f>
      </c>
      <c r="K88" s="1">
        <f>IF($AM40="","",IF(OR(K$51&gt;=6,K$50=1),N(INDEX(MinFrei,MATCH(3,ArbeitNr,0))),N(INDEX(MinWerktag,MATCH(3,ArbeitNr,0)))))</f>
      </c>
      <c r="L88" s="1">
        <f>IF($AM40="","",IF(OR(L$51&gt;=6,L$50=1),N(INDEX(MinFrei,MATCH(3,ArbeitNr,0))),N(INDEX(MinWerktag,MATCH(3,ArbeitNr,0)))))</f>
      </c>
      <c r="M88" s="1">
        <f>IF($AM40="","",IF(OR(M$51&gt;=6,M$50=1),N(INDEX(MinFrei,MATCH(3,ArbeitNr,0))),N(INDEX(MinWerktag,MATCH(3,ArbeitNr,0)))))</f>
      </c>
      <c r="N88" s="1">
        <f>IF($AM40="","",IF(OR(N$51&gt;=6,N$50=1),N(INDEX(MinFrei,MATCH(3,ArbeitNr,0))),N(INDEX(MinWerktag,MATCH(3,ArbeitNr,0)))))</f>
      </c>
      <c r="O88" s="1">
        <f>IF($AM40="","",IF(OR(O$51&gt;=6,O$50=1),N(INDEX(MinFrei,MATCH(3,ArbeitNr,0))),N(INDEX(MinWerktag,MATCH(3,ArbeitNr,0)))))</f>
      </c>
      <c r="P88" s="1">
        <f>IF($AM40="","",IF(OR(P$51&gt;=6,P$50=1),N(INDEX(MinFrei,MATCH(3,ArbeitNr,0))),N(INDEX(MinWerktag,MATCH(3,ArbeitNr,0)))))</f>
      </c>
      <c r="Q88" s="1">
        <f>IF($AM40="","",IF(OR(Q$51&gt;=6,Q$50=1),N(INDEX(MinFrei,MATCH(3,ArbeitNr,0))),N(INDEX(MinWerktag,MATCH(3,ArbeitNr,0)))))</f>
      </c>
      <c r="R88" s="1">
        <f>IF($AM40="","",IF(OR(R$51&gt;=6,R$50=1),N(INDEX(MinFrei,MATCH(3,ArbeitNr,0))),N(INDEX(MinWerktag,MATCH(3,ArbeitNr,0)))))</f>
      </c>
      <c r="S88" s="1">
        <f>IF($AM40="","",IF(OR(S$51&gt;=6,S$50=1),N(INDEX(MinFrei,MATCH(3,ArbeitNr,0))),N(INDEX(MinWerktag,MATCH(3,ArbeitNr,0)))))</f>
      </c>
      <c r="T88" s="1">
        <f>IF($AM40="","",IF(OR(T$51&gt;=6,T$50=1),N(INDEX(MinFrei,MATCH(3,ArbeitNr,0))),N(INDEX(MinWerktag,MATCH(3,ArbeitNr,0)))))</f>
      </c>
      <c r="U88" s="1">
        <f>IF($AM40="","",IF(OR(U$51&gt;=6,U$50=1),N(INDEX(MinFrei,MATCH(3,ArbeitNr,0))),N(INDEX(MinWerktag,MATCH(3,ArbeitNr,0)))))</f>
      </c>
      <c r="V88" s="1">
        <f>IF($AM40="","",IF(OR(V$51&gt;=6,V$50=1),N(INDEX(MinFrei,MATCH(3,ArbeitNr,0))),N(INDEX(MinWerktag,MATCH(3,ArbeitNr,0)))))</f>
      </c>
      <c r="W88" s="1">
        <f>IF($AM40="","",IF(OR(W$51&gt;=6,W$50=1),N(INDEX(MinFrei,MATCH(3,ArbeitNr,0))),N(INDEX(MinWerktag,MATCH(3,ArbeitNr,0)))))</f>
      </c>
      <c r="X88" s="1">
        <f>IF($AM40="","",IF(OR(X$51&gt;=6,X$50=1),N(INDEX(MinFrei,MATCH(3,ArbeitNr,0))),N(INDEX(MinWerktag,MATCH(3,ArbeitNr,0)))))</f>
      </c>
      <c r="Y88" s="1">
        <f>IF($AM40="","",IF(OR(Y$51&gt;=6,Y$50=1),N(INDEX(MinFrei,MATCH(3,ArbeitNr,0))),N(INDEX(MinWerktag,MATCH(3,ArbeitNr,0)))))</f>
      </c>
      <c r="Z88" s="1">
        <f>IF($AM40="","",IF(OR(Z$51&gt;=6,Z$50=1),N(INDEX(MinFrei,MATCH(3,ArbeitNr,0))),N(INDEX(MinWerktag,MATCH(3,ArbeitNr,0)))))</f>
      </c>
      <c r="AA88" s="1">
        <f>IF($AM40="","",IF(OR(AA$51&gt;=6,AA$50=1),N(INDEX(MinFrei,MATCH(3,ArbeitNr,0))),N(INDEX(MinWerktag,MATCH(3,ArbeitNr,0)))))</f>
      </c>
      <c r="AB88" s="1">
        <f>IF($AM40="","",IF(OR(AB$51&gt;=6,AB$50=1),N(INDEX(MinFrei,MATCH(3,ArbeitNr,0))),N(INDEX(MinWerktag,MATCH(3,ArbeitNr,0)))))</f>
      </c>
      <c r="AC88" s="1">
        <f>IF($AM40="","",IF(OR(AC$51&gt;=6,AC$50=1),N(INDEX(MinFrei,MATCH(3,ArbeitNr,0))),N(INDEX(MinWerktag,MATCH(3,ArbeitNr,0)))))</f>
      </c>
      <c r="AD88" s="1">
        <f>IF($AM40="","",IF(OR(AD$51&gt;=6,AD$50=1),N(INDEX(MinFrei,MATCH(3,ArbeitNr,0))),N(INDEX(MinWerktag,MATCH(3,ArbeitNr,0)))))</f>
      </c>
      <c r="AE88" s="1">
        <f>IF($AM40="","",IF(OR(AE$51&gt;=6,AE$50=1),N(INDEX(MinFrei,MATCH(3,ArbeitNr,0))),N(INDEX(MinWerktag,MATCH(3,ArbeitNr,0)))))</f>
      </c>
      <c r="AF88" s="1">
        <f>IF($AM40="","",IF(OR(AF$51&gt;=6,AF$50=1),N(INDEX(MinFrei,MATCH(3,ArbeitNr,0))),N(INDEX(MinWerktag,MATCH(3,ArbeitNr,0)))))</f>
      </c>
    </row>
    <row r="89" hidden="1" spans="1:32" x14ac:dyDescent="0.25">
      <c r="A89" s="1"/>
      <c r="B89" s="1">
        <f>IF($AM41="","",IF(OR(B$51&gt;=6,B$50=1),N(INDEX(MinFrei,MATCH(4,ArbeitNr,0))),N(INDEX(MinWerktag,MATCH(4,ArbeitNr,0)))))</f>
      </c>
      <c r="C89" s="1">
        <f>IF($AM41="","",IF(OR(C$51&gt;=6,C$50=1),N(INDEX(MinFrei,MATCH(4,ArbeitNr,0))),N(INDEX(MinWerktag,MATCH(4,ArbeitNr,0)))))</f>
      </c>
      <c r="D89" s="1">
        <f>IF($AM41="","",IF(OR(D$51&gt;=6,D$50=1),N(INDEX(MinFrei,MATCH(4,ArbeitNr,0))),N(INDEX(MinWerktag,MATCH(4,ArbeitNr,0)))))</f>
      </c>
      <c r="E89" s="1">
        <f>IF($AM41="","",IF(OR(E$51&gt;=6,E$50=1),N(INDEX(MinFrei,MATCH(4,ArbeitNr,0))),N(INDEX(MinWerktag,MATCH(4,ArbeitNr,0)))))</f>
      </c>
      <c r="F89" s="1">
        <f>IF($AM41="","",IF(OR(F$51&gt;=6,F$50=1),N(INDEX(MinFrei,MATCH(4,ArbeitNr,0))),N(INDEX(MinWerktag,MATCH(4,ArbeitNr,0)))))</f>
      </c>
      <c r="G89" s="1">
        <f>IF($AM41="","",IF(OR(G$51&gt;=6,G$50=1),N(INDEX(MinFrei,MATCH(4,ArbeitNr,0))),N(INDEX(MinWerktag,MATCH(4,ArbeitNr,0)))))</f>
      </c>
      <c r="H89" s="1">
        <f>IF($AM41="","",IF(OR(H$51&gt;=6,H$50=1),N(INDEX(MinFrei,MATCH(4,ArbeitNr,0))),N(INDEX(MinWerktag,MATCH(4,ArbeitNr,0)))))</f>
      </c>
      <c r="I89" s="1">
        <f>IF($AM41="","",IF(OR(I$51&gt;=6,I$50=1),N(INDEX(MinFrei,MATCH(4,ArbeitNr,0))),N(INDEX(MinWerktag,MATCH(4,ArbeitNr,0)))))</f>
      </c>
      <c r="J89" s="1">
        <f>IF($AM41="","",IF(OR(J$51&gt;=6,J$50=1),N(INDEX(MinFrei,MATCH(4,ArbeitNr,0))),N(INDEX(MinWerktag,MATCH(4,ArbeitNr,0)))))</f>
      </c>
      <c r="K89" s="1">
        <f>IF($AM41="","",IF(OR(K$51&gt;=6,K$50=1),N(INDEX(MinFrei,MATCH(4,ArbeitNr,0))),N(INDEX(MinWerktag,MATCH(4,ArbeitNr,0)))))</f>
      </c>
      <c r="L89" s="1">
        <f>IF($AM41="","",IF(OR(L$51&gt;=6,L$50=1),N(INDEX(MinFrei,MATCH(4,ArbeitNr,0))),N(INDEX(MinWerktag,MATCH(4,ArbeitNr,0)))))</f>
      </c>
      <c r="M89" s="1">
        <f>IF($AM41="","",IF(OR(M$51&gt;=6,M$50=1),N(INDEX(MinFrei,MATCH(4,ArbeitNr,0))),N(INDEX(MinWerktag,MATCH(4,ArbeitNr,0)))))</f>
      </c>
      <c r="N89" s="1">
        <f>IF($AM41="","",IF(OR(N$51&gt;=6,N$50=1),N(INDEX(MinFrei,MATCH(4,ArbeitNr,0))),N(INDEX(MinWerktag,MATCH(4,ArbeitNr,0)))))</f>
      </c>
      <c r="O89" s="1">
        <f>IF($AM41="","",IF(OR(O$51&gt;=6,O$50=1),N(INDEX(MinFrei,MATCH(4,ArbeitNr,0))),N(INDEX(MinWerktag,MATCH(4,ArbeitNr,0)))))</f>
      </c>
      <c r="P89" s="1">
        <f>IF($AM41="","",IF(OR(P$51&gt;=6,P$50=1),N(INDEX(MinFrei,MATCH(4,ArbeitNr,0))),N(INDEX(MinWerktag,MATCH(4,ArbeitNr,0)))))</f>
      </c>
      <c r="Q89" s="1">
        <f>IF($AM41="","",IF(OR(Q$51&gt;=6,Q$50=1),N(INDEX(MinFrei,MATCH(4,ArbeitNr,0))),N(INDEX(MinWerktag,MATCH(4,ArbeitNr,0)))))</f>
      </c>
      <c r="R89" s="1">
        <f>IF($AM41="","",IF(OR(R$51&gt;=6,R$50=1),N(INDEX(MinFrei,MATCH(4,ArbeitNr,0))),N(INDEX(MinWerktag,MATCH(4,ArbeitNr,0)))))</f>
      </c>
      <c r="S89" s="1">
        <f>IF($AM41="","",IF(OR(S$51&gt;=6,S$50=1),N(INDEX(MinFrei,MATCH(4,ArbeitNr,0))),N(INDEX(MinWerktag,MATCH(4,ArbeitNr,0)))))</f>
      </c>
      <c r="T89" s="1">
        <f>IF($AM41="","",IF(OR(T$51&gt;=6,T$50=1),N(INDEX(MinFrei,MATCH(4,ArbeitNr,0))),N(INDEX(MinWerktag,MATCH(4,ArbeitNr,0)))))</f>
      </c>
      <c r="U89" s="1">
        <f>IF($AM41="","",IF(OR(U$51&gt;=6,U$50=1),N(INDEX(MinFrei,MATCH(4,ArbeitNr,0))),N(INDEX(MinWerktag,MATCH(4,ArbeitNr,0)))))</f>
      </c>
      <c r="V89" s="1">
        <f>IF($AM41="","",IF(OR(V$51&gt;=6,V$50=1),N(INDEX(MinFrei,MATCH(4,ArbeitNr,0))),N(INDEX(MinWerktag,MATCH(4,ArbeitNr,0)))))</f>
      </c>
      <c r="W89" s="1">
        <f>IF($AM41="","",IF(OR(W$51&gt;=6,W$50=1),N(INDEX(MinFrei,MATCH(4,ArbeitNr,0))),N(INDEX(MinWerktag,MATCH(4,ArbeitNr,0)))))</f>
      </c>
      <c r="X89" s="1">
        <f>IF($AM41="","",IF(OR(X$51&gt;=6,X$50=1),N(INDEX(MinFrei,MATCH(4,ArbeitNr,0))),N(INDEX(MinWerktag,MATCH(4,ArbeitNr,0)))))</f>
      </c>
      <c r="Y89" s="1">
        <f>IF($AM41="","",IF(OR(Y$51&gt;=6,Y$50=1),N(INDEX(MinFrei,MATCH(4,ArbeitNr,0))),N(INDEX(MinWerktag,MATCH(4,ArbeitNr,0)))))</f>
      </c>
      <c r="Z89" s="1">
        <f>IF($AM41="","",IF(OR(Z$51&gt;=6,Z$50=1),N(INDEX(MinFrei,MATCH(4,ArbeitNr,0))),N(INDEX(MinWerktag,MATCH(4,ArbeitNr,0)))))</f>
      </c>
      <c r="AA89" s="1">
        <f>IF($AM41="","",IF(OR(AA$51&gt;=6,AA$50=1),N(INDEX(MinFrei,MATCH(4,ArbeitNr,0))),N(INDEX(MinWerktag,MATCH(4,ArbeitNr,0)))))</f>
      </c>
      <c r="AB89" s="1">
        <f>IF($AM41="","",IF(OR(AB$51&gt;=6,AB$50=1),N(INDEX(MinFrei,MATCH(4,ArbeitNr,0))),N(INDEX(MinWerktag,MATCH(4,ArbeitNr,0)))))</f>
      </c>
      <c r="AC89" s="1">
        <f>IF($AM41="","",IF(OR(AC$51&gt;=6,AC$50=1),N(INDEX(MinFrei,MATCH(4,ArbeitNr,0))),N(INDEX(MinWerktag,MATCH(4,ArbeitNr,0)))))</f>
      </c>
      <c r="AD89" s="1">
        <f>IF($AM41="","",IF(OR(AD$51&gt;=6,AD$50=1),N(INDEX(MinFrei,MATCH(4,ArbeitNr,0))),N(INDEX(MinWerktag,MATCH(4,ArbeitNr,0)))))</f>
      </c>
      <c r="AE89" s="1">
        <f>IF($AM41="","",IF(OR(AE$51&gt;=6,AE$50=1),N(INDEX(MinFrei,MATCH(4,ArbeitNr,0))),N(INDEX(MinWerktag,MATCH(4,ArbeitNr,0)))))</f>
      </c>
      <c r="AF89" s="1">
        <f>IF($AM41="","",IF(OR(AF$51&gt;=6,AF$50=1),N(INDEX(MinFrei,MATCH(4,ArbeitNr,0))),N(INDEX(MinWerktag,MATCH(4,ArbeitNr,0)))))</f>
      </c>
    </row>
    <row r="90" hidden="1" spans="1:32" x14ac:dyDescent="0.25">
      <c r="A90" s="1"/>
      <c r="B90" s="1">
        <f>IF($AM42="","",IF(OR(B$51&gt;=6,B$50=1),N(INDEX(MinFrei,MATCH(5,ArbeitNr,0))),N(INDEX(MinWerktag,MATCH(5,ArbeitNr,0)))))</f>
      </c>
      <c r="C90" s="1">
        <f>IF($AM42="","",IF(OR(C$51&gt;=6,C$50=1),N(INDEX(MinFrei,MATCH(5,ArbeitNr,0))),N(INDEX(MinWerktag,MATCH(5,ArbeitNr,0)))))</f>
      </c>
      <c r="D90" s="1">
        <f>IF($AM42="","",IF(OR(D$51&gt;=6,D$50=1),N(INDEX(MinFrei,MATCH(5,ArbeitNr,0))),N(INDEX(MinWerktag,MATCH(5,ArbeitNr,0)))))</f>
      </c>
      <c r="E90" s="1">
        <f>IF($AM42="","",IF(OR(E$51&gt;=6,E$50=1),N(INDEX(MinFrei,MATCH(5,ArbeitNr,0))),N(INDEX(MinWerktag,MATCH(5,ArbeitNr,0)))))</f>
      </c>
      <c r="F90" s="1">
        <f>IF($AM42="","",IF(OR(F$51&gt;=6,F$50=1),N(INDEX(MinFrei,MATCH(5,ArbeitNr,0))),N(INDEX(MinWerktag,MATCH(5,ArbeitNr,0)))))</f>
      </c>
      <c r="G90" s="1">
        <f>IF($AM42="","",IF(OR(G$51&gt;=6,G$50=1),N(INDEX(MinFrei,MATCH(5,ArbeitNr,0))),N(INDEX(MinWerktag,MATCH(5,ArbeitNr,0)))))</f>
      </c>
      <c r="H90" s="1">
        <f>IF($AM42="","",IF(OR(H$51&gt;=6,H$50=1),N(INDEX(MinFrei,MATCH(5,ArbeitNr,0))),N(INDEX(MinWerktag,MATCH(5,ArbeitNr,0)))))</f>
      </c>
      <c r="I90" s="1">
        <f>IF($AM42="","",IF(OR(I$51&gt;=6,I$50=1),N(INDEX(MinFrei,MATCH(5,ArbeitNr,0))),N(INDEX(MinWerktag,MATCH(5,ArbeitNr,0)))))</f>
      </c>
      <c r="J90" s="1">
        <f>IF($AM42="","",IF(OR(J$51&gt;=6,J$50=1),N(INDEX(MinFrei,MATCH(5,ArbeitNr,0))),N(INDEX(MinWerktag,MATCH(5,ArbeitNr,0)))))</f>
      </c>
      <c r="K90" s="1">
        <f>IF($AM42="","",IF(OR(K$51&gt;=6,K$50=1),N(INDEX(MinFrei,MATCH(5,ArbeitNr,0))),N(INDEX(MinWerktag,MATCH(5,ArbeitNr,0)))))</f>
      </c>
      <c r="L90" s="1">
        <f>IF($AM42="","",IF(OR(L$51&gt;=6,L$50=1),N(INDEX(MinFrei,MATCH(5,ArbeitNr,0))),N(INDEX(MinWerktag,MATCH(5,ArbeitNr,0)))))</f>
      </c>
      <c r="M90" s="1">
        <f>IF($AM42="","",IF(OR(M$51&gt;=6,M$50=1),N(INDEX(MinFrei,MATCH(5,ArbeitNr,0))),N(INDEX(MinWerktag,MATCH(5,ArbeitNr,0)))))</f>
      </c>
      <c r="N90" s="1">
        <f>IF($AM42="","",IF(OR(N$51&gt;=6,N$50=1),N(INDEX(MinFrei,MATCH(5,ArbeitNr,0))),N(INDEX(MinWerktag,MATCH(5,ArbeitNr,0)))))</f>
      </c>
      <c r="O90" s="1">
        <f>IF($AM42="","",IF(OR(O$51&gt;=6,O$50=1),N(INDEX(MinFrei,MATCH(5,ArbeitNr,0))),N(INDEX(MinWerktag,MATCH(5,ArbeitNr,0)))))</f>
      </c>
      <c r="P90" s="1">
        <f>IF($AM42="","",IF(OR(P$51&gt;=6,P$50=1),N(INDEX(MinFrei,MATCH(5,ArbeitNr,0))),N(INDEX(MinWerktag,MATCH(5,ArbeitNr,0)))))</f>
      </c>
      <c r="Q90" s="1">
        <f>IF($AM42="","",IF(OR(Q$51&gt;=6,Q$50=1),N(INDEX(MinFrei,MATCH(5,ArbeitNr,0))),N(INDEX(MinWerktag,MATCH(5,ArbeitNr,0)))))</f>
      </c>
      <c r="R90" s="1">
        <f>IF($AM42="","",IF(OR(R$51&gt;=6,R$50=1),N(INDEX(MinFrei,MATCH(5,ArbeitNr,0))),N(INDEX(MinWerktag,MATCH(5,ArbeitNr,0)))))</f>
      </c>
      <c r="S90" s="1">
        <f>IF($AM42="","",IF(OR(S$51&gt;=6,S$50=1),N(INDEX(MinFrei,MATCH(5,ArbeitNr,0))),N(INDEX(MinWerktag,MATCH(5,ArbeitNr,0)))))</f>
      </c>
      <c r="T90" s="1">
        <f>IF($AM42="","",IF(OR(T$51&gt;=6,T$50=1),N(INDEX(MinFrei,MATCH(5,ArbeitNr,0))),N(INDEX(MinWerktag,MATCH(5,ArbeitNr,0)))))</f>
      </c>
      <c r="U90" s="1">
        <f>IF($AM42="","",IF(OR(U$51&gt;=6,U$50=1),N(INDEX(MinFrei,MATCH(5,ArbeitNr,0))),N(INDEX(MinWerktag,MATCH(5,ArbeitNr,0)))))</f>
      </c>
      <c r="V90" s="1">
        <f>IF($AM42="","",IF(OR(V$51&gt;=6,V$50=1),N(INDEX(MinFrei,MATCH(5,ArbeitNr,0))),N(INDEX(MinWerktag,MATCH(5,ArbeitNr,0)))))</f>
      </c>
      <c r="W90" s="1">
        <f>IF($AM42="","",IF(OR(W$51&gt;=6,W$50=1),N(INDEX(MinFrei,MATCH(5,ArbeitNr,0))),N(INDEX(MinWerktag,MATCH(5,ArbeitNr,0)))))</f>
      </c>
      <c r="X90" s="1">
        <f>IF($AM42="","",IF(OR(X$51&gt;=6,X$50=1),N(INDEX(MinFrei,MATCH(5,ArbeitNr,0))),N(INDEX(MinWerktag,MATCH(5,ArbeitNr,0)))))</f>
      </c>
      <c r="Y90" s="1">
        <f>IF($AM42="","",IF(OR(Y$51&gt;=6,Y$50=1),N(INDEX(MinFrei,MATCH(5,ArbeitNr,0))),N(INDEX(MinWerktag,MATCH(5,ArbeitNr,0)))))</f>
      </c>
      <c r="Z90" s="1">
        <f>IF($AM42="","",IF(OR(Z$51&gt;=6,Z$50=1),N(INDEX(MinFrei,MATCH(5,ArbeitNr,0))),N(INDEX(MinWerktag,MATCH(5,ArbeitNr,0)))))</f>
      </c>
      <c r="AA90" s="1">
        <f>IF($AM42="","",IF(OR(AA$51&gt;=6,AA$50=1),N(INDEX(MinFrei,MATCH(5,ArbeitNr,0))),N(INDEX(MinWerktag,MATCH(5,ArbeitNr,0)))))</f>
      </c>
      <c r="AB90" s="1">
        <f>IF($AM42="","",IF(OR(AB$51&gt;=6,AB$50=1),N(INDEX(MinFrei,MATCH(5,ArbeitNr,0))),N(INDEX(MinWerktag,MATCH(5,ArbeitNr,0)))))</f>
      </c>
      <c r="AC90" s="1">
        <f>IF($AM42="","",IF(OR(AC$51&gt;=6,AC$50=1),N(INDEX(MinFrei,MATCH(5,ArbeitNr,0))),N(INDEX(MinWerktag,MATCH(5,ArbeitNr,0)))))</f>
      </c>
      <c r="AD90" s="1">
        <f>IF($AM42="","",IF(OR(AD$51&gt;=6,AD$50=1),N(INDEX(MinFrei,MATCH(5,ArbeitNr,0))),N(INDEX(MinWerktag,MATCH(5,ArbeitNr,0)))))</f>
      </c>
      <c r="AE90" s="1">
        <f>IF($AM42="","",IF(OR(AE$51&gt;=6,AE$50=1),N(INDEX(MinFrei,MATCH(5,ArbeitNr,0))),N(INDEX(MinWerktag,MATCH(5,ArbeitNr,0)))))</f>
      </c>
      <c r="AF90" s="1">
        <f>IF($AM42="","",IF(OR(AF$51&gt;=6,AF$50=1),N(INDEX(MinFrei,MATCH(5,ArbeitNr,0))),N(INDEX(MinWerktag,MATCH(5,ArbeitNr,0)))))</f>
      </c>
    </row>
    <row r="91" hidden="1" spans="1:32" x14ac:dyDescent="0.25">
      <c r="A91" s="1"/>
      <c r="B91" s="1">
        <f>IF($AM43="","",IF(OR(B$51&gt;=6,B$50=1),N(INDEX(MinFrei,MATCH(6,ArbeitNr,0))),N(INDEX(MinWerktag,MATCH(6,ArbeitNr,0)))))</f>
      </c>
      <c r="C91" s="1">
        <f>IF($AM43="","",IF(OR(C$51&gt;=6,C$50=1),N(INDEX(MinFrei,MATCH(6,ArbeitNr,0))),N(INDEX(MinWerktag,MATCH(6,ArbeitNr,0)))))</f>
      </c>
      <c r="D91" s="1">
        <f>IF($AM43="","",IF(OR(D$51&gt;=6,D$50=1),N(INDEX(MinFrei,MATCH(6,ArbeitNr,0))),N(INDEX(MinWerktag,MATCH(6,ArbeitNr,0)))))</f>
      </c>
      <c r="E91" s="1">
        <f>IF($AM43="","",IF(OR(E$51&gt;=6,E$50=1),N(INDEX(MinFrei,MATCH(6,ArbeitNr,0))),N(INDEX(MinWerktag,MATCH(6,ArbeitNr,0)))))</f>
      </c>
      <c r="F91" s="1">
        <f>IF($AM43="","",IF(OR(F$51&gt;=6,F$50=1),N(INDEX(MinFrei,MATCH(6,ArbeitNr,0))),N(INDEX(MinWerktag,MATCH(6,ArbeitNr,0)))))</f>
      </c>
      <c r="G91" s="1">
        <f>IF($AM43="","",IF(OR(G$51&gt;=6,G$50=1),N(INDEX(MinFrei,MATCH(6,ArbeitNr,0))),N(INDEX(MinWerktag,MATCH(6,ArbeitNr,0)))))</f>
      </c>
      <c r="H91" s="1">
        <f>IF($AM43="","",IF(OR(H$51&gt;=6,H$50=1),N(INDEX(MinFrei,MATCH(6,ArbeitNr,0))),N(INDEX(MinWerktag,MATCH(6,ArbeitNr,0)))))</f>
      </c>
      <c r="I91" s="1">
        <f>IF($AM43="","",IF(OR(I$51&gt;=6,I$50=1),N(INDEX(MinFrei,MATCH(6,ArbeitNr,0))),N(INDEX(MinWerktag,MATCH(6,ArbeitNr,0)))))</f>
      </c>
      <c r="J91" s="1">
        <f>IF($AM43="","",IF(OR(J$51&gt;=6,J$50=1),N(INDEX(MinFrei,MATCH(6,ArbeitNr,0))),N(INDEX(MinWerktag,MATCH(6,ArbeitNr,0)))))</f>
      </c>
      <c r="K91" s="1">
        <f>IF($AM43="","",IF(OR(K$51&gt;=6,K$50=1),N(INDEX(MinFrei,MATCH(6,ArbeitNr,0))),N(INDEX(MinWerktag,MATCH(6,ArbeitNr,0)))))</f>
      </c>
      <c r="L91" s="1">
        <f>IF($AM43="","",IF(OR(L$51&gt;=6,L$50=1),N(INDEX(MinFrei,MATCH(6,ArbeitNr,0))),N(INDEX(MinWerktag,MATCH(6,ArbeitNr,0)))))</f>
      </c>
      <c r="M91" s="1">
        <f>IF($AM43="","",IF(OR(M$51&gt;=6,M$50=1),N(INDEX(MinFrei,MATCH(6,ArbeitNr,0))),N(INDEX(MinWerktag,MATCH(6,ArbeitNr,0)))))</f>
      </c>
      <c r="N91" s="1">
        <f>IF($AM43="","",IF(OR(N$51&gt;=6,N$50=1),N(INDEX(MinFrei,MATCH(6,ArbeitNr,0))),N(INDEX(MinWerktag,MATCH(6,ArbeitNr,0)))))</f>
      </c>
      <c r="O91" s="1">
        <f>IF($AM43="","",IF(OR(O$51&gt;=6,O$50=1),N(INDEX(MinFrei,MATCH(6,ArbeitNr,0))),N(INDEX(MinWerktag,MATCH(6,ArbeitNr,0)))))</f>
      </c>
      <c r="P91" s="1">
        <f>IF($AM43="","",IF(OR(P$51&gt;=6,P$50=1),N(INDEX(MinFrei,MATCH(6,ArbeitNr,0))),N(INDEX(MinWerktag,MATCH(6,ArbeitNr,0)))))</f>
      </c>
      <c r="Q91" s="1">
        <f>IF($AM43="","",IF(OR(Q$51&gt;=6,Q$50=1),N(INDEX(MinFrei,MATCH(6,ArbeitNr,0))),N(INDEX(MinWerktag,MATCH(6,ArbeitNr,0)))))</f>
      </c>
      <c r="R91" s="1">
        <f>IF($AM43="","",IF(OR(R$51&gt;=6,R$50=1),N(INDEX(MinFrei,MATCH(6,ArbeitNr,0))),N(INDEX(MinWerktag,MATCH(6,ArbeitNr,0)))))</f>
      </c>
      <c r="S91" s="1">
        <f>IF($AM43="","",IF(OR(S$51&gt;=6,S$50=1),N(INDEX(MinFrei,MATCH(6,ArbeitNr,0))),N(INDEX(MinWerktag,MATCH(6,ArbeitNr,0)))))</f>
      </c>
      <c r="T91" s="1">
        <f>IF($AM43="","",IF(OR(T$51&gt;=6,T$50=1),N(INDEX(MinFrei,MATCH(6,ArbeitNr,0))),N(INDEX(MinWerktag,MATCH(6,ArbeitNr,0)))))</f>
      </c>
      <c r="U91" s="1">
        <f>IF($AM43="","",IF(OR(U$51&gt;=6,U$50=1),N(INDEX(MinFrei,MATCH(6,ArbeitNr,0))),N(INDEX(MinWerktag,MATCH(6,ArbeitNr,0)))))</f>
      </c>
      <c r="V91" s="1">
        <f>IF($AM43="","",IF(OR(V$51&gt;=6,V$50=1),N(INDEX(MinFrei,MATCH(6,ArbeitNr,0))),N(INDEX(MinWerktag,MATCH(6,ArbeitNr,0)))))</f>
      </c>
      <c r="W91" s="1">
        <f>IF($AM43="","",IF(OR(W$51&gt;=6,W$50=1),N(INDEX(MinFrei,MATCH(6,ArbeitNr,0))),N(INDEX(MinWerktag,MATCH(6,ArbeitNr,0)))))</f>
      </c>
      <c r="X91" s="1">
        <f>IF($AM43="","",IF(OR(X$51&gt;=6,X$50=1),N(INDEX(MinFrei,MATCH(6,ArbeitNr,0))),N(INDEX(MinWerktag,MATCH(6,ArbeitNr,0)))))</f>
      </c>
      <c r="Y91" s="1">
        <f>IF($AM43="","",IF(OR(Y$51&gt;=6,Y$50=1),N(INDEX(MinFrei,MATCH(6,ArbeitNr,0))),N(INDEX(MinWerktag,MATCH(6,ArbeitNr,0)))))</f>
      </c>
      <c r="Z91" s="1">
        <f>IF($AM43="","",IF(OR(Z$51&gt;=6,Z$50=1),N(INDEX(MinFrei,MATCH(6,ArbeitNr,0))),N(INDEX(MinWerktag,MATCH(6,ArbeitNr,0)))))</f>
      </c>
      <c r="AA91" s="1">
        <f>IF($AM43="","",IF(OR(AA$51&gt;=6,AA$50=1),N(INDEX(MinFrei,MATCH(6,ArbeitNr,0))),N(INDEX(MinWerktag,MATCH(6,ArbeitNr,0)))))</f>
      </c>
      <c r="AB91" s="1">
        <f>IF($AM43="","",IF(OR(AB$51&gt;=6,AB$50=1),N(INDEX(MinFrei,MATCH(6,ArbeitNr,0))),N(INDEX(MinWerktag,MATCH(6,ArbeitNr,0)))))</f>
      </c>
      <c r="AC91" s="1">
        <f>IF($AM43="","",IF(OR(AC$51&gt;=6,AC$50=1),N(INDEX(MinFrei,MATCH(6,ArbeitNr,0))),N(INDEX(MinWerktag,MATCH(6,ArbeitNr,0)))))</f>
      </c>
      <c r="AD91" s="1">
        <f>IF($AM43="","",IF(OR(AD$51&gt;=6,AD$50=1),N(INDEX(MinFrei,MATCH(6,ArbeitNr,0))),N(INDEX(MinWerktag,MATCH(6,ArbeitNr,0)))))</f>
      </c>
      <c r="AE91" s="1">
        <f>IF($AM43="","",IF(OR(AE$51&gt;=6,AE$50=1),N(INDEX(MinFrei,MATCH(6,ArbeitNr,0))),N(INDEX(MinWerktag,MATCH(6,ArbeitNr,0)))))</f>
      </c>
      <c r="AF91" s="1">
        <f>IF($AM43="","",IF(OR(AF$51&gt;=6,AF$50=1),N(INDEX(MinFrei,MATCH(6,ArbeitNr,0))),N(INDEX(MinWerktag,MATCH(6,ArbeitNr,0)))))</f>
      </c>
    </row>
    <row r="92" hidden="1" spans="1:32" x14ac:dyDescent="0.25">
      <c r="A92" s="1"/>
      <c r="B92" s="1">
        <f>IF($AM44="","",IF(OR(B$51&gt;=6,B$50=1),N(INDEX(MinFrei,MATCH(7,ArbeitNr,0))),N(INDEX(MinWerktag,MATCH(7,ArbeitNr,0)))))</f>
      </c>
      <c r="C92" s="1">
        <f>IF($AM44="","",IF(OR(C$51&gt;=6,C$50=1),N(INDEX(MinFrei,MATCH(7,ArbeitNr,0))),N(INDEX(MinWerktag,MATCH(7,ArbeitNr,0)))))</f>
      </c>
      <c r="D92" s="1">
        <f>IF($AM44="","",IF(OR(D$51&gt;=6,D$50=1),N(INDEX(MinFrei,MATCH(7,ArbeitNr,0))),N(INDEX(MinWerktag,MATCH(7,ArbeitNr,0)))))</f>
      </c>
      <c r="E92" s="1">
        <f>IF($AM44="","",IF(OR(E$51&gt;=6,E$50=1),N(INDEX(MinFrei,MATCH(7,ArbeitNr,0))),N(INDEX(MinWerktag,MATCH(7,ArbeitNr,0)))))</f>
      </c>
      <c r="F92" s="1">
        <f>IF($AM44="","",IF(OR(F$51&gt;=6,F$50=1),N(INDEX(MinFrei,MATCH(7,ArbeitNr,0))),N(INDEX(MinWerktag,MATCH(7,ArbeitNr,0)))))</f>
      </c>
      <c r="G92" s="1">
        <f>IF($AM44="","",IF(OR(G$51&gt;=6,G$50=1),N(INDEX(MinFrei,MATCH(7,ArbeitNr,0))),N(INDEX(MinWerktag,MATCH(7,ArbeitNr,0)))))</f>
      </c>
      <c r="H92" s="1">
        <f>IF($AM44="","",IF(OR(H$51&gt;=6,H$50=1),N(INDEX(MinFrei,MATCH(7,ArbeitNr,0))),N(INDEX(MinWerktag,MATCH(7,ArbeitNr,0)))))</f>
      </c>
      <c r="I92" s="1">
        <f>IF($AM44="","",IF(OR(I$51&gt;=6,I$50=1),N(INDEX(MinFrei,MATCH(7,ArbeitNr,0))),N(INDEX(MinWerktag,MATCH(7,ArbeitNr,0)))))</f>
      </c>
      <c r="J92" s="1">
        <f>IF($AM44="","",IF(OR(J$51&gt;=6,J$50=1),N(INDEX(MinFrei,MATCH(7,ArbeitNr,0))),N(INDEX(MinWerktag,MATCH(7,ArbeitNr,0)))))</f>
      </c>
      <c r="K92" s="1">
        <f>IF($AM44="","",IF(OR(K$51&gt;=6,K$50=1),N(INDEX(MinFrei,MATCH(7,ArbeitNr,0))),N(INDEX(MinWerktag,MATCH(7,ArbeitNr,0)))))</f>
      </c>
      <c r="L92" s="1">
        <f>IF($AM44="","",IF(OR(L$51&gt;=6,L$50=1),N(INDEX(MinFrei,MATCH(7,ArbeitNr,0))),N(INDEX(MinWerktag,MATCH(7,ArbeitNr,0)))))</f>
      </c>
      <c r="M92" s="1">
        <f>IF($AM44="","",IF(OR(M$51&gt;=6,M$50=1),N(INDEX(MinFrei,MATCH(7,ArbeitNr,0))),N(INDEX(MinWerktag,MATCH(7,ArbeitNr,0)))))</f>
      </c>
      <c r="N92" s="1">
        <f>IF($AM44="","",IF(OR(N$51&gt;=6,N$50=1),N(INDEX(MinFrei,MATCH(7,ArbeitNr,0))),N(INDEX(MinWerktag,MATCH(7,ArbeitNr,0)))))</f>
      </c>
      <c r="O92" s="1">
        <f>IF($AM44="","",IF(OR(O$51&gt;=6,O$50=1),N(INDEX(MinFrei,MATCH(7,ArbeitNr,0))),N(INDEX(MinWerktag,MATCH(7,ArbeitNr,0)))))</f>
      </c>
      <c r="P92" s="1">
        <f>IF($AM44="","",IF(OR(P$51&gt;=6,P$50=1),N(INDEX(MinFrei,MATCH(7,ArbeitNr,0))),N(INDEX(MinWerktag,MATCH(7,ArbeitNr,0)))))</f>
      </c>
      <c r="Q92" s="1">
        <f>IF($AM44="","",IF(OR(Q$51&gt;=6,Q$50=1),N(INDEX(MinFrei,MATCH(7,ArbeitNr,0))),N(INDEX(MinWerktag,MATCH(7,ArbeitNr,0)))))</f>
      </c>
      <c r="R92" s="1">
        <f>IF($AM44="","",IF(OR(R$51&gt;=6,R$50=1),N(INDEX(MinFrei,MATCH(7,ArbeitNr,0))),N(INDEX(MinWerktag,MATCH(7,ArbeitNr,0)))))</f>
      </c>
      <c r="S92" s="1">
        <f>IF($AM44="","",IF(OR(S$51&gt;=6,S$50=1),N(INDEX(MinFrei,MATCH(7,ArbeitNr,0))),N(INDEX(MinWerktag,MATCH(7,ArbeitNr,0)))))</f>
      </c>
      <c r="T92" s="1">
        <f>IF($AM44="","",IF(OR(T$51&gt;=6,T$50=1),N(INDEX(MinFrei,MATCH(7,ArbeitNr,0))),N(INDEX(MinWerktag,MATCH(7,ArbeitNr,0)))))</f>
      </c>
      <c r="U92" s="1">
        <f>IF($AM44="","",IF(OR(U$51&gt;=6,U$50=1),N(INDEX(MinFrei,MATCH(7,ArbeitNr,0))),N(INDEX(MinWerktag,MATCH(7,ArbeitNr,0)))))</f>
      </c>
      <c r="V92" s="1">
        <f>IF($AM44="","",IF(OR(V$51&gt;=6,V$50=1),N(INDEX(MinFrei,MATCH(7,ArbeitNr,0))),N(INDEX(MinWerktag,MATCH(7,ArbeitNr,0)))))</f>
      </c>
      <c r="W92" s="1">
        <f>IF($AM44="","",IF(OR(W$51&gt;=6,W$50=1),N(INDEX(MinFrei,MATCH(7,ArbeitNr,0))),N(INDEX(MinWerktag,MATCH(7,ArbeitNr,0)))))</f>
      </c>
      <c r="X92" s="1">
        <f>IF($AM44="","",IF(OR(X$51&gt;=6,X$50=1),N(INDEX(MinFrei,MATCH(7,ArbeitNr,0))),N(INDEX(MinWerktag,MATCH(7,ArbeitNr,0)))))</f>
      </c>
      <c r="Y92" s="1">
        <f>IF($AM44="","",IF(OR(Y$51&gt;=6,Y$50=1),N(INDEX(MinFrei,MATCH(7,ArbeitNr,0))),N(INDEX(MinWerktag,MATCH(7,ArbeitNr,0)))))</f>
      </c>
      <c r="Z92" s="1">
        <f>IF($AM44="","",IF(OR(Z$51&gt;=6,Z$50=1),N(INDEX(MinFrei,MATCH(7,ArbeitNr,0))),N(INDEX(MinWerktag,MATCH(7,ArbeitNr,0)))))</f>
      </c>
      <c r="AA92" s="1">
        <f>IF($AM44="","",IF(OR(AA$51&gt;=6,AA$50=1),N(INDEX(MinFrei,MATCH(7,ArbeitNr,0))),N(INDEX(MinWerktag,MATCH(7,ArbeitNr,0)))))</f>
      </c>
      <c r="AB92" s="1">
        <f>IF($AM44="","",IF(OR(AB$51&gt;=6,AB$50=1),N(INDEX(MinFrei,MATCH(7,ArbeitNr,0))),N(INDEX(MinWerktag,MATCH(7,ArbeitNr,0)))))</f>
      </c>
      <c r="AC92" s="1">
        <f>IF($AM44="","",IF(OR(AC$51&gt;=6,AC$50=1),N(INDEX(MinFrei,MATCH(7,ArbeitNr,0))),N(INDEX(MinWerktag,MATCH(7,ArbeitNr,0)))))</f>
      </c>
      <c r="AD92" s="1">
        <f>IF($AM44="","",IF(OR(AD$51&gt;=6,AD$50=1),N(INDEX(MinFrei,MATCH(7,ArbeitNr,0))),N(INDEX(MinWerktag,MATCH(7,ArbeitNr,0)))))</f>
      </c>
      <c r="AE92" s="1">
        <f>IF($AM44="","",IF(OR(AE$51&gt;=6,AE$50=1),N(INDEX(MinFrei,MATCH(7,ArbeitNr,0))),N(INDEX(MinWerktag,MATCH(7,ArbeitNr,0)))))</f>
      </c>
      <c r="AF92" s="1">
        <f>IF($AM44="","",IF(OR(AF$51&gt;=6,AF$50=1),N(INDEX(MinFrei,MATCH(7,ArbeitNr,0))),N(INDEX(MinWerktag,MATCH(7,ArbeitNr,0)))))</f>
      </c>
    </row>
    <row r="93" hidden="1" spans="1:32" x14ac:dyDescent="0.25">
      <c r="A93" s="1"/>
      <c r="B93" s="1">
        <f>IF($AM45="","",IF(OR(B$51&gt;=6,B$50=1),N(INDEX(MinFrei,MATCH(8,ArbeitNr,0))),N(INDEX(MinWerktag,MATCH(8,ArbeitNr,0)))))</f>
      </c>
      <c r="C93" s="1">
        <f>IF($AM45="","",IF(OR(C$51&gt;=6,C$50=1),N(INDEX(MinFrei,MATCH(8,ArbeitNr,0))),N(INDEX(MinWerktag,MATCH(8,ArbeitNr,0)))))</f>
      </c>
      <c r="D93" s="1">
        <f>IF($AM45="","",IF(OR(D$51&gt;=6,D$50=1),N(INDEX(MinFrei,MATCH(8,ArbeitNr,0))),N(INDEX(MinWerktag,MATCH(8,ArbeitNr,0)))))</f>
      </c>
      <c r="E93" s="1">
        <f>IF($AM45="","",IF(OR(E$51&gt;=6,E$50=1),N(INDEX(MinFrei,MATCH(8,ArbeitNr,0))),N(INDEX(MinWerktag,MATCH(8,ArbeitNr,0)))))</f>
      </c>
      <c r="F93" s="1">
        <f>IF($AM45="","",IF(OR(F$51&gt;=6,F$50=1),N(INDEX(MinFrei,MATCH(8,ArbeitNr,0))),N(INDEX(MinWerktag,MATCH(8,ArbeitNr,0)))))</f>
      </c>
      <c r="G93" s="1">
        <f>IF($AM45="","",IF(OR(G$51&gt;=6,G$50=1),N(INDEX(MinFrei,MATCH(8,ArbeitNr,0))),N(INDEX(MinWerktag,MATCH(8,ArbeitNr,0)))))</f>
      </c>
      <c r="H93" s="1">
        <f>IF($AM45="","",IF(OR(H$51&gt;=6,H$50=1),N(INDEX(MinFrei,MATCH(8,ArbeitNr,0))),N(INDEX(MinWerktag,MATCH(8,ArbeitNr,0)))))</f>
      </c>
      <c r="I93" s="1">
        <f>IF($AM45="","",IF(OR(I$51&gt;=6,I$50=1),N(INDEX(MinFrei,MATCH(8,ArbeitNr,0))),N(INDEX(MinWerktag,MATCH(8,ArbeitNr,0)))))</f>
      </c>
      <c r="J93" s="1">
        <f>IF($AM45="","",IF(OR(J$51&gt;=6,J$50=1),N(INDEX(MinFrei,MATCH(8,ArbeitNr,0))),N(INDEX(MinWerktag,MATCH(8,ArbeitNr,0)))))</f>
      </c>
      <c r="K93" s="1">
        <f>IF($AM45="","",IF(OR(K$51&gt;=6,K$50=1),N(INDEX(MinFrei,MATCH(8,ArbeitNr,0))),N(INDEX(MinWerktag,MATCH(8,ArbeitNr,0)))))</f>
      </c>
      <c r="L93" s="1">
        <f>IF($AM45="","",IF(OR(L$51&gt;=6,L$50=1),N(INDEX(MinFrei,MATCH(8,ArbeitNr,0))),N(INDEX(MinWerktag,MATCH(8,ArbeitNr,0)))))</f>
      </c>
      <c r="M93" s="1">
        <f>IF($AM45="","",IF(OR(M$51&gt;=6,M$50=1),N(INDEX(MinFrei,MATCH(8,ArbeitNr,0))),N(INDEX(MinWerktag,MATCH(8,ArbeitNr,0)))))</f>
      </c>
      <c r="N93" s="1">
        <f>IF($AM45="","",IF(OR(N$51&gt;=6,N$50=1),N(INDEX(MinFrei,MATCH(8,ArbeitNr,0))),N(INDEX(MinWerktag,MATCH(8,ArbeitNr,0)))))</f>
      </c>
      <c r="O93" s="1">
        <f>IF($AM45="","",IF(OR(O$51&gt;=6,O$50=1),N(INDEX(MinFrei,MATCH(8,ArbeitNr,0))),N(INDEX(MinWerktag,MATCH(8,ArbeitNr,0)))))</f>
      </c>
      <c r="P93" s="1">
        <f>IF($AM45="","",IF(OR(P$51&gt;=6,P$50=1),N(INDEX(MinFrei,MATCH(8,ArbeitNr,0))),N(INDEX(MinWerktag,MATCH(8,ArbeitNr,0)))))</f>
      </c>
      <c r="Q93" s="1">
        <f>IF($AM45="","",IF(OR(Q$51&gt;=6,Q$50=1),N(INDEX(MinFrei,MATCH(8,ArbeitNr,0))),N(INDEX(MinWerktag,MATCH(8,ArbeitNr,0)))))</f>
      </c>
      <c r="R93" s="1">
        <f>IF($AM45="","",IF(OR(R$51&gt;=6,R$50=1),N(INDEX(MinFrei,MATCH(8,ArbeitNr,0))),N(INDEX(MinWerktag,MATCH(8,ArbeitNr,0)))))</f>
      </c>
      <c r="S93" s="1">
        <f>IF($AM45="","",IF(OR(S$51&gt;=6,S$50=1),N(INDEX(MinFrei,MATCH(8,ArbeitNr,0))),N(INDEX(MinWerktag,MATCH(8,ArbeitNr,0)))))</f>
      </c>
      <c r="T93" s="1">
        <f>IF($AM45="","",IF(OR(T$51&gt;=6,T$50=1),N(INDEX(MinFrei,MATCH(8,ArbeitNr,0))),N(INDEX(MinWerktag,MATCH(8,ArbeitNr,0)))))</f>
      </c>
      <c r="U93" s="1">
        <f>IF($AM45="","",IF(OR(U$51&gt;=6,U$50=1),N(INDEX(MinFrei,MATCH(8,ArbeitNr,0))),N(INDEX(MinWerktag,MATCH(8,ArbeitNr,0)))))</f>
      </c>
      <c r="V93" s="1">
        <f>IF($AM45="","",IF(OR(V$51&gt;=6,V$50=1),N(INDEX(MinFrei,MATCH(8,ArbeitNr,0))),N(INDEX(MinWerktag,MATCH(8,ArbeitNr,0)))))</f>
      </c>
      <c r="W93" s="1">
        <f>IF($AM45="","",IF(OR(W$51&gt;=6,W$50=1),N(INDEX(MinFrei,MATCH(8,ArbeitNr,0))),N(INDEX(MinWerktag,MATCH(8,ArbeitNr,0)))))</f>
      </c>
      <c r="X93" s="1">
        <f>IF($AM45="","",IF(OR(X$51&gt;=6,X$50=1),N(INDEX(MinFrei,MATCH(8,ArbeitNr,0))),N(INDEX(MinWerktag,MATCH(8,ArbeitNr,0)))))</f>
      </c>
      <c r="Y93" s="1">
        <f>IF($AM45="","",IF(OR(Y$51&gt;=6,Y$50=1),N(INDEX(MinFrei,MATCH(8,ArbeitNr,0))),N(INDEX(MinWerktag,MATCH(8,ArbeitNr,0)))))</f>
      </c>
      <c r="Z93" s="1">
        <f>IF($AM45="","",IF(OR(Z$51&gt;=6,Z$50=1),N(INDEX(MinFrei,MATCH(8,ArbeitNr,0))),N(INDEX(MinWerktag,MATCH(8,ArbeitNr,0)))))</f>
      </c>
      <c r="AA93" s="1">
        <f>IF($AM45="","",IF(OR(AA$51&gt;=6,AA$50=1),N(INDEX(MinFrei,MATCH(8,ArbeitNr,0))),N(INDEX(MinWerktag,MATCH(8,ArbeitNr,0)))))</f>
      </c>
      <c r="AB93" s="1">
        <f>IF($AM45="","",IF(OR(AB$51&gt;=6,AB$50=1),N(INDEX(MinFrei,MATCH(8,ArbeitNr,0))),N(INDEX(MinWerktag,MATCH(8,ArbeitNr,0)))))</f>
      </c>
      <c r="AC93" s="1">
        <f>IF($AM45="","",IF(OR(AC$51&gt;=6,AC$50=1),N(INDEX(MinFrei,MATCH(8,ArbeitNr,0))),N(INDEX(MinWerktag,MATCH(8,ArbeitNr,0)))))</f>
      </c>
      <c r="AD93" s="1">
        <f>IF($AM45="","",IF(OR(AD$51&gt;=6,AD$50=1),N(INDEX(MinFrei,MATCH(8,ArbeitNr,0))),N(INDEX(MinWerktag,MATCH(8,ArbeitNr,0)))))</f>
      </c>
      <c r="AE93" s="1">
        <f>IF($AM45="","",IF(OR(AE$51&gt;=6,AE$50=1),N(INDEX(MinFrei,MATCH(8,ArbeitNr,0))),N(INDEX(MinWerktag,MATCH(8,ArbeitNr,0)))))</f>
      </c>
      <c r="AF93" s="1">
        <f>IF($AM45="","",IF(OR(AF$51&gt;=6,AF$50=1),N(INDEX(MinFrei,MATCH(8,ArbeitNr,0))),N(INDEX(MinWerktag,MATCH(8,ArbeitNr,0)))))</f>
      </c>
    </row>
  </sheetData>
  <sheetProtection sheet="1" formatCells="0" formatColumns="0" formatRows="0"/>
  <mergeCells count="1">
    <mergeCell ref="B48:U48"/>
  </mergeCells>
  <conditionalFormatting sqref="B6:AF35">
    <cfRule type="expression" dxfId="180" priority="1">
      <formula>B$52=0</formula>
    </cfRule>
    <cfRule type="expression" dxfId="181" priority="2">
      <formula>B55=1</formula>
    </cfRule>
    <cfRule type="expression" dxfId="182" priority="3">
      <formula>AND(B6&lt;&gt;"",UPPER(B6)=UPPER(Einstellungen!$A$9))</formula>
    </cfRule>
    <cfRule type="expression" dxfId="183" priority="4">
      <formula>AND(B6&lt;&gt;"",UPPER(B6)=UPPER(Einstellungen!$A$10))</formula>
    </cfRule>
    <cfRule type="expression" dxfId="184" priority="5">
      <formula>AND(B6&lt;&gt;"",UPPER(B6)=UPPER(Einstellungen!$A$11))</formula>
    </cfRule>
    <cfRule type="expression" dxfId="185" priority="6">
      <formula>AND(B6&lt;&gt;"",UPPER(B6)=UPPER(Einstellungen!$A$12))</formula>
    </cfRule>
    <cfRule type="expression" dxfId="186" priority="7">
      <formula>AND(B6&lt;&gt;"",UPPER(B6)=UPPER(Einstellungen!$A$13))</formula>
    </cfRule>
    <cfRule type="expression" dxfId="187" priority="8">
      <formula>AND(B6&lt;&gt;"",UPPER(B6)=UPPER(Einstellungen!$A$14))</formula>
    </cfRule>
    <cfRule type="expression" dxfId="188" priority="9">
      <formula>AND(B6&lt;&gt;"",UPPER(B6)=UPPER(Einstellungen!$A$15))</formula>
    </cfRule>
    <cfRule type="expression" dxfId="189" priority="10">
      <formula>AND(B6&lt;&gt;"",UPPER(B6)=UPPER(Einstellungen!$A$16))</formula>
    </cfRule>
    <cfRule type="expression" dxfId="190" priority="11">
      <formula>AND(B6&lt;&gt;"",UPPER(B6)=UPPER(Einstellungen!$A$17))</formula>
    </cfRule>
    <cfRule type="expression" dxfId="191" priority="12">
      <formula>AND(B6&lt;&gt;"",UPPER(B6)=UPPER(Einstellungen!$A$18))</formula>
    </cfRule>
    <cfRule type="expression" dxfId="192" priority="13">
      <formula>AND(B6&lt;&gt;"",UPPER(B6)=UPPER(Einstellungen!$A$19))</formula>
    </cfRule>
    <cfRule type="expression" dxfId="193" priority="14">
      <formula>AND(B6&lt;&gt;"",UPPER(B6)=UPPER(Einstellungen!$A$20))</formula>
    </cfRule>
    <cfRule type="expression" dxfId="194" priority="20">
      <formula>B$50=1</formula>
    </cfRule>
    <cfRule type="expression" dxfId="195" priority="21">
      <formula>B$51&gt;=6</formula>
    </cfRule>
  </conditionalFormatting>
  <conditionalFormatting sqref="B4:AF5">
    <cfRule type="expression" dxfId="196" priority="22">
      <formula>B$52=0</formula>
    </cfRule>
    <cfRule type="expression" dxfId="197" priority="23">
      <formula>B$50=1</formula>
    </cfRule>
    <cfRule type="expression" dxfId="198" priority="24">
      <formula>B$51&gt;=6</formula>
    </cfRule>
  </conditionalFormatting>
  <conditionalFormatting sqref="B38:AF45">
    <cfRule type="expression" dxfId="199" priority="25">
      <formula>AND(B38&lt;&gt;"",N(B38)&lt;N(B86))</formula>
    </cfRule>
  </conditionalFormatting>
  <dataValidations count="4">
    <dataValidation type="list" allowBlank="1" showErrorMessage="1" errorTitle="Schicht" error="Bitte ein Kürzel aus den Einstellungen wählen (z. B. F, S, N, U, K)." sqref="AA10:AF35">
      <formula1>Codes</formula1>
    </dataValidation>
    <dataValidation type="list" allowBlank="1" showErrorMessage="1" errorTitle="Schicht" error="Bitte ein Kürzel aus den Einstellungen wählen (z. B. F, S, N, U, K)." sqref="AA6:AF35">
      <formula1>Codes</formula1>
    </dataValidation>
    <dataValidation type="list" allowBlank="1" showErrorMessage="1" errorTitle="Schicht" error="Bitte ein Kürzel aus den Einstellungen wählen (z. B. F, S, N, U, K)." sqref="B10:AF35">
      <formula1>Codes</formula1>
    </dataValidation>
    <dataValidation type="list" allowBlank="1" showErrorMessage="1" errorTitle="Schicht" error="Bitte ein Kürzel aus den Einstellungen wählen (z. B. F, S, N, U, K)." sqref="B6:AF35">
      <formula1>Codes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93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32" width="4.2" customWidth="1"/>
    <col min="36" max="37" width="7" customWidth="1"/>
    <col min="38" max="38" width="30" customWidth="1"/>
    <col min="39" max="39" width="9" hidden="1" customWidth="1"/>
  </cols>
  <sheetData>
    <row r="1" spans="1:1" x14ac:dyDescent="0.25">
      <c r="A1" s="5">
        <f>"Dienstplan November "&amp;Jahr&amp;IF(Team="",""," · "&amp;Team)</f>
      </c>
    </row>
    <row r="2" spans="1:1" x14ac:dyDescent="0.25">
      <c r="A2" s="7">
        <f>IF(Bundesland="","Bitte in den Einstellungen das Bundesland wählen, damit die Feiertage stimmen.","Feiertage: "&amp;Bundesland)</f>
      </c>
    </row>
    <row r="3" spans="1:1" x14ac:dyDescent="0.25">
      <c r="A3" s="30">
        <f>Legende</f>
      </c>
    </row>
    <row r="4" spans="1:32" x14ac:dyDescent="0.25">
      <c r="A4" s="1"/>
      <c r="B4" s="31">
        <f>IF(B$5="","",CHOOSE(WEEKDAY(B$5,2),"Mo","Di","Mi","Do","Fr","Sa","So"))</f>
      </c>
      <c r="C4" s="31">
        <f>IF(C$5="","",CHOOSE(WEEKDAY(C$5,2),"Mo","Di","Mi","Do","Fr","Sa","So"))</f>
      </c>
      <c r="D4" s="31">
        <f>IF(D$5="","",CHOOSE(WEEKDAY(D$5,2),"Mo","Di","Mi","Do","Fr","Sa","So"))</f>
      </c>
      <c r="E4" s="31">
        <f>IF(E$5="","",CHOOSE(WEEKDAY(E$5,2),"Mo","Di","Mi","Do","Fr","Sa","So"))</f>
      </c>
      <c r="F4" s="31">
        <f>IF(F$5="","",CHOOSE(WEEKDAY(F$5,2),"Mo","Di","Mi","Do","Fr","Sa","So"))</f>
      </c>
      <c r="G4" s="31">
        <f>IF(G$5="","",CHOOSE(WEEKDAY(G$5,2),"Mo","Di","Mi","Do","Fr","Sa","So"))</f>
      </c>
      <c r="H4" s="31">
        <f>IF(H$5="","",CHOOSE(WEEKDAY(H$5,2),"Mo","Di","Mi","Do","Fr","Sa","So"))</f>
      </c>
      <c r="I4" s="31">
        <f>IF(I$5="","",CHOOSE(WEEKDAY(I$5,2),"Mo","Di","Mi","Do","Fr","Sa","So"))</f>
      </c>
      <c r="J4" s="31">
        <f>IF(J$5="","",CHOOSE(WEEKDAY(J$5,2),"Mo","Di","Mi","Do","Fr","Sa","So"))</f>
      </c>
      <c r="K4" s="31">
        <f>IF(K$5="","",CHOOSE(WEEKDAY(K$5,2),"Mo","Di","Mi","Do","Fr","Sa","So"))</f>
      </c>
      <c r="L4" s="31">
        <f>IF(L$5="","",CHOOSE(WEEKDAY(L$5,2),"Mo","Di","Mi","Do","Fr","Sa","So"))</f>
      </c>
      <c r="M4" s="31">
        <f>IF(M$5="","",CHOOSE(WEEKDAY(M$5,2),"Mo","Di","Mi","Do","Fr","Sa","So"))</f>
      </c>
      <c r="N4" s="31">
        <f>IF(N$5="","",CHOOSE(WEEKDAY(N$5,2),"Mo","Di","Mi","Do","Fr","Sa","So"))</f>
      </c>
      <c r="O4" s="31">
        <f>IF(O$5="","",CHOOSE(WEEKDAY(O$5,2),"Mo","Di","Mi","Do","Fr","Sa","So"))</f>
      </c>
      <c r="P4" s="31">
        <f>IF(P$5="","",CHOOSE(WEEKDAY(P$5,2),"Mo","Di","Mi","Do","Fr","Sa","So"))</f>
      </c>
      <c r="Q4" s="31">
        <f>IF(Q$5="","",CHOOSE(WEEKDAY(Q$5,2),"Mo","Di","Mi","Do","Fr","Sa","So"))</f>
      </c>
      <c r="R4" s="31">
        <f>IF(R$5="","",CHOOSE(WEEKDAY(R$5,2),"Mo","Di","Mi","Do","Fr","Sa","So"))</f>
      </c>
      <c r="S4" s="31">
        <f>IF(S$5="","",CHOOSE(WEEKDAY(S$5,2),"Mo","Di","Mi","Do","Fr","Sa","So"))</f>
      </c>
      <c r="T4" s="31">
        <f>IF(T$5="","",CHOOSE(WEEKDAY(T$5,2),"Mo","Di","Mi","Do","Fr","Sa","So"))</f>
      </c>
      <c r="U4" s="31">
        <f>IF(U$5="","",CHOOSE(WEEKDAY(U$5,2),"Mo","Di","Mi","Do","Fr","Sa","So"))</f>
      </c>
      <c r="V4" s="31">
        <f>IF(V$5="","",CHOOSE(WEEKDAY(V$5,2),"Mo","Di","Mi","Do","Fr","Sa","So"))</f>
      </c>
      <c r="W4" s="31">
        <f>IF(W$5="","",CHOOSE(WEEKDAY(W$5,2),"Mo","Di","Mi","Do","Fr","Sa","So"))</f>
      </c>
      <c r="X4" s="31">
        <f>IF(X$5="","",CHOOSE(WEEKDAY(X$5,2),"Mo","Di","Mi","Do","Fr","Sa","So"))</f>
      </c>
      <c r="Y4" s="31">
        <f>IF(Y$5="","",CHOOSE(WEEKDAY(Y$5,2),"Mo","Di","Mi","Do","Fr","Sa","So"))</f>
      </c>
      <c r="Z4" s="31">
        <f>IF(Z$5="","",CHOOSE(WEEKDAY(Z$5,2),"Mo","Di","Mi","Do","Fr","Sa","So"))</f>
      </c>
      <c r="AA4" s="31">
        <f>IF(AA$5="","",CHOOSE(WEEKDAY(AA$5,2),"Mo","Di","Mi","Do","Fr","Sa","So"))</f>
      </c>
      <c r="AB4" s="31">
        <f>IF(AB$5="","",CHOOSE(WEEKDAY(AB$5,2),"Mo","Di","Mi","Do","Fr","Sa","So"))</f>
      </c>
      <c r="AC4" s="31">
        <f>IF(AC$5="","",CHOOSE(WEEKDAY(AC$5,2),"Mo","Di","Mi","Do","Fr","Sa","So"))</f>
      </c>
      <c r="AD4" s="31">
        <f>IF(AD$5="","",CHOOSE(WEEKDAY(AD$5,2),"Mo","Di","Mi","Do","Fr","Sa","So"))</f>
      </c>
      <c r="AE4" s="31">
        <f>IF(AE$5="","",CHOOSE(WEEKDAY(AE$5,2),"Mo","Di","Mi","Do","Fr","Sa","So"))</f>
      </c>
      <c r="AF4" s="31">
        <f>IF(AF$5="","",CHOOSE(WEEKDAY(AF$5,2),"Mo","Di","Mi","Do","Fr","Sa","So"))</f>
      </c>
    </row>
    <row r="5" ht="18" customHeight="1" spans="1:38" x14ac:dyDescent="0.25">
      <c r="A5" s="10" t="s">
        <v>52</v>
      </c>
      <c r="B5" s="32">
        <f>IF(MONTH(DATE(Jahr,11,1))=11,DATE(Jahr,11,1),"")</f>
      </c>
      <c r="C5" s="32">
        <f>IF(MONTH(DATE(Jahr,11,2))=11,DATE(Jahr,11,2),"")</f>
      </c>
      <c r="D5" s="32">
        <f>IF(MONTH(DATE(Jahr,11,3))=11,DATE(Jahr,11,3),"")</f>
      </c>
      <c r="E5" s="32">
        <f>IF(MONTH(DATE(Jahr,11,4))=11,DATE(Jahr,11,4),"")</f>
      </c>
      <c r="F5" s="32">
        <f>IF(MONTH(DATE(Jahr,11,5))=11,DATE(Jahr,11,5),"")</f>
      </c>
      <c r="G5" s="32">
        <f>IF(MONTH(DATE(Jahr,11,6))=11,DATE(Jahr,11,6),"")</f>
      </c>
      <c r="H5" s="32">
        <f>IF(MONTH(DATE(Jahr,11,7))=11,DATE(Jahr,11,7),"")</f>
      </c>
      <c r="I5" s="32">
        <f>IF(MONTH(DATE(Jahr,11,8))=11,DATE(Jahr,11,8),"")</f>
      </c>
      <c r="J5" s="32">
        <f>IF(MONTH(DATE(Jahr,11,9))=11,DATE(Jahr,11,9),"")</f>
      </c>
      <c r="K5" s="32">
        <f>IF(MONTH(DATE(Jahr,11,10))=11,DATE(Jahr,11,10),"")</f>
      </c>
      <c r="L5" s="32">
        <f>IF(MONTH(DATE(Jahr,11,11))=11,DATE(Jahr,11,11),"")</f>
      </c>
      <c r="M5" s="32">
        <f>IF(MONTH(DATE(Jahr,11,12))=11,DATE(Jahr,11,12),"")</f>
      </c>
      <c r="N5" s="32">
        <f>IF(MONTH(DATE(Jahr,11,13))=11,DATE(Jahr,11,13),"")</f>
      </c>
      <c r="O5" s="32">
        <f>IF(MONTH(DATE(Jahr,11,14))=11,DATE(Jahr,11,14),"")</f>
      </c>
      <c r="P5" s="32">
        <f>IF(MONTH(DATE(Jahr,11,15))=11,DATE(Jahr,11,15),"")</f>
      </c>
      <c r="Q5" s="32">
        <f>IF(MONTH(DATE(Jahr,11,16))=11,DATE(Jahr,11,16),"")</f>
      </c>
      <c r="R5" s="32">
        <f>IF(MONTH(DATE(Jahr,11,17))=11,DATE(Jahr,11,17),"")</f>
      </c>
      <c r="S5" s="32">
        <f>IF(MONTH(DATE(Jahr,11,18))=11,DATE(Jahr,11,18),"")</f>
      </c>
      <c r="T5" s="32">
        <f>IF(MONTH(DATE(Jahr,11,19))=11,DATE(Jahr,11,19),"")</f>
      </c>
      <c r="U5" s="32">
        <f>IF(MONTH(DATE(Jahr,11,20))=11,DATE(Jahr,11,20),"")</f>
      </c>
      <c r="V5" s="32">
        <f>IF(MONTH(DATE(Jahr,11,21))=11,DATE(Jahr,11,21),"")</f>
      </c>
      <c r="W5" s="32">
        <f>IF(MONTH(DATE(Jahr,11,22))=11,DATE(Jahr,11,22),"")</f>
      </c>
      <c r="X5" s="32">
        <f>IF(MONTH(DATE(Jahr,11,23))=11,DATE(Jahr,11,23),"")</f>
      </c>
      <c r="Y5" s="32">
        <f>IF(MONTH(DATE(Jahr,11,24))=11,DATE(Jahr,11,24),"")</f>
      </c>
      <c r="Z5" s="32">
        <f>IF(MONTH(DATE(Jahr,11,25))=11,DATE(Jahr,11,25),"")</f>
      </c>
      <c r="AA5" s="32">
        <f>IF(MONTH(DATE(Jahr,11,26))=11,DATE(Jahr,11,26),"")</f>
      </c>
      <c r="AB5" s="32">
        <f>IF(MONTH(DATE(Jahr,11,27))=11,DATE(Jahr,11,27),"")</f>
      </c>
      <c r="AC5" s="32">
        <f>IF(MONTH(DATE(Jahr,11,28))=11,DATE(Jahr,11,28),"")</f>
      </c>
      <c r="AD5" s="32">
        <f>IF(MONTH(DATE(Jahr,11,29))=11,DATE(Jahr,11,29),"")</f>
      </c>
      <c r="AE5" s="32">
        <f>IF(MONTH(DATE(Jahr,11,30))=11,DATE(Jahr,11,30),"")</f>
      </c>
      <c r="AF5" s="32">
        <f>IF(MONTH(DATE(Jahr,11,31))=11,DATE(Jahr,11,31),"")</f>
      </c>
      <c r="AG5" s="10" t="s">
        <v>60</v>
      </c>
      <c r="AH5" s="10" t="s">
        <v>61</v>
      </c>
      <c r="AI5" s="10" t="s">
        <v>62</v>
      </c>
      <c r="AJ5" s="10" t="s">
        <v>44</v>
      </c>
      <c r="AK5" s="10" t="s">
        <v>46</v>
      </c>
      <c r="AL5" s="10" t="s">
        <v>33</v>
      </c>
    </row>
    <row r="6" spans="1:38" x14ac:dyDescent="0.25">
      <c r="A6" s="33">
        <f>Mitarbeiter!$A$5&amp;""</f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5">
        <f>IF($A6="","",SUMPRODUCT(COUNTIFS(B6:AF6,Codes,$B$52:$AF$52,1)*(Arten="Arbeit")*Erste*NettoTage)+SUMPRODUCT(COUNTIFS(B6:AF6,Codes,$B$53:$AF$53,1)*((Arten="Urlaub")+(Arten="Krank")+(Arten="Bezahlt abwesend"))*Erste)*N(Mitarbeiter!$B$5)/5/24)</f>
      </c>
      <c r="AH6" s="35">
        <f>IF($A6="","",N(Mitarbeiter!$B$5)/5/24*SUM($B$53:$AF$53))</f>
      </c>
      <c r="AI6" s="36">
        <f>IF($A6="","",IF((AG6-AH6)&lt;0,"-","+")&amp;TEXT(ABS((AG6-AH6)),"[h]:mm"))</f>
      </c>
      <c r="AJ6" s="37">
        <f>IF($A6="","",SUMPRODUCT(COUNTIFS(B6:AF6,Codes,$B$53:$AF$53,1)*(Arten="Urlaub")*Erste))</f>
      </c>
      <c r="AK6" s="37">
        <f>IF($A6="","",SUMPRODUCT(COUNTIFS(B6:AF6,Codes,$B$53:$AF$53,1)*(Arten="Krank")*Erste))</f>
      </c>
      <c r="AL6" s="38">
        <f>IF($A6="","",IF(COUNTIF(B55:AF55,1)&gt;0,COUNTIF(B55:AF55,1)&amp;"× Ruhezeit unter 11 Std. (§ 5)","")&amp;IF((COUNTIFS(B6:AF6,"?*",$B$52:$AF$52,1)-SUMPRODUCT(COUNTIFS(B6:AF6,Codes,$B$52:$AF$52,1)*(Codes&lt;&gt;"")*Erste))&gt;0,IF(COUNTIF(B55:AF55,1)&gt;0,"; ","")&amp;(COUNTIFS(B6:AF6,"?*",$B$52:$AF$52,1)-SUMPRODUCT(COUNTIFS(B6:AF6,Codes,$B$52:$AF$52,1)*(Codes&lt;&gt;"")*Erste))&amp;"× unbekanntes Kürzel",""))</f>
      </c>
    </row>
    <row r="7" spans="1:38" x14ac:dyDescent="0.25">
      <c r="A7" s="33">
        <f>Mitarbeiter!$A$6&amp;""</f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5">
        <f>IF($A7="","",SUMPRODUCT(COUNTIFS(B7:AF7,Codes,$B$52:$AF$52,1)*(Arten="Arbeit")*Erste*NettoTage)+SUMPRODUCT(COUNTIFS(B7:AF7,Codes,$B$53:$AF$53,1)*((Arten="Urlaub")+(Arten="Krank")+(Arten="Bezahlt abwesend"))*Erste)*N(Mitarbeiter!$B$6)/5/24)</f>
      </c>
      <c r="AH7" s="35">
        <f>IF($A7="","",N(Mitarbeiter!$B$6)/5/24*SUM($B$53:$AF$53))</f>
      </c>
      <c r="AI7" s="36">
        <f>IF($A7="","",IF((AG7-AH7)&lt;0,"-","+")&amp;TEXT(ABS((AG7-AH7)),"[h]:mm"))</f>
      </c>
      <c r="AJ7" s="37">
        <f>IF($A7="","",SUMPRODUCT(COUNTIFS(B7:AF7,Codes,$B$53:$AF$53,1)*(Arten="Urlaub")*Erste))</f>
      </c>
      <c r="AK7" s="37">
        <f>IF($A7="","",SUMPRODUCT(COUNTIFS(B7:AF7,Codes,$B$53:$AF$53,1)*(Arten="Krank")*Erste))</f>
      </c>
      <c r="AL7" s="38">
        <f>IF($A7="","",IF(COUNTIF(B56:AF56,1)&gt;0,COUNTIF(B56:AF56,1)&amp;"× Ruhezeit unter 11 Std. (§ 5)","")&amp;IF((COUNTIFS(B7:AF7,"?*",$B$52:$AF$52,1)-SUMPRODUCT(COUNTIFS(B7:AF7,Codes,$B$52:$AF$52,1)*(Codes&lt;&gt;"")*Erste))&gt;0,IF(COUNTIF(B56:AF56,1)&gt;0,"; ","")&amp;(COUNTIFS(B7:AF7,"?*",$B$52:$AF$52,1)-SUMPRODUCT(COUNTIFS(B7:AF7,Codes,$B$52:$AF$52,1)*(Codes&lt;&gt;"")*Erste))&amp;"× unbekanntes Kürzel",""))</f>
      </c>
    </row>
    <row r="8" spans="1:38" x14ac:dyDescent="0.25">
      <c r="A8" s="33">
        <f>Mitarbeiter!$A$7&amp;""</f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5">
        <f>IF($A8="","",SUMPRODUCT(COUNTIFS(B8:AF8,Codes,$B$52:$AF$52,1)*(Arten="Arbeit")*Erste*NettoTage)+SUMPRODUCT(COUNTIFS(B8:AF8,Codes,$B$53:$AF$53,1)*((Arten="Urlaub")+(Arten="Krank")+(Arten="Bezahlt abwesend"))*Erste)*N(Mitarbeiter!$B$7)/5/24)</f>
      </c>
      <c r="AH8" s="35">
        <f>IF($A8="","",N(Mitarbeiter!$B$7)/5/24*SUM($B$53:$AF$53))</f>
      </c>
      <c r="AI8" s="36">
        <f>IF($A8="","",IF((AG8-AH8)&lt;0,"-","+")&amp;TEXT(ABS((AG8-AH8)),"[h]:mm"))</f>
      </c>
      <c r="AJ8" s="37">
        <f>IF($A8="","",SUMPRODUCT(COUNTIFS(B8:AF8,Codes,$B$53:$AF$53,1)*(Arten="Urlaub")*Erste))</f>
      </c>
      <c r="AK8" s="37">
        <f>IF($A8="","",SUMPRODUCT(COUNTIFS(B8:AF8,Codes,$B$53:$AF$53,1)*(Arten="Krank")*Erste))</f>
      </c>
      <c r="AL8" s="38">
        <f>IF($A8="","",IF(COUNTIF(B57:AF57,1)&gt;0,COUNTIF(B57:AF57,1)&amp;"× Ruhezeit unter 11 Std. (§ 5)","")&amp;IF((COUNTIFS(B8:AF8,"?*",$B$52:$AF$52,1)-SUMPRODUCT(COUNTIFS(B8:AF8,Codes,$B$52:$AF$52,1)*(Codes&lt;&gt;"")*Erste))&gt;0,IF(COUNTIF(B57:AF57,1)&gt;0,"; ","")&amp;(COUNTIFS(B8:AF8,"?*",$B$52:$AF$52,1)-SUMPRODUCT(COUNTIFS(B8:AF8,Codes,$B$52:$AF$52,1)*(Codes&lt;&gt;"")*Erste))&amp;"× unbekanntes Kürzel",""))</f>
      </c>
    </row>
    <row r="9" spans="1:38" x14ac:dyDescent="0.25">
      <c r="A9" s="33">
        <f>Mitarbeiter!$A$8&amp;""</f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5">
        <f>IF($A9="","",SUMPRODUCT(COUNTIFS(B9:AF9,Codes,$B$52:$AF$52,1)*(Arten="Arbeit")*Erste*NettoTage)+SUMPRODUCT(COUNTIFS(B9:AF9,Codes,$B$53:$AF$53,1)*((Arten="Urlaub")+(Arten="Krank")+(Arten="Bezahlt abwesend"))*Erste)*N(Mitarbeiter!$B$8)/5/24)</f>
      </c>
      <c r="AH9" s="35">
        <f>IF($A9="","",N(Mitarbeiter!$B$8)/5/24*SUM($B$53:$AF$53))</f>
      </c>
      <c r="AI9" s="36">
        <f>IF($A9="","",IF((AG9-AH9)&lt;0,"-","+")&amp;TEXT(ABS((AG9-AH9)),"[h]:mm"))</f>
      </c>
      <c r="AJ9" s="37">
        <f>IF($A9="","",SUMPRODUCT(COUNTIFS(B9:AF9,Codes,$B$53:$AF$53,1)*(Arten="Urlaub")*Erste))</f>
      </c>
      <c r="AK9" s="37">
        <f>IF($A9="","",SUMPRODUCT(COUNTIFS(B9:AF9,Codes,$B$53:$AF$53,1)*(Arten="Krank")*Erste))</f>
      </c>
      <c r="AL9" s="38">
        <f>IF($A9="","",IF(COUNTIF(B58:AF58,1)&gt;0,COUNTIF(B58:AF58,1)&amp;"× Ruhezeit unter 11 Std. (§ 5)","")&amp;IF((COUNTIFS(B9:AF9,"?*",$B$52:$AF$52,1)-SUMPRODUCT(COUNTIFS(B9:AF9,Codes,$B$52:$AF$52,1)*(Codes&lt;&gt;"")*Erste))&gt;0,IF(COUNTIF(B58:AF58,1)&gt;0,"; ","")&amp;(COUNTIFS(B9:AF9,"?*",$B$52:$AF$52,1)-SUMPRODUCT(COUNTIFS(B9:AF9,Codes,$B$52:$AF$52,1)*(Codes&lt;&gt;"")*Erste))&amp;"× unbekanntes Kürzel",""))</f>
      </c>
    </row>
    <row r="10" spans="1:38" x14ac:dyDescent="0.25">
      <c r="A10" s="33">
        <f>Mitarbeiter!$A$9&amp;""</f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5">
        <f>IF($A10="","",SUMPRODUCT(COUNTIFS(B10:AF10,Codes,$B$52:$AF$52,1)*(Arten="Arbeit")*Erste*NettoTage)+SUMPRODUCT(COUNTIFS(B10:AF10,Codes,$B$53:$AF$53,1)*((Arten="Urlaub")+(Arten="Krank")+(Arten="Bezahlt abwesend"))*Erste)*N(Mitarbeiter!$B$9)/5/24)</f>
      </c>
      <c r="AH10" s="35">
        <f>IF($A10="","",N(Mitarbeiter!$B$9)/5/24*SUM($B$53:$AF$53))</f>
      </c>
      <c r="AI10" s="36">
        <f>IF($A10="","",IF((AG10-AH10)&lt;0,"-","+")&amp;TEXT(ABS((AG10-AH10)),"[h]:mm"))</f>
      </c>
      <c r="AJ10" s="37">
        <f>IF($A10="","",SUMPRODUCT(COUNTIFS(B10:AF10,Codes,$B$53:$AF$53,1)*(Arten="Urlaub")*Erste))</f>
      </c>
      <c r="AK10" s="37">
        <f>IF($A10="","",SUMPRODUCT(COUNTIFS(B10:AF10,Codes,$B$53:$AF$53,1)*(Arten="Krank")*Erste))</f>
      </c>
      <c r="AL10" s="38">
        <f>IF($A10="","",IF(COUNTIF(B59:AF59,1)&gt;0,COUNTIF(B59:AF59,1)&amp;"× Ruhezeit unter 11 Std. (§ 5)","")&amp;IF((COUNTIFS(B10:AF10,"?*",$B$52:$AF$52,1)-SUMPRODUCT(COUNTIFS(B10:AF10,Codes,$B$52:$AF$52,1)*(Codes&lt;&gt;"")*Erste))&gt;0,IF(COUNTIF(B59:AF59,1)&gt;0,"; ","")&amp;(COUNTIFS(B10:AF10,"?*",$B$52:$AF$52,1)-SUMPRODUCT(COUNTIFS(B10:AF10,Codes,$B$52:$AF$52,1)*(Codes&lt;&gt;"")*Erste))&amp;"× unbekanntes Kürzel",""))</f>
      </c>
    </row>
    <row r="11" spans="1:38" x14ac:dyDescent="0.25">
      <c r="A11" s="33">
        <f>Mitarbeiter!$A$10&amp;""</f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5">
        <f>IF($A11="","",SUMPRODUCT(COUNTIFS(B11:AF11,Codes,$B$52:$AF$52,1)*(Arten="Arbeit")*Erste*NettoTage)+SUMPRODUCT(COUNTIFS(B11:AF11,Codes,$B$53:$AF$53,1)*((Arten="Urlaub")+(Arten="Krank")+(Arten="Bezahlt abwesend"))*Erste)*N(Mitarbeiter!$B$10)/5/24)</f>
      </c>
      <c r="AH11" s="35">
        <f>IF($A11="","",N(Mitarbeiter!$B$10)/5/24*SUM($B$53:$AF$53))</f>
      </c>
      <c r="AI11" s="36">
        <f>IF($A11="","",IF((AG11-AH11)&lt;0,"-","+")&amp;TEXT(ABS((AG11-AH11)),"[h]:mm"))</f>
      </c>
      <c r="AJ11" s="37">
        <f>IF($A11="","",SUMPRODUCT(COUNTIFS(B11:AF11,Codes,$B$53:$AF$53,1)*(Arten="Urlaub")*Erste))</f>
      </c>
      <c r="AK11" s="37">
        <f>IF($A11="","",SUMPRODUCT(COUNTIFS(B11:AF11,Codes,$B$53:$AF$53,1)*(Arten="Krank")*Erste))</f>
      </c>
      <c r="AL11" s="38">
        <f>IF($A11="","",IF(COUNTIF(B60:AF60,1)&gt;0,COUNTIF(B60:AF60,1)&amp;"× Ruhezeit unter 11 Std. (§ 5)","")&amp;IF((COUNTIFS(B11:AF11,"?*",$B$52:$AF$52,1)-SUMPRODUCT(COUNTIFS(B11:AF11,Codes,$B$52:$AF$52,1)*(Codes&lt;&gt;"")*Erste))&gt;0,IF(COUNTIF(B60:AF60,1)&gt;0,"; ","")&amp;(COUNTIFS(B11:AF11,"?*",$B$52:$AF$52,1)-SUMPRODUCT(COUNTIFS(B11:AF11,Codes,$B$52:$AF$52,1)*(Codes&lt;&gt;"")*Erste))&amp;"× unbekanntes Kürzel",""))</f>
      </c>
    </row>
    <row r="12" spans="1:38" x14ac:dyDescent="0.25">
      <c r="A12" s="33">
        <f>Mitarbeiter!$A$11&amp;""</f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5">
        <f>IF($A12="","",SUMPRODUCT(COUNTIFS(B12:AF12,Codes,$B$52:$AF$52,1)*(Arten="Arbeit")*Erste*NettoTage)+SUMPRODUCT(COUNTIFS(B12:AF12,Codes,$B$53:$AF$53,1)*((Arten="Urlaub")+(Arten="Krank")+(Arten="Bezahlt abwesend"))*Erste)*N(Mitarbeiter!$B$11)/5/24)</f>
      </c>
      <c r="AH12" s="35">
        <f>IF($A12="","",N(Mitarbeiter!$B$11)/5/24*SUM($B$53:$AF$53))</f>
      </c>
      <c r="AI12" s="36">
        <f>IF($A12="","",IF((AG12-AH12)&lt;0,"-","+")&amp;TEXT(ABS((AG12-AH12)),"[h]:mm"))</f>
      </c>
      <c r="AJ12" s="37">
        <f>IF($A12="","",SUMPRODUCT(COUNTIFS(B12:AF12,Codes,$B$53:$AF$53,1)*(Arten="Urlaub")*Erste))</f>
      </c>
      <c r="AK12" s="37">
        <f>IF($A12="","",SUMPRODUCT(COUNTIFS(B12:AF12,Codes,$B$53:$AF$53,1)*(Arten="Krank")*Erste))</f>
      </c>
      <c r="AL12" s="38">
        <f>IF($A12="","",IF(COUNTIF(B61:AF61,1)&gt;0,COUNTIF(B61:AF61,1)&amp;"× Ruhezeit unter 11 Std. (§ 5)","")&amp;IF((COUNTIFS(B12:AF12,"?*",$B$52:$AF$52,1)-SUMPRODUCT(COUNTIFS(B12:AF12,Codes,$B$52:$AF$52,1)*(Codes&lt;&gt;"")*Erste))&gt;0,IF(COUNTIF(B61:AF61,1)&gt;0,"; ","")&amp;(COUNTIFS(B12:AF12,"?*",$B$52:$AF$52,1)-SUMPRODUCT(COUNTIFS(B12:AF12,Codes,$B$52:$AF$52,1)*(Codes&lt;&gt;"")*Erste))&amp;"× unbekanntes Kürzel",""))</f>
      </c>
    </row>
    <row r="13" spans="1:38" x14ac:dyDescent="0.25">
      <c r="A13" s="33">
        <f>Mitarbeiter!$A$12&amp;""</f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5">
        <f>IF($A13="","",SUMPRODUCT(COUNTIFS(B13:AF13,Codes,$B$52:$AF$52,1)*(Arten="Arbeit")*Erste*NettoTage)+SUMPRODUCT(COUNTIFS(B13:AF13,Codes,$B$53:$AF$53,1)*((Arten="Urlaub")+(Arten="Krank")+(Arten="Bezahlt abwesend"))*Erste)*N(Mitarbeiter!$B$12)/5/24)</f>
      </c>
      <c r="AH13" s="35">
        <f>IF($A13="","",N(Mitarbeiter!$B$12)/5/24*SUM($B$53:$AF$53))</f>
      </c>
      <c r="AI13" s="36">
        <f>IF($A13="","",IF((AG13-AH13)&lt;0,"-","+")&amp;TEXT(ABS((AG13-AH13)),"[h]:mm"))</f>
      </c>
      <c r="AJ13" s="37">
        <f>IF($A13="","",SUMPRODUCT(COUNTIFS(B13:AF13,Codes,$B$53:$AF$53,1)*(Arten="Urlaub")*Erste))</f>
      </c>
      <c r="AK13" s="37">
        <f>IF($A13="","",SUMPRODUCT(COUNTIFS(B13:AF13,Codes,$B$53:$AF$53,1)*(Arten="Krank")*Erste))</f>
      </c>
      <c r="AL13" s="38">
        <f>IF($A13="","",IF(COUNTIF(B62:AF62,1)&gt;0,COUNTIF(B62:AF62,1)&amp;"× Ruhezeit unter 11 Std. (§ 5)","")&amp;IF((COUNTIFS(B13:AF13,"?*",$B$52:$AF$52,1)-SUMPRODUCT(COUNTIFS(B13:AF13,Codes,$B$52:$AF$52,1)*(Codes&lt;&gt;"")*Erste))&gt;0,IF(COUNTIF(B62:AF62,1)&gt;0,"; ","")&amp;(COUNTIFS(B13:AF13,"?*",$B$52:$AF$52,1)-SUMPRODUCT(COUNTIFS(B13:AF13,Codes,$B$52:$AF$52,1)*(Codes&lt;&gt;"")*Erste))&amp;"× unbekanntes Kürzel",""))</f>
      </c>
    </row>
    <row r="14" spans="1:38" x14ac:dyDescent="0.25">
      <c r="A14" s="33">
        <f>Mitarbeiter!$A$13&amp;""</f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5">
        <f>IF($A14="","",SUMPRODUCT(COUNTIFS(B14:AF14,Codes,$B$52:$AF$52,1)*(Arten="Arbeit")*Erste*NettoTage)+SUMPRODUCT(COUNTIFS(B14:AF14,Codes,$B$53:$AF$53,1)*((Arten="Urlaub")+(Arten="Krank")+(Arten="Bezahlt abwesend"))*Erste)*N(Mitarbeiter!$B$13)/5/24)</f>
      </c>
      <c r="AH14" s="35">
        <f>IF($A14="","",N(Mitarbeiter!$B$13)/5/24*SUM($B$53:$AF$53))</f>
      </c>
      <c r="AI14" s="36">
        <f>IF($A14="","",IF((AG14-AH14)&lt;0,"-","+")&amp;TEXT(ABS((AG14-AH14)),"[h]:mm"))</f>
      </c>
      <c r="AJ14" s="37">
        <f>IF($A14="","",SUMPRODUCT(COUNTIFS(B14:AF14,Codes,$B$53:$AF$53,1)*(Arten="Urlaub")*Erste))</f>
      </c>
      <c r="AK14" s="37">
        <f>IF($A14="","",SUMPRODUCT(COUNTIFS(B14:AF14,Codes,$B$53:$AF$53,1)*(Arten="Krank")*Erste))</f>
      </c>
      <c r="AL14" s="38">
        <f>IF($A14="","",IF(COUNTIF(B63:AF63,1)&gt;0,COUNTIF(B63:AF63,1)&amp;"× Ruhezeit unter 11 Std. (§ 5)","")&amp;IF((COUNTIFS(B14:AF14,"?*",$B$52:$AF$52,1)-SUMPRODUCT(COUNTIFS(B14:AF14,Codes,$B$52:$AF$52,1)*(Codes&lt;&gt;"")*Erste))&gt;0,IF(COUNTIF(B63:AF63,1)&gt;0,"; ","")&amp;(COUNTIFS(B14:AF14,"?*",$B$52:$AF$52,1)-SUMPRODUCT(COUNTIFS(B14:AF14,Codes,$B$52:$AF$52,1)*(Codes&lt;&gt;"")*Erste))&amp;"× unbekanntes Kürzel",""))</f>
      </c>
    </row>
    <row r="15" spans="1:38" x14ac:dyDescent="0.25">
      <c r="A15" s="33">
        <f>Mitarbeiter!$A$14&amp;""</f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5">
        <f>IF($A15="","",SUMPRODUCT(COUNTIFS(B15:AF15,Codes,$B$52:$AF$52,1)*(Arten="Arbeit")*Erste*NettoTage)+SUMPRODUCT(COUNTIFS(B15:AF15,Codes,$B$53:$AF$53,1)*((Arten="Urlaub")+(Arten="Krank")+(Arten="Bezahlt abwesend"))*Erste)*N(Mitarbeiter!$B$14)/5/24)</f>
      </c>
      <c r="AH15" s="35">
        <f>IF($A15="","",N(Mitarbeiter!$B$14)/5/24*SUM($B$53:$AF$53))</f>
      </c>
      <c r="AI15" s="36">
        <f>IF($A15="","",IF((AG15-AH15)&lt;0,"-","+")&amp;TEXT(ABS((AG15-AH15)),"[h]:mm"))</f>
      </c>
      <c r="AJ15" s="37">
        <f>IF($A15="","",SUMPRODUCT(COUNTIFS(B15:AF15,Codes,$B$53:$AF$53,1)*(Arten="Urlaub")*Erste))</f>
      </c>
      <c r="AK15" s="37">
        <f>IF($A15="","",SUMPRODUCT(COUNTIFS(B15:AF15,Codes,$B$53:$AF$53,1)*(Arten="Krank")*Erste))</f>
      </c>
      <c r="AL15" s="38">
        <f>IF($A15="","",IF(COUNTIF(B64:AF64,1)&gt;0,COUNTIF(B64:AF64,1)&amp;"× Ruhezeit unter 11 Std. (§ 5)","")&amp;IF((COUNTIFS(B15:AF15,"?*",$B$52:$AF$52,1)-SUMPRODUCT(COUNTIFS(B15:AF15,Codes,$B$52:$AF$52,1)*(Codes&lt;&gt;"")*Erste))&gt;0,IF(COUNTIF(B64:AF64,1)&gt;0,"; ","")&amp;(COUNTIFS(B15:AF15,"?*",$B$52:$AF$52,1)-SUMPRODUCT(COUNTIFS(B15:AF15,Codes,$B$52:$AF$52,1)*(Codes&lt;&gt;"")*Erste))&amp;"× unbekanntes Kürzel",""))</f>
      </c>
    </row>
    <row r="16" spans="1:38" x14ac:dyDescent="0.25">
      <c r="A16" s="33">
        <f>Mitarbeiter!$A$15&amp;""</f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5">
        <f>IF($A16="","",SUMPRODUCT(COUNTIFS(B16:AF16,Codes,$B$52:$AF$52,1)*(Arten="Arbeit")*Erste*NettoTage)+SUMPRODUCT(COUNTIFS(B16:AF16,Codes,$B$53:$AF$53,1)*((Arten="Urlaub")+(Arten="Krank")+(Arten="Bezahlt abwesend"))*Erste)*N(Mitarbeiter!$B$15)/5/24)</f>
      </c>
      <c r="AH16" s="35">
        <f>IF($A16="","",N(Mitarbeiter!$B$15)/5/24*SUM($B$53:$AF$53))</f>
      </c>
      <c r="AI16" s="36">
        <f>IF($A16="","",IF((AG16-AH16)&lt;0,"-","+")&amp;TEXT(ABS((AG16-AH16)),"[h]:mm"))</f>
      </c>
      <c r="AJ16" s="37">
        <f>IF($A16="","",SUMPRODUCT(COUNTIFS(B16:AF16,Codes,$B$53:$AF$53,1)*(Arten="Urlaub")*Erste))</f>
      </c>
      <c r="AK16" s="37">
        <f>IF($A16="","",SUMPRODUCT(COUNTIFS(B16:AF16,Codes,$B$53:$AF$53,1)*(Arten="Krank")*Erste))</f>
      </c>
      <c r="AL16" s="38">
        <f>IF($A16="","",IF(COUNTIF(B65:AF65,1)&gt;0,COUNTIF(B65:AF65,1)&amp;"× Ruhezeit unter 11 Std. (§ 5)","")&amp;IF((COUNTIFS(B16:AF16,"?*",$B$52:$AF$52,1)-SUMPRODUCT(COUNTIFS(B16:AF16,Codes,$B$52:$AF$52,1)*(Codes&lt;&gt;"")*Erste))&gt;0,IF(COUNTIF(B65:AF65,1)&gt;0,"; ","")&amp;(COUNTIFS(B16:AF16,"?*",$B$52:$AF$52,1)-SUMPRODUCT(COUNTIFS(B16:AF16,Codes,$B$52:$AF$52,1)*(Codes&lt;&gt;"")*Erste))&amp;"× unbekanntes Kürzel",""))</f>
      </c>
    </row>
    <row r="17" spans="1:38" x14ac:dyDescent="0.25">
      <c r="A17" s="33">
        <f>Mitarbeiter!$A$16&amp;""</f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5">
        <f>IF($A17="","",SUMPRODUCT(COUNTIFS(B17:AF17,Codes,$B$52:$AF$52,1)*(Arten="Arbeit")*Erste*NettoTage)+SUMPRODUCT(COUNTIFS(B17:AF17,Codes,$B$53:$AF$53,1)*((Arten="Urlaub")+(Arten="Krank")+(Arten="Bezahlt abwesend"))*Erste)*N(Mitarbeiter!$B$16)/5/24)</f>
      </c>
      <c r="AH17" s="35">
        <f>IF($A17="","",N(Mitarbeiter!$B$16)/5/24*SUM($B$53:$AF$53))</f>
      </c>
      <c r="AI17" s="36">
        <f>IF($A17="","",IF((AG17-AH17)&lt;0,"-","+")&amp;TEXT(ABS((AG17-AH17)),"[h]:mm"))</f>
      </c>
      <c r="AJ17" s="37">
        <f>IF($A17="","",SUMPRODUCT(COUNTIFS(B17:AF17,Codes,$B$53:$AF$53,1)*(Arten="Urlaub")*Erste))</f>
      </c>
      <c r="AK17" s="37">
        <f>IF($A17="","",SUMPRODUCT(COUNTIFS(B17:AF17,Codes,$B$53:$AF$53,1)*(Arten="Krank")*Erste))</f>
      </c>
      <c r="AL17" s="38">
        <f>IF($A17="","",IF(COUNTIF(B66:AF66,1)&gt;0,COUNTIF(B66:AF66,1)&amp;"× Ruhezeit unter 11 Std. (§ 5)","")&amp;IF((COUNTIFS(B17:AF17,"?*",$B$52:$AF$52,1)-SUMPRODUCT(COUNTIFS(B17:AF17,Codes,$B$52:$AF$52,1)*(Codes&lt;&gt;"")*Erste))&gt;0,IF(COUNTIF(B66:AF66,1)&gt;0,"; ","")&amp;(COUNTIFS(B17:AF17,"?*",$B$52:$AF$52,1)-SUMPRODUCT(COUNTIFS(B17:AF17,Codes,$B$52:$AF$52,1)*(Codes&lt;&gt;"")*Erste))&amp;"× unbekanntes Kürzel",""))</f>
      </c>
    </row>
    <row r="18" spans="1:38" x14ac:dyDescent="0.25">
      <c r="A18" s="33">
        <f>Mitarbeiter!$A$17&amp;""</f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5">
        <f>IF($A18="","",SUMPRODUCT(COUNTIFS(B18:AF18,Codes,$B$52:$AF$52,1)*(Arten="Arbeit")*Erste*NettoTage)+SUMPRODUCT(COUNTIFS(B18:AF18,Codes,$B$53:$AF$53,1)*((Arten="Urlaub")+(Arten="Krank")+(Arten="Bezahlt abwesend"))*Erste)*N(Mitarbeiter!$B$17)/5/24)</f>
      </c>
      <c r="AH18" s="35">
        <f>IF($A18="","",N(Mitarbeiter!$B$17)/5/24*SUM($B$53:$AF$53))</f>
      </c>
      <c r="AI18" s="36">
        <f>IF($A18="","",IF((AG18-AH18)&lt;0,"-","+")&amp;TEXT(ABS((AG18-AH18)),"[h]:mm"))</f>
      </c>
      <c r="AJ18" s="37">
        <f>IF($A18="","",SUMPRODUCT(COUNTIFS(B18:AF18,Codes,$B$53:$AF$53,1)*(Arten="Urlaub")*Erste))</f>
      </c>
      <c r="AK18" s="37">
        <f>IF($A18="","",SUMPRODUCT(COUNTIFS(B18:AF18,Codes,$B$53:$AF$53,1)*(Arten="Krank")*Erste))</f>
      </c>
      <c r="AL18" s="38">
        <f>IF($A18="","",IF(COUNTIF(B67:AF67,1)&gt;0,COUNTIF(B67:AF67,1)&amp;"× Ruhezeit unter 11 Std. (§ 5)","")&amp;IF((COUNTIFS(B18:AF18,"?*",$B$52:$AF$52,1)-SUMPRODUCT(COUNTIFS(B18:AF18,Codes,$B$52:$AF$52,1)*(Codes&lt;&gt;"")*Erste))&gt;0,IF(COUNTIF(B67:AF67,1)&gt;0,"; ","")&amp;(COUNTIFS(B18:AF18,"?*",$B$52:$AF$52,1)-SUMPRODUCT(COUNTIFS(B18:AF18,Codes,$B$52:$AF$52,1)*(Codes&lt;&gt;"")*Erste))&amp;"× unbekanntes Kürzel",""))</f>
      </c>
    </row>
    <row r="19" spans="1:38" x14ac:dyDescent="0.25">
      <c r="A19" s="33">
        <f>Mitarbeiter!$A$18&amp;""</f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5">
        <f>IF($A19="","",SUMPRODUCT(COUNTIFS(B19:AF19,Codes,$B$52:$AF$52,1)*(Arten="Arbeit")*Erste*NettoTage)+SUMPRODUCT(COUNTIFS(B19:AF19,Codes,$B$53:$AF$53,1)*((Arten="Urlaub")+(Arten="Krank")+(Arten="Bezahlt abwesend"))*Erste)*N(Mitarbeiter!$B$18)/5/24)</f>
      </c>
      <c r="AH19" s="35">
        <f>IF($A19="","",N(Mitarbeiter!$B$18)/5/24*SUM($B$53:$AF$53))</f>
      </c>
      <c r="AI19" s="36">
        <f>IF($A19="","",IF((AG19-AH19)&lt;0,"-","+")&amp;TEXT(ABS((AG19-AH19)),"[h]:mm"))</f>
      </c>
      <c r="AJ19" s="37">
        <f>IF($A19="","",SUMPRODUCT(COUNTIFS(B19:AF19,Codes,$B$53:$AF$53,1)*(Arten="Urlaub")*Erste))</f>
      </c>
      <c r="AK19" s="37">
        <f>IF($A19="","",SUMPRODUCT(COUNTIFS(B19:AF19,Codes,$B$53:$AF$53,1)*(Arten="Krank")*Erste))</f>
      </c>
      <c r="AL19" s="38">
        <f>IF($A19="","",IF(COUNTIF(B68:AF68,1)&gt;0,COUNTIF(B68:AF68,1)&amp;"× Ruhezeit unter 11 Std. (§ 5)","")&amp;IF((COUNTIFS(B19:AF19,"?*",$B$52:$AF$52,1)-SUMPRODUCT(COUNTIFS(B19:AF19,Codes,$B$52:$AF$52,1)*(Codes&lt;&gt;"")*Erste))&gt;0,IF(COUNTIF(B68:AF68,1)&gt;0,"; ","")&amp;(COUNTIFS(B19:AF19,"?*",$B$52:$AF$52,1)-SUMPRODUCT(COUNTIFS(B19:AF19,Codes,$B$52:$AF$52,1)*(Codes&lt;&gt;"")*Erste))&amp;"× unbekanntes Kürzel",""))</f>
      </c>
    </row>
    <row r="20" spans="1:38" x14ac:dyDescent="0.25">
      <c r="A20" s="33">
        <f>Mitarbeiter!$A$19&amp;""</f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5">
        <f>IF($A20="","",SUMPRODUCT(COUNTIFS(B20:AF20,Codes,$B$52:$AF$52,1)*(Arten="Arbeit")*Erste*NettoTage)+SUMPRODUCT(COUNTIFS(B20:AF20,Codes,$B$53:$AF$53,1)*((Arten="Urlaub")+(Arten="Krank")+(Arten="Bezahlt abwesend"))*Erste)*N(Mitarbeiter!$B$19)/5/24)</f>
      </c>
      <c r="AH20" s="35">
        <f>IF($A20="","",N(Mitarbeiter!$B$19)/5/24*SUM($B$53:$AF$53))</f>
      </c>
      <c r="AI20" s="36">
        <f>IF($A20="","",IF((AG20-AH20)&lt;0,"-","+")&amp;TEXT(ABS((AG20-AH20)),"[h]:mm"))</f>
      </c>
      <c r="AJ20" s="37">
        <f>IF($A20="","",SUMPRODUCT(COUNTIFS(B20:AF20,Codes,$B$53:$AF$53,1)*(Arten="Urlaub")*Erste))</f>
      </c>
      <c r="AK20" s="37">
        <f>IF($A20="","",SUMPRODUCT(COUNTIFS(B20:AF20,Codes,$B$53:$AF$53,1)*(Arten="Krank")*Erste))</f>
      </c>
      <c r="AL20" s="38">
        <f>IF($A20="","",IF(COUNTIF(B69:AF69,1)&gt;0,COUNTIF(B69:AF69,1)&amp;"× Ruhezeit unter 11 Std. (§ 5)","")&amp;IF((COUNTIFS(B20:AF20,"?*",$B$52:$AF$52,1)-SUMPRODUCT(COUNTIFS(B20:AF20,Codes,$B$52:$AF$52,1)*(Codes&lt;&gt;"")*Erste))&gt;0,IF(COUNTIF(B69:AF69,1)&gt;0,"; ","")&amp;(COUNTIFS(B20:AF20,"?*",$B$52:$AF$52,1)-SUMPRODUCT(COUNTIFS(B20:AF20,Codes,$B$52:$AF$52,1)*(Codes&lt;&gt;"")*Erste))&amp;"× unbekanntes Kürzel",""))</f>
      </c>
    </row>
    <row r="21" spans="1:38" x14ac:dyDescent="0.25">
      <c r="A21" s="33">
        <f>Mitarbeiter!$A$20&amp;""</f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5">
        <f>IF($A21="","",SUMPRODUCT(COUNTIFS(B21:AF21,Codes,$B$52:$AF$52,1)*(Arten="Arbeit")*Erste*NettoTage)+SUMPRODUCT(COUNTIFS(B21:AF21,Codes,$B$53:$AF$53,1)*((Arten="Urlaub")+(Arten="Krank")+(Arten="Bezahlt abwesend"))*Erste)*N(Mitarbeiter!$B$20)/5/24)</f>
      </c>
      <c r="AH21" s="35">
        <f>IF($A21="","",N(Mitarbeiter!$B$20)/5/24*SUM($B$53:$AF$53))</f>
      </c>
      <c r="AI21" s="36">
        <f>IF($A21="","",IF((AG21-AH21)&lt;0,"-","+")&amp;TEXT(ABS((AG21-AH21)),"[h]:mm"))</f>
      </c>
      <c r="AJ21" s="37">
        <f>IF($A21="","",SUMPRODUCT(COUNTIFS(B21:AF21,Codes,$B$53:$AF$53,1)*(Arten="Urlaub")*Erste))</f>
      </c>
      <c r="AK21" s="37">
        <f>IF($A21="","",SUMPRODUCT(COUNTIFS(B21:AF21,Codes,$B$53:$AF$53,1)*(Arten="Krank")*Erste))</f>
      </c>
      <c r="AL21" s="38">
        <f>IF($A21="","",IF(COUNTIF(B70:AF70,1)&gt;0,COUNTIF(B70:AF70,1)&amp;"× Ruhezeit unter 11 Std. (§ 5)","")&amp;IF((COUNTIFS(B21:AF21,"?*",$B$52:$AF$52,1)-SUMPRODUCT(COUNTIFS(B21:AF21,Codes,$B$52:$AF$52,1)*(Codes&lt;&gt;"")*Erste))&gt;0,IF(COUNTIF(B70:AF70,1)&gt;0,"; ","")&amp;(COUNTIFS(B21:AF21,"?*",$B$52:$AF$52,1)-SUMPRODUCT(COUNTIFS(B21:AF21,Codes,$B$52:$AF$52,1)*(Codes&lt;&gt;"")*Erste))&amp;"× unbekanntes Kürzel",""))</f>
      </c>
    </row>
    <row r="22" spans="1:38" x14ac:dyDescent="0.25">
      <c r="A22" s="33">
        <f>Mitarbeiter!$A$21&amp;""</f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5">
        <f>IF($A22="","",SUMPRODUCT(COUNTIFS(B22:AF22,Codes,$B$52:$AF$52,1)*(Arten="Arbeit")*Erste*NettoTage)+SUMPRODUCT(COUNTIFS(B22:AF22,Codes,$B$53:$AF$53,1)*((Arten="Urlaub")+(Arten="Krank")+(Arten="Bezahlt abwesend"))*Erste)*N(Mitarbeiter!$B$21)/5/24)</f>
      </c>
      <c r="AH22" s="35">
        <f>IF($A22="","",N(Mitarbeiter!$B$21)/5/24*SUM($B$53:$AF$53))</f>
      </c>
      <c r="AI22" s="36">
        <f>IF($A22="","",IF((AG22-AH22)&lt;0,"-","+")&amp;TEXT(ABS((AG22-AH22)),"[h]:mm"))</f>
      </c>
      <c r="AJ22" s="37">
        <f>IF($A22="","",SUMPRODUCT(COUNTIFS(B22:AF22,Codes,$B$53:$AF$53,1)*(Arten="Urlaub")*Erste))</f>
      </c>
      <c r="AK22" s="37">
        <f>IF($A22="","",SUMPRODUCT(COUNTIFS(B22:AF22,Codes,$B$53:$AF$53,1)*(Arten="Krank")*Erste))</f>
      </c>
      <c r="AL22" s="38">
        <f>IF($A22="","",IF(COUNTIF(B71:AF71,1)&gt;0,COUNTIF(B71:AF71,1)&amp;"× Ruhezeit unter 11 Std. (§ 5)","")&amp;IF((COUNTIFS(B22:AF22,"?*",$B$52:$AF$52,1)-SUMPRODUCT(COUNTIFS(B22:AF22,Codes,$B$52:$AF$52,1)*(Codes&lt;&gt;"")*Erste))&gt;0,IF(COUNTIF(B71:AF71,1)&gt;0,"; ","")&amp;(COUNTIFS(B22:AF22,"?*",$B$52:$AF$52,1)-SUMPRODUCT(COUNTIFS(B22:AF22,Codes,$B$52:$AF$52,1)*(Codes&lt;&gt;"")*Erste))&amp;"× unbekanntes Kürzel",""))</f>
      </c>
    </row>
    <row r="23" spans="1:38" x14ac:dyDescent="0.25">
      <c r="A23" s="33">
        <f>Mitarbeiter!$A$22&amp;""</f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5">
        <f>IF($A23="","",SUMPRODUCT(COUNTIFS(B23:AF23,Codes,$B$52:$AF$52,1)*(Arten="Arbeit")*Erste*NettoTage)+SUMPRODUCT(COUNTIFS(B23:AF23,Codes,$B$53:$AF$53,1)*((Arten="Urlaub")+(Arten="Krank")+(Arten="Bezahlt abwesend"))*Erste)*N(Mitarbeiter!$B$22)/5/24)</f>
      </c>
      <c r="AH23" s="35">
        <f>IF($A23="","",N(Mitarbeiter!$B$22)/5/24*SUM($B$53:$AF$53))</f>
      </c>
      <c r="AI23" s="36">
        <f>IF($A23="","",IF((AG23-AH23)&lt;0,"-","+")&amp;TEXT(ABS((AG23-AH23)),"[h]:mm"))</f>
      </c>
      <c r="AJ23" s="37">
        <f>IF($A23="","",SUMPRODUCT(COUNTIFS(B23:AF23,Codes,$B$53:$AF$53,1)*(Arten="Urlaub")*Erste))</f>
      </c>
      <c r="AK23" s="37">
        <f>IF($A23="","",SUMPRODUCT(COUNTIFS(B23:AF23,Codes,$B$53:$AF$53,1)*(Arten="Krank")*Erste))</f>
      </c>
      <c r="AL23" s="38">
        <f>IF($A23="","",IF(COUNTIF(B72:AF72,1)&gt;0,COUNTIF(B72:AF72,1)&amp;"× Ruhezeit unter 11 Std. (§ 5)","")&amp;IF((COUNTIFS(B23:AF23,"?*",$B$52:$AF$52,1)-SUMPRODUCT(COUNTIFS(B23:AF23,Codes,$B$52:$AF$52,1)*(Codes&lt;&gt;"")*Erste))&gt;0,IF(COUNTIF(B72:AF72,1)&gt;0,"; ","")&amp;(COUNTIFS(B23:AF23,"?*",$B$52:$AF$52,1)-SUMPRODUCT(COUNTIFS(B23:AF23,Codes,$B$52:$AF$52,1)*(Codes&lt;&gt;"")*Erste))&amp;"× unbekanntes Kürzel",""))</f>
      </c>
    </row>
    <row r="24" spans="1:38" x14ac:dyDescent="0.25">
      <c r="A24" s="33">
        <f>Mitarbeiter!$A$23&amp;""</f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5">
        <f>IF($A24="","",SUMPRODUCT(COUNTIFS(B24:AF24,Codes,$B$52:$AF$52,1)*(Arten="Arbeit")*Erste*NettoTage)+SUMPRODUCT(COUNTIFS(B24:AF24,Codes,$B$53:$AF$53,1)*((Arten="Urlaub")+(Arten="Krank")+(Arten="Bezahlt abwesend"))*Erste)*N(Mitarbeiter!$B$23)/5/24)</f>
      </c>
      <c r="AH24" s="35">
        <f>IF($A24="","",N(Mitarbeiter!$B$23)/5/24*SUM($B$53:$AF$53))</f>
      </c>
      <c r="AI24" s="36">
        <f>IF($A24="","",IF((AG24-AH24)&lt;0,"-","+")&amp;TEXT(ABS((AG24-AH24)),"[h]:mm"))</f>
      </c>
      <c r="AJ24" s="37">
        <f>IF($A24="","",SUMPRODUCT(COUNTIFS(B24:AF24,Codes,$B$53:$AF$53,1)*(Arten="Urlaub")*Erste))</f>
      </c>
      <c r="AK24" s="37">
        <f>IF($A24="","",SUMPRODUCT(COUNTIFS(B24:AF24,Codes,$B$53:$AF$53,1)*(Arten="Krank")*Erste))</f>
      </c>
      <c r="AL24" s="38">
        <f>IF($A24="","",IF(COUNTIF(B73:AF73,1)&gt;0,COUNTIF(B73:AF73,1)&amp;"× Ruhezeit unter 11 Std. (§ 5)","")&amp;IF((COUNTIFS(B24:AF24,"?*",$B$52:$AF$52,1)-SUMPRODUCT(COUNTIFS(B24:AF24,Codes,$B$52:$AF$52,1)*(Codes&lt;&gt;"")*Erste))&gt;0,IF(COUNTIF(B73:AF73,1)&gt;0,"; ","")&amp;(COUNTIFS(B24:AF24,"?*",$B$52:$AF$52,1)-SUMPRODUCT(COUNTIFS(B24:AF24,Codes,$B$52:$AF$52,1)*(Codes&lt;&gt;"")*Erste))&amp;"× unbekanntes Kürzel",""))</f>
      </c>
    </row>
    <row r="25" spans="1:38" x14ac:dyDescent="0.25">
      <c r="A25" s="33">
        <f>Mitarbeiter!$A$24&amp;""</f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5">
        <f>IF($A25="","",SUMPRODUCT(COUNTIFS(B25:AF25,Codes,$B$52:$AF$52,1)*(Arten="Arbeit")*Erste*NettoTage)+SUMPRODUCT(COUNTIFS(B25:AF25,Codes,$B$53:$AF$53,1)*((Arten="Urlaub")+(Arten="Krank")+(Arten="Bezahlt abwesend"))*Erste)*N(Mitarbeiter!$B$24)/5/24)</f>
      </c>
      <c r="AH25" s="35">
        <f>IF($A25="","",N(Mitarbeiter!$B$24)/5/24*SUM($B$53:$AF$53))</f>
      </c>
      <c r="AI25" s="36">
        <f>IF($A25="","",IF((AG25-AH25)&lt;0,"-","+")&amp;TEXT(ABS((AG25-AH25)),"[h]:mm"))</f>
      </c>
      <c r="AJ25" s="37">
        <f>IF($A25="","",SUMPRODUCT(COUNTIFS(B25:AF25,Codes,$B$53:$AF$53,1)*(Arten="Urlaub")*Erste))</f>
      </c>
      <c r="AK25" s="37">
        <f>IF($A25="","",SUMPRODUCT(COUNTIFS(B25:AF25,Codes,$B$53:$AF$53,1)*(Arten="Krank")*Erste))</f>
      </c>
      <c r="AL25" s="38">
        <f>IF($A25="","",IF(COUNTIF(B74:AF74,1)&gt;0,COUNTIF(B74:AF74,1)&amp;"× Ruhezeit unter 11 Std. (§ 5)","")&amp;IF((COUNTIFS(B25:AF25,"?*",$B$52:$AF$52,1)-SUMPRODUCT(COUNTIFS(B25:AF25,Codes,$B$52:$AF$52,1)*(Codes&lt;&gt;"")*Erste))&gt;0,IF(COUNTIF(B74:AF74,1)&gt;0,"; ","")&amp;(COUNTIFS(B25:AF25,"?*",$B$52:$AF$52,1)-SUMPRODUCT(COUNTIFS(B25:AF25,Codes,$B$52:$AF$52,1)*(Codes&lt;&gt;"")*Erste))&amp;"× unbekanntes Kürzel",""))</f>
      </c>
    </row>
    <row r="26" spans="1:38" x14ac:dyDescent="0.25">
      <c r="A26" s="33">
        <f>Mitarbeiter!$A$25&amp;""</f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5">
        <f>IF($A26="","",SUMPRODUCT(COUNTIFS(B26:AF26,Codes,$B$52:$AF$52,1)*(Arten="Arbeit")*Erste*NettoTage)+SUMPRODUCT(COUNTIFS(B26:AF26,Codes,$B$53:$AF$53,1)*((Arten="Urlaub")+(Arten="Krank")+(Arten="Bezahlt abwesend"))*Erste)*N(Mitarbeiter!$B$25)/5/24)</f>
      </c>
      <c r="AH26" s="35">
        <f>IF($A26="","",N(Mitarbeiter!$B$25)/5/24*SUM($B$53:$AF$53))</f>
      </c>
      <c r="AI26" s="36">
        <f>IF($A26="","",IF((AG26-AH26)&lt;0,"-","+")&amp;TEXT(ABS((AG26-AH26)),"[h]:mm"))</f>
      </c>
      <c r="AJ26" s="37">
        <f>IF($A26="","",SUMPRODUCT(COUNTIFS(B26:AF26,Codes,$B$53:$AF$53,1)*(Arten="Urlaub")*Erste))</f>
      </c>
      <c r="AK26" s="37">
        <f>IF($A26="","",SUMPRODUCT(COUNTIFS(B26:AF26,Codes,$B$53:$AF$53,1)*(Arten="Krank")*Erste))</f>
      </c>
      <c r="AL26" s="38">
        <f>IF($A26="","",IF(COUNTIF(B75:AF75,1)&gt;0,COUNTIF(B75:AF75,1)&amp;"× Ruhezeit unter 11 Std. (§ 5)","")&amp;IF((COUNTIFS(B26:AF26,"?*",$B$52:$AF$52,1)-SUMPRODUCT(COUNTIFS(B26:AF26,Codes,$B$52:$AF$52,1)*(Codes&lt;&gt;"")*Erste))&gt;0,IF(COUNTIF(B75:AF75,1)&gt;0,"; ","")&amp;(COUNTIFS(B26:AF26,"?*",$B$52:$AF$52,1)-SUMPRODUCT(COUNTIFS(B26:AF26,Codes,$B$52:$AF$52,1)*(Codes&lt;&gt;"")*Erste))&amp;"× unbekanntes Kürzel",""))</f>
      </c>
    </row>
    <row r="27" spans="1:38" x14ac:dyDescent="0.25">
      <c r="A27" s="33">
        <f>Mitarbeiter!$A$26&amp;""</f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5">
        <f>IF($A27="","",SUMPRODUCT(COUNTIFS(B27:AF27,Codes,$B$52:$AF$52,1)*(Arten="Arbeit")*Erste*NettoTage)+SUMPRODUCT(COUNTIFS(B27:AF27,Codes,$B$53:$AF$53,1)*((Arten="Urlaub")+(Arten="Krank")+(Arten="Bezahlt abwesend"))*Erste)*N(Mitarbeiter!$B$26)/5/24)</f>
      </c>
      <c r="AH27" s="35">
        <f>IF($A27="","",N(Mitarbeiter!$B$26)/5/24*SUM($B$53:$AF$53))</f>
      </c>
      <c r="AI27" s="36">
        <f>IF($A27="","",IF((AG27-AH27)&lt;0,"-","+")&amp;TEXT(ABS((AG27-AH27)),"[h]:mm"))</f>
      </c>
      <c r="AJ27" s="37">
        <f>IF($A27="","",SUMPRODUCT(COUNTIFS(B27:AF27,Codes,$B$53:$AF$53,1)*(Arten="Urlaub")*Erste))</f>
      </c>
      <c r="AK27" s="37">
        <f>IF($A27="","",SUMPRODUCT(COUNTIFS(B27:AF27,Codes,$B$53:$AF$53,1)*(Arten="Krank")*Erste))</f>
      </c>
      <c r="AL27" s="38">
        <f>IF($A27="","",IF(COUNTIF(B76:AF76,1)&gt;0,COUNTIF(B76:AF76,1)&amp;"× Ruhezeit unter 11 Std. (§ 5)","")&amp;IF((COUNTIFS(B27:AF27,"?*",$B$52:$AF$52,1)-SUMPRODUCT(COUNTIFS(B27:AF27,Codes,$B$52:$AF$52,1)*(Codes&lt;&gt;"")*Erste))&gt;0,IF(COUNTIF(B76:AF76,1)&gt;0,"; ","")&amp;(COUNTIFS(B27:AF27,"?*",$B$52:$AF$52,1)-SUMPRODUCT(COUNTIFS(B27:AF27,Codes,$B$52:$AF$52,1)*(Codes&lt;&gt;"")*Erste))&amp;"× unbekanntes Kürzel",""))</f>
      </c>
    </row>
    <row r="28" spans="1:38" x14ac:dyDescent="0.25">
      <c r="A28" s="33">
        <f>Mitarbeiter!$A$27&amp;""</f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5">
        <f>IF($A28="","",SUMPRODUCT(COUNTIFS(B28:AF28,Codes,$B$52:$AF$52,1)*(Arten="Arbeit")*Erste*NettoTage)+SUMPRODUCT(COUNTIFS(B28:AF28,Codes,$B$53:$AF$53,1)*((Arten="Urlaub")+(Arten="Krank")+(Arten="Bezahlt abwesend"))*Erste)*N(Mitarbeiter!$B$27)/5/24)</f>
      </c>
      <c r="AH28" s="35">
        <f>IF($A28="","",N(Mitarbeiter!$B$27)/5/24*SUM($B$53:$AF$53))</f>
      </c>
      <c r="AI28" s="36">
        <f>IF($A28="","",IF((AG28-AH28)&lt;0,"-","+")&amp;TEXT(ABS((AG28-AH28)),"[h]:mm"))</f>
      </c>
      <c r="AJ28" s="37">
        <f>IF($A28="","",SUMPRODUCT(COUNTIFS(B28:AF28,Codes,$B$53:$AF$53,1)*(Arten="Urlaub")*Erste))</f>
      </c>
      <c r="AK28" s="37">
        <f>IF($A28="","",SUMPRODUCT(COUNTIFS(B28:AF28,Codes,$B$53:$AF$53,1)*(Arten="Krank")*Erste))</f>
      </c>
      <c r="AL28" s="38">
        <f>IF($A28="","",IF(COUNTIF(B77:AF77,1)&gt;0,COUNTIF(B77:AF77,1)&amp;"× Ruhezeit unter 11 Std. (§ 5)","")&amp;IF((COUNTIFS(B28:AF28,"?*",$B$52:$AF$52,1)-SUMPRODUCT(COUNTIFS(B28:AF28,Codes,$B$52:$AF$52,1)*(Codes&lt;&gt;"")*Erste))&gt;0,IF(COUNTIF(B77:AF77,1)&gt;0,"; ","")&amp;(COUNTIFS(B28:AF28,"?*",$B$52:$AF$52,1)-SUMPRODUCT(COUNTIFS(B28:AF28,Codes,$B$52:$AF$52,1)*(Codes&lt;&gt;"")*Erste))&amp;"× unbekanntes Kürzel",""))</f>
      </c>
    </row>
    <row r="29" spans="1:38" x14ac:dyDescent="0.25">
      <c r="A29" s="33">
        <f>Mitarbeiter!$A$28&amp;""</f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5">
        <f>IF($A29="","",SUMPRODUCT(COUNTIFS(B29:AF29,Codes,$B$52:$AF$52,1)*(Arten="Arbeit")*Erste*NettoTage)+SUMPRODUCT(COUNTIFS(B29:AF29,Codes,$B$53:$AF$53,1)*((Arten="Urlaub")+(Arten="Krank")+(Arten="Bezahlt abwesend"))*Erste)*N(Mitarbeiter!$B$28)/5/24)</f>
      </c>
      <c r="AH29" s="35">
        <f>IF($A29="","",N(Mitarbeiter!$B$28)/5/24*SUM($B$53:$AF$53))</f>
      </c>
      <c r="AI29" s="36">
        <f>IF($A29="","",IF((AG29-AH29)&lt;0,"-","+")&amp;TEXT(ABS((AG29-AH29)),"[h]:mm"))</f>
      </c>
      <c r="AJ29" s="37">
        <f>IF($A29="","",SUMPRODUCT(COUNTIFS(B29:AF29,Codes,$B$53:$AF$53,1)*(Arten="Urlaub")*Erste))</f>
      </c>
      <c r="AK29" s="37">
        <f>IF($A29="","",SUMPRODUCT(COUNTIFS(B29:AF29,Codes,$B$53:$AF$53,1)*(Arten="Krank")*Erste))</f>
      </c>
      <c r="AL29" s="38">
        <f>IF($A29="","",IF(COUNTIF(B78:AF78,1)&gt;0,COUNTIF(B78:AF78,1)&amp;"× Ruhezeit unter 11 Std. (§ 5)","")&amp;IF((COUNTIFS(B29:AF29,"?*",$B$52:$AF$52,1)-SUMPRODUCT(COUNTIFS(B29:AF29,Codes,$B$52:$AF$52,1)*(Codes&lt;&gt;"")*Erste))&gt;0,IF(COUNTIF(B78:AF78,1)&gt;0,"; ","")&amp;(COUNTIFS(B29:AF29,"?*",$B$52:$AF$52,1)-SUMPRODUCT(COUNTIFS(B29:AF29,Codes,$B$52:$AF$52,1)*(Codes&lt;&gt;"")*Erste))&amp;"× unbekanntes Kürzel",""))</f>
      </c>
    </row>
    <row r="30" spans="1:38" x14ac:dyDescent="0.25">
      <c r="A30" s="33">
        <f>Mitarbeiter!$A$29&amp;""</f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5">
        <f>IF($A30="","",SUMPRODUCT(COUNTIFS(B30:AF30,Codes,$B$52:$AF$52,1)*(Arten="Arbeit")*Erste*NettoTage)+SUMPRODUCT(COUNTIFS(B30:AF30,Codes,$B$53:$AF$53,1)*((Arten="Urlaub")+(Arten="Krank")+(Arten="Bezahlt abwesend"))*Erste)*N(Mitarbeiter!$B$29)/5/24)</f>
      </c>
      <c r="AH30" s="35">
        <f>IF($A30="","",N(Mitarbeiter!$B$29)/5/24*SUM($B$53:$AF$53))</f>
      </c>
      <c r="AI30" s="36">
        <f>IF($A30="","",IF((AG30-AH30)&lt;0,"-","+")&amp;TEXT(ABS((AG30-AH30)),"[h]:mm"))</f>
      </c>
      <c r="AJ30" s="37">
        <f>IF($A30="","",SUMPRODUCT(COUNTIFS(B30:AF30,Codes,$B$53:$AF$53,1)*(Arten="Urlaub")*Erste))</f>
      </c>
      <c r="AK30" s="37">
        <f>IF($A30="","",SUMPRODUCT(COUNTIFS(B30:AF30,Codes,$B$53:$AF$53,1)*(Arten="Krank")*Erste))</f>
      </c>
      <c r="AL30" s="38">
        <f>IF($A30="","",IF(COUNTIF(B79:AF79,1)&gt;0,COUNTIF(B79:AF79,1)&amp;"× Ruhezeit unter 11 Std. (§ 5)","")&amp;IF((COUNTIFS(B30:AF30,"?*",$B$52:$AF$52,1)-SUMPRODUCT(COUNTIFS(B30:AF30,Codes,$B$52:$AF$52,1)*(Codes&lt;&gt;"")*Erste))&gt;0,IF(COUNTIF(B79:AF79,1)&gt;0,"; ","")&amp;(COUNTIFS(B30:AF30,"?*",$B$52:$AF$52,1)-SUMPRODUCT(COUNTIFS(B30:AF30,Codes,$B$52:$AF$52,1)*(Codes&lt;&gt;"")*Erste))&amp;"× unbekanntes Kürzel",""))</f>
      </c>
    </row>
    <row r="31" spans="1:38" x14ac:dyDescent="0.25">
      <c r="A31" s="33">
        <f>Mitarbeiter!$A$30&amp;""</f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5">
        <f>IF($A31="","",SUMPRODUCT(COUNTIFS(B31:AF31,Codes,$B$52:$AF$52,1)*(Arten="Arbeit")*Erste*NettoTage)+SUMPRODUCT(COUNTIFS(B31:AF31,Codes,$B$53:$AF$53,1)*((Arten="Urlaub")+(Arten="Krank")+(Arten="Bezahlt abwesend"))*Erste)*N(Mitarbeiter!$B$30)/5/24)</f>
      </c>
      <c r="AH31" s="35">
        <f>IF($A31="","",N(Mitarbeiter!$B$30)/5/24*SUM($B$53:$AF$53))</f>
      </c>
      <c r="AI31" s="36">
        <f>IF($A31="","",IF((AG31-AH31)&lt;0,"-","+")&amp;TEXT(ABS((AG31-AH31)),"[h]:mm"))</f>
      </c>
      <c r="AJ31" s="37">
        <f>IF($A31="","",SUMPRODUCT(COUNTIFS(B31:AF31,Codes,$B$53:$AF$53,1)*(Arten="Urlaub")*Erste))</f>
      </c>
      <c r="AK31" s="37">
        <f>IF($A31="","",SUMPRODUCT(COUNTIFS(B31:AF31,Codes,$B$53:$AF$53,1)*(Arten="Krank")*Erste))</f>
      </c>
      <c r="AL31" s="38">
        <f>IF($A31="","",IF(COUNTIF(B80:AF80,1)&gt;0,COUNTIF(B80:AF80,1)&amp;"× Ruhezeit unter 11 Std. (§ 5)","")&amp;IF((COUNTIFS(B31:AF31,"?*",$B$52:$AF$52,1)-SUMPRODUCT(COUNTIFS(B31:AF31,Codes,$B$52:$AF$52,1)*(Codes&lt;&gt;"")*Erste))&gt;0,IF(COUNTIF(B80:AF80,1)&gt;0,"; ","")&amp;(COUNTIFS(B31:AF31,"?*",$B$52:$AF$52,1)-SUMPRODUCT(COUNTIFS(B31:AF31,Codes,$B$52:$AF$52,1)*(Codes&lt;&gt;"")*Erste))&amp;"× unbekanntes Kürzel",""))</f>
      </c>
    </row>
    <row r="32" spans="1:38" x14ac:dyDescent="0.25">
      <c r="A32" s="33">
        <f>Mitarbeiter!$A$31&amp;""</f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5">
        <f>IF($A32="","",SUMPRODUCT(COUNTIFS(B32:AF32,Codes,$B$52:$AF$52,1)*(Arten="Arbeit")*Erste*NettoTage)+SUMPRODUCT(COUNTIFS(B32:AF32,Codes,$B$53:$AF$53,1)*((Arten="Urlaub")+(Arten="Krank")+(Arten="Bezahlt abwesend"))*Erste)*N(Mitarbeiter!$B$31)/5/24)</f>
      </c>
      <c r="AH32" s="35">
        <f>IF($A32="","",N(Mitarbeiter!$B$31)/5/24*SUM($B$53:$AF$53))</f>
      </c>
      <c r="AI32" s="36">
        <f>IF($A32="","",IF((AG32-AH32)&lt;0,"-","+")&amp;TEXT(ABS((AG32-AH32)),"[h]:mm"))</f>
      </c>
      <c r="AJ32" s="37">
        <f>IF($A32="","",SUMPRODUCT(COUNTIFS(B32:AF32,Codes,$B$53:$AF$53,1)*(Arten="Urlaub")*Erste))</f>
      </c>
      <c r="AK32" s="37">
        <f>IF($A32="","",SUMPRODUCT(COUNTIFS(B32:AF32,Codes,$B$53:$AF$53,1)*(Arten="Krank")*Erste))</f>
      </c>
      <c r="AL32" s="38">
        <f>IF($A32="","",IF(COUNTIF(B81:AF81,1)&gt;0,COUNTIF(B81:AF81,1)&amp;"× Ruhezeit unter 11 Std. (§ 5)","")&amp;IF((COUNTIFS(B32:AF32,"?*",$B$52:$AF$52,1)-SUMPRODUCT(COUNTIFS(B32:AF32,Codes,$B$52:$AF$52,1)*(Codes&lt;&gt;"")*Erste))&gt;0,IF(COUNTIF(B81:AF81,1)&gt;0,"; ","")&amp;(COUNTIFS(B32:AF32,"?*",$B$52:$AF$52,1)-SUMPRODUCT(COUNTIFS(B32:AF32,Codes,$B$52:$AF$52,1)*(Codes&lt;&gt;"")*Erste))&amp;"× unbekanntes Kürzel",""))</f>
      </c>
    </row>
    <row r="33" spans="1:38" x14ac:dyDescent="0.25">
      <c r="A33" s="33">
        <f>Mitarbeiter!$A$32&amp;""</f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5">
        <f>IF($A33="","",SUMPRODUCT(COUNTIFS(B33:AF33,Codes,$B$52:$AF$52,1)*(Arten="Arbeit")*Erste*NettoTage)+SUMPRODUCT(COUNTIFS(B33:AF33,Codes,$B$53:$AF$53,1)*((Arten="Urlaub")+(Arten="Krank")+(Arten="Bezahlt abwesend"))*Erste)*N(Mitarbeiter!$B$32)/5/24)</f>
      </c>
      <c r="AH33" s="35">
        <f>IF($A33="","",N(Mitarbeiter!$B$32)/5/24*SUM($B$53:$AF$53))</f>
      </c>
      <c r="AI33" s="36">
        <f>IF($A33="","",IF((AG33-AH33)&lt;0,"-","+")&amp;TEXT(ABS((AG33-AH33)),"[h]:mm"))</f>
      </c>
      <c r="AJ33" s="37">
        <f>IF($A33="","",SUMPRODUCT(COUNTIFS(B33:AF33,Codes,$B$53:$AF$53,1)*(Arten="Urlaub")*Erste))</f>
      </c>
      <c r="AK33" s="37">
        <f>IF($A33="","",SUMPRODUCT(COUNTIFS(B33:AF33,Codes,$B$53:$AF$53,1)*(Arten="Krank")*Erste))</f>
      </c>
      <c r="AL33" s="38">
        <f>IF($A33="","",IF(COUNTIF(B82:AF82,1)&gt;0,COUNTIF(B82:AF82,1)&amp;"× Ruhezeit unter 11 Std. (§ 5)","")&amp;IF((COUNTIFS(B33:AF33,"?*",$B$52:$AF$52,1)-SUMPRODUCT(COUNTIFS(B33:AF33,Codes,$B$52:$AF$52,1)*(Codes&lt;&gt;"")*Erste))&gt;0,IF(COUNTIF(B82:AF82,1)&gt;0,"; ","")&amp;(COUNTIFS(B33:AF33,"?*",$B$52:$AF$52,1)-SUMPRODUCT(COUNTIFS(B33:AF33,Codes,$B$52:$AF$52,1)*(Codes&lt;&gt;"")*Erste))&amp;"× unbekanntes Kürzel",""))</f>
      </c>
    </row>
    <row r="34" spans="1:38" x14ac:dyDescent="0.25">
      <c r="A34" s="33">
        <f>Mitarbeiter!$A$33&amp;""</f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5">
        <f>IF($A34="","",SUMPRODUCT(COUNTIFS(B34:AF34,Codes,$B$52:$AF$52,1)*(Arten="Arbeit")*Erste*NettoTage)+SUMPRODUCT(COUNTIFS(B34:AF34,Codes,$B$53:$AF$53,1)*((Arten="Urlaub")+(Arten="Krank")+(Arten="Bezahlt abwesend"))*Erste)*N(Mitarbeiter!$B$33)/5/24)</f>
      </c>
      <c r="AH34" s="35">
        <f>IF($A34="","",N(Mitarbeiter!$B$33)/5/24*SUM($B$53:$AF$53))</f>
      </c>
      <c r="AI34" s="36">
        <f>IF($A34="","",IF((AG34-AH34)&lt;0,"-","+")&amp;TEXT(ABS((AG34-AH34)),"[h]:mm"))</f>
      </c>
      <c r="AJ34" s="37">
        <f>IF($A34="","",SUMPRODUCT(COUNTIFS(B34:AF34,Codes,$B$53:$AF$53,1)*(Arten="Urlaub")*Erste))</f>
      </c>
      <c r="AK34" s="37">
        <f>IF($A34="","",SUMPRODUCT(COUNTIFS(B34:AF34,Codes,$B$53:$AF$53,1)*(Arten="Krank")*Erste))</f>
      </c>
      <c r="AL34" s="38">
        <f>IF($A34="","",IF(COUNTIF(B83:AF83,1)&gt;0,COUNTIF(B83:AF83,1)&amp;"× Ruhezeit unter 11 Std. (§ 5)","")&amp;IF((COUNTIFS(B34:AF34,"?*",$B$52:$AF$52,1)-SUMPRODUCT(COUNTIFS(B34:AF34,Codes,$B$52:$AF$52,1)*(Codes&lt;&gt;"")*Erste))&gt;0,IF(COUNTIF(B83:AF83,1)&gt;0,"; ","")&amp;(COUNTIFS(B34:AF34,"?*",$B$52:$AF$52,1)-SUMPRODUCT(COUNTIFS(B34:AF34,Codes,$B$52:$AF$52,1)*(Codes&lt;&gt;"")*Erste))&amp;"× unbekanntes Kürzel",""))</f>
      </c>
    </row>
    <row r="35" spans="1:38" x14ac:dyDescent="0.25">
      <c r="A35" s="33">
        <f>Mitarbeiter!$A$34&amp;""</f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5">
        <f>IF($A35="","",SUMPRODUCT(COUNTIFS(B35:AF35,Codes,$B$52:$AF$52,1)*(Arten="Arbeit")*Erste*NettoTage)+SUMPRODUCT(COUNTIFS(B35:AF35,Codes,$B$53:$AF$53,1)*((Arten="Urlaub")+(Arten="Krank")+(Arten="Bezahlt abwesend"))*Erste)*N(Mitarbeiter!$B$34)/5/24)</f>
      </c>
      <c r="AH35" s="35">
        <f>IF($A35="","",N(Mitarbeiter!$B$34)/5/24*SUM($B$53:$AF$53))</f>
      </c>
      <c r="AI35" s="36">
        <f>IF($A35="","",IF((AG35-AH35)&lt;0,"-","+")&amp;TEXT(ABS((AG35-AH35)),"[h]:mm"))</f>
      </c>
      <c r="AJ35" s="37">
        <f>IF($A35="","",SUMPRODUCT(COUNTIFS(B35:AF35,Codes,$B$53:$AF$53,1)*(Arten="Urlaub")*Erste))</f>
      </c>
      <c r="AK35" s="37">
        <f>IF($A35="","",SUMPRODUCT(COUNTIFS(B35:AF35,Codes,$B$53:$AF$53,1)*(Arten="Krank")*Erste))</f>
      </c>
      <c r="AL35" s="38">
        <f>IF($A35="","",IF(COUNTIF(B84:AF84,1)&gt;0,COUNTIF(B84:AF84,1)&amp;"× Ruhezeit unter 11 Std. (§ 5)","")&amp;IF((COUNTIFS(B35:AF35,"?*",$B$52:$AF$52,1)-SUMPRODUCT(COUNTIFS(B35:AF35,Codes,$B$52:$AF$52,1)*(Codes&lt;&gt;"")*Erste))&gt;0,IF(COUNTIF(B84:AF84,1)&gt;0,"; ","")&amp;(COUNTIFS(B35:AF35,"?*",$B$52:$AF$52,1)-SUMPRODUCT(COUNTIFS(B35:AF35,Codes,$B$52:$AF$52,1)*(Codes&lt;&gt;"")*Erste))&amp;"× unbekanntes Kürzel",""))</f>
      </c>
    </row>
    <row r="37" spans="1:1" x14ac:dyDescent="0.25">
      <c r="A37" s="39" t="s">
        <v>63</v>
      </c>
    </row>
    <row r="38" spans="1:39" x14ac:dyDescent="0.25">
      <c r="A38" s="40">
        <f>IFERROR(INDEX(Codes,MATCH(1,ArbeitNr,0))&amp;" "&amp;INDEX(Bezeichnungen,MATCH(1,ArbeitNr,0)),"")</f>
      </c>
      <c r="B38" s="41">
        <f>IF(OR($AM38="",B$52=0),"",COUNTIF(B$6:B$35,$AM38))</f>
      </c>
      <c r="C38" s="41">
        <f>IF(OR($AM38="",C$52=0),"",COUNTIF(C$6:C$35,$AM38))</f>
      </c>
      <c r="D38" s="41">
        <f>IF(OR($AM38="",D$52=0),"",COUNTIF(D$6:D$35,$AM38))</f>
      </c>
      <c r="E38" s="41">
        <f>IF(OR($AM38="",E$52=0),"",COUNTIF(E$6:E$35,$AM38))</f>
      </c>
      <c r="F38" s="41">
        <f>IF(OR($AM38="",F$52=0),"",COUNTIF(F$6:F$35,$AM38))</f>
      </c>
      <c r="G38" s="41">
        <f>IF(OR($AM38="",G$52=0),"",COUNTIF(G$6:G$35,$AM38))</f>
      </c>
      <c r="H38" s="41">
        <f>IF(OR($AM38="",H$52=0),"",COUNTIF(H$6:H$35,$AM38))</f>
      </c>
      <c r="I38" s="41">
        <f>IF(OR($AM38="",I$52=0),"",COUNTIF(I$6:I$35,$AM38))</f>
      </c>
      <c r="J38" s="41">
        <f>IF(OR($AM38="",J$52=0),"",COUNTIF(J$6:J$35,$AM38))</f>
      </c>
      <c r="K38" s="41">
        <f>IF(OR($AM38="",K$52=0),"",COUNTIF(K$6:K$35,$AM38))</f>
      </c>
      <c r="L38" s="41">
        <f>IF(OR($AM38="",L$52=0),"",COUNTIF(L$6:L$35,$AM38))</f>
      </c>
      <c r="M38" s="41">
        <f>IF(OR($AM38="",M$52=0),"",COUNTIF(M$6:M$35,$AM38))</f>
      </c>
      <c r="N38" s="41">
        <f>IF(OR($AM38="",N$52=0),"",COUNTIF(N$6:N$35,$AM38))</f>
      </c>
      <c r="O38" s="41">
        <f>IF(OR($AM38="",O$52=0),"",COUNTIF(O$6:O$35,$AM38))</f>
      </c>
      <c r="P38" s="41">
        <f>IF(OR($AM38="",P$52=0),"",COUNTIF(P$6:P$35,$AM38))</f>
      </c>
      <c r="Q38" s="41">
        <f>IF(OR($AM38="",Q$52=0),"",COUNTIF(Q$6:Q$35,$AM38))</f>
      </c>
      <c r="R38" s="41">
        <f>IF(OR($AM38="",R$52=0),"",COUNTIF(R$6:R$35,$AM38))</f>
      </c>
      <c r="S38" s="41">
        <f>IF(OR($AM38="",S$52=0),"",COUNTIF(S$6:S$35,$AM38))</f>
      </c>
      <c r="T38" s="41">
        <f>IF(OR($AM38="",T$52=0),"",COUNTIF(T$6:T$35,$AM38))</f>
      </c>
      <c r="U38" s="41">
        <f>IF(OR($AM38="",U$52=0),"",COUNTIF(U$6:U$35,$AM38))</f>
      </c>
      <c r="V38" s="41">
        <f>IF(OR($AM38="",V$52=0),"",COUNTIF(V$6:V$35,$AM38))</f>
      </c>
      <c r="W38" s="41">
        <f>IF(OR($AM38="",W$52=0),"",COUNTIF(W$6:W$35,$AM38))</f>
      </c>
      <c r="X38" s="41">
        <f>IF(OR($AM38="",X$52=0),"",COUNTIF(X$6:X$35,$AM38))</f>
      </c>
      <c r="Y38" s="41">
        <f>IF(OR($AM38="",Y$52=0),"",COUNTIF(Y$6:Y$35,$AM38))</f>
      </c>
      <c r="Z38" s="41">
        <f>IF(OR($AM38="",Z$52=0),"",COUNTIF(Z$6:Z$35,$AM38))</f>
      </c>
      <c r="AA38" s="41">
        <f>IF(OR($AM38="",AA$52=0),"",COUNTIF(AA$6:AA$35,$AM38))</f>
      </c>
      <c r="AB38" s="41">
        <f>IF(OR($AM38="",AB$52=0),"",COUNTIF(AB$6:AB$35,$AM38))</f>
      </c>
      <c r="AC38" s="41">
        <f>IF(OR($AM38="",AC$52=0),"",COUNTIF(AC$6:AC$35,$AM38))</f>
      </c>
      <c r="AD38" s="41">
        <f>IF(OR($AM38="",AD$52=0),"",COUNTIF(AD$6:AD$35,$AM38))</f>
      </c>
      <c r="AE38" s="41">
        <f>IF(OR($AM38="",AE$52=0),"",COUNTIF(AE$6:AE$35,$AM38))</f>
      </c>
      <c r="AF38" s="41">
        <f>IF(OR($AM38="",AF$52=0),"",COUNTIF(AF$6:AF$35,$AM38))</f>
      </c>
      <c r="AG38" s="1"/>
      <c r="AH38" s="1"/>
      <c r="AI38" s="1"/>
      <c r="AJ38" s="1"/>
      <c r="AK38" s="1"/>
      <c r="AL38" s="1"/>
      <c r="AM38" s="1">
        <f>IFERROR(INDEX(Codes,MATCH(1,ArbeitNr,0)),"")</f>
      </c>
    </row>
    <row r="39" spans="1:39" x14ac:dyDescent="0.25">
      <c r="A39" s="40">
        <f>IFERROR(INDEX(Codes,MATCH(2,ArbeitNr,0))&amp;" "&amp;INDEX(Bezeichnungen,MATCH(2,ArbeitNr,0)),"")</f>
      </c>
      <c r="B39" s="41">
        <f>IF(OR($AM39="",B$52=0),"",COUNTIF(B$6:B$35,$AM39))</f>
      </c>
      <c r="C39" s="41">
        <f>IF(OR($AM39="",C$52=0),"",COUNTIF(C$6:C$35,$AM39))</f>
      </c>
      <c r="D39" s="41">
        <f>IF(OR($AM39="",D$52=0),"",COUNTIF(D$6:D$35,$AM39))</f>
      </c>
      <c r="E39" s="41">
        <f>IF(OR($AM39="",E$52=0),"",COUNTIF(E$6:E$35,$AM39))</f>
      </c>
      <c r="F39" s="41">
        <f>IF(OR($AM39="",F$52=0),"",COUNTIF(F$6:F$35,$AM39))</f>
      </c>
      <c r="G39" s="41">
        <f>IF(OR($AM39="",G$52=0),"",COUNTIF(G$6:G$35,$AM39))</f>
      </c>
      <c r="H39" s="41">
        <f>IF(OR($AM39="",H$52=0),"",COUNTIF(H$6:H$35,$AM39))</f>
      </c>
      <c r="I39" s="41">
        <f>IF(OR($AM39="",I$52=0),"",COUNTIF(I$6:I$35,$AM39))</f>
      </c>
      <c r="J39" s="41">
        <f>IF(OR($AM39="",J$52=0),"",COUNTIF(J$6:J$35,$AM39))</f>
      </c>
      <c r="K39" s="41">
        <f>IF(OR($AM39="",K$52=0),"",COUNTIF(K$6:K$35,$AM39))</f>
      </c>
      <c r="L39" s="41">
        <f>IF(OR($AM39="",L$52=0),"",COUNTIF(L$6:L$35,$AM39))</f>
      </c>
      <c r="M39" s="41">
        <f>IF(OR($AM39="",M$52=0),"",COUNTIF(M$6:M$35,$AM39))</f>
      </c>
      <c r="N39" s="41">
        <f>IF(OR($AM39="",N$52=0),"",COUNTIF(N$6:N$35,$AM39))</f>
      </c>
      <c r="O39" s="41">
        <f>IF(OR($AM39="",O$52=0),"",COUNTIF(O$6:O$35,$AM39))</f>
      </c>
      <c r="P39" s="41">
        <f>IF(OR($AM39="",P$52=0),"",COUNTIF(P$6:P$35,$AM39))</f>
      </c>
      <c r="Q39" s="41">
        <f>IF(OR($AM39="",Q$52=0),"",COUNTIF(Q$6:Q$35,$AM39))</f>
      </c>
      <c r="R39" s="41">
        <f>IF(OR($AM39="",R$52=0),"",COUNTIF(R$6:R$35,$AM39))</f>
      </c>
      <c r="S39" s="41">
        <f>IF(OR($AM39="",S$52=0),"",COUNTIF(S$6:S$35,$AM39))</f>
      </c>
      <c r="T39" s="41">
        <f>IF(OR($AM39="",T$52=0),"",COUNTIF(T$6:T$35,$AM39))</f>
      </c>
      <c r="U39" s="41">
        <f>IF(OR($AM39="",U$52=0),"",COUNTIF(U$6:U$35,$AM39))</f>
      </c>
      <c r="V39" s="41">
        <f>IF(OR($AM39="",V$52=0),"",COUNTIF(V$6:V$35,$AM39))</f>
      </c>
      <c r="W39" s="41">
        <f>IF(OR($AM39="",W$52=0),"",COUNTIF(W$6:W$35,$AM39))</f>
      </c>
      <c r="X39" s="41">
        <f>IF(OR($AM39="",X$52=0),"",COUNTIF(X$6:X$35,$AM39))</f>
      </c>
      <c r="Y39" s="41">
        <f>IF(OR($AM39="",Y$52=0),"",COUNTIF(Y$6:Y$35,$AM39))</f>
      </c>
      <c r="Z39" s="41">
        <f>IF(OR($AM39="",Z$52=0),"",COUNTIF(Z$6:Z$35,$AM39))</f>
      </c>
      <c r="AA39" s="41">
        <f>IF(OR($AM39="",AA$52=0),"",COUNTIF(AA$6:AA$35,$AM39))</f>
      </c>
      <c r="AB39" s="41">
        <f>IF(OR($AM39="",AB$52=0),"",COUNTIF(AB$6:AB$35,$AM39))</f>
      </c>
      <c r="AC39" s="41">
        <f>IF(OR($AM39="",AC$52=0),"",COUNTIF(AC$6:AC$35,$AM39))</f>
      </c>
      <c r="AD39" s="41">
        <f>IF(OR($AM39="",AD$52=0),"",COUNTIF(AD$6:AD$35,$AM39))</f>
      </c>
      <c r="AE39" s="41">
        <f>IF(OR($AM39="",AE$52=0),"",COUNTIF(AE$6:AE$35,$AM39))</f>
      </c>
      <c r="AF39" s="41">
        <f>IF(OR($AM39="",AF$52=0),"",COUNTIF(AF$6:AF$35,$AM39))</f>
      </c>
      <c r="AG39" s="1"/>
      <c r="AH39" s="1"/>
      <c r="AI39" s="1"/>
      <c r="AJ39" s="1"/>
      <c r="AK39" s="1"/>
      <c r="AL39" s="1"/>
      <c r="AM39" s="1">
        <f>IFERROR(INDEX(Codes,MATCH(2,ArbeitNr,0)),"")</f>
      </c>
    </row>
    <row r="40" spans="1:39" x14ac:dyDescent="0.25">
      <c r="A40" s="40">
        <f>IFERROR(INDEX(Codes,MATCH(3,ArbeitNr,0))&amp;" "&amp;INDEX(Bezeichnungen,MATCH(3,ArbeitNr,0)),"")</f>
      </c>
      <c r="B40" s="41">
        <f>IF(OR($AM40="",B$52=0),"",COUNTIF(B$6:B$35,$AM40))</f>
      </c>
      <c r="C40" s="41">
        <f>IF(OR($AM40="",C$52=0),"",COUNTIF(C$6:C$35,$AM40))</f>
      </c>
      <c r="D40" s="41">
        <f>IF(OR($AM40="",D$52=0),"",COUNTIF(D$6:D$35,$AM40))</f>
      </c>
      <c r="E40" s="41">
        <f>IF(OR($AM40="",E$52=0),"",COUNTIF(E$6:E$35,$AM40))</f>
      </c>
      <c r="F40" s="41">
        <f>IF(OR($AM40="",F$52=0),"",COUNTIF(F$6:F$35,$AM40))</f>
      </c>
      <c r="G40" s="41">
        <f>IF(OR($AM40="",G$52=0),"",COUNTIF(G$6:G$35,$AM40))</f>
      </c>
      <c r="H40" s="41">
        <f>IF(OR($AM40="",H$52=0),"",COUNTIF(H$6:H$35,$AM40))</f>
      </c>
      <c r="I40" s="41">
        <f>IF(OR($AM40="",I$52=0),"",COUNTIF(I$6:I$35,$AM40))</f>
      </c>
      <c r="J40" s="41">
        <f>IF(OR($AM40="",J$52=0),"",COUNTIF(J$6:J$35,$AM40))</f>
      </c>
      <c r="K40" s="41">
        <f>IF(OR($AM40="",K$52=0),"",COUNTIF(K$6:K$35,$AM40))</f>
      </c>
      <c r="L40" s="41">
        <f>IF(OR($AM40="",L$52=0),"",COUNTIF(L$6:L$35,$AM40))</f>
      </c>
      <c r="M40" s="41">
        <f>IF(OR($AM40="",M$52=0),"",COUNTIF(M$6:M$35,$AM40))</f>
      </c>
      <c r="N40" s="41">
        <f>IF(OR($AM40="",N$52=0),"",COUNTIF(N$6:N$35,$AM40))</f>
      </c>
      <c r="O40" s="41">
        <f>IF(OR($AM40="",O$52=0),"",COUNTIF(O$6:O$35,$AM40))</f>
      </c>
      <c r="P40" s="41">
        <f>IF(OR($AM40="",P$52=0),"",COUNTIF(P$6:P$35,$AM40))</f>
      </c>
      <c r="Q40" s="41">
        <f>IF(OR($AM40="",Q$52=0),"",COUNTIF(Q$6:Q$35,$AM40))</f>
      </c>
      <c r="R40" s="41">
        <f>IF(OR($AM40="",R$52=0),"",COUNTIF(R$6:R$35,$AM40))</f>
      </c>
      <c r="S40" s="41">
        <f>IF(OR($AM40="",S$52=0),"",COUNTIF(S$6:S$35,$AM40))</f>
      </c>
      <c r="T40" s="41">
        <f>IF(OR($AM40="",T$52=0),"",COUNTIF(T$6:T$35,$AM40))</f>
      </c>
      <c r="U40" s="41">
        <f>IF(OR($AM40="",U$52=0),"",COUNTIF(U$6:U$35,$AM40))</f>
      </c>
      <c r="V40" s="41">
        <f>IF(OR($AM40="",V$52=0),"",COUNTIF(V$6:V$35,$AM40))</f>
      </c>
      <c r="W40" s="41">
        <f>IF(OR($AM40="",W$52=0),"",COUNTIF(W$6:W$35,$AM40))</f>
      </c>
      <c r="X40" s="41">
        <f>IF(OR($AM40="",X$52=0),"",COUNTIF(X$6:X$35,$AM40))</f>
      </c>
      <c r="Y40" s="41">
        <f>IF(OR($AM40="",Y$52=0),"",COUNTIF(Y$6:Y$35,$AM40))</f>
      </c>
      <c r="Z40" s="41">
        <f>IF(OR($AM40="",Z$52=0),"",COUNTIF(Z$6:Z$35,$AM40))</f>
      </c>
      <c r="AA40" s="41">
        <f>IF(OR($AM40="",AA$52=0),"",COUNTIF(AA$6:AA$35,$AM40))</f>
      </c>
      <c r="AB40" s="41">
        <f>IF(OR($AM40="",AB$52=0),"",COUNTIF(AB$6:AB$35,$AM40))</f>
      </c>
      <c r="AC40" s="41">
        <f>IF(OR($AM40="",AC$52=0),"",COUNTIF(AC$6:AC$35,$AM40))</f>
      </c>
      <c r="AD40" s="41">
        <f>IF(OR($AM40="",AD$52=0),"",COUNTIF(AD$6:AD$35,$AM40))</f>
      </c>
      <c r="AE40" s="41">
        <f>IF(OR($AM40="",AE$52=0),"",COUNTIF(AE$6:AE$35,$AM40))</f>
      </c>
      <c r="AF40" s="41">
        <f>IF(OR($AM40="",AF$52=0),"",COUNTIF(AF$6:AF$35,$AM40))</f>
      </c>
      <c r="AG40" s="1"/>
      <c r="AH40" s="1"/>
      <c r="AI40" s="1"/>
      <c r="AJ40" s="1"/>
      <c r="AK40" s="1"/>
      <c r="AL40" s="1"/>
      <c r="AM40" s="1">
        <f>IFERROR(INDEX(Codes,MATCH(3,ArbeitNr,0)),"")</f>
      </c>
    </row>
    <row r="41" spans="1:39" x14ac:dyDescent="0.25">
      <c r="A41" s="40">
        <f>IFERROR(INDEX(Codes,MATCH(4,ArbeitNr,0))&amp;" "&amp;INDEX(Bezeichnungen,MATCH(4,ArbeitNr,0)),"")</f>
      </c>
      <c r="B41" s="41">
        <f>IF(OR($AM41="",B$52=0),"",COUNTIF(B$6:B$35,$AM41))</f>
      </c>
      <c r="C41" s="41">
        <f>IF(OR($AM41="",C$52=0),"",COUNTIF(C$6:C$35,$AM41))</f>
      </c>
      <c r="D41" s="41">
        <f>IF(OR($AM41="",D$52=0),"",COUNTIF(D$6:D$35,$AM41))</f>
      </c>
      <c r="E41" s="41">
        <f>IF(OR($AM41="",E$52=0),"",COUNTIF(E$6:E$35,$AM41))</f>
      </c>
      <c r="F41" s="41">
        <f>IF(OR($AM41="",F$52=0),"",COUNTIF(F$6:F$35,$AM41))</f>
      </c>
      <c r="G41" s="41">
        <f>IF(OR($AM41="",G$52=0),"",COUNTIF(G$6:G$35,$AM41))</f>
      </c>
      <c r="H41" s="41">
        <f>IF(OR($AM41="",H$52=0),"",COUNTIF(H$6:H$35,$AM41))</f>
      </c>
      <c r="I41" s="41">
        <f>IF(OR($AM41="",I$52=0),"",COUNTIF(I$6:I$35,$AM41))</f>
      </c>
      <c r="J41" s="41">
        <f>IF(OR($AM41="",J$52=0),"",COUNTIF(J$6:J$35,$AM41))</f>
      </c>
      <c r="K41" s="41">
        <f>IF(OR($AM41="",K$52=0),"",COUNTIF(K$6:K$35,$AM41))</f>
      </c>
      <c r="L41" s="41">
        <f>IF(OR($AM41="",L$52=0),"",COUNTIF(L$6:L$35,$AM41))</f>
      </c>
      <c r="M41" s="41">
        <f>IF(OR($AM41="",M$52=0),"",COUNTIF(M$6:M$35,$AM41))</f>
      </c>
      <c r="N41" s="41">
        <f>IF(OR($AM41="",N$52=0),"",COUNTIF(N$6:N$35,$AM41))</f>
      </c>
      <c r="O41" s="41">
        <f>IF(OR($AM41="",O$52=0),"",COUNTIF(O$6:O$35,$AM41))</f>
      </c>
      <c r="P41" s="41">
        <f>IF(OR($AM41="",P$52=0),"",COUNTIF(P$6:P$35,$AM41))</f>
      </c>
      <c r="Q41" s="41">
        <f>IF(OR($AM41="",Q$52=0),"",COUNTIF(Q$6:Q$35,$AM41))</f>
      </c>
      <c r="R41" s="41">
        <f>IF(OR($AM41="",R$52=0),"",COUNTIF(R$6:R$35,$AM41))</f>
      </c>
      <c r="S41" s="41">
        <f>IF(OR($AM41="",S$52=0),"",COUNTIF(S$6:S$35,$AM41))</f>
      </c>
      <c r="T41" s="41">
        <f>IF(OR($AM41="",T$52=0),"",COUNTIF(T$6:T$35,$AM41))</f>
      </c>
      <c r="U41" s="41">
        <f>IF(OR($AM41="",U$52=0),"",COUNTIF(U$6:U$35,$AM41))</f>
      </c>
      <c r="V41" s="41">
        <f>IF(OR($AM41="",V$52=0),"",COUNTIF(V$6:V$35,$AM41))</f>
      </c>
      <c r="W41" s="41">
        <f>IF(OR($AM41="",W$52=0),"",COUNTIF(W$6:W$35,$AM41))</f>
      </c>
      <c r="X41" s="41">
        <f>IF(OR($AM41="",X$52=0),"",COUNTIF(X$6:X$35,$AM41))</f>
      </c>
      <c r="Y41" s="41">
        <f>IF(OR($AM41="",Y$52=0),"",COUNTIF(Y$6:Y$35,$AM41))</f>
      </c>
      <c r="Z41" s="41">
        <f>IF(OR($AM41="",Z$52=0),"",COUNTIF(Z$6:Z$35,$AM41))</f>
      </c>
      <c r="AA41" s="41">
        <f>IF(OR($AM41="",AA$52=0),"",COUNTIF(AA$6:AA$35,$AM41))</f>
      </c>
      <c r="AB41" s="41">
        <f>IF(OR($AM41="",AB$52=0),"",COUNTIF(AB$6:AB$35,$AM41))</f>
      </c>
      <c r="AC41" s="41">
        <f>IF(OR($AM41="",AC$52=0),"",COUNTIF(AC$6:AC$35,$AM41))</f>
      </c>
      <c r="AD41" s="41">
        <f>IF(OR($AM41="",AD$52=0),"",COUNTIF(AD$6:AD$35,$AM41))</f>
      </c>
      <c r="AE41" s="41">
        <f>IF(OR($AM41="",AE$52=0),"",COUNTIF(AE$6:AE$35,$AM41))</f>
      </c>
      <c r="AF41" s="41">
        <f>IF(OR($AM41="",AF$52=0),"",COUNTIF(AF$6:AF$35,$AM41))</f>
      </c>
      <c r="AG41" s="1"/>
      <c r="AH41" s="1"/>
      <c r="AI41" s="1"/>
      <c r="AJ41" s="1"/>
      <c r="AK41" s="1"/>
      <c r="AL41" s="1"/>
      <c r="AM41" s="1">
        <f>IFERROR(INDEX(Codes,MATCH(4,ArbeitNr,0)),"")</f>
      </c>
    </row>
    <row r="42" spans="1:39" x14ac:dyDescent="0.25">
      <c r="A42" s="40">
        <f>IFERROR(INDEX(Codes,MATCH(5,ArbeitNr,0))&amp;" "&amp;INDEX(Bezeichnungen,MATCH(5,ArbeitNr,0)),"")</f>
      </c>
      <c r="B42" s="41">
        <f>IF(OR($AM42="",B$52=0),"",COUNTIF(B$6:B$35,$AM42))</f>
      </c>
      <c r="C42" s="41">
        <f>IF(OR($AM42="",C$52=0),"",COUNTIF(C$6:C$35,$AM42))</f>
      </c>
      <c r="D42" s="41">
        <f>IF(OR($AM42="",D$52=0),"",COUNTIF(D$6:D$35,$AM42))</f>
      </c>
      <c r="E42" s="41">
        <f>IF(OR($AM42="",E$52=0),"",COUNTIF(E$6:E$35,$AM42))</f>
      </c>
      <c r="F42" s="41">
        <f>IF(OR($AM42="",F$52=0),"",COUNTIF(F$6:F$35,$AM42))</f>
      </c>
      <c r="G42" s="41">
        <f>IF(OR($AM42="",G$52=0),"",COUNTIF(G$6:G$35,$AM42))</f>
      </c>
      <c r="H42" s="41">
        <f>IF(OR($AM42="",H$52=0),"",COUNTIF(H$6:H$35,$AM42))</f>
      </c>
      <c r="I42" s="41">
        <f>IF(OR($AM42="",I$52=0),"",COUNTIF(I$6:I$35,$AM42))</f>
      </c>
      <c r="J42" s="41">
        <f>IF(OR($AM42="",J$52=0),"",COUNTIF(J$6:J$35,$AM42))</f>
      </c>
      <c r="K42" s="41">
        <f>IF(OR($AM42="",K$52=0),"",COUNTIF(K$6:K$35,$AM42))</f>
      </c>
      <c r="L42" s="41">
        <f>IF(OR($AM42="",L$52=0),"",COUNTIF(L$6:L$35,$AM42))</f>
      </c>
      <c r="M42" s="41">
        <f>IF(OR($AM42="",M$52=0),"",COUNTIF(M$6:M$35,$AM42))</f>
      </c>
      <c r="N42" s="41">
        <f>IF(OR($AM42="",N$52=0),"",COUNTIF(N$6:N$35,$AM42))</f>
      </c>
      <c r="O42" s="41">
        <f>IF(OR($AM42="",O$52=0),"",COUNTIF(O$6:O$35,$AM42))</f>
      </c>
      <c r="P42" s="41">
        <f>IF(OR($AM42="",P$52=0),"",COUNTIF(P$6:P$35,$AM42))</f>
      </c>
      <c r="Q42" s="41">
        <f>IF(OR($AM42="",Q$52=0),"",COUNTIF(Q$6:Q$35,$AM42))</f>
      </c>
      <c r="R42" s="41">
        <f>IF(OR($AM42="",R$52=0),"",COUNTIF(R$6:R$35,$AM42))</f>
      </c>
      <c r="S42" s="41">
        <f>IF(OR($AM42="",S$52=0),"",COUNTIF(S$6:S$35,$AM42))</f>
      </c>
      <c r="T42" s="41">
        <f>IF(OR($AM42="",T$52=0),"",COUNTIF(T$6:T$35,$AM42))</f>
      </c>
      <c r="U42" s="41">
        <f>IF(OR($AM42="",U$52=0),"",COUNTIF(U$6:U$35,$AM42))</f>
      </c>
      <c r="V42" s="41">
        <f>IF(OR($AM42="",V$52=0),"",COUNTIF(V$6:V$35,$AM42))</f>
      </c>
      <c r="W42" s="41">
        <f>IF(OR($AM42="",W$52=0),"",COUNTIF(W$6:W$35,$AM42))</f>
      </c>
      <c r="X42" s="41">
        <f>IF(OR($AM42="",X$52=0),"",COUNTIF(X$6:X$35,$AM42))</f>
      </c>
      <c r="Y42" s="41">
        <f>IF(OR($AM42="",Y$52=0),"",COUNTIF(Y$6:Y$35,$AM42))</f>
      </c>
      <c r="Z42" s="41">
        <f>IF(OR($AM42="",Z$52=0),"",COUNTIF(Z$6:Z$35,$AM42))</f>
      </c>
      <c r="AA42" s="41">
        <f>IF(OR($AM42="",AA$52=0),"",COUNTIF(AA$6:AA$35,$AM42))</f>
      </c>
      <c r="AB42" s="41">
        <f>IF(OR($AM42="",AB$52=0),"",COUNTIF(AB$6:AB$35,$AM42))</f>
      </c>
      <c r="AC42" s="41">
        <f>IF(OR($AM42="",AC$52=0),"",COUNTIF(AC$6:AC$35,$AM42))</f>
      </c>
      <c r="AD42" s="41">
        <f>IF(OR($AM42="",AD$52=0),"",COUNTIF(AD$6:AD$35,$AM42))</f>
      </c>
      <c r="AE42" s="41">
        <f>IF(OR($AM42="",AE$52=0),"",COUNTIF(AE$6:AE$35,$AM42))</f>
      </c>
      <c r="AF42" s="41">
        <f>IF(OR($AM42="",AF$52=0),"",COUNTIF(AF$6:AF$35,$AM42))</f>
      </c>
      <c r="AG42" s="1"/>
      <c r="AH42" s="1"/>
      <c r="AI42" s="1"/>
      <c r="AJ42" s="1"/>
      <c r="AK42" s="1"/>
      <c r="AL42" s="1"/>
      <c r="AM42" s="1">
        <f>IFERROR(INDEX(Codes,MATCH(5,ArbeitNr,0)),"")</f>
      </c>
    </row>
    <row r="43" spans="1:39" x14ac:dyDescent="0.25">
      <c r="A43" s="40">
        <f>IFERROR(INDEX(Codes,MATCH(6,ArbeitNr,0))&amp;" "&amp;INDEX(Bezeichnungen,MATCH(6,ArbeitNr,0)),"")</f>
      </c>
      <c r="B43" s="41">
        <f>IF(OR($AM43="",B$52=0),"",COUNTIF(B$6:B$35,$AM43))</f>
      </c>
      <c r="C43" s="41">
        <f>IF(OR($AM43="",C$52=0),"",COUNTIF(C$6:C$35,$AM43))</f>
      </c>
      <c r="D43" s="41">
        <f>IF(OR($AM43="",D$52=0),"",COUNTIF(D$6:D$35,$AM43))</f>
      </c>
      <c r="E43" s="41">
        <f>IF(OR($AM43="",E$52=0),"",COUNTIF(E$6:E$35,$AM43))</f>
      </c>
      <c r="F43" s="41">
        <f>IF(OR($AM43="",F$52=0),"",COUNTIF(F$6:F$35,$AM43))</f>
      </c>
      <c r="G43" s="41">
        <f>IF(OR($AM43="",G$52=0),"",COUNTIF(G$6:G$35,$AM43))</f>
      </c>
      <c r="H43" s="41">
        <f>IF(OR($AM43="",H$52=0),"",COUNTIF(H$6:H$35,$AM43))</f>
      </c>
      <c r="I43" s="41">
        <f>IF(OR($AM43="",I$52=0),"",COUNTIF(I$6:I$35,$AM43))</f>
      </c>
      <c r="J43" s="41">
        <f>IF(OR($AM43="",J$52=0),"",COUNTIF(J$6:J$35,$AM43))</f>
      </c>
      <c r="K43" s="41">
        <f>IF(OR($AM43="",K$52=0),"",COUNTIF(K$6:K$35,$AM43))</f>
      </c>
      <c r="L43" s="41">
        <f>IF(OR($AM43="",L$52=0),"",COUNTIF(L$6:L$35,$AM43))</f>
      </c>
      <c r="M43" s="41">
        <f>IF(OR($AM43="",M$52=0),"",COUNTIF(M$6:M$35,$AM43))</f>
      </c>
      <c r="N43" s="41">
        <f>IF(OR($AM43="",N$52=0),"",COUNTIF(N$6:N$35,$AM43))</f>
      </c>
      <c r="O43" s="41">
        <f>IF(OR($AM43="",O$52=0),"",COUNTIF(O$6:O$35,$AM43))</f>
      </c>
      <c r="P43" s="41">
        <f>IF(OR($AM43="",P$52=0),"",COUNTIF(P$6:P$35,$AM43))</f>
      </c>
      <c r="Q43" s="41">
        <f>IF(OR($AM43="",Q$52=0),"",COUNTIF(Q$6:Q$35,$AM43))</f>
      </c>
      <c r="R43" s="41">
        <f>IF(OR($AM43="",R$52=0),"",COUNTIF(R$6:R$35,$AM43))</f>
      </c>
      <c r="S43" s="41">
        <f>IF(OR($AM43="",S$52=0),"",COUNTIF(S$6:S$35,$AM43))</f>
      </c>
      <c r="T43" s="41">
        <f>IF(OR($AM43="",T$52=0),"",COUNTIF(T$6:T$35,$AM43))</f>
      </c>
      <c r="U43" s="41">
        <f>IF(OR($AM43="",U$52=0),"",COUNTIF(U$6:U$35,$AM43))</f>
      </c>
      <c r="V43" s="41">
        <f>IF(OR($AM43="",V$52=0),"",COUNTIF(V$6:V$35,$AM43))</f>
      </c>
      <c r="W43" s="41">
        <f>IF(OR($AM43="",W$52=0),"",COUNTIF(W$6:W$35,$AM43))</f>
      </c>
      <c r="X43" s="41">
        <f>IF(OR($AM43="",X$52=0),"",COUNTIF(X$6:X$35,$AM43))</f>
      </c>
      <c r="Y43" s="41">
        <f>IF(OR($AM43="",Y$52=0),"",COUNTIF(Y$6:Y$35,$AM43))</f>
      </c>
      <c r="Z43" s="41">
        <f>IF(OR($AM43="",Z$52=0),"",COUNTIF(Z$6:Z$35,$AM43))</f>
      </c>
      <c r="AA43" s="41">
        <f>IF(OR($AM43="",AA$52=0),"",COUNTIF(AA$6:AA$35,$AM43))</f>
      </c>
      <c r="AB43" s="41">
        <f>IF(OR($AM43="",AB$52=0),"",COUNTIF(AB$6:AB$35,$AM43))</f>
      </c>
      <c r="AC43" s="41">
        <f>IF(OR($AM43="",AC$52=0),"",COUNTIF(AC$6:AC$35,$AM43))</f>
      </c>
      <c r="AD43" s="41">
        <f>IF(OR($AM43="",AD$52=0),"",COUNTIF(AD$6:AD$35,$AM43))</f>
      </c>
      <c r="AE43" s="41">
        <f>IF(OR($AM43="",AE$52=0),"",COUNTIF(AE$6:AE$35,$AM43))</f>
      </c>
      <c r="AF43" s="41">
        <f>IF(OR($AM43="",AF$52=0),"",COUNTIF(AF$6:AF$35,$AM43))</f>
      </c>
      <c r="AG43" s="1"/>
      <c r="AH43" s="1"/>
      <c r="AI43" s="1"/>
      <c r="AJ43" s="1"/>
      <c r="AK43" s="1"/>
      <c r="AL43" s="1"/>
      <c r="AM43" s="1">
        <f>IFERROR(INDEX(Codes,MATCH(6,ArbeitNr,0)),"")</f>
      </c>
    </row>
    <row r="44" spans="1:39" x14ac:dyDescent="0.25">
      <c r="A44" s="40">
        <f>IFERROR(INDEX(Codes,MATCH(7,ArbeitNr,0))&amp;" "&amp;INDEX(Bezeichnungen,MATCH(7,ArbeitNr,0)),"")</f>
      </c>
      <c r="B44" s="41">
        <f>IF(OR($AM44="",B$52=0),"",COUNTIF(B$6:B$35,$AM44))</f>
      </c>
      <c r="C44" s="41">
        <f>IF(OR($AM44="",C$52=0),"",COUNTIF(C$6:C$35,$AM44))</f>
      </c>
      <c r="D44" s="41">
        <f>IF(OR($AM44="",D$52=0),"",COUNTIF(D$6:D$35,$AM44))</f>
      </c>
      <c r="E44" s="41">
        <f>IF(OR($AM44="",E$52=0),"",COUNTIF(E$6:E$35,$AM44))</f>
      </c>
      <c r="F44" s="41">
        <f>IF(OR($AM44="",F$52=0),"",COUNTIF(F$6:F$35,$AM44))</f>
      </c>
      <c r="G44" s="41">
        <f>IF(OR($AM44="",G$52=0),"",COUNTIF(G$6:G$35,$AM44))</f>
      </c>
      <c r="H44" s="41">
        <f>IF(OR($AM44="",H$52=0),"",COUNTIF(H$6:H$35,$AM44))</f>
      </c>
      <c r="I44" s="41">
        <f>IF(OR($AM44="",I$52=0),"",COUNTIF(I$6:I$35,$AM44))</f>
      </c>
      <c r="J44" s="41">
        <f>IF(OR($AM44="",J$52=0),"",COUNTIF(J$6:J$35,$AM44))</f>
      </c>
      <c r="K44" s="41">
        <f>IF(OR($AM44="",K$52=0),"",COUNTIF(K$6:K$35,$AM44))</f>
      </c>
      <c r="L44" s="41">
        <f>IF(OR($AM44="",L$52=0),"",COUNTIF(L$6:L$35,$AM44))</f>
      </c>
      <c r="M44" s="41">
        <f>IF(OR($AM44="",M$52=0),"",COUNTIF(M$6:M$35,$AM44))</f>
      </c>
      <c r="N44" s="41">
        <f>IF(OR($AM44="",N$52=0),"",COUNTIF(N$6:N$35,$AM44))</f>
      </c>
      <c r="O44" s="41">
        <f>IF(OR($AM44="",O$52=0),"",COUNTIF(O$6:O$35,$AM44))</f>
      </c>
      <c r="P44" s="41">
        <f>IF(OR($AM44="",P$52=0),"",COUNTIF(P$6:P$35,$AM44))</f>
      </c>
      <c r="Q44" s="41">
        <f>IF(OR($AM44="",Q$52=0),"",COUNTIF(Q$6:Q$35,$AM44))</f>
      </c>
      <c r="R44" s="41">
        <f>IF(OR($AM44="",R$52=0),"",COUNTIF(R$6:R$35,$AM44))</f>
      </c>
      <c r="S44" s="41">
        <f>IF(OR($AM44="",S$52=0),"",COUNTIF(S$6:S$35,$AM44))</f>
      </c>
      <c r="T44" s="41">
        <f>IF(OR($AM44="",T$52=0),"",COUNTIF(T$6:T$35,$AM44))</f>
      </c>
      <c r="U44" s="41">
        <f>IF(OR($AM44="",U$52=0),"",COUNTIF(U$6:U$35,$AM44))</f>
      </c>
      <c r="V44" s="41">
        <f>IF(OR($AM44="",V$52=0),"",COUNTIF(V$6:V$35,$AM44))</f>
      </c>
      <c r="W44" s="41">
        <f>IF(OR($AM44="",W$52=0),"",COUNTIF(W$6:W$35,$AM44))</f>
      </c>
      <c r="X44" s="41">
        <f>IF(OR($AM44="",X$52=0),"",COUNTIF(X$6:X$35,$AM44))</f>
      </c>
      <c r="Y44" s="41">
        <f>IF(OR($AM44="",Y$52=0),"",COUNTIF(Y$6:Y$35,$AM44))</f>
      </c>
      <c r="Z44" s="41">
        <f>IF(OR($AM44="",Z$52=0),"",COUNTIF(Z$6:Z$35,$AM44))</f>
      </c>
      <c r="AA44" s="41">
        <f>IF(OR($AM44="",AA$52=0),"",COUNTIF(AA$6:AA$35,$AM44))</f>
      </c>
      <c r="AB44" s="41">
        <f>IF(OR($AM44="",AB$52=0),"",COUNTIF(AB$6:AB$35,$AM44))</f>
      </c>
      <c r="AC44" s="41">
        <f>IF(OR($AM44="",AC$52=0),"",COUNTIF(AC$6:AC$35,$AM44))</f>
      </c>
      <c r="AD44" s="41">
        <f>IF(OR($AM44="",AD$52=0),"",COUNTIF(AD$6:AD$35,$AM44))</f>
      </c>
      <c r="AE44" s="41">
        <f>IF(OR($AM44="",AE$52=0),"",COUNTIF(AE$6:AE$35,$AM44))</f>
      </c>
      <c r="AF44" s="41">
        <f>IF(OR($AM44="",AF$52=0),"",COUNTIF(AF$6:AF$35,$AM44))</f>
      </c>
      <c r="AG44" s="1"/>
      <c r="AH44" s="1"/>
      <c r="AI44" s="1"/>
      <c r="AJ44" s="1"/>
      <c r="AK44" s="1"/>
      <c r="AL44" s="1"/>
      <c r="AM44" s="1">
        <f>IFERROR(INDEX(Codes,MATCH(7,ArbeitNr,0)),"")</f>
      </c>
    </row>
    <row r="45" spans="1:39" x14ac:dyDescent="0.25">
      <c r="A45" s="40">
        <f>IFERROR(INDEX(Codes,MATCH(8,ArbeitNr,0))&amp;" "&amp;INDEX(Bezeichnungen,MATCH(8,ArbeitNr,0)),"")</f>
      </c>
      <c r="B45" s="41">
        <f>IF(OR($AM45="",B$52=0),"",COUNTIF(B$6:B$35,$AM45))</f>
      </c>
      <c r="C45" s="41">
        <f>IF(OR($AM45="",C$52=0),"",COUNTIF(C$6:C$35,$AM45))</f>
      </c>
      <c r="D45" s="41">
        <f>IF(OR($AM45="",D$52=0),"",COUNTIF(D$6:D$35,$AM45))</f>
      </c>
      <c r="E45" s="41">
        <f>IF(OR($AM45="",E$52=0),"",COUNTIF(E$6:E$35,$AM45))</f>
      </c>
      <c r="F45" s="41">
        <f>IF(OR($AM45="",F$52=0),"",COUNTIF(F$6:F$35,$AM45))</f>
      </c>
      <c r="G45" s="41">
        <f>IF(OR($AM45="",G$52=0),"",COUNTIF(G$6:G$35,$AM45))</f>
      </c>
      <c r="H45" s="41">
        <f>IF(OR($AM45="",H$52=0),"",COUNTIF(H$6:H$35,$AM45))</f>
      </c>
      <c r="I45" s="41">
        <f>IF(OR($AM45="",I$52=0),"",COUNTIF(I$6:I$35,$AM45))</f>
      </c>
      <c r="J45" s="41">
        <f>IF(OR($AM45="",J$52=0),"",COUNTIF(J$6:J$35,$AM45))</f>
      </c>
      <c r="K45" s="41">
        <f>IF(OR($AM45="",K$52=0),"",COUNTIF(K$6:K$35,$AM45))</f>
      </c>
      <c r="L45" s="41">
        <f>IF(OR($AM45="",L$52=0),"",COUNTIF(L$6:L$35,$AM45))</f>
      </c>
      <c r="M45" s="41">
        <f>IF(OR($AM45="",M$52=0),"",COUNTIF(M$6:M$35,$AM45))</f>
      </c>
      <c r="N45" s="41">
        <f>IF(OR($AM45="",N$52=0),"",COUNTIF(N$6:N$35,$AM45))</f>
      </c>
      <c r="O45" s="41">
        <f>IF(OR($AM45="",O$52=0),"",COUNTIF(O$6:O$35,$AM45))</f>
      </c>
      <c r="P45" s="41">
        <f>IF(OR($AM45="",P$52=0),"",COUNTIF(P$6:P$35,$AM45))</f>
      </c>
      <c r="Q45" s="41">
        <f>IF(OR($AM45="",Q$52=0),"",COUNTIF(Q$6:Q$35,$AM45))</f>
      </c>
      <c r="R45" s="41">
        <f>IF(OR($AM45="",R$52=0),"",COUNTIF(R$6:R$35,$AM45))</f>
      </c>
      <c r="S45" s="41">
        <f>IF(OR($AM45="",S$52=0),"",COUNTIF(S$6:S$35,$AM45))</f>
      </c>
      <c r="T45" s="41">
        <f>IF(OR($AM45="",T$52=0),"",COUNTIF(T$6:T$35,$AM45))</f>
      </c>
      <c r="U45" s="41">
        <f>IF(OR($AM45="",U$52=0),"",COUNTIF(U$6:U$35,$AM45))</f>
      </c>
      <c r="V45" s="41">
        <f>IF(OR($AM45="",V$52=0),"",COUNTIF(V$6:V$35,$AM45))</f>
      </c>
      <c r="W45" s="41">
        <f>IF(OR($AM45="",W$52=0),"",COUNTIF(W$6:W$35,$AM45))</f>
      </c>
      <c r="X45" s="41">
        <f>IF(OR($AM45="",X$52=0),"",COUNTIF(X$6:X$35,$AM45))</f>
      </c>
      <c r="Y45" s="41">
        <f>IF(OR($AM45="",Y$52=0),"",COUNTIF(Y$6:Y$35,$AM45))</f>
      </c>
      <c r="Z45" s="41">
        <f>IF(OR($AM45="",Z$52=0),"",COUNTIF(Z$6:Z$35,$AM45))</f>
      </c>
      <c r="AA45" s="41">
        <f>IF(OR($AM45="",AA$52=0),"",COUNTIF(AA$6:AA$35,$AM45))</f>
      </c>
      <c r="AB45" s="41">
        <f>IF(OR($AM45="",AB$52=0),"",COUNTIF(AB$6:AB$35,$AM45))</f>
      </c>
      <c r="AC45" s="41">
        <f>IF(OR($AM45="",AC$52=0),"",COUNTIF(AC$6:AC$35,$AM45))</f>
      </c>
      <c r="AD45" s="41">
        <f>IF(OR($AM45="",AD$52=0),"",COUNTIF(AD$6:AD$35,$AM45))</f>
      </c>
      <c r="AE45" s="41">
        <f>IF(OR($AM45="",AE$52=0),"",COUNTIF(AE$6:AE$35,$AM45))</f>
      </c>
      <c r="AF45" s="41">
        <f>IF(OR($AM45="",AF$52=0),"",COUNTIF(AF$6:AF$35,$AM45))</f>
      </c>
      <c r="AG45" s="1"/>
      <c r="AH45" s="1"/>
      <c r="AI45" s="1"/>
      <c r="AJ45" s="1"/>
      <c r="AK45" s="1"/>
      <c r="AL45" s="1"/>
      <c r="AM45" s="1">
        <f>IFERROR(INDEX(Codes,MATCH(8,ArbeitNr,0)),"")</f>
      </c>
    </row>
    <row r="46" ht="22" customHeight="1" spans="1:32" x14ac:dyDescent="0.25">
      <c r="A46" s="42" t="s">
        <v>64</v>
      </c>
      <c r="B46" s="43">
        <f>TRIM(IF(AND(B38&lt;&gt;"",N(B38)&lt;N(B86)),$AM38&amp;" ","")&amp;IF(AND(B39&lt;&gt;"",N(B39)&lt;N(B87)),$AM39&amp;" ","")&amp;IF(AND(B40&lt;&gt;"",N(B40)&lt;N(B88)),$AM40&amp;" ","")&amp;IF(AND(B41&lt;&gt;"",N(B41)&lt;N(B89)),$AM41&amp;" ","")&amp;IF(AND(B42&lt;&gt;"",N(B42)&lt;N(B90)),$AM42&amp;" ","")&amp;IF(AND(B43&lt;&gt;"",N(B43)&lt;N(B91)),$AM43&amp;" ","")&amp;IF(AND(B44&lt;&gt;"",N(B44)&lt;N(B92)),$AM44&amp;" ","")&amp;IF(AND(B45&lt;&gt;"",N(B45)&lt;N(B93)),$AM45&amp;" ",""))</f>
      </c>
      <c r="C46" s="43">
        <f>TRIM(IF(AND(C38&lt;&gt;"",N(C38)&lt;N(C86)),$AM38&amp;" ","")&amp;IF(AND(C39&lt;&gt;"",N(C39)&lt;N(C87)),$AM39&amp;" ","")&amp;IF(AND(C40&lt;&gt;"",N(C40)&lt;N(C88)),$AM40&amp;" ","")&amp;IF(AND(C41&lt;&gt;"",N(C41)&lt;N(C89)),$AM41&amp;" ","")&amp;IF(AND(C42&lt;&gt;"",N(C42)&lt;N(C90)),$AM42&amp;" ","")&amp;IF(AND(C43&lt;&gt;"",N(C43)&lt;N(C91)),$AM43&amp;" ","")&amp;IF(AND(C44&lt;&gt;"",N(C44)&lt;N(C92)),$AM44&amp;" ","")&amp;IF(AND(C45&lt;&gt;"",N(C45)&lt;N(C93)),$AM45&amp;" ",""))</f>
      </c>
      <c r="D46" s="43">
        <f>TRIM(IF(AND(D38&lt;&gt;"",N(D38)&lt;N(D86)),$AM38&amp;" ","")&amp;IF(AND(D39&lt;&gt;"",N(D39)&lt;N(D87)),$AM39&amp;" ","")&amp;IF(AND(D40&lt;&gt;"",N(D40)&lt;N(D88)),$AM40&amp;" ","")&amp;IF(AND(D41&lt;&gt;"",N(D41)&lt;N(D89)),$AM41&amp;" ","")&amp;IF(AND(D42&lt;&gt;"",N(D42)&lt;N(D90)),$AM42&amp;" ","")&amp;IF(AND(D43&lt;&gt;"",N(D43)&lt;N(D91)),$AM43&amp;" ","")&amp;IF(AND(D44&lt;&gt;"",N(D44)&lt;N(D92)),$AM44&amp;" ","")&amp;IF(AND(D45&lt;&gt;"",N(D45)&lt;N(D93)),$AM45&amp;" ",""))</f>
      </c>
      <c r="E46" s="43">
        <f>TRIM(IF(AND(E38&lt;&gt;"",N(E38)&lt;N(E86)),$AM38&amp;" ","")&amp;IF(AND(E39&lt;&gt;"",N(E39)&lt;N(E87)),$AM39&amp;" ","")&amp;IF(AND(E40&lt;&gt;"",N(E40)&lt;N(E88)),$AM40&amp;" ","")&amp;IF(AND(E41&lt;&gt;"",N(E41)&lt;N(E89)),$AM41&amp;" ","")&amp;IF(AND(E42&lt;&gt;"",N(E42)&lt;N(E90)),$AM42&amp;" ","")&amp;IF(AND(E43&lt;&gt;"",N(E43)&lt;N(E91)),$AM43&amp;" ","")&amp;IF(AND(E44&lt;&gt;"",N(E44)&lt;N(E92)),$AM44&amp;" ","")&amp;IF(AND(E45&lt;&gt;"",N(E45)&lt;N(E93)),$AM45&amp;" ",""))</f>
      </c>
      <c r="F46" s="43">
        <f>TRIM(IF(AND(F38&lt;&gt;"",N(F38)&lt;N(F86)),$AM38&amp;" ","")&amp;IF(AND(F39&lt;&gt;"",N(F39)&lt;N(F87)),$AM39&amp;" ","")&amp;IF(AND(F40&lt;&gt;"",N(F40)&lt;N(F88)),$AM40&amp;" ","")&amp;IF(AND(F41&lt;&gt;"",N(F41)&lt;N(F89)),$AM41&amp;" ","")&amp;IF(AND(F42&lt;&gt;"",N(F42)&lt;N(F90)),$AM42&amp;" ","")&amp;IF(AND(F43&lt;&gt;"",N(F43)&lt;N(F91)),$AM43&amp;" ","")&amp;IF(AND(F44&lt;&gt;"",N(F44)&lt;N(F92)),$AM44&amp;" ","")&amp;IF(AND(F45&lt;&gt;"",N(F45)&lt;N(F93)),$AM45&amp;" ",""))</f>
      </c>
      <c r="G46" s="43">
        <f>TRIM(IF(AND(G38&lt;&gt;"",N(G38)&lt;N(G86)),$AM38&amp;" ","")&amp;IF(AND(G39&lt;&gt;"",N(G39)&lt;N(G87)),$AM39&amp;" ","")&amp;IF(AND(G40&lt;&gt;"",N(G40)&lt;N(G88)),$AM40&amp;" ","")&amp;IF(AND(G41&lt;&gt;"",N(G41)&lt;N(G89)),$AM41&amp;" ","")&amp;IF(AND(G42&lt;&gt;"",N(G42)&lt;N(G90)),$AM42&amp;" ","")&amp;IF(AND(G43&lt;&gt;"",N(G43)&lt;N(G91)),$AM43&amp;" ","")&amp;IF(AND(G44&lt;&gt;"",N(G44)&lt;N(G92)),$AM44&amp;" ","")&amp;IF(AND(G45&lt;&gt;"",N(G45)&lt;N(G93)),$AM45&amp;" ",""))</f>
      </c>
      <c r="H46" s="43">
        <f>TRIM(IF(AND(H38&lt;&gt;"",N(H38)&lt;N(H86)),$AM38&amp;" ","")&amp;IF(AND(H39&lt;&gt;"",N(H39)&lt;N(H87)),$AM39&amp;" ","")&amp;IF(AND(H40&lt;&gt;"",N(H40)&lt;N(H88)),$AM40&amp;" ","")&amp;IF(AND(H41&lt;&gt;"",N(H41)&lt;N(H89)),$AM41&amp;" ","")&amp;IF(AND(H42&lt;&gt;"",N(H42)&lt;N(H90)),$AM42&amp;" ","")&amp;IF(AND(H43&lt;&gt;"",N(H43)&lt;N(H91)),$AM43&amp;" ","")&amp;IF(AND(H44&lt;&gt;"",N(H44)&lt;N(H92)),$AM44&amp;" ","")&amp;IF(AND(H45&lt;&gt;"",N(H45)&lt;N(H93)),$AM45&amp;" ",""))</f>
      </c>
      <c r="I46" s="43">
        <f>TRIM(IF(AND(I38&lt;&gt;"",N(I38)&lt;N(I86)),$AM38&amp;" ","")&amp;IF(AND(I39&lt;&gt;"",N(I39)&lt;N(I87)),$AM39&amp;" ","")&amp;IF(AND(I40&lt;&gt;"",N(I40)&lt;N(I88)),$AM40&amp;" ","")&amp;IF(AND(I41&lt;&gt;"",N(I41)&lt;N(I89)),$AM41&amp;" ","")&amp;IF(AND(I42&lt;&gt;"",N(I42)&lt;N(I90)),$AM42&amp;" ","")&amp;IF(AND(I43&lt;&gt;"",N(I43)&lt;N(I91)),$AM43&amp;" ","")&amp;IF(AND(I44&lt;&gt;"",N(I44)&lt;N(I92)),$AM44&amp;" ","")&amp;IF(AND(I45&lt;&gt;"",N(I45)&lt;N(I93)),$AM45&amp;" ",""))</f>
      </c>
      <c r="J46" s="43">
        <f>TRIM(IF(AND(J38&lt;&gt;"",N(J38)&lt;N(J86)),$AM38&amp;" ","")&amp;IF(AND(J39&lt;&gt;"",N(J39)&lt;N(J87)),$AM39&amp;" ","")&amp;IF(AND(J40&lt;&gt;"",N(J40)&lt;N(J88)),$AM40&amp;" ","")&amp;IF(AND(J41&lt;&gt;"",N(J41)&lt;N(J89)),$AM41&amp;" ","")&amp;IF(AND(J42&lt;&gt;"",N(J42)&lt;N(J90)),$AM42&amp;" ","")&amp;IF(AND(J43&lt;&gt;"",N(J43)&lt;N(J91)),$AM43&amp;" ","")&amp;IF(AND(J44&lt;&gt;"",N(J44)&lt;N(J92)),$AM44&amp;" ","")&amp;IF(AND(J45&lt;&gt;"",N(J45)&lt;N(J93)),$AM45&amp;" ",""))</f>
      </c>
      <c r="K46" s="43">
        <f>TRIM(IF(AND(K38&lt;&gt;"",N(K38)&lt;N(K86)),$AM38&amp;" ","")&amp;IF(AND(K39&lt;&gt;"",N(K39)&lt;N(K87)),$AM39&amp;" ","")&amp;IF(AND(K40&lt;&gt;"",N(K40)&lt;N(K88)),$AM40&amp;" ","")&amp;IF(AND(K41&lt;&gt;"",N(K41)&lt;N(K89)),$AM41&amp;" ","")&amp;IF(AND(K42&lt;&gt;"",N(K42)&lt;N(K90)),$AM42&amp;" ","")&amp;IF(AND(K43&lt;&gt;"",N(K43)&lt;N(K91)),$AM43&amp;" ","")&amp;IF(AND(K44&lt;&gt;"",N(K44)&lt;N(K92)),$AM44&amp;" ","")&amp;IF(AND(K45&lt;&gt;"",N(K45)&lt;N(K93)),$AM45&amp;" ",""))</f>
      </c>
      <c r="L46" s="43">
        <f>TRIM(IF(AND(L38&lt;&gt;"",N(L38)&lt;N(L86)),$AM38&amp;" ","")&amp;IF(AND(L39&lt;&gt;"",N(L39)&lt;N(L87)),$AM39&amp;" ","")&amp;IF(AND(L40&lt;&gt;"",N(L40)&lt;N(L88)),$AM40&amp;" ","")&amp;IF(AND(L41&lt;&gt;"",N(L41)&lt;N(L89)),$AM41&amp;" ","")&amp;IF(AND(L42&lt;&gt;"",N(L42)&lt;N(L90)),$AM42&amp;" ","")&amp;IF(AND(L43&lt;&gt;"",N(L43)&lt;N(L91)),$AM43&amp;" ","")&amp;IF(AND(L44&lt;&gt;"",N(L44)&lt;N(L92)),$AM44&amp;" ","")&amp;IF(AND(L45&lt;&gt;"",N(L45)&lt;N(L93)),$AM45&amp;" ",""))</f>
      </c>
      <c r="M46" s="43">
        <f>TRIM(IF(AND(M38&lt;&gt;"",N(M38)&lt;N(M86)),$AM38&amp;" ","")&amp;IF(AND(M39&lt;&gt;"",N(M39)&lt;N(M87)),$AM39&amp;" ","")&amp;IF(AND(M40&lt;&gt;"",N(M40)&lt;N(M88)),$AM40&amp;" ","")&amp;IF(AND(M41&lt;&gt;"",N(M41)&lt;N(M89)),$AM41&amp;" ","")&amp;IF(AND(M42&lt;&gt;"",N(M42)&lt;N(M90)),$AM42&amp;" ","")&amp;IF(AND(M43&lt;&gt;"",N(M43)&lt;N(M91)),$AM43&amp;" ","")&amp;IF(AND(M44&lt;&gt;"",N(M44)&lt;N(M92)),$AM44&amp;" ","")&amp;IF(AND(M45&lt;&gt;"",N(M45)&lt;N(M93)),$AM45&amp;" ",""))</f>
      </c>
      <c r="N46" s="43">
        <f>TRIM(IF(AND(N38&lt;&gt;"",N(N38)&lt;N(N86)),$AM38&amp;" ","")&amp;IF(AND(N39&lt;&gt;"",N(N39)&lt;N(N87)),$AM39&amp;" ","")&amp;IF(AND(N40&lt;&gt;"",N(N40)&lt;N(N88)),$AM40&amp;" ","")&amp;IF(AND(N41&lt;&gt;"",N(N41)&lt;N(N89)),$AM41&amp;" ","")&amp;IF(AND(N42&lt;&gt;"",N(N42)&lt;N(N90)),$AM42&amp;" ","")&amp;IF(AND(N43&lt;&gt;"",N(N43)&lt;N(N91)),$AM43&amp;" ","")&amp;IF(AND(N44&lt;&gt;"",N(N44)&lt;N(N92)),$AM44&amp;" ","")&amp;IF(AND(N45&lt;&gt;"",N(N45)&lt;N(N93)),$AM45&amp;" ",""))</f>
      </c>
      <c r="O46" s="43">
        <f>TRIM(IF(AND(O38&lt;&gt;"",N(O38)&lt;N(O86)),$AM38&amp;" ","")&amp;IF(AND(O39&lt;&gt;"",N(O39)&lt;N(O87)),$AM39&amp;" ","")&amp;IF(AND(O40&lt;&gt;"",N(O40)&lt;N(O88)),$AM40&amp;" ","")&amp;IF(AND(O41&lt;&gt;"",N(O41)&lt;N(O89)),$AM41&amp;" ","")&amp;IF(AND(O42&lt;&gt;"",N(O42)&lt;N(O90)),$AM42&amp;" ","")&amp;IF(AND(O43&lt;&gt;"",N(O43)&lt;N(O91)),$AM43&amp;" ","")&amp;IF(AND(O44&lt;&gt;"",N(O44)&lt;N(O92)),$AM44&amp;" ","")&amp;IF(AND(O45&lt;&gt;"",N(O45)&lt;N(O93)),$AM45&amp;" ",""))</f>
      </c>
      <c r="P46" s="43">
        <f>TRIM(IF(AND(P38&lt;&gt;"",N(P38)&lt;N(P86)),$AM38&amp;" ","")&amp;IF(AND(P39&lt;&gt;"",N(P39)&lt;N(P87)),$AM39&amp;" ","")&amp;IF(AND(P40&lt;&gt;"",N(P40)&lt;N(P88)),$AM40&amp;" ","")&amp;IF(AND(P41&lt;&gt;"",N(P41)&lt;N(P89)),$AM41&amp;" ","")&amp;IF(AND(P42&lt;&gt;"",N(P42)&lt;N(P90)),$AM42&amp;" ","")&amp;IF(AND(P43&lt;&gt;"",N(P43)&lt;N(P91)),$AM43&amp;" ","")&amp;IF(AND(P44&lt;&gt;"",N(P44)&lt;N(P92)),$AM44&amp;" ","")&amp;IF(AND(P45&lt;&gt;"",N(P45)&lt;N(P93)),$AM45&amp;" ",""))</f>
      </c>
      <c r="Q46" s="43">
        <f>TRIM(IF(AND(Q38&lt;&gt;"",N(Q38)&lt;N(Q86)),$AM38&amp;" ","")&amp;IF(AND(Q39&lt;&gt;"",N(Q39)&lt;N(Q87)),$AM39&amp;" ","")&amp;IF(AND(Q40&lt;&gt;"",N(Q40)&lt;N(Q88)),$AM40&amp;" ","")&amp;IF(AND(Q41&lt;&gt;"",N(Q41)&lt;N(Q89)),$AM41&amp;" ","")&amp;IF(AND(Q42&lt;&gt;"",N(Q42)&lt;N(Q90)),$AM42&amp;" ","")&amp;IF(AND(Q43&lt;&gt;"",N(Q43)&lt;N(Q91)),$AM43&amp;" ","")&amp;IF(AND(Q44&lt;&gt;"",N(Q44)&lt;N(Q92)),$AM44&amp;" ","")&amp;IF(AND(Q45&lt;&gt;"",N(Q45)&lt;N(Q93)),$AM45&amp;" ",""))</f>
      </c>
      <c r="R46" s="43">
        <f>TRIM(IF(AND(R38&lt;&gt;"",N(R38)&lt;N(R86)),$AM38&amp;" ","")&amp;IF(AND(R39&lt;&gt;"",N(R39)&lt;N(R87)),$AM39&amp;" ","")&amp;IF(AND(R40&lt;&gt;"",N(R40)&lt;N(R88)),$AM40&amp;" ","")&amp;IF(AND(R41&lt;&gt;"",N(R41)&lt;N(R89)),$AM41&amp;" ","")&amp;IF(AND(R42&lt;&gt;"",N(R42)&lt;N(R90)),$AM42&amp;" ","")&amp;IF(AND(R43&lt;&gt;"",N(R43)&lt;N(R91)),$AM43&amp;" ","")&amp;IF(AND(R44&lt;&gt;"",N(R44)&lt;N(R92)),$AM44&amp;" ","")&amp;IF(AND(R45&lt;&gt;"",N(R45)&lt;N(R93)),$AM45&amp;" ",""))</f>
      </c>
      <c r="S46" s="43">
        <f>TRIM(IF(AND(S38&lt;&gt;"",N(S38)&lt;N(S86)),$AM38&amp;" ","")&amp;IF(AND(S39&lt;&gt;"",N(S39)&lt;N(S87)),$AM39&amp;" ","")&amp;IF(AND(S40&lt;&gt;"",N(S40)&lt;N(S88)),$AM40&amp;" ","")&amp;IF(AND(S41&lt;&gt;"",N(S41)&lt;N(S89)),$AM41&amp;" ","")&amp;IF(AND(S42&lt;&gt;"",N(S42)&lt;N(S90)),$AM42&amp;" ","")&amp;IF(AND(S43&lt;&gt;"",N(S43)&lt;N(S91)),$AM43&amp;" ","")&amp;IF(AND(S44&lt;&gt;"",N(S44)&lt;N(S92)),$AM44&amp;" ","")&amp;IF(AND(S45&lt;&gt;"",N(S45)&lt;N(S93)),$AM45&amp;" ",""))</f>
      </c>
      <c r="T46" s="43">
        <f>TRIM(IF(AND(T38&lt;&gt;"",N(T38)&lt;N(T86)),$AM38&amp;" ","")&amp;IF(AND(T39&lt;&gt;"",N(T39)&lt;N(T87)),$AM39&amp;" ","")&amp;IF(AND(T40&lt;&gt;"",N(T40)&lt;N(T88)),$AM40&amp;" ","")&amp;IF(AND(T41&lt;&gt;"",N(T41)&lt;N(T89)),$AM41&amp;" ","")&amp;IF(AND(T42&lt;&gt;"",N(T42)&lt;N(T90)),$AM42&amp;" ","")&amp;IF(AND(T43&lt;&gt;"",N(T43)&lt;N(T91)),$AM43&amp;" ","")&amp;IF(AND(T44&lt;&gt;"",N(T44)&lt;N(T92)),$AM44&amp;" ","")&amp;IF(AND(T45&lt;&gt;"",N(T45)&lt;N(T93)),$AM45&amp;" ",""))</f>
      </c>
      <c r="U46" s="43">
        <f>TRIM(IF(AND(U38&lt;&gt;"",N(U38)&lt;N(U86)),$AM38&amp;" ","")&amp;IF(AND(U39&lt;&gt;"",N(U39)&lt;N(U87)),$AM39&amp;" ","")&amp;IF(AND(U40&lt;&gt;"",N(U40)&lt;N(U88)),$AM40&amp;" ","")&amp;IF(AND(U41&lt;&gt;"",N(U41)&lt;N(U89)),$AM41&amp;" ","")&amp;IF(AND(U42&lt;&gt;"",N(U42)&lt;N(U90)),$AM42&amp;" ","")&amp;IF(AND(U43&lt;&gt;"",N(U43)&lt;N(U91)),$AM43&amp;" ","")&amp;IF(AND(U44&lt;&gt;"",N(U44)&lt;N(U92)),$AM44&amp;" ","")&amp;IF(AND(U45&lt;&gt;"",N(U45)&lt;N(U93)),$AM45&amp;" ",""))</f>
      </c>
      <c r="V46" s="43">
        <f>TRIM(IF(AND(V38&lt;&gt;"",N(V38)&lt;N(V86)),$AM38&amp;" ","")&amp;IF(AND(V39&lt;&gt;"",N(V39)&lt;N(V87)),$AM39&amp;" ","")&amp;IF(AND(V40&lt;&gt;"",N(V40)&lt;N(V88)),$AM40&amp;" ","")&amp;IF(AND(V41&lt;&gt;"",N(V41)&lt;N(V89)),$AM41&amp;" ","")&amp;IF(AND(V42&lt;&gt;"",N(V42)&lt;N(V90)),$AM42&amp;" ","")&amp;IF(AND(V43&lt;&gt;"",N(V43)&lt;N(V91)),$AM43&amp;" ","")&amp;IF(AND(V44&lt;&gt;"",N(V44)&lt;N(V92)),$AM44&amp;" ","")&amp;IF(AND(V45&lt;&gt;"",N(V45)&lt;N(V93)),$AM45&amp;" ",""))</f>
      </c>
      <c r="W46" s="43">
        <f>TRIM(IF(AND(W38&lt;&gt;"",N(W38)&lt;N(W86)),$AM38&amp;" ","")&amp;IF(AND(W39&lt;&gt;"",N(W39)&lt;N(W87)),$AM39&amp;" ","")&amp;IF(AND(W40&lt;&gt;"",N(W40)&lt;N(W88)),$AM40&amp;" ","")&amp;IF(AND(W41&lt;&gt;"",N(W41)&lt;N(W89)),$AM41&amp;" ","")&amp;IF(AND(W42&lt;&gt;"",N(W42)&lt;N(W90)),$AM42&amp;" ","")&amp;IF(AND(W43&lt;&gt;"",N(W43)&lt;N(W91)),$AM43&amp;" ","")&amp;IF(AND(W44&lt;&gt;"",N(W44)&lt;N(W92)),$AM44&amp;" ","")&amp;IF(AND(W45&lt;&gt;"",N(W45)&lt;N(W93)),$AM45&amp;" ",""))</f>
      </c>
      <c r="X46" s="43">
        <f>TRIM(IF(AND(X38&lt;&gt;"",N(X38)&lt;N(X86)),$AM38&amp;" ","")&amp;IF(AND(X39&lt;&gt;"",N(X39)&lt;N(X87)),$AM39&amp;" ","")&amp;IF(AND(X40&lt;&gt;"",N(X40)&lt;N(X88)),$AM40&amp;" ","")&amp;IF(AND(X41&lt;&gt;"",N(X41)&lt;N(X89)),$AM41&amp;" ","")&amp;IF(AND(X42&lt;&gt;"",N(X42)&lt;N(X90)),$AM42&amp;" ","")&amp;IF(AND(X43&lt;&gt;"",N(X43)&lt;N(X91)),$AM43&amp;" ","")&amp;IF(AND(X44&lt;&gt;"",N(X44)&lt;N(X92)),$AM44&amp;" ","")&amp;IF(AND(X45&lt;&gt;"",N(X45)&lt;N(X93)),$AM45&amp;" ",""))</f>
      </c>
      <c r="Y46" s="43">
        <f>TRIM(IF(AND(Y38&lt;&gt;"",N(Y38)&lt;N(Y86)),$AM38&amp;" ","")&amp;IF(AND(Y39&lt;&gt;"",N(Y39)&lt;N(Y87)),$AM39&amp;" ","")&amp;IF(AND(Y40&lt;&gt;"",N(Y40)&lt;N(Y88)),$AM40&amp;" ","")&amp;IF(AND(Y41&lt;&gt;"",N(Y41)&lt;N(Y89)),$AM41&amp;" ","")&amp;IF(AND(Y42&lt;&gt;"",N(Y42)&lt;N(Y90)),$AM42&amp;" ","")&amp;IF(AND(Y43&lt;&gt;"",N(Y43)&lt;N(Y91)),$AM43&amp;" ","")&amp;IF(AND(Y44&lt;&gt;"",N(Y44)&lt;N(Y92)),$AM44&amp;" ","")&amp;IF(AND(Y45&lt;&gt;"",N(Y45)&lt;N(Y93)),$AM45&amp;" ",""))</f>
      </c>
      <c r="Z46" s="43">
        <f>TRIM(IF(AND(Z38&lt;&gt;"",N(Z38)&lt;N(Z86)),$AM38&amp;" ","")&amp;IF(AND(Z39&lt;&gt;"",N(Z39)&lt;N(Z87)),$AM39&amp;" ","")&amp;IF(AND(Z40&lt;&gt;"",N(Z40)&lt;N(Z88)),$AM40&amp;" ","")&amp;IF(AND(Z41&lt;&gt;"",N(Z41)&lt;N(Z89)),$AM41&amp;" ","")&amp;IF(AND(Z42&lt;&gt;"",N(Z42)&lt;N(Z90)),$AM42&amp;" ","")&amp;IF(AND(Z43&lt;&gt;"",N(Z43)&lt;N(Z91)),$AM43&amp;" ","")&amp;IF(AND(Z44&lt;&gt;"",N(Z44)&lt;N(Z92)),$AM44&amp;" ","")&amp;IF(AND(Z45&lt;&gt;"",N(Z45)&lt;N(Z93)),$AM45&amp;" ",""))</f>
      </c>
      <c r="AA46" s="43">
        <f>TRIM(IF(AND(AA38&lt;&gt;"",N(AA38)&lt;N(AA86)),$AM38&amp;" ","")&amp;IF(AND(AA39&lt;&gt;"",N(AA39)&lt;N(AA87)),$AM39&amp;" ","")&amp;IF(AND(AA40&lt;&gt;"",N(AA40)&lt;N(AA88)),$AM40&amp;" ","")&amp;IF(AND(AA41&lt;&gt;"",N(AA41)&lt;N(AA89)),$AM41&amp;" ","")&amp;IF(AND(AA42&lt;&gt;"",N(AA42)&lt;N(AA90)),$AM42&amp;" ","")&amp;IF(AND(AA43&lt;&gt;"",N(AA43)&lt;N(AA91)),$AM43&amp;" ","")&amp;IF(AND(AA44&lt;&gt;"",N(AA44)&lt;N(AA92)),$AM44&amp;" ","")&amp;IF(AND(AA45&lt;&gt;"",N(AA45)&lt;N(AA93)),$AM45&amp;" ",""))</f>
      </c>
      <c r="AB46" s="43">
        <f>TRIM(IF(AND(AB38&lt;&gt;"",N(AB38)&lt;N(AB86)),$AM38&amp;" ","")&amp;IF(AND(AB39&lt;&gt;"",N(AB39)&lt;N(AB87)),$AM39&amp;" ","")&amp;IF(AND(AB40&lt;&gt;"",N(AB40)&lt;N(AB88)),$AM40&amp;" ","")&amp;IF(AND(AB41&lt;&gt;"",N(AB41)&lt;N(AB89)),$AM41&amp;" ","")&amp;IF(AND(AB42&lt;&gt;"",N(AB42)&lt;N(AB90)),$AM42&amp;" ","")&amp;IF(AND(AB43&lt;&gt;"",N(AB43)&lt;N(AB91)),$AM43&amp;" ","")&amp;IF(AND(AB44&lt;&gt;"",N(AB44)&lt;N(AB92)),$AM44&amp;" ","")&amp;IF(AND(AB45&lt;&gt;"",N(AB45)&lt;N(AB93)),$AM45&amp;" ",""))</f>
      </c>
      <c r="AC46" s="43">
        <f>TRIM(IF(AND(AC38&lt;&gt;"",N(AC38)&lt;N(AC86)),$AM38&amp;" ","")&amp;IF(AND(AC39&lt;&gt;"",N(AC39)&lt;N(AC87)),$AM39&amp;" ","")&amp;IF(AND(AC40&lt;&gt;"",N(AC40)&lt;N(AC88)),$AM40&amp;" ","")&amp;IF(AND(AC41&lt;&gt;"",N(AC41)&lt;N(AC89)),$AM41&amp;" ","")&amp;IF(AND(AC42&lt;&gt;"",N(AC42)&lt;N(AC90)),$AM42&amp;" ","")&amp;IF(AND(AC43&lt;&gt;"",N(AC43)&lt;N(AC91)),$AM43&amp;" ","")&amp;IF(AND(AC44&lt;&gt;"",N(AC44)&lt;N(AC92)),$AM44&amp;" ","")&amp;IF(AND(AC45&lt;&gt;"",N(AC45)&lt;N(AC93)),$AM45&amp;" ",""))</f>
      </c>
      <c r="AD46" s="43">
        <f>TRIM(IF(AND(AD38&lt;&gt;"",N(AD38)&lt;N(AD86)),$AM38&amp;" ","")&amp;IF(AND(AD39&lt;&gt;"",N(AD39)&lt;N(AD87)),$AM39&amp;" ","")&amp;IF(AND(AD40&lt;&gt;"",N(AD40)&lt;N(AD88)),$AM40&amp;" ","")&amp;IF(AND(AD41&lt;&gt;"",N(AD41)&lt;N(AD89)),$AM41&amp;" ","")&amp;IF(AND(AD42&lt;&gt;"",N(AD42)&lt;N(AD90)),$AM42&amp;" ","")&amp;IF(AND(AD43&lt;&gt;"",N(AD43)&lt;N(AD91)),$AM43&amp;" ","")&amp;IF(AND(AD44&lt;&gt;"",N(AD44)&lt;N(AD92)),$AM44&amp;" ","")&amp;IF(AND(AD45&lt;&gt;"",N(AD45)&lt;N(AD93)),$AM45&amp;" ",""))</f>
      </c>
      <c r="AE46" s="43">
        <f>TRIM(IF(AND(AE38&lt;&gt;"",N(AE38)&lt;N(AE86)),$AM38&amp;" ","")&amp;IF(AND(AE39&lt;&gt;"",N(AE39)&lt;N(AE87)),$AM39&amp;" ","")&amp;IF(AND(AE40&lt;&gt;"",N(AE40)&lt;N(AE88)),$AM40&amp;" ","")&amp;IF(AND(AE41&lt;&gt;"",N(AE41)&lt;N(AE89)),$AM41&amp;" ","")&amp;IF(AND(AE42&lt;&gt;"",N(AE42)&lt;N(AE90)),$AM42&amp;" ","")&amp;IF(AND(AE43&lt;&gt;"",N(AE43)&lt;N(AE91)),$AM43&amp;" ","")&amp;IF(AND(AE44&lt;&gt;"",N(AE44)&lt;N(AE92)),$AM44&amp;" ","")&amp;IF(AND(AE45&lt;&gt;"",N(AE45)&lt;N(AE93)),$AM45&amp;" ",""))</f>
      </c>
      <c r="AF46" s="43">
        <f>TRIM(IF(AND(AF38&lt;&gt;"",N(AF38)&lt;N(AF86)),$AM38&amp;" ","")&amp;IF(AND(AF39&lt;&gt;"",N(AF39)&lt;N(AF87)),$AM39&amp;" ","")&amp;IF(AND(AF40&lt;&gt;"",N(AF40)&lt;N(AF88)),$AM40&amp;" ","")&amp;IF(AND(AF41&lt;&gt;"",N(AF41)&lt;N(AF89)),$AM41&amp;" ","")&amp;IF(AND(AF42&lt;&gt;"",N(AF42)&lt;N(AF90)),$AM42&amp;" ","")&amp;IF(AND(AF43&lt;&gt;"",N(AF43)&lt;N(AF91)),$AM43&amp;" ","")&amp;IF(AND(AF44&lt;&gt;"",N(AF44)&lt;N(AF92)),$AM44&amp;" ","")&amp;IF(AND(AF45&lt;&gt;"",N(AF45)&lt;N(AF93)),$AM45&amp;" ",""))</f>
      </c>
    </row>
    <row r="48" spans="1:38" x14ac:dyDescent="0.25">
      <c r="A48" s="7" t="s">
        <v>65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1"/>
      <c r="W48" s="1"/>
      <c r="X48" s="7" t="s">
        <v>66</v>
      </c>
      <c r="Y48" s="1"/>
      <c r="Z48" s="1"/>
      <c r="AA48" s="1"/>
      <c r="AB48" s="1"/>
      <c r="AC48" s="1"/>
      <c r="AD48" s="1"/>
      <c r="AE48" s="1"/>
      <c r="AF48" s="1"/>
      <c r="AG48" s="44"/>
      <c r="AH48" s="44"/>
      <c r="AI48" s="44"/>
      <c r="AJ48" s="44"/>
      <c r="AK48" s="44"/>
      <c r="AL48" s="44"/>
    </row>
    <row r="50" hidden="1" spans="1:32" x14ac:dyDescent="0.25">
      <c r="A50" s="1"/>
      <c r="B50" s="1">
        <f>IF(B$5="",0,IF(ISNUMBER(MATCH(B$5,FeiertagDaten,0)),1,0))</f>
      </c>
      <c r="C50" s="1">
        <f>IF(C$5="",0,IF(ISNUMBER(MATCH(C$5,FeiertagDaten,0)),1,0))</f>
      </c>
      <c r="D50" s="1">
        <f>IF(D$5="",0,IF(ISNUMBER(MATCH(D$5,FeiertagDaten,0)),1,0))</f>
      </c>
      <c r="E50" s="1">
        <f>IF(E$5="",0,IF(ISNUMBER(MATCH(E$5,FeiertagDaten,0)),1,0))</f>
      </c>
      <c r="F50" s="1">
        <f>IF(F$5="",0,IF(ISNUMBER(MATCH(F$5,FeiertagDaten,0)),1,0))</f>
      </c>
      <c r="G50" s="1">
        <f>IF(G$5="",0,IF(ISNUMBER(MATCH(G$5,FeiertagDaten,0)),1,0))</f>
      </c>
      <c r="H50" s="1">
        <f>IF(H$5="",0,IF(ISNUMBER(MATCH(H$5,FeiertagDaten,0)),1,0))</f>
      </c>
      <c r="I50" s="1">
        <f>IF(I$5="",0,IF(ISNUMBER(MATCH(I$5,FeiertagDaten,0)),1,0))</f>
      </c>
      <c r="J50" s="1">
        <f>IF(J$5="",0,IF(ISNUMBER(MATCH(J$5,FeiertagDaten,0)),1,0))</f>
      </c>
      <c r="K50" s="1">
        <f>IF(K$5="",0,IF(ISNUMBER(MATCH(K$5,FeiertagDaten,0)),1,0))</f>
      </c>
      <c r="L50" s="1">
        <f>IF(L$5="",0,IF(ISNUMBER(MATCH(L$5,FeiertagDaten,0)),1,0))</f>
      </c>
      <c r="M50" s="1">
        <f>IF(M$5="",0,IF(ISNUMBER(MATCH(M$5,FeiertagDaten,0)),1,0))</f>
      </c>
      <c r="N50" s="1">
        <f>IF(N$5="",0,IF(ISNUMBER(MATCH(N$5,FeiertagDaten,0)),1,0))</f>
      </c>
      <c r="O50" s="1">
        <f>IF(O$5="",0,IF(ISNUMBER(MATCH(O$5,FeiertagDaten,0)),1,0))</f>
      </c>
      <c r="P50" s="1">
        <f>IF(P$5="",0,IF(ISNUMBER(MATCH(P$5,FeiertagDaten,0)),1,0))</f>
      </c>
      <c r="Q50" s="1">
        <f>IF(Q$5="",0,IF(ISNUMBER(MATCH(Q$5,FeiertagDaten,0)),1,0))</f>
      </c>
      <c r="R50" s="1">
        <f>IF(R$5="",0,IF(ISNUMBER(MATCH(R$5,FeiertagDaten,0)),1,0))</f>
      </c>
      <c r="S50" s="1">
        <f>IF(S$5="",0,IF(ISNUMBER(MATCH(S$5,FeiertagDaten,0)),1,0))</f>
      </c>
      <c r="T50" s="1">
        <f>IF(T$5="",0,IF(ISNUMBER(MATCH(T$5,FeiertagDaten,0)),1,0))</f>
      </c>
      <c r="U50" s="1">
        <f>IF(U$5="",0,IF(ISNUMBER(MATCH(U$5,FeiertagDaten,0)),1,0))</f>
      </c>
      <c r="V50" s="1">
        <f>IF(V$5="",0,IF(ISNUMBER(MATCH(V$5,FeiertagDaten,0)),1,0))</f>
      </c>
      <c r="W50" s="1">
        <f>IF(W$5="",0,IF(ISNUMBER(MATCH(W$5,FeiertagDaten,0)),1,0))</f>
      </c>
      <c r="X50" s="1">
        <f>IF(X$5="",0,IF(ISNUMBER(MATCH(X$5,FeiertagDaten,0)),1,0))</f>
      </c>
      <c r="Y50" s="1">
        <f>IF(Y$5="",0,IF(ISNUMBER(MATCH(Y$5,FeiertagDaten,0)),1,0))</f>
      </c>
      <c r="Z50" s="1">
        <f>IF(Z$5="",0,IF(ISNUMBER(MATCH(Z$5,FeiertagDaten,0)),1,0))</f>
      </c>
      <c r="AA50" s="1">
        <f>IF(AA$5="",0,IF(ISNUMBER(MATCH(AA$5,FeiertagDaten,0)),1,0))</f>
      </c>
      <c r="AB50" s="1">
        <f>IF(AB$5="",0,IF(ISNUMBER(MATCH(AB$5,FeiertagDaten,0)),1,0))</f>
      </c>
      <c r="AC50" s="1">
        <f>IF(AC$5="",0,IF(ISNUMBER(MATCH(AC$5,FeiertagDaten,0)),1,0))</f>
      </c>
      <c r="AD50" s="1">
        <f>IF(AD$5="",0,IF(ISNUMBER(MATCH(AD$5,FeiertagDaten,0)),1,0))</f>
      </c>
      <c r="AE50" s="1">
        <f>IF(AE$5="",0,IF(ISNUMBER(MATCH(AE$5,FeiertagDaten,0)),1,0))</f>
      </c>
      <c r="AF50" s="1">
        <f>IF(AF$5="",0,IF(ISNUMBER(MATCH(AF$5,FeiertagDaten,0)),1,0))</f>
      </c>
    </row>
    <row r="51" hidden="1" spans="1:32" x14ac:dyDescent="0.25">
      <c r="A51" s="1"/>
      <c r="B51" s="1">
        <f>IF(B$5="",0,WEEKDAY(B$5,2))</f>
      </c>
      <c r="C51" s="1">
        <f>IF(C$5="",0,WEEKDAY(C$5,2))</f>
      </c>
      <c r="D51" s="1">
        <f>IF(D$5="",0,WEEKDAY(D$5,2))</f>
      </c>
      <c r="E51" s="1">
        <f>IF(E$5="",0,WEEKDAY(E$5,2))</f>
      </c>
      <c r="F51" s="1">
        <f>IF(F$5="",0,WEEKDAY(F$5,2))</f>
      </c>
      <c r="G51" s="1">
        <f>IF(G$5="",0,WEEKDAY(G$5,2))</f>
      </c>
      <c r="H51" s="1">
        <f>IF(H$5="",0,WEEKDAY(H$5,2))</f>
      </c>
      <c r="I51" s="1">
        <f>IF(I$5="",0,WEEKDAY(I$5,2))</f>
      </c>
      <c r="J51" s="1">
        <f>IF(J$5="",0,WEEKDAY(J$5,2))</f>
      </c>
      <c r="K51" s="1">
        <f>IF(K$5="",0,WEEKDAY(K$5,2))</f>
      </c>
      <c r="L51" s="1">
        <f>IF(L$5="",0,WEEKDAY(L$5,2))</f>
      </c>
      <c r="M51" s="1">
        <f>IF(M$5="",0,WEEKDAY(M$5,2))</f>
      </c>
      <c r="N51" s="1">
        <f>IF(N$5="",0,WEEKDAY(N$5,2))</f>
      </c>
      <c r="O51" s="1">
        <f>IF(O$5="",0,WEEKDAY(O$5,2))</f>
      </c>
      <c r="P51" s="1">
        <f>IF(P$5="",0,WEEKDAY(P$5,2))</f>
      </c>
      <c r="Q51" s="1">
        <f>IF(Q$5="",0,WEEKDAY(Q$5,2))</f>
      </c>
      <c r="R51" s="1">
        <f>IF(R$5="",0,WEEKDAY(R$5,2))</f>
      </c>
      <c r="S51" s="1">
        <f>IF(S$5="",0,WEEKDAY(S$5,2))</f>
      </c>
      <c r="T51" s="1">
        <f>IF(T$5="",0,WEEKDAY(T$5,2))</f>
      </c>
      <c r="U51" s="1">
        <f>IF(U$5="",0,WEEKDAY(U$5,2))</f>
      </c>
      <c r="V51" s="1">
        <f>IF(V$5="",0,WEEKDAY(V$5,2))</f>
      </c>
      <c r="W51" s="1">
        <f>IF(W$5="",0,WEEKDAY(W$5,2))</f>
      </c>
      <c r="X51" s="1">
        <f>IF(X$5="",0,WEEKDAY(X$5,2))</f>
      </c>
      <c r="Y51" s="1">
        <f>IF(Y$5="",0,WEEKDAY(Y$5,2))</f>
      </c>
      <c r="Z51" s="1">
        <f>IF(Z$5="",0,WEEKDAY(Z$5,2))</f>
      </c>
      <c r="AA51" s="1">
        <f>IF(AA$5="",0,WEEKDAY(AA$5,2))</f>
      </c>
      <c r="AB51" s="1">
        <f>IF(AB$5="",0,WEEKDAY(AB$5,2))</f>
      </c>
      <c r="AC51" s="1">
        <f>IF(AC$5="",0,WEEKDAY(AC$5,2))</f>
      </c>
      <c r="AD51" s="1">
        <f>IF(AD$5="",0,WEEKDAY(AD$5,2))</f>
      </c>
      <c r="AE51" s="1">
        <f>IF(AE$5="",0,WEEKDAY(AE$5,2))</f>
      </c>
      <c r="AF51" s="1">
        <f>IF(AF$5="",0,WEEKDAY(AF$5,2))</f>
      </c>
    </row>
    <row r="52" hidden="1" spans="1:32" x14ac:dyDescent="0.25">
      <c r="A52" s="1"/>
      <c r="B52" s="1">
        <f>IF(B$5="",0,1)</f>
      </c>
      <c r="C52" s="1">
        <f>IF(C$5="",0,1)</f>
      </c>
      <c r="D52" s="1">
        <f>IF(D$5="",0,1)</f>
      </c>
      <c r="E52" s="1">
        <f>IF(E$5="",0,1)</f>
      </c>
      <c r="F52" s="1">
        <f>IF(F$5="",0,1)</f>
      </c>
      <c r="G52" s="1">
        <f>IF(G$5="",0,1)</f>
      </c>
      <c r="H52" s="1">
        <f>IF(H$5="",0,1)</f>
      </c>
      <c r="I52" s="1">
        <f>IF(I$5="",0,1)</f>
      </c>
      <c r="J52" s="1">
        <f>IF(J$5="",0,1)</f>
      </c>
      <c r="K52" s="1">
        <f>IF(K$5="",0,1)</f>
      </c>
      <c r="L52" s="1">
        <f>IF(L$5="",0,1)</f>
      </c>
      <c r="M52" s="1">
        <f>IF(M$5="",0,1)</f>
      </c>
      <c r="N52" s="1">
        <f>IF(N$5="",0,1)</f>
      </c>
      <c r="O52" s="1">
        <f>IF(O$5="",0,1)</f>
      </c>
      <c r="P52" s="1">
        <f>IF(P$5="",0,1)</f>
      </c>
      <c r="Q52" s="1">
        <f>IF(Q$5="",0,1)</f>
      </c>
      <c r="R52" s="1">
        <f>IF(R$5="",0,1)</f>
      </c>
      <c r="S52" s="1">
        <f>IF(S$5="",0,1)</f>
      </c>
      <c r="T52" s="1">
        <f>IF(T$5="",0,1)</f>
      </c>
      <c r="U52" s="1">
        <f>IF(U$5="",0,1)</f>
      </c>
      <c r="V52" s="1">
        <f>IF(V$5="",0,1)</f>
      </c>
      <c r="W52" s="1">
        <f>IF(W$5="",0,1)</f>
      </c>
      <c r="X52" s="1">
        <f>IF(X$5="",0,1)</f>
      </c>
      <c r="Y52" s="1">
        <f>IF(Y$5="",0,1)</f>
      </c>
      <c r="Z52" s="1">
        <f>IF(Z$5="",0,1)</f>
      </c>
      <c r="AA52" s="1">
        <f>IF(AA$5="",0,1)</f>
      </c>
      <c r="AB52" s="1">
        <f>IF(AB$5="",0,1)</f>
      </c>
      <c r="AC52" s="1">
        <f>IF(AC$5="",0,1)</f>
      </c>
      <c r="AD52" s="1">
        <f>IF(AD$5="",0,1)</f>
      </c>
      <c r="AE52" s="1">
        <f>IF(AE$5="",0,1)</f>
      </c>
      <c r="AF52" s="1">
        <f>IF(AF$5="",0,1)</f>
      </c>
    </row>
    <row r="53" hidden="1" spans="1:32" x14ac:dyDescent="0.25">
      <c r="A53" s="1"/>
      <c r="B53" s="1">
        <f>IF(AND(B51&gt;=1,B51&lt;=5,B50=0),1,0)</f>
      </c>
      <c r="C53" s="1">
        <f>IF(AND(C51&gt;=1,C51&lt;=5,C50=0),1,0)</f>
      </c>
      <c r="D53" s="1">
        <f>IF(AND(D51&gt;=1,D51&lt;=5,D50=0),1,0)</f>
      </c>
      <c r="E53" s="1">
        <f>IF(AND(E51&gt;=1,E51&lt;=5,E50=0),1,0)</f>
      </c>
      <c r="F53" s="1">
        <f>IF(AND(F51&gt;=1,F51&lt;=5,F50=0),1,0)</f>
      </c>
      <c r="G53" s="1">
        <f>IF(AND(G51&gt;=1,G51&lt;=5,G50=0),1,0)</f>
      </c>
      <c r="H53" s="1">
        <f>IF(AND(H51&gt;=1,H51&lt;=5,H50=0),1,0)</f>
      </c>
      <c r="I53" s="1">
        <f>IF(AND(I51&gt;=1,I51&lt;=5,I50=0),1,0)</f>
      </c>
      <c r="J53" s="1">
        <f>IF(AND(J51&gt;=1,J51&lt;=5,J50=0),1,0)</f>
      </c>
      <c r="K53" s="1">
        <f>IF(AND(K51&gt;=1,K51&lt;=5,K50=0),1,0)</f>
      </c>
      <c r="L53" s="1">
        <f>IF(AND(L51&gt;=1,L51&lt;=5,L50=0),1,0)</f>
      </c>
      <c r="M53" s="1">
        <f>IF(AND(M51&gt;=1,M51&lt;=5,M50=0),1,0)</f>
      </c>
      <c r="N53" s="1">
        <f>IF(AND(N51&gt;=1,N51&lt;=5,N50=0),1,0)</f>
      </c>
      <c r="O53" s="1">
        <f>IF(AND(O51&gt;=1,O51&lt;=5,O50=0),1,0)</f>
      </c>
      <c r="P53" s="1">
        <f>IF(AND(P51&gt;=1,P51&lt;=5,P50=0),1,0)</f>
      </c>
      <c r="Q53" s="1">
        <f>IF(AND(Q51&gt;=1,Q51&lt;=5,Q50=0),1,0)</f>
      </c>
      <c r="R53" s="1">
        <f>IF(AND(R51&gt;=1,R51&lt;=5,R50=0),1,0)</f>
      </c>
      <c r="S53" s="1">
        <f>IF(AND(S51&gt;=1,S51&lt;=5,S50=0),1,0)</f>
      </c>
      <c r="T53" s="1">
        <f>IF(AND(T51&gt;=1,T51&lt;=5,T50=0),1,0)</f>
      </c>
      <c r="U53" s="1">
        <f>IF(AND(U51&gt;=1,U51&lt;=5,U50=0),1,0)</f>
      </c>
      <c r="V53" s="1">
        <f>IF(AND(V51&gt;=1,V51&lt;=5,V50=0),1,0)</f>
      </c>
      <c r="W53" s="1">
        <f>IF(AND(W51&gt;=1,W51&lt;=5,W50=0),1,0)</f>
      </c>
      <c r="X53" s="1">
        <f>IF(AND(X51&gt;=1,X51&lt;=5,X50=0),1,0)</f>
      </c>
      <c r="Y53" s="1">
        <f>IF(AND(Y51&gt;=1,Y51&lt;=5,Y50=0),1,0)</f>
      </c>
      <c r="Z53" s="1">
        <f>IF(AND(Z51&gt;=1,Z51&lt;=5,Z50=0),1,0)</f>
      </c>
      <c r="AA53" s="1">
        <f>IF(AND(AA51&gt;=1,AA51&lt;=5,AA50=0),1,0)</f>
      </c>
      <c r="AB53" s="1">
        <f>IF(AND(AB51&gt;=1,AB51&lt;=5,AB50=0),1,0)</f>
      </c>
      <c r="AC53" s="1">
        <f>IF(AND(AC51&gt;=1,AC51&lt;=5,AC50=0),1,0)</f>
      </c>
      <c r="AD53" s="1">
        <f>IF(AND(AD51&gt;=1,AD51&lt;=5,AD50=0),1,0)</f>
      </c>
      <c r="AE53" s="1">
        <f>IF(AND(AE51&gt;=1,AE51&lt;=5,AE50=0),1,0)</f>
      </c>
      <c r="AF53" s="1">
        <f>IF(AND(AF51&gt;=1,AF51&lt;=5,AF50=0),1,0)</f>
      </c>
    </row>
    <row r="55" hidden="1" spans="1:32" x14ac:dyDescent="0.25">
      <c r="A55" s="1"/>
      <c r="B55" s="1">
        <f>IF(OR(B$52=0,INDEX('Oktober'!$B$6:$AF$6,DAY(DATE(Jahr,11,0)))="",B6=""),0,IFERROR(IF(AND(INDEX(Arten,MATCH(INDEX('Oktober'!$B$6:$AF$6,DAY(DATE(Jahr,11,0))),Codes,0))="Arbeit",INDEX(Arten,MATCH(B6,Codes,0))="Arbeit"),IF(ROUND((1+INDEX(Beginne,MATCH(B6,Codes,0))-INDEX(EndeRel,MATCH(INDEX('Oktober'!$B$6:$AF$6,DAY(DATE(Jahr,11,0))),Codes,0)))*1440,0)&lt;660,1,0),0),0))</f>
      </c>
      <c r="C55" s="1">
        <f>IF(OR(C$52=0,B6="",C6=""),0,IFERROR(IF(AND(INDEX(Arten,MATCH(B6,Codes,0))="Arbeit",INDEX(Arten,MATCH(C6,Codes,0))="Arbeit"),IF(ROUND((1+INDEX(Beginne,MATCH(C6,Codes,0))-INDEX(EndeRel,MATCH(B6,Codes,0)))*1440,0)&lt;660,1,0),0),0))</f>
      </c>
      <c r="D55" s="1">
        <f>IF(OR(D$52=0,C6="",D6=""),0,IFERROR(IF(AND(INDEX(Arten,MATCH(C6,Codes,0))="Arbeit",INDEX(Arten,MATCH(D6,Codes,0))="Arbeit"),IF(ROUND((1+INDEX(Beginne,MATCH(D6,Codes,0))-INDEX(EndeRel,MATCH(C6,Codes,0)))*1440,0)&lt;660,1,0),0),0))</f>
      </c>
      <c r="E55" s="1">
        <f>IF(OR(E$52=0,D6="",E6=""),0,IFERROR(IF(AND(INDEX(Arten,MATCH(D6,Codes,0))="Arbeit",INDEX(Arten,MATCH(E6,Codes,0))="Arbeit"),IF(ROUND((1+INDEX(Beginne,MATCH(E6,Codes,0))-INDEX(EndeRel,MATCH(D6,Codes,0)))*1440,0)&lt;660,1,0),0),0))</f>
      </c>
      <c r="F55" s="1">
        <f>IF(OR(F$52=0,E6="",F6=""),0,IFERROR(IF(AND(INDEX(Arten,MATCH(E6,Codes,0))="Arbeit",INDEX(Arten,MATCH(F6,Codes,0))="Arbeit"),IF(ROUND((1+INDEX(Beginne,MATCH(F6,Codes,0))-INDEX(EndeRel,MATCH(E6,Codes,0)))*1440,0)&lt;660,1,0),0),0))</f>
      </c>
      <c r="G55" s="1">
        <f>IF(OR(G$52=0,F6="",G6=""),0,IFERROR(IF(AND(INDEX(Arten,MATCH(F6,Codes,0))="Arbeit",INDEX(Arten,MATCH(G6,Codes,0))="Arbeit"),IF(ROUND((1+INDEX(Beginne,MATCH(G6,Codes,0))-INDEX(EndeRel,MATCH(F6,Codes,0)))*1440,0)&lt;660,1,0),0),0))</f>
      </c>
      <c r="H55" s="1">
        <f>IF(OR(H$52=0,G6="",H6=""),0,IFERROR(IF(AND(INDEX(Arten,MATCH(G6,Codes,0))="Arbeit",INDEX(Arten,MATCH(H6,Codes,0))="Arbeit"),IF(ROUND((1+INDEX(Beginne,MATCH(H6,Codes,0))-INDEX(EndeRel,MATCH(G6,Codes,0)))*1440,0)&lt;660,1,0),0),0))</f>
      </c>
      <c r="I55" s="1">
        <f>IF(OR(I$52=0,H6="",I6=""),0,IFERROR(IF(AND(INDEX(Arten,MATCH(H6,Codes,0))="Arbeit",INDEX(Arten,MATCH(I6,Codes,0))="Arbeit"),IF(ROUND((1+INDEX(Beginne,MATCH(I6,Codes,0))-INDEX(EndeRel,MATCH(H6,Codes,0)))*1440,0)&lt;660,1,0),0),0))</f>
      </c>
      <c r="J55" s="1">
        <f>IF(OR(J$52=0,I6="",J6=""),0,IFERROR(IF(AND(INDEX(Arten,MATCH(I6,Codes,0))="Arbeit",INDEX(Arten,MATCH(J6,Codes,0))="Arbeit"),IF(ROUND((1+INDEX(Beginne,MATCH(J6,Codes,0))-INDEX(EndeRel,MATCH(I6,Codes,0)))*1440,0)&lt;660,1,0),0),0))</f>
      </c>
      <c r="K55" s="1">
        <f>IF(OR(K$52=0,J6="",K6=""),0,IFERROR(IF(AND(INDEX(Arten,MATCH(J6,Codes,0))="Arbeit",INDEX(Arten,MATCH(K6,Codes,0))="Arbeit"),IF(ROUND((1+INDEX(Beginne,MATCH(K6,Codes,0))-INDEX(EndeRel,MATCH(J6,Codes,0)))*1440,0)&lt;660,1,0),0),0))</f>
      </c>
      <c r="L55" s="1">
        <f>IF(OR(L$52=0,K6="",L6=""),0,IFERROR(IF(AND(INDEX(Arten,MATCH(K6,Codes,0))="Arbeit",INDEX(Arten,MATCH(L6,Codes,0))="Arbeit"),IF(ROUND((1+INDEX(Beginne,MATCH(L6,Codes,0))-INDEX(EndeRel,MATCH(K6,Codes,0)))*1440,0)&lt;660,1,0),0),0))</f>
      </c>
      <c r="M55" s="1">
        <f>IF(OR(M$52=0,L6="",M6=""),0,IFERROR(IF(AND(INDEX(Arten,MATCH(L6,Codes,0))="Arbeit",INDEX(Arten,MATCH(M6,Codes,0))="Arbeit"),IF(ROUND((1+INDEX(Beginne,MATCH(M6,Codes,0))-INDEX(EndeRel,MATCH(L6,Codes,0)))*1440,0)&lt;660,1,0),0),0))</f>
      </c>
      <c r="N55" s="1">
        <f>IF(OR(N$52=0,M6="",N6=""),0,IFERROR(IF(AND(INDEX(Arten,MATCH(M6,Codes,0))="Arbeit",INDEX(Arten,MATCH(N6,Codes,0))="Arbeit"),IF(ROUND((1+INDEX(Beginne,MATCH(N6,Codes,0))-INDEX(EndeRel,MATCH(M6,Codes,0)))*1440,0)&lt;660,1,0),0),0))</f>
      </c>
      <c r="O55" s="1">
        <f>IF(OR(O$52=0,N6="",O6=""),0,IFERROR(IF(AND(INDEX(Arten,MATCH(N6,Codes,0))="Arbeit",INDEX(Arten,MATCH(O6,Codes,0))="Arbeit"),IF(ROUND((1+INDEX(Beginne,MATCH(O6,Codes,0))-INDEX(EndeRel,MATCH(N6,Codes,0)))*1440,0)&lt;660,1,0),0),0))</f>
      </c>
      <c r="P55" s="1">
        <f>IF(OR(P$52=0,O6="",P6=""),0,IFERROR(IF(AND(INDEX(Arten,MATCH(O6,Codes,0))="Arbeit",INDEX(Arten,MATCH(P6,Codes,0))="Arbeit"),IF(ROUND((1+INDEX(Beginne,MATCH(P6,Codes,0))-INDEX(EndeRel,MATCH(O6,Codes,0)))*1440,0)&lt;660,1,0),0),0))</f>
      </c>
      <c r="Q55" s="1">
        <f>IF(OR(Q$52=0,P6="",Q6=""),0,IFERROR(IF(AND(INDEX(Arten,MATCH(P6,Codes,0))="Arbeit",INDEX(Arten,MATCH(Q6,Codes,0))="Arbeit"),IF(ROUND((1+INDEX(Beginne,MATCH(Q6,Codes,0))-INDEX(EndeRel,MATCH(P6,Codes,0)))*1440,0)&lt;660,1,0),0),0))</f>
      </c>
      <c r="R55" s="1">
        <f>IF(OR(R$52=0,Q6="",R6=""),0,IFERROR(IF(AND(INDEX(Arten,MATCH(Q6,Codes,0))="Arbeit",INDEX(Arten,MATCH(R6,Codes,0))="Arbeit"),IF(ROUND((1+INDEX(Beginne,MATCH(R6,Codes,0))-INDEX(EndeRel,MATCH(Q6,Codes,0)))*1440,0)&lt;660,1,0),0),0))</f>
      </c>
      <c r="S55" s="1">
        <f>IF(OR(S$52=0,R6="",S6=""),0,IFERROR(IF(AND(INDEX(Arten,MATCH(R6,Codes,0))="Arbeit",INDEX(Arten,MATCH(S6,Codes,0))="Arbeit"),IF(ROUND((1+INDEX(Beginne,MATCH(S6,Codes,0))-INDEX(EndeRel,MATCH(R6,Codes,0)))*1440,0)&lt;660,1,0),0),0))</f>
      </c>
      <c r="T55" s="1">
        <f>IF(OR(T$52=0,S6="",T6=""),0,IFERROR(IF(AND(INDEX(Arten,MATCH(S6,Codes,0))="Arbeit",INDEX(Arten,MATCH(T6,Codes,0))="Arbeit"),IF(ROUND((1+INDEX(Beginne,MATCH(T6,Codes,0))-INDEX(EndeRel,MATCH(S6,Codes,0)))*1440,0)&lt;660,1,0),0),0))</f>
      </c>
      <c r="U55" s="1">
        <f>IF(OR(U$52=0,T6="",U6=""),0,IFERROR(IF(AND(INDEX(Arten,MATCH(T6,Codes,0))="Arbeit",INDEX(Arten,MATCH(U6,Codes,0))="Arbeit"),IF(ROUND((1+INDEX(Beginne,MATCH(U6,Codes,0))-INDEX(EndeRel,MATCH(T6,Codes,0)))*1440,0)&lt;660,1,0),0),0))</f>
      </c>
      <c r="V55" s="1">
        <f>IF(OR(V$52=0,U6="",V6=""),0,IFERROR(IF(AND(INDEX(Arten,MATCH(U6,Codes,0))="Arbeit",INDEX(Arten,MATCH(V6,Codes,0))="Arbeit"),IF(ROUND((1+INDEX(Beginne,MATCH(V6,Codes,0))-INDEX(EndeRel,MATCH(U6,Codes,0)))*1440,0)&lt;660,1,0),0),0))</f>
      </c>
      <c r="W55" s="1">
        <f>IF(OR(W$52=0,V6="",W6=""),0,IFERROR(IF(AND(INDEX(Arten,MATCH(V6,Codes,0))="Arbeit",INDEX(Arten,MATCH(W6,Codes,0))="Arbeit"),IF(ROUND((1+INDEX(Beginne,MATCH(W6,Codes,0))-INDEX(EndeRel,MATCH(V6,Codes,0)))*1440,0)&lt;660,1,0),0),0))</f>
      </c>
      <c r="X55" s="1">
        <f>IF(OR(X$52=0,W6="",X6=""),0,IFERROR(IF(AND(INDEX(Arten,MATCH(W6,Codes,0))="Arbeit",INDEX(Arten,MATCH(X6,Codes,0))="Arbeit"),IF(ROUND((1+INDEX(Beginne,MATCH(X6,Codes,0))-INDEX(EndeRel,MATCH(W6,Codes,0)))*1440,0)&lt;660,1,0),0),0))</f>
      </c>
      <c r="Y55" s="1">
        <f>IF(OR(Y$52=0,X6="",Y6=""),0,IFERROR(IF(AND(INDEX(Arten,MATCH(X6,Codes,0))="Arbeit",INDEX(Arten,MATCH(Y6,Codes,0))="Arbeit"),IF(ROUND((1+INDEX(Beginne,MATCH(Y6,Codes,0))-INDEX(EndeRel,MATCH(X6,Codes,0)))*1440,0)&lt;660,1,0),0),0))</f>
      </c>
      <c r="Z55" s="1">
        <f>IF(OR(Z$52=0,Y6="",Z6=""),0,IFERROR(IF(AND(INDEX(Arten,MATCH(Y6,Codes,0))="Arbeit",INDEX(Arten,MATCH(Z6,Codes,0))="Arbeit"),IF(ROUND((1+INDEX(Beginne,MATCH(Z6,Codes,0))-INDEX(EndeRel,MATCH(Y6,Codes,0)))*1440,0)&lt;660,1,0),0),0))</f>
      </c>
      <c r="AA55" s="1">
        <f>IF(OR(AA$52=0,Z6="",AA6=""),0,IFERROR(IF(AND(INDEX(Arten,MATCH(Z6,Codes,0))="Arbeit",INDEX(Arten,MATCH(AA6,Codes,0))="Arbeit"),IF(ROUND((1+INDEX(Beginne,MATCH(AA6,Codes,0))-INDEX(EndeRel,MATCH(Z6,Codes,0)))*1440,0)&lt;660,1,0),0),0))</f>
      </c>
      <c r="AB55" s="1">
        <f>IF(OR(AB$52=0,AA6="",AB6=""),0,IFERROR(IF(AND(INDEX(Arten,MATCH(AA6,Codes,0))="Arbeit",INDEX(Arten,MATCH(AB6,Codes,0))="Arbeit"),IF(ROUND((1+INDEX(Beginne,MATCH(AB6,Codes,0))-INDEX(EndeRel,MATCH(AA6,Codes,0)))*1440,0)&lt;660,1,0),0),0))</f>
      </c>
      <c r="AC55" s="1">
        <f>IF(OR(AC$52=0,AB6="",AC6=""),0,IFERROR(IF(AND(INDEX(Arten,MATCH(AB6,Codes,0))="Arbeit",INDEX(Arten,MATCH(AC6,Codes,0))="Arbeit"),IF(ROUND((1+INDEX(Beginne,MATCH(AC6,Codes,0))-INDEX(EndeRel,MATCH(AB6,Codes,0)))*1440,0)&lt;660,1,0),0),0))</f>
      </c>
      <c r="AD55" s="1">
        <f>IF(OR(AD$52=0,AC6="",AD6=""),0,IFERROR(IF(AND(INDEX(Arten,MATCH(AC6,Codes,0))="Arbeit",INDEX(Arten,MATCH(AD6,Codes,0))="Arbeit"),IF(ROUND((1+INDEX(Beginne,MATCH(AD6,Codes,0))-INDEX(EndeRel,MATCH(AC6,Codes,0)))*1440,0)&lt;660,1,0),0),0))</f>
      </c>
      <c r="AE55" s="1">
        <f>IF(OR(AE$52=0,AD6="",AE6=""),0,IFERROR(IF(AND(INDEX(Arten,MATCH(AD6,Codes,0))="Arbeit",INDEX(Arten,MATCH(AE6,Codes,0))="Arbeit"),IF(ROUND((1+INDEX(Beginne,MATCH(AE6,Codes,0))-INDEX(EndeRel,MATCH(AD6,Codes,0)))*1440,0)&lt;660,1,0),0),0))</f>
      </c>
      <c r="AF55" s="1">
        <f>IF(OR(AF$52=0,AE6="",AF6=""),0,IFERROR(IF(AND(INDEX(Arten,MATCH(AE6,Codes,0))="Arbeit",INDEX(Arten,MATCH(AF6,Codes,0))="Arbeit"),IF(ROUND((1+INDEX(Beginne,MATCH(AF6,Codes,0))-INDEX(EndeRel,MATCH(AE6,Codes,0)))*1440,0)&lt;660,1,0),0),0))</f>
      </c>
    </row>
    <row r="56" hidden="1" spans="1:32" x14ac:dyDescent="0.25">
      <c r="A56" s="1"/>
      <c r="B56" s="1">
        <f>IF(OR(B$52=0,INDEX('Oktober'!$B$7:$AF$7,DAY(DATE(Jahr,11,0)))="",B7=""),0,IFERROR(IF(AND(INDEX(Arten,MATCH(INDEX('Oktober'!$B$7:$AF$7,DAY(DATE(Jahr,11,0))),Codes,0))="Arbeit",INDEX(Arten,MATCH(B7,Codes,0))="Arbeit"),IF(ROUND((1+INDEX(Beginne,MATCH(B7,Codes,0))-INDEX(EndeRel,MATCH(INDEX('Oktober'!$B$7:$AF$7,DAY(DATE(Jahr,11,0))),Codes,0)))*1440,0)&lt;660,1,0),0),0))</f>
      </c>
      <c r="C56" s="1">
        <f>IF(OR(C$52=0,B7="",C7=""),0,IFERROR(IF(AND(INDEX(Arten,MATCH(B7,Codes,0))="Arbeit",INDEX(Arten,MATCH(C7,Codes,0))="Arbeit"),IF(ROUND((1+INDEX(Beginne,MATCH(C7,Codes,0))-INDEX(EndeRel,MATCH(B7,Codes,0)))*1440,0)&lt;660,1,0),0),0))</f>
      </c>
      <c r="D56" s="1">
        <f>IF(OR(D$52=0,C7="",D7=""),0,IFERROR(IF(AND(INDEX(Arten,MATCH(C7,Codes,0))="Arbeit",INDEX(Arten,MATCH(D7,Codes,0))="Arbeit"),IF(ROUND((1+INDEX(Beginne,MATCH(D7,Codes,0))-INDEX(EndeRel,MATCH(C7,Codes,0)))*1440,0)&lt;660,1,0),0),0))</f>
      </c>
      <c r="E56" s="1">
        <f>IF(OR(E$52=0,D7="",E7=""),0,IFERROR(IF(AND(INDEX(Arten,MATCH(D7,Codes,0))="Arbeit",INDEX(Arten,MATCH(E7,Codes,0))="Arbeit"),IF(ROUND((1+INDEX(Beginne,MATCH(E7,Codes,0))-INDEX(EndeRel,MATCH(D7,Codes,0)))*1440,0)&lt;660,1,0),0),0))</f>
      </c>
      <c r="F56" s="1">
        <f>IF(OR(F$52=0,E7="",F7=""),0,IFERROR(IF(AND(INDEX(Arten,MATCH(E7,Codes,0))="Arbeit",INDEX(Arten,MATCH(F7,Codes,0))="Arbeit"),IF(ROUND((1+INDEX(Beginne,MATCH(F7,Codes,0))-INDEX(EndeRel,MATCH(E7,Codes,0)))*1440,0)&lt;660,1,0),0),0))</f>
      </c>
      <c r="G56" s="1">
        <f>IF(OR(G$52=0,F7="",G7=""),0,IFERROR(IF(AND(INDEX(Arten,MATCH(F7,Codes,0))="Arbeit",INDEX(Arten,MATCH(G7,Codes,0))="Arbeit"),IF(ROUND((1+INDEX(Beginne,MATCH(G7,Codes,0))-INDEX(EndeRel,MATCH(F7,Codes,0)))*1440,0)&lt;660,1,0),0),0))</f>
      </c>
      <c r="H56" s="1">
        <f>IF(OR(H$52=0,G7="",H7=""),0,IFERROR(IF(AND(INDEX(Arten,MATCH(G7,Codes,0))="Arbeit",INDEX(Arten,MATCH(H7,Codes,0))="Arbeit"),IF(ROUND((1+INDEX(Beginne,MATCH(H7,Codes,0))-INDEX(EndeRel,MATCH(G7,Codes,0)))*1440,0)&lt;660,1,0),0),0))</f>
      </c>
      <c r="I56" s="1">
        <f>IF(OR(I$52=0,H7="",I7=""),0,IFERROR(IF(AND(INDEX(Arten,MATCH(H7,Codes,0))="Arbeit",INDEX(Arten,MATCH(I7,Codes,0))="Arbeit"),IF(ROUND((1+INDEX(Beginne,MATCH(I7,Codes,0))-INDEX(EndeRel,MATCH(H7,Codes,0)))*1440,0)&lt;660,1,0),0),0))</f>
      </c>
      <c r="J56" s="1">
        <f>IF(OR(J$52=0,I7="",J7=""),0,IFERROR(IF(AND(INDEX(Arten,MATCH(I7,Codes,0))="Arbeit",INDEX(Arten,MATCH(J7,Codes,0))="Arbeit"),IF(ROUND((1+INDEX(Beginne,MATCH(J7,Codes,0))-INDEX(EndeRel,MATCH(I7,Codes,0)))*1440,0)&lt;660,1,0),0),0))</f>
      </c>
      <c r="K56" s="1">
        <f>IF(OR(K$52=0,J7="",K7=""),0,IFERROR(IF(AND(INDEX(Arten,MATCH(J7,Codes,0))="Arbeit",INDEX(Arten,MATCH(K7,Codes,0))="Arbeit"),IF(ROUND((1+INDEX(Beginne,MATCH(K7,Codes,0))-INDEX(EndeRel,MATCH(J7,Codes,0)))*1440,0)&lt;660,1,0),0),0))</f>
      </c>
      <c r="L56" s="1">
        <f>IF(OR(L$52=0,K7="",L7=""),0,IFERROR(IF(AND(INDEX(Arten,MATCH(K7,Codes,0))="Arbeit",INDEX(Arten,MATCH(L7,Codes,0))="Arbeit"),IF(ROUND((1+INDEX(Beginne,MATCH(L7,Codes,0))-INDEX(EndeRel,MATCH(K7,Codes,0)))*1440,0)&lt;660,1,0),0),0))</f>
      </c>
      <c r="M56" s="1">
        <f>IF(OR(M$52=0,L7="",M7=""),0,IFERROR(IF(AND(INDEX(Arten,MATCH(L7,Codes,0))="Arbeit",INDEX(Arten,MATCH(M7,Codes,0))="Arbeit"),IF(ROUND((1+INDEX(Beginne,MATCH(M7,Codes,0))-INDEX(EndeRel,MATCH(L7,Codes,0)))*1440,0)&lt;660,1,0),0),0))</f>
      </c>
      <c r="N56" s="1">
        <f>IF(OR(N$52=0,M7="",N7=""),0,IFERROR(IF(AND(INDEX(Arten,MATCH(M7,Codes,0))="Arbeit",INDEX(Arten,MATCH(N7,Codes,0))="Arbeit"),IF(ROUND((1+INDEX(Beginne,MATCH(N7,Codes,0))-INDEX(EndeRel,MATCH(M7,Codes,0)))*1440,0)&lt;660,1,0),0),0))</f>
      </c>
      <c r="O56" s="1">
        <f>IF(OR(O$52=0,N7="",O7=""),0,IFERROR(IF(AND(INDEX(Arten,MATCH(N7,Codes,0))="Arbeit",INDEX(Arten,MATCH(O7,Codes,0))="Arbeit"),IF(ROUND((1+INDEX(Beginne,MATCH(O7,Codes,0))-INDEX(EndeRel,MATCH(N7,Codes,0)))*1440,0)&lt;660,1,0),0),0))</f>
      </c>
      <c r="P56" s="1">
        <f>IF(OR(P$52=0,O7="",P7=""),0,IFERROR(IF(AND(INDEX(Arten,MATCH(O7,Codes,0))="Arbeit",INDEX(Arten,MATCH(P7,Codes,0))="Arbeit"),IF(ROUND((1+INDEX(Beginne,MATCH(P7,Codes,0))-INDEX(EndeRel,MATCH(O7,Codes,0)))*1440,0)&lt;660,1,0),0),0))</f>
      </c>
      <c r="Q56" s="1">
        <f>IF(OR(Q$52=0,P7="",Q7=""),0,IFERROR(IF(AND(INDEX(Arten,MATCH(P7,Codes,0))="Arbeit",INDEX(Arten,MATCH(Q7,Codes,0))="Arbeit"),IF(ROUND((1+INDEX(Beginne,MATCH(Q7,Codes,0))-INDEX(EndeRel,MATCH(P7,Codes,0)))*1440,0)&lt;660,1,0),0),0))</f>
      </c>
      <c r="R56" s="1">
        <f>IF(OR(R$52=0,Q7="",R7=""),0,IFERROR(IF(AND(INDEX(Arten,MATCH(Q7,Codes,0))="Arbeit",INDEX(Arten,MATCH(R7,Codes,0))="Arbeit"),IF(ROUND((1+INDEX(Beginne,MATCH(R7,Codes,0))-INDEX(EndeRel,MATCH(Q7,Codes,0)))*1440,0)&lt;660,1,0),0),0))</f>
      </c>
      <c r="S56" s="1">
        <f>IF(OR(S$52=0,R7="",S7=""),0,IFERROR(IF(AND(INDEX(Arten,MATCH(R7,Codes,0))="Arbeit",INDEX(Arten,MATCH(S7,Codes,0))="Arbeit"),IF(ROUND((1+INDEX(Beginne,MATCH(S7,Codes,0))-INDEX(EndeRel,MATCH(R7,Codes,0)))*1440,0)&lt;660,1,0),0),0))</f>
      </c>
      <c r="T56" s="1">
        <f>IF(OR(T$52=0,S7="",T7=""),0,IFERROR(IF(AND(INDEX(Arten,MATCH(S7,Codes,0))="Arbeit",INDEX(Arten,MATCH(T7,Codes,0))="Arbeit"),IF(ROUND((1+INDEX(Beginne,MATCH(T7,Codes,0))-INDEX(EndeRel,MATCH(S7,Codes,0)))*1440,0)&lt;660,1,0),0),0))</f>
      </c>
      <c r="U56" s="1">
        <f>IF(OR(U$52=0,T7="",U7=""),0,IFERROR(IF(AND(INDEX(Arten,MATCH(T7,Codes,0))="Arbeit",INDEX(Arten,MATCH(U7,Codes,0))="Arbeit"),IF(ROUND((1+INDEX(Beginne,MATCH(U7,Codes,0))-INDEX(EndeRel,MATCH(T7,Codes,0)))*1440,0)&lt;660,1,0),0),0))</f>
      </c>
      <c r="V56" s="1">
        <f>IF(OR(V$52=0,U7="",V7=""),0,IFERROR(IF(AND(INDEX(Arten,MATCH(U7,Codes,0))="Arbeit",INDEX(Arten,MATCH(V7,Codes,0))="Arbeit"),IF(ROUND((1+INDEX(Beginne,MATCH(V7,Codes,0))-INDEX(EndeRel,MATCH(U7,Codes,0)))*1440,0)&lt;660,1,0),0),0))</f>
      </c>
      <c r="W56" s="1">
        <f>IF(OR(W$52=0,V7="",W7=""),0,IFERROR(IF(AND(INDEX(Arten,MATCH(V7,Codes,0))="Arbeit",INDEX(Arten,MATCH(W7,Codes,0))="Arbeit"),IF(ROUND((1+INDEX(Beginne,MATCH(W7,Codes,0))-INDEX(EndeRel,MATCH(V7,Codes,0)))*1440,0)&lt;660,1,0),0),0))</f>
      </c>
      <c r="X56" s="1">
        <f>IF(OR(X$52=0,W7="",X7=""),0,IFERROR(IF(AND(INDEX(Arten,MATCH(W7,Codes,0))="Arbeit",INDEX(Arten,MATCH(X7,Codes,0))="Arbeit"),IF(ROUND((1+INDEX(Beginne,MATCH(X7,Codes,0))-INDEX(EndeRel,MATCH(W7,Codes,0)))*1440,0)&lt;660,1,0),0),0))</f>
      </c>
      <c r="Y56" s="1">
        <f>IF(OR(Y$52=0,X7="",Y7=""),0,IFERROR(IF(AND(INDEX(Arten,MATCH(X7,Codes,0))="Arbeit",INDEX(Arten,MATCH(Y7,Codes,0))="Arbeit"),IF(ROUND((1+INDEX(Beginne,MATCH(Y7,Codes,0))-INDEX(EndeRel,MATCH(X7,Codes,0)))*1440,0)&lt;660,1,0),0),0))</f>
      </c>
      <c r="Z56" s="1">
        <f>IF(OR(Z$52=0,Y7="",Z7=""),0,IFERROR(IF(AND(INDEX(Arten,MATCH(Y7,Codes,0))="Arbeit",INDEX(Arten,MATCH(Z7,Codes,0))="Arbeit"),IF(ROUND((1+INDEX(Beginne,MATCH(Z7,Codes,0))-INDEX(EndeRel,MATCH(Y7,Codes,0)))*1440,0)&lt;660,1,0),0),0))</f>
      </c>
      <c r="AA56" s="1">
        <f>IF(OR(AA$52=0,Z7="",AA7=""),0,IFERROR(IF(AND(INDEX(Arten,MATCH(Z7,Codes,0))="Arbeit",INDEX(Arten,MATCH(AA7,Codes,0))="Arbeit"),IF(ROUND((1+INDEX(Beginne,MATCH(AA7,Codes,0))-INDEX(EndeRel,MATCH(Z7,Codes,0)))*1440,0)&lt;660,1,0),0),0))</f>
      </c>
      <c r="AB56" s="1">
        <f>IF(OR(AB$52=0,AA7="",AB7=""),0,IFERROR(IF(AND(INDEX(Arten,MATCH(AA7,Codes,0))="Arbeit",INDEX(Arten,MATCH(AB7,Codes,0))="Arbeit"),IF(ROUND((1+INDEX(Beginne,MATCH(AB7,Codes,0))-INDEX(EndeRel,MATCH(AA7,Codes,0)))*1440,0)&lt;660,1,0),0),0))</f>
      </c>
      <c r="AC56" s="1">
        <f>IF(OR(AC$52=0,AB7="",AC7=""),0,IFERROR(IF(AND(INDEX(Arten,MATCH(AB7,Codes,0))="Arbeit",INDEX(Arten,MATCH(AC7,Codes,0))="Arbeit"),IF(ROUND((1+INDEX(Beginne,MATCH(AC7,Codes,0))-INDEX(EndeRel,MATCH(AB7,Codes,0)))*1440,0)&lt;660,1,0),0),0))</f>
      </c>
      <c r="AD56" s="1">
        <f>IF(OR(AD$52=0,AC7="",AD7=""),0,IFERROR(IF(AND(INDEX(Arten,MATCH(AC7,Codes,0))="Arbeit",INDEX(Arten,MATCH(AD7,Codes,0))="Arbeit"),IF(ROUND((1+INDEX(Beginne,MATCH(AD7,Codes,0))-INDEX(EndeRel,MATCH(AC7,Codes,0)))*1440,0)&lt;660,1,0),0),0))</f>
      </c>
      <c r="AE56" s="1">
        <f>IF(OR(AE$52=0,AD7="",AE7=""),0,IFERROR(IF(AND(INDEX(Arten,MATCH(AD7,Codes,0))="Arbeit",INDEX(Arten,MATCH(AE7,Codes,0))="Arbeit"),IF(ROUND((1+INDEX(Beginne,MATCH(AE7,Codes,0))-INDEX(EndeRel,MATCH(AD7,Codes,0)))*1440,0)&lt;660,1,0),0),0))</f>
      </c>
      <c r="AF56" s="1">
        <f>IF(OR(AF$52=0,AE7="",AF7=""),0,IFERROR(IF(AND(INDEX(Arten,MATCH(AE7,Codes,0))="Arbeit",INDEX(Arten,MATCH(AF7,Codes,0))="Arbeit"),IF(ROUND((1+INDEX(Beginne,MATCH(AF7,Codes,0))-INDEX(EndeRel,MATCH(AE7,Codes,0)))*1440,0)&lt;660,1,0),0),0))</f>
      </c>
    </row>
    <row r="57" hidden="1" spans="1:32" x14ac:dyDescent="0.25">
      <c r="A57" s="1"/>
      <c r="B57" s="1">
        <f>IF(OR(B$52=0,INDEX('Oktober'!$B$8:$AF$8,DAY(DATE(Jahr,11,0)))="",B8=""),0,IFERROR(IF(AND(INDEX(Arten,MATCH(INDEX('Oktober'!$B$8:$AF$8,DAY(DATE(Jahr,11,0))),Codes,0))="Arbeit",INDEX(Arten,MATCH(B8,Codes,0))="Arbeit"),IF(ROUND((1+INDEX(Beginne,MATCH(B8,Codes,0))-INDEX(EndeRel,MATCH(INDEX('Oktober'!$B$8:$AF$8,DAY(DATE(Jahr,11,0))),Codes,0)))*1440,0)&lt;660,1,0),0),0))</f>
      </c>
      <c r="C57" s="1">
        <f>IF(OR(C$52=0,B8="",C8=""),0,IFERROR(IF(AND(INDEX(Arten,MATCH(B8,Codes,0))="Arbeit",INDEX(Arten,MATCH(C8,Codes,0))="Arbeit"),IF(ROUND((1+INDEX(Beginne,MATCH(C8,Codes,0))-INDEX(EndeRel,MATCH(B8,Codes,0)))*1440,0)&lt;660,1,0),0),0))</f>
      </c>
      <c r="D57" s="1">
        <f>IF(OR(D$52=0,C8="",D8=""),0,IFERROR(IF(AND(INDEX(Arten,MATCH(C8,Codes,0))="Arbeit",INDEX(Arten,MATCH(D8,Codes,0))="Arbeit"),IF(ROUND((1+INDEX(Beginne,MATCH(D8,Codes,0))-INDEX(EndeRel,MATCH(C8,Codes,0)))*1440,0)&lt;660,1,0),0),0))</f>
      </c>
      <c r="E57" s="1">
        <f>IF(OR(E$52=0,D8="",E8=""),0,IFERROR(IF(AND(INDEX(Arten,MATCH(D8,Codes,0))="Arbeit",INDEX(Arten,MATCH(E8,Codes,0))="Arbeit"),IF(ROUND((1+INDEX(Beginne,MATCH(E8,Codes,0))-INDEX(EndeRel,MATCH(D8,Codes,0)))*1440,0)&lt;660,1,0),0),0))</f>
      </c>
      <c r="F57" s="1">
        <f>IF(OR(F$52=0,E8="",F8=""),0,IFERROR(IF(AND(INDEX(Arten,MATCH(E8,Codes,0))="Arbeit",INDEX(Arten,MATCH(F8,Codes,0))="Arbeit"),IF(ROUND((1+INDEX(Beginne,MATCH(F8,Codes,0))-INDEX(EndeRel,MATCH(E8,Codes,0)))*1440,0)&lt;660,1,0),0),0))</f>
      </c>
      <c r="G57" s="1">
        <f>IF(OR(G$52=0,F8="",G8=""),0,IFERROR(IF(AND(INDEX(Arten,MATCH(F8,Codes,0))="Arbeit",INDEX(Arten,MATCH(G8,Codes,0))="Arbeit"),IF(ROUND((1+INDEX(Beginne,MATCH(G8,Codes,0))-INDEX(EndeRel,MATCH(F8,Codes,0)))*1440,0)&lt;660,1,0),0),0))</f>
      </c>
      <c r="H57" s="1">
        <f>IF(OR(H$52=0,G8="",H8=""),0,IFERROR(IF(AND(INDEX(Arten,MATCH(G8,Codes,0))="Arbeit",INDEX(Arten,MATCH(H8,Codes,0))="Arbeit"),IF(ROUND((1+INDEX(Beginne,MATCH(H8,Codes,0))-INDEX(EndeRel,MATCH(G8,Codes,0)))*1440,0)&lt;660,1,0),0),0))</f>
      </c>
      <c r="I57" s="1">
        <f>IF(OR(I$52=0,H8="",I8=""),0,IFERROR(IF(AND(INDEX(Arten,MATCH(H8,Codes,0))="Arbeit",INDEX(Arten,MATCH(I8,Codes,0))="Arbeit"),IF(ROUND((1+INDEX(Beginne,MATCH(I8,Codes,0))-INDEX(EndeRel,MATCH(H8,Codes,0)))*1440,0)&lt;660,1,0),0),0))</f>
      </c>
      <c r="J57" s="1">
        <f>IF(OR(J$52=0,I8="",J8=""),0,IFERROR(IF(AND(INDEX(Arten,MATCH(I8,Codes,0))="Arbeit",INDEX(Arten,MATCH(J8,Codes,0))="Arbeit"),IF(ROUND((1+INDEX(Beginne,MATCH(J8,Codes,0))-INDEX(EndeRel,MATCH(I8,Codes,0)))*1440,0)&lt;660,1,0),0),0))</f>
      </c>
      <c r="K57" s="1">
        <f>IF(OR(K$52=0,J8="",K8=""),0,IFERROR(IF(AND(INDEX(Arten,MATCH(J8,Codes,0))="Arbeit",INDEX(Arten,MATCH(K8,Codes,0))="Arbeit"),IF(ROUND((1+INDEX(Beginne,MATCH(K8,Codes,0))-INDEX(EndeRel,MATCH(J8,Codes,0)))*1440,0)&lt;660,1,0),0),0))</f>
      </c>
      <c r="L57" s="1">
        <f>IF(OR(L$52=0,K8="",L8=""),0,IFERROR(IF(AND(INDEX(Arten,MATCH(K8,Codes,0))="Arbeit",INDEX(Arten,MATCH(L8,Codes,0))="Arbeit"),IF(ROUND((1+INDEX(Beginne,MATCH(L8,Codes,0))-INDEX(EndeRel,MATCH(K8,Codes,0)))*1440,0)&lt;660,1,0),0),0))</f>
      </c>
      <c r="M57" s="1">
        <f>IF(OR(M$52=0,L8="",M8=""),0,IFERROR(IF(AND(INDEX(Arten,MATCH(L8,Codes,0))="Arbeit",INDEX(Arten,MATCH(M8,Codes,0))="Arbeit"),IF(ROUND((1+INDEX(Beginne,MATCH(M8,Codes,0))-INDEX(EndeRel,MATCH(L8,Codes,0)))*1440,0)&lt;660,1,0),0),0))</f>
      </c>
      <c r="N57" s="1">
        <f>IF(OR(N$52=0,M8="",N8=""),0,IFERROR(IF(AND(INDEX(Arten,MATCH(M8,Codes,0))="Arbeit",INDEX(Arten,MATCH(N8,Codes,0))="Arbeit"),IF(ROUND((1+INDEX(Beginne,MATCH(N8,Codes,0))-INDEX(EndeRel,MATCH(M8,Codes,0)))*1440,0)&lt;660,1,0),0),0))</f>
      </c>
      <c r="O57" s="1">
        <f>IF(OR(O$52=0,N8="",O8=""),0,IFERROR(IF(AND(INDEX(Arten,MATCH(N8,Codes,0))="Arbeit",INDEX(Arten,MATCH(O8,Codes,0))="Arbeit"),IF(ROUND((1+INDEX(Beginne,MATCH(O8,Codes,0))-INDEX(EndeRel,MATCH(N8,Codes,0)))*1440,0)&lt;660,1,0),0),0))</f>
      </c>
      <c r="P57" s="1">
        <f>IF(OR(P$52=0,O8="",P8=""),0,IFERROR(IF(AND(INDEX(Arten,MATCH(O8,Codes,0))="Arbeit",INDEX(Arten,MATCH(P8,Codes,0))="Arbeit"),IF(ROUND((1+INDEX(Beginne,MATCH(P8,Codes,0))-INDEX(EndeRel,MATCH(O8,Codes,0)))*1440,0)&lt;660,1,0),0),0))</f>
      </c>
      <c r="Q57" s="1">
        <f>IF(OR(Q$52=0,P8="",Q8=""),0,IFERROR(IF(AND(INDEX(Arten,MATCH(P8,Codes,0))="Arbeit",INDEX(Arten,MATCH(Q8,Codes,0))="Arbeit"),IF(ROUND((1+INDEX(Beginne,MATCH(Q8,Codes,0))-INDEX(EndeRel,MATCH(P8,Codes,0)))*1440,0)&lt;660,1,0),0),0))</f>
      </c>
      <c r="R57" s="1">
        <f>IF(OR(R$52=0,Q8="",R8=""),0,IFERROR(IF(AND(INDEX(Arten,MATCH(Q8,Codes,0))="Arbeit",INDEX(Arten,MATCH(R8,Codes,0))="Arbeit"),IF(ROUND((1+INDEX(Beginne,MATCH(R8,Codes,0))-INDEX(EndeRel,MATCH(Q8,Codes,0)))*1440,0)&lt;660,1,0),0),0))</f>
      </c>
      <c r="S57" s="1">
        <f>IF(OR(S$52=0,R8="",S8=""),0,IFERROR(IF(AND(INDEX(Arten,MATCH(R8,Codes,0))="Arbeit",INDEX(Arten,MATCH(S8,Codes,0))="Arbeit"),IF(ROUND((1+INDEX(Beginne,MATCH(S8,Codes,0))-INDEX(EndeRel,MATCH(R8,Codes,0)))*1440,0)&lt;660,1,0),0),0))</f>
      </c>
      <c r="T57" s="1">
        <f>IF(OR(T$52=0,S8="",T8=""),0,IFERROR(IF(AND(INDEX(Arten,MATCH(S8,Codes,0))="Arbeit",INDEX(Arten,MATCH(T8,Codes,0))="Arbeit"),IF(ROUND((1+INDEX(Beginne,MATCH(T8,Codes,0))-INDEX(EndeRel,MATCH(S8,Codes,0)))*1440,0)&lt;660,1,0),0),0))</f>
      </c>
      <c r="U57" s="1">
        <f>IF(OR(U$52=0,T8="",U8=""),0,IFERROR(IF(AND(INDEX(Arten,MATCH(T8,Codes,0))="Arbeit",INDEX(Arten,MATCH(U8,Codes,0))="Arbeit"),IF(ROUND((1+INDEX(Beginne,MATCH(U8,Codes,0))-INDEX(EndeRel,MATCH(T8,Codes,0)))*1440,0)&lt;660,1,0),0),0))</f>
      </c>
      <c r="V57" s="1">
        <f>IF(OR(V$52=0,U8="",V8=""),0,IFERROR(IF(AND(INDEX(Arten,MATCH(U8,Codes,0))="Arbeit",INDEX(Arten,MATCH(V8,Codes,0))="Arbeit"),IF(ROUND((1+INDEX(Beginne,MATCH(V8,Codes,0))-INDEX(EndeRel,MATCH(U8,Codes,0)))*1440,0)&lt;660,1,0),0),0))</f>
      </c>
      <c r="W57" s="1">
        <f>IF(OR(W$52=0,V8="",W8=""),0,IFERROR(IF(AND(INDEX(Arten,MATCH(V8,Codes,0))="Arbeit",INDEX(Arten,MATCH(W8,Codes,0))="Arbeit"),IF(ROUND((1+INDEX(Beginne,MATCH(W8,Codes,0))-INDEX(EndeRel,MATCH(V8,Codes,0)))*1440,0)&lt;660,1,0),0),0))</f>
      </c>
      <c r="X57" s="1">
        <f>IF(OR(X$52=0,W8="",X8=""),0,IFERROR(IF(AND(INDEX(Arten,MATCH(W8,Codes,0))="Arbeit",INDEX(Arten,MATCH(X8,Codes,0))="Arbeit"),IF(ROUND((1+INDEX(Beginne,MATCH(X8,Codes,0))-INDEX(EndeRel,MATCH(W8,Codes,0)))*1440,0)&lt;660,1,0),0),0))</f>
      </c>
      <c r="Y57" s="1">
        <f>IF(OR(Y$52=0,X8="",Y8=""),0,IFERROR(IF(AND(INDEX(Arten,MATCH(X8,Codes,0))="Arbeit",INDEX(Arten,MATCH(Y8,Codes,0))="Arbeit"),IF(ROUND((1+INDEX(Beginne,MATCH(Y8,Codes,0))-INDEX(EndeRel,MATCH(X8,Codes,0)))*1440,0)&lt;660,1,0),0),0))</f>
      </c>
      <c r="Z57" s="1">
        <f>IF(OR(Z$52=0,Y8="",Z8=""),0,IFERROR(IF(AND(INDEX(Arten,MATCH(Y8,Codes,0))="Arbeit",INDEX(Arten,MATCH(Z8,Codes,0))="Arbeit"),IF(ROUND((1+INDEX(Beginne,MATCH(Z8,Codes,0))-INDEX(EndeRel,MATCH(Y8,Codes,0)))*1440,0)&lt;660,1,0),0),0))</f>
      </c>
      <c r="AA57" s="1">
        <f>IF(OR(AA$52=0,Z8="",AA8=""),0,IFERROR(IF(AND(INDEX(Arten,MATCH(Z8,Codes,0))="Arbeit",INDEX(Arten,MATCH(AA8,Codes,0))="Arbeit"),IF(ROUND((1+INDEX(Beginne,MATCH(AA8,Codes,0))-INDEX(EndeRel,MATCH(Z8,Codes,0)))*1440,0)&lt;660,1,0),0),0))</f>
      </c>
      <c r="AB57" s="1">
        <f>IF(OR(AB$52=0,AA8="",AB8=""),0,IFERROR(IF(AND(INDEX(Arten,MATCH(AA8,Codes,0))="Arbeit",INDEX(Arten,MATCH(AB8,Codes,0))="Arbeit"),IF(ROUND((1+INDEX(Beginne,MATCH(AB8,Codes,0))-INDEX(EndeRel,MATCH(AA8,Codes,0)))*1440,0)&lt;660,1,0),0),0))</f>
      </c>
      <c r="AC57" s="1">
        <f>IF(OR(AC$52=0,AB8="",AC8=""),0,IFERROR(IF(AND(INDEX(Arten,MATCH(AB8,Codes,0))="Arbeit",INDEX(Arten,MATCH(AC8,Codes,0))="Arbeit"),IF(ROUND((1+INDEX(Beginne,MATCH(AC8,Codes,0))-INDEX(EndeRel,MATCH(AB8,Codes,0)))*1440,0)&lt;660,1,0),0),0))</f>
      </c>
      <c r="AD57" s="1">
        <f>IF(OR(AD$52=0,AC8="",AD8=""),0,IFERROR(IF(AND(INDEX(Arten,MATCH(AC8,Codes,0))="Arbeit",INDEX(Arten,MATCH(AD8,Codes,0))="Arbeit"),IF(ROUND((1+INDEX(Beginne,MATCH(AD8,Codes,0))-INDEX(EndeRel,MATCH(AC8,Codes,0)))*1440,0)&lt;660,1,0),0),0))</f>
      </c>
      <c r="AE57" s="1">
        <f>IF(OR(AE$52=0,AD8="",AE8=""),0,IFERROR(IF(AND(INDEX(Arten,MATCH(AD8,Codes,0))="Arbeit",INDEX(Arten,MATCH(AE8,Codes,0))="Arbeit"),IF(ROUND((1+INDEX(Beginne,MATCH(AE8,Codes,0))-INDEX(EndeRel,MATCH(AD8,Codes,0)))*1440,0)&lt;660,1,0),0),0))</f>
      </c>
      <c r="AF57" s="1">
        <f>IF(OR(AF$52=0,AE8="",AF8=""),0,IFERROR(IF(AND(INDEX(Arten,MATCH(AE8,Codes,0))="Arbeit",INDEX(Arten,MATCH(AF8,Codes,0))="Arbeit"),IF(ROUND((1+INDEX(Beginne,MATCH(AF8,Codes,0))-INDEX(EndeRel,MATCH(AE8,Codes,0)))*1440,0)&lt;660,1,0),0),0))</f>
      </c>
    </row>
    <row r="58" hidden="1" spans="1:32" x14ac:dyDescent="0.25">
      <c r="A58" s="1"/>
      <c r="B58" s="1">
        <f>IF(OR(B$52=0,INDEX('Oktober'!$B$9:$AF$9,DAY(DATE(Jahr,11,0)))="",B9=""),0,IFERROR(IF(AND(INDEX(Arten,MATCH(INDEX('Oktober'!$B$9:$AF$9,DAY(DATE(Jahr,11,0))),Codes,0))="Arbeit",INDEX(Arten,MATCH(B9,Codes,0))="Arbeit"),IF(ROUND((1+INDEX(Beginne,MATCH(B9,Codes,0))-INDEX(EndeRel,MATCH(INDEX('Oktober'!$B$9:$AF$9,DAY(DATE(Jahr,11,0))),Codes,0)))*1440,0)&lt;660,1,0),0),0))</f>
      </c>
      <c r="C58" s="1">
        <f>IF(OR(C$52=0,B9="",C9=""),0,IFERROR(IF(AND(INDEX(Arten,MATCH(B9,Codes,0))="Arbeit",INDEX(Arten,MATCH(C9,Codes,0))="Arbeit"),IF(ROUND((1+INDEX(Beginne,MATCH(C9,Codes,0))-INDEX(EndeRel,MATCH(B9,Codes,0)))*1440,0)&lt;660,1,0),0),0))</f>
      </c>
      <c r="D58" s="1">
        <f>IF(OR(D$52=0,C9="",D9=""),0,IFERROR(IF(AND(INDEX(Arten,MATCH(C9,Codes,0))="Arbeit",INDEX(Arten,MATCH(D9,Codes,0))="Arbeit"),IF(ROUND((1+INDEX(Beginne,MATCH(D9,Codes,0))-INDEX(EndeRel,MATCH(C9,Codes,0)))*1440,0)&lt;660,1,0),0),0))</f>
      </c>
      <c r="E58" s="1">
        <f>IF(OR(E$52=0,D9="",E9=""),0,IFERROR(IF(AND(INDEX(Arten,MATCH(D9,Codes,0))="Arbeit",INDEX(Arten,MATCH(E9,Codes,0))="Arbeit"),IF(ROUND((1+INDEX(Beginne,MATCH(E9,Codes,0))-INDEX(EndeRel,MATCH(D9,Codes,0)))*1440,0)&lt;660,1,0),0),0))</f>
      </c>
      <c r="F58" s="1">
        <f>IF(OR(F$52=0,E9="",F9=""),0,IFERROR(IF(AND(INDEX(Arten,MATCH(E9,Codes,0))="Arbeit",INDEX(Arten,MATCH(F9,Codes,0))="Arbeit"),IF(ROUND((1+INDEX(Beginne,MATCH(F9,Codes,0))-INDEX(EndeRel,MATCH(E9,Codes,0)))*1440,0)&lt;660,1,0),0),0))</f>
      </c>
      <c r="G58" s="1">
        <f>IF(OR(G$52=0,F9="",G9=""),0,IFERROR(IF(AND(INDEX(Arten,MATCH(F9,Codes,0))="Arbeit",INDEX(Arten,MATCH(G9,Codes,0))="Arbeit"),IF(ROUND((1+INDEX(Beginne,MATCH(G9,Codes,0))-INDEX(EndeRel,MATCH(F9,Codes,0)))*1440,0)&lt;660,1,0),0),0))</f>
      </c>
      <c r="H58" s="1">
        <f>IF(OR(H$52=0,G9="",H9=""),0,IFERROR(IF(AND(INDEX(Arten,MATCH(G9,Codes,0))="Arbeit",INDEX(Arten,MATCH(H9,Codes,0))="Arbeit"),IF(ROUND((1+INDEX(Beginne,MATCH(H9,Codes,0))-INDEX(EndeRel,MATCH(G9,Codes,0)))*1440,0)&lt;660,1,0),0),0))</f>
      </c>
      <c r="I58" s="1">
        <f>IF(OR(I$52=0,H9="",I9=""),0,IFERROR(IF(AND(INDEX(Arten,MATCH(H9,Codes,0))="Arbeit",INDEX(Arten,MATCH(I9,Codes,0))="Arbeit"),IF(ROUND((1+INDEX(Beginne,MATCH(I9,Codes,0))-INDEX(EndeRel,MATCH(H9,Codes,0)))*1440,0)&lt;660,1,0),0),0))</f>
      </c>
      <c r="J58" s="1">
        <f>IF(OR(J$52=0,I9="",J9=""),0,IFERROR(IF(AND(INDEX(Arten,MATCH(I9,Codes,0))="Arbeit",INDEX(Arten,MATCH(J9,Codes,0))="Arbeit"),IF(ROUND((1+INDEX(Beginne,MATCH(J9,Codes,0))-INDEX(EndeRel,MATCH(I9,Codes,0)))*1440,0)&lt;660,1,0),0),0))</f>
      </c>
      <c r="K58" s="1">
        <f>IF(OR(K$52=0,J9="",K9=""),0,IFERROR(IF(AND(INDEX(Arten,MATCH(J9,Codes,0))="Arbeit",INDEX(Arten,MATCH(K9,Codes,0))="Arbeit"),IF(ROUND((1+INDEX(Beginne,MATCH(K9,Codes,0))-INDEX(EndeRel,MATCH(J9,Codes,0)))*1440,0)&lt;660,1,0),0),0))</f>
      </c>
      <c r="L58" s="1">
        <f>IF(OR(L$52=0,K9="",L9=""),0,IFERROR(IF(AND(INDEX(Arten,MATCH(K9,Codes,0))="Arbeit",INDEX(Arten,MATCH(L9,Codes,0))="Arbeit"),IF(ROUND((1+INDEX(Beginne,MATCH(L9,Codes,0))-INDEX(EndeRel,MATCH(K9,Codes,0)))*1440,0)&lt;660,1,0),0),0))</f>
      </c>
      <c r="M58" s="1">
        <f>IF(OR(M$52=0,L9="",M9=""),0,IFERROR(IF(AND(INDEX(Arten,MATCH(L9,Codes,0))="Arbeit",INDEX(Arten,MATCH(M9,Codes,0))="Arbeit"),IF(ROUND((1+INDEX(Beginne,MATCH(M9,Codes,0))-INDEX(EndeRel,MATCH(L9,Codes,0)))*1440,0)&lt;660,1,0),0),0))</f>
      </c>
      <c r="N58" s="1">
        <f>IF(OR(N$52=0,M9="",N9=""),0,IFERROR(IF(AND(INDEX(Arten,MATCH(M9,Codes,0))="Arbeit",INDEX(Arten,MATCH(N9,Codes,0))="Arbeit"),IF(ROUND((1+INDEX(Beginne,MATCH(N9,Codes,0))-INDEX(EndeRel,MATCH(M9,Codes,0)))*1440,0)&lt;660,1,0),0),0))</f>
      </c>
      <c r="O58" s="1">
        <f>IF(OR(O$52=0,N9="",O9=""),0,IFERROR(IF(AND(INDEX(Arten,MATCH(N9,Codes,0))="Arbeit",INDEX(Arten,MATCH(O9,Codes,0))="Arbeit"),IF(ROUND((1+INDEX(Beginne,MATCH(O9,Codes,0))-INDEX(EndeRel,MATCH(N9,Codes,0)))*1440,0)&lt;660,1,0),0),0))</f>
      </c>
      <c r="P58" s="1">
        <f>IF(OR(P$52=0,O9="",P9=""),0,IFERROR(IF(AND(INDEX(Arten,MATCH(O9,Codes,0))="Arbeit",INDEX(Arten,MATCH(P9,Codes,0))="Arbeit"),IF(ROUND((1+INDEX(Beginne,MATCH(P9,Codes,0))-INDEX(EndeRel,MATCH(O9,Codes,0)))*1440,0)&lt;660,1,0),0),0))</f>
      </c>
      <c r="Q58" s="1">
        <f>IF(OR(Q$52=0,P9="",Q9=""),0,IFERROR(IF(AND(INDEX(Arten,MATCH(P9,Codes,0))="Arbeit",INDEX(Arten,MATCH(Q9,Codes,0))="Arbeit"),IF(ROUND((1+INDEX(Beginne,MATCH(Q9,Codes,0))-INDEX(EndeRel,MATCH(P9,Codes,0)))*1440,0)&lt;660,1,0),0),0))</f>
      </c>
      <c r="R58" s="1">
        <f>IF(OR(R$52=0,Q9="",R9=""),0,IFERROR(IF(AND(INDEX(Arten,MATCH(Q9,Codes,0))="Arbeit",INDEX(Arten,MATCH(R9,Codes,0))="Arbeit"),IF(ROUND((1+INDEX(Beginne,MATCH(R9,Codes,0))-INDEX(EndeRel,MATCH(Q9,Codes,0)))*1440,0)&lt;660,1,0),0),0))</f>
      </c>
      <c r="S58" s="1">
        <f>IF(OR(S$52=0,R9="",S9=""),0,IFERROR(IF(AND(INDEX(Arten,MATCH(R9,Codes,0))="Arbeit",INDEX(Arten,MATCH(S9,Codes,0))="Arbeit"),IF(ROUND((1+INDEX(Beginne,MATCH(S9,Codes,0))-INDEX(EndeRel,MATCH(R9,Codes,0)))*1440,0)&lt;660,1,0),0),0))</f>
      </c>
      <c r="T58" s="1">
        <f>IF(OR(T$52=0,S9="",T9=""),0,IFERROR(IF(AND(INDEX(Arten,MATCH(S9,Codes,0))="Arbeit",INDEX(Arten,MATCH(T9,Codes,0))="Arbeit"),IF(ROUND((1+INDEX(Beginne,MATCH(T9,Codes,0))-INDEX(EndeRel,MATCH(S9,Codes,0)))*1440,0)&lt;660,1,0),0),0))</f>
      </c>
      <c r="U58" s="1">
        <f>IF(OR(U$52=0,T9="",U9=""),0,IFERROR(IF(AND(INDEX(Arten,MATCH(T9,Codes,0))="Arbeit",INDEX(Arten,MATCH(U9,Codes,0))="Arbeit"),IF(ROUND((1+INDEX(Beginne,MATCH(U9,Codes,0))-INDEX(EndeRel,MATCH(T9,Codes,0)))*1440,0)&lt;660,1,0),0),0))</f>
      </c>
      <c r="V58" s="1">
        <f>IF(OR(V$52=0,U9="",V9=""),0,IFERROR(IF(AND(INDEX(Arten,MATCH(U9,Codes,0))="Arbeit",INDEX(Arten,MATCH(V9,Codes,0))="Arbeit"),IF(ROUND((1+INDEX(Beginne,MATCH(V9,Codes,0))-INDEX(EndeRel,MATCH(U9,Codes,0)))*1440,0)&lt;660,1,0),0),0))</f>
      </c>
      <c r="W58" s="1">
        <f>IF(OR(W$52=0,V9="",W9=""),0,IFERROR(IF(AND(INDEX(Arten,MATCH(V9,Codes,0))="Arbeit",INDEX(Arten,MATCH(W9,Codes,0))="Arbeit"),IF(ROUND((1+INDEX(Beginne,MATCH(W9,Codes,0))-INDEX(EndeRel,MATCH(V9,Codes,0)))*1440,0)&lt;660,1,0),0),0))</f>
      </c>
      <c r="X58" s="1">
        <f>IF(OR(X$52=0,W9="",X9=""),0,IFERROR(IF(AND(INDEX(Arten,MATCH(W9,Codes,0))="Arbeit",INDEX(Arten,MATCH(X9,Codes,0))="Arbeit"),IF(ROUND((1+INDEX(Beginne,MATCH(X9,Codes,0))-INDEX(EndeRel,MATCH(W9,Codes,0)))*1440,0)&lt;660,1,0),0),0))</f>
      </c>
      <c r="Y58" s="1">
        <f>IF(OR(Y$52=0,X9="",Y9=""),0,IFERROR(IF(AND(INDEX(Arten,MATCH(X9,Codes,0))="Arbeit",INDEX(Arten,MATCH(Y9,Codes,0))="Arbeit"),IF(ROUND((1+INDEX(Beginne,MATCH(Y9,Codes,0))-INDEX(EndeRel,MATCH(X9,Codes,0)))*1440,0)&lt;660,1,0),0),0))</f>
      </c>
      <c r="Z58" s="1">
        <f>IF(OR(Z$52=0,Y9="",Z9=""),0,IFERROR(IF(AND(INDEX(Arten,MATCH(Y9,Codes,0))="Arbeit",INDEX(Arten,MATCH(Z9,Codes,0))="Arbeit"),IF(ROUND((1+INDEX(Beginne,MATCH(Z9,Codes,0))-INDEX(EndeRel,MATCH(Y9,Codes,0)))*1440,0)&lt;660,1,0),0),0))</f>
      </c>
      <c r="AA58" s="1">
        <f>IF(OR(AA$52=0,Z9="",AA9=""),0,IFERROR(IF(AND(INDEX(Arten,MATCH(Z9,Codes,0))="Arbeit",INDEX(Arten,MATCH(AA9,Codes,0))="Arbeit"),IF(ROUND((1+INDEX(Beginne,MATCH(AA9,Codes,0))-INDEX(EndeRel,MATCH(Z9,Codes,0)))*1440,0)&lt;660,1,0),0),0))</f>
      </c>
      <c r="AB58" s="1">
        <f>IF(OR(AB$52=0,AA9="",AB9=""),0,IFERROR(IF(AND(INDEX(Arten,MATCH(AA9,Codes,0))="Arbeit",INDEX(Arten,MATCH(AB9,Codes,0))="Arbeit"),IF(ROUND((1+INDEX(Beginne,MATCH(AB9,Codes,0))-INDEX(EndeRel,MATCH(AA9,Codes,0)))*1440,0)&lt;660,1,0),0),0))</f>
      </c>
      <c r="AC58" s="1">
        <f>IF(OR(AC$52=0,AB9="",AC9=""),0,IFERROR(IF(AND(INDEX(Arten,MATCH(AB9,Codes,0))="Arbeit",INDEX(Arten,MATCH(AC9,Codes,0))="Arbeit"),IF(ROUND((1+INDEX(Beginne,MATCH(AC9,Codes,0))-INDEX(EndeRel,MATCH(AB9,Codes,0)))*1440,0)&lt;660,1,0),0),0))</f>
      </c>
      <c r="AD58" s="1">
        <f>IF(OR(AD$52=0,AC9="",AD9=""),0,IFERROR(IF(AND(INDEX(Arten,MATCH(AC9,Codes,0))="Arbeit",INDEX(Arten,MATCH(AD9,Codes,0))="Arbeit"),IF(ROUND((1+INDEX(Beginne,MATCH(AD9,Codes,0))-INDEX(EndeRel,MATCH(AC9,Codes,0)))*1440,0)&lt;660,1,0),0),0))</f>
      </c>
      <c r="AE58" s="1">
        <f>IF(OR(AE$52=0,AD9="",AE9=""),0,IFERROR(IF(AND(INDEX(Arten,MATCH(AD9,Codes,0))="Arbeit",INDEX(Arten,MATCH(AE9,Codes,0))="Arbeit"),IF(ROUND((1+INDEX(Beginne,MATCH(AE9,Codes,0))-INDEX(EndeRel,MATCH(AD9,Codes,0)))*1440,0)&lt;660,1,0),0),0))</f>
      </c>
      <c r="AF58" s="1">
        <f>IF(OR(AF$52=0,AE9="",AF9=""),0,IFERROR(IF(AND(INDEX(Arten,MATCH(AE9,Codes,0))="Arbeit",INDEX(Arten,MATCH(AF9,Codes,0))="Arbeit"),IF(ROUND((1+INDEX(Beginne,MATCH(AF9,Codes,0))-INDEX(EndeRel,MATCH(AE9,Codes,0)))*1440,0)&lt;660,1,0),0),0))</f>
      </c>
    </row>
    <row r="59" hidden="1" spans="1:32" x14ac:dyDescent="0.25">
      <c r="A59" s="1"/>
      <c r="B59" s="1">
        <f>IF(OR(B$52=0,INDEX('Oktober'!$B$10:$AF$10,DAY(DATE(Jahr,11,0)))="",B10=""),0,IFERROR(IF(AND(INDEX(Arten,MATCH(INDEX('Oktober'!$B$10:$AF$10,DAY(DATE(Jahr,11,0))),Codes,0))="Arbeit",INDEX(Arten,MATCH(B10,Codes,0))="Arbeit"),IF(ROUND((1+INDEX(Beginne,MATCH(B10,Codes,0))-INDEX(EndeRel,MATCH(INDEX('Oktober'!$B$10:$AF$10,DAY(DATE(Jahr,11,0))),Codes,0)))*1440,0)&lt;660,1,0),0),0))</f>
      </c>
      <c r="C59" s="1">
        <f>IF(OR(C$52=0,B10="",C10=""),0,IFERROR(IF(AND(INDEX(Arten,MATCH(B10,Codes,0))="Arbeit",INDEX(Arten,MATCH(C10,Codes,0))="Arbeit"),IF(ROUND((1+INDEX(Beginne,MATCH(C10,Codes,0))-INDEX(EndeRel,MATCH(B10,Codes,0)))*1440,0)&lt;660,1,0),0),0))</f>
      </c>
      <c r="D59" s="1">
        <f>IF(OR(D$52=0,C10="",D10=""),0,IFERROR(IF(AND(INDEX(Arten,MATCH(C10,Codes,0))="Arbeit",INDEX(Arten,MATCH(D10,Codes,0))="Arbeit"),IF(ROUND((1+INDEX(Beginne,MATCH(D10,Codes,0))-INDEX(EndeRel,MATCH(C10,Codes,0)))*1440,0)&lt;660,1,0),0),0))</f>
      </c>
      <c r="E59" s="1">
        <f>IF(OR(E$52=0,D10="",E10=""),0,IFERROR(IF(AND(INDEX(Arten,MATCH(D10,Codes,0))="Arbeit",INDEX(Arten,MATCH(E10,Codes,0))="Arbeit"),IF(ROUND((1+INDEX(Beginne,MATCH(E10,Codes,0))-INDEX(EndeRel,MATCH(D10,Codes,0)))*1440,0)&lt;660,1,0),0),0))</f>
      </c>
      <c r="F59" s="1">
        <f>IF(OR(F$52=0,E10="",F10=""),0,IFERROR(IF(AND(INDEX(Arten,MATCH(E10,Codes,0))="Arbeit",INDEX(Arten,MATCH(F10,Codes,0))="Arbeit"),IF(ROUND((1+INDEX(Beginne,MATCH(F10,Codes,0))-INDEX(EndeRel,MATCH(E10,Codes,0)))*1440,0)&lt;660,1,0),0),0))</f>
      </c>
      <c r="G59" s="1">
        <f>IF(OR(G$52=0,F10="",G10=""),0,IFERROR(IF(AND(INDEX(Arten,MATCH(F10,Codes,0))="Arbeit",INDEX(Arten,MATCH(G10,Codes,0))="Arbeit"),IF(ROUND((1+INDEX(Beginne,MATCH(G10,Codes,0))-INDEX(EndeRel,MATCH(F10,Codes,0)))*1440,0)&lt;660,1,0),0),0))</f>
      </c>
      <c r="H59" s="1">
        <f>IF(OR(H$52=0,G10="",H10=""),0,IFERROR(IF(AND(INDEX(Arten,MATCH(G10,Codes,0))="Arbeit",INDEX(Arten,MATCH(H10,Codes,0))="Arbeit"),IF(ROUND((1+INDEX(Beginne,MATCH(H10,Codes,0))-INDEX(EndeRel,MATCH(G10,Codes,0)))*1440,0)&lt;660,1,0),0),0))</f>
      </c>
      <c r="I59" s="1">
        <f>IF(OR(I$52=0,H10="",I10=""),0,IFERROR(IF(AND(INDEX(Arten,MATCH(H10,Codes,0))="Arbeit",INDEX(Arten,MATCH(I10,Codes,0))="Arbeit"),IF(ROUND((1+INDEX(Beginne,MATCH(I10,Codes,0))-INDEX(EndeRel,MATCH(H10,Codes,0)))*1440,0)&lt;660,1,0),0),0))</f>
      </c>
      <c r="J59" s="1">
        <f>IF(OR(J$52=0,I10="",J10=""),0,IFERROR(IF(AND(INDEX(Arten,MATCH(I10,Codes,0))="Arbeit",INDEX(Arten,MATCH(J10,Codes,0))="Arbeit"),IF(ROUND((1+INDEX(Beginne,MATCH(J10,Codes,0))-INDEX(EndeRel,MATCH(I10,Codes,0)))*1440,0)&lt;660,1,0),0),0))</f>
      </c>
      <c r="K59" s="1">
        <f>IF(OR(K$52=0,J10="",K10=""),0,IFERROR(IF(AND(INDEX(Arten,MATCH(J10,Codes,0))="Arbeit",INDEX(Arten,MATCH(K10,Codes,0))="Arbeit"),IF(ROUND((1+INDEX(Beginne,MATCH(K10,Codes,0))-INDEX(EndeRel,MATCH(J10,Codes,0)))*1440,0)&lt;660,1,0),0),0))</f>
      </c>
      <c r="L59" s="1">
        <f>IF(OR(L$52=0,K10="",L10=""),0,IFERROR(IF(AND(INDEX(Arten,MATCH(K10,Codes,0))="Arbeit",INDEX(Arten,MATCH(L10,Codes,0))="Arbeit"),IF(ROUND((1+INDEX(Beginne,MATCH(L10,Codes,0))-INDEX(EndeRel,MATCH(K10,Codes,0)))*1440,0)&lt;660,1,0),0),0))</f>
      </c>
      <c r="M59" s="1">
        <f>IF(OR(M$52=0,L10="",M10=""),0,IFERROR(IF(AND(INDEX(Arten,MATCH(L10,Codes,0))="Arbeit",INDEX(Arten,MATCH(M10,Codes,0))="Arbeit"),IF(ROUND((1+INDEX(Beginne,MATCH(M10,Codes,0))-INDEX(EndeRel,MATCH(L10,Codes,0)))*1440,0)&lt;660,1,0),0),0))</f>
      </c>
      <c r="N59" s="1">
        <f>IF(OR(N$52=0,M10="",N10=""),0,IFERROR(IF(AND(INDEX(Arten,MATCH(M10,Codes,0))="Arbeit",INDEX(Arten,MATCH(N10,Codes,0))="Arbeit"),IF(ROUND((1+INDEX(Beginne,MATCH(N10,Codes,0))-INDEX(EndeRel,MATCH(M10,Codes,0)))*1440,0)&lt;660,1,0),0),0))</f>
      </c>
      <c r="O59" s="1">
        <f>IF(OR(O$52=0,N10="",O10=""),0,IFERROR(IF(AND(INDEX(Arten,MATCH(N10,Codes,0))="Arbeit",INDEX(Arten,MATCH(O10,Codes,0))="Arbeit"),IF(ROUND((1+INDEX(Beginne,MATCH(O10,Codes,0))-INDEX(EndeRel,MATCH(N10,Codes,0)))*1440,0)&lt;660,1,0),0),0))</f>
      </c>
      <c r="P59" s="1">
        <f>IF(OR(P$52=0,O10="",P10=""),0,IFERROR(IF(AND(INDEX(Arten,MATCH(O10,Codes,0))="Arbeit",INDEX(Arten,MATCH(P10,Codes,0))="Arbeit"),IF(ROUND((1+INDEX(Beginne,MATCH(P10,Codes,0))-INDEX(EndeRel,MATCH(O10,Codes,0)))*1440,0)&lt;660,1,0),0),0))</f>
      </c>
      <c r="Q59" s="1">
        <f>IF(OR(Q$52=0,P10="",Q10=""),0,IFERROR(IF(AND(INDEX(Arten,MATCH(P10,Codes,0))="Arbeit",INDEX(Arten,MATCH(Q10,Codes,0))="Arbeit"),IF(ROUND((1+INDEX(Beginne,MATCH(Q10,Codes,0))-INDEX(EndeRel,MATCH(P10,Codes,0)))*1440,0)&lt;660,1,0),0),0))</f>
      </c>
      <c r="R59" s="1">
        <f>IF(OR(R$52=0,Q10="",R10=""),0,IFERROR(IF(AND(INDEX(Arten,MATCH(Q10,Codes,0))="Arbeit",INDEX(Arten,MATCH(R10,Codes,0))="Arbeit"),IF(ROUND((1+INDEX(Beginne,MATCH(R10,Codes,0))-INDEX(EndeRel,MATCH(Q10,Codes,0)))*1440,0)&lt;660,1,0),0),0))</f>
      </c>
      <c r="S59" s="1">
        <f>IF(OR(S$52=0,R10="",S10=""),0,IFERROR(IF(AND(INDEX(Arten,MATCH(R10,Codes,0))="Arbeit",INDEX(Arten,MATCH(S10,Codes,0))="Arbeit"),IF(ROUND((1+INDEX(Beginne,MATCH(S10,Codes,0))-INDEX(EndeRel,MATCH(R10,Codes,0)))*1440,0)&lt;660,1,0),0),0))</f>
      </c>
      <c r="T59" s="1">
        <f>IF(OR(T$52=0,S10="",T10=""),0,IFERROR(IF(AND(INDEX(Arten,MATCH(S10,Codes,0))="Arbeit",INDEX(Arten,MATCH(T10,Codes,0))="Arbeit"),IF(ROUND((1+INDEX(Beginne,MATCH(T10,Codes,0))-INDEX(EndeRel,MATCH(S10,Codes,0)))*1440,0)&lt;660,1,0),0),0))</f>
      </c>
      <c r="U59" s="1">
        <f>IF(OR(U$52=0,T10="",U10=""),0,IFERROR(IF(AND(INDEX(Arten,MATCH(T10,Codes,0))="Arbeit",INDEX(Arten,MATCH(U10,Codes,0))="Arbeit"),IF(ROUND((1+INDEX(Beginne,MATCH(U10,Codes,0))-INDEX(EndeRel,MATCH(T10,Codes,0)))*1440,0)&lt;660,1,0),0),0))</f>
      </c>
      <c r="V59" s="1">
        <f>IF(OR(V$52=0,U10="",V10=""),0,IFERROR(IF(AND(INDEX(Arten,MATCH(U10,Codes,0))="Arbeit",INDEX(Arten,MATCH(V10,Codes,0))="Arbeit"),IF(ROUND((1+INDEX(Beginne,MATCH(V10,Codes,0))-INDEX(EndeRel,MATCH(U10,Codes,0)))*1440,0)&lt;660,1,0),0),0))</f>
      </c>
      <c r="W59" s="1">
        <f>IF(OR(W$52=0,V10="",W10=""),0,IFERROR(IF(AND(INDEX(Arten,MATCH(V10,Codes,0))="Arbeit",INDEX(Arten,MATCH(W10,Codes,0))="Arbeit"),IF(ROUND((1+INDEX(Beginne,MATCH(W10,Codes,0))-INDEX(EndeRel,MATCH(V10,Codes,0)))*1440,0)&lt;660,1,0),0),0))</f>
      </c>
      <c r="X59" s="1">
        <f>IF(OR(X$52=0,W10="",X10=""),0,IFERROR(IF(AND(INDEX(Arten,MATCH(W10,Codes,0))="Arbeit",INDEX(Arten,MATCH(X10,Codes,0))="Arbeit"),IF(ROUND((1+INDEX(Beginne,MATCH(X10,Codes,0))-INDEX(EndeRel,MATCH(W10,Codes,0)))*1440,0)&lt;660,1,0),0),0))</f>
      </c>
      <c r="Y59" s="1">
        <f>IF(OR(Y$52=0,X10="",Y10=""),0,IFERROR(IF(AND(INDEX(Arten,MATCH(X10,Codes,0))="Arbeit",INDEX(Arten,MATCH(Y10,Codes,0))="Arbeit"),IF(ROUND((1+INDEX(Beginne,MATCH(Y10,Codes,0))-INDEX(EndeRel,MATCH(X10,Codes,0)))*1440,0)&lt;660,1,0),0),0))</f>
      </c>
      <c r="Z59" s="1">
        <f>IF(OR(Z$52=0,Y10="",Z10=""),0,IFERROR(IF(AND(INDEX(Arten,MATCH(Y10,Codes,0))="Arbeit",INDEX(Arten,MATCH(Z10,Codes,0))="Arbeit"),IF(ROUND((1+INDEX(Beginne,MATCH(Z10,Codes,0))-INDEX(EndeRel,MATCH(Y10,Codes,0)))*1440,0)&lt;660,1,0),0),0))</f>
      </c>
      <c r="AA59" s="1">
        <f>IF(OR(AA$52=0,Z10="",AA10=""),0,IFERROR(IF(AND(INDEX(Arten,MATCH(Z10,Codes,0))="Arbeit",INDEX(Arten,MATCH(AA10,Codes,0))="Arbeit"),IF(ROUND((1+INDEX(Beginne,MATCH(AA10,Codes,0))-INDEX(EndeRel,MATCH(Z10,Codes,0)))*1440,0)&lt;660,1,0),0),0))</f>
      </c>
      <c r="AB59" s="1">
        <f>IF(OR(AB$52=0,AA10="",AB10=""),0,IFERROR(IF(AND(INDEX(Arten,MATCH(AA10,Codes,0))="Arbeit",INDEX(Arten,MATCH(AB10,Codes,0))="Arbeit"),IF(ROUND((1+INDEX(Beginne,MATCH(AB10,Codes,0))-INDEX(EndeRel,MATCH(AA10,Codes,0)))*1440,0)&lt;660,1,0),0),0))</f>
      </c>
      <c r="AC59" s="1">
        <f>IF(OR(AC$52=0,AB10="",AC10=""),0,IFERROR(IF(AND(INDEX(Arten,MATCH(AB10,Codes,0))="Arbeit",INDEX(Arten,MATCH(AC10,Codes,0))="Arbeit"),IF(ROUND((1+INDEX(Beginne,MATCH(AC10,Codes,0))-INDEX(EndeRel,MATCH(AB10,Codes,0)))*1440,0)&lt;660,1,0),0),0))</f>
      </c>
      <c r="AD59" s="1">
        <f>IF(OR(AD$52=0,AC10="",AD10=""),0,IFERROR(IF(AND(INDEX(Arten,MATCH(AC10,Codes,0))="Arbeit",INDEX(Arten,MATCH(AD10,Codes,0))="Arbeit"),IF(ROUND((1+INDEX(Beginne,MATCH(AD10,Codes,0))-INDEX(EndeRel,MATCH(AC10,Codes,0)))*1440,0)&lt;660,1,0),0),0))</f>
      </c>
      <c r="AE59" s="1">
        <f>IF(OR(AE$52=0,AD10="",AE10=""),0,IFERROR(IF(AND(INDEX(Arten,MATCH(AD10,Codes,0))="Arbeit",INDEX(Arten,MATCH(AE10,Codes,0))="Arbeit"),IF(ROUND((1+INDEX(Beginne,MATCH(AE10,Codes,0))-INDEX(EndeRel,MATCH(AD10,Codes,0)))*1440,0)&lt;660,1,0),0),0))</f>
      </c>
      <c r="AF59" s="1">
        <f>IF(OR(AF$52=0,AE10="",AF10=""),0,IFERROR(IF(AND(INDEX(Arten,MATCH(AE10,Codes,0))="Arbeit",INDEX(Arten,MATCH(AF10,Codes,0))="Arbeit"),IF(ROUND((1+INDEX(Beginne,MATCH(AF10,Codes,0))-INDEX(EndeRel,MATCH(AE10,Codes,0)))*1440,0)&lt;660,1,0),0),0))</f>
      </c>
    </row>
    <row r="60" hidden="1" spans="1:32" x14ac:dyDescent="0.25">
      <c r="A60" s="1"/>
      <c r="B60" s="1">
        <f>IF(OR(B$52=0,INDEX('Oktober'!$B$11:$AF$11,DAY(DATE(Jahr,11,0)))="",B11=""),0,IFERROR(IF(AND(INDEX(Arten,MATCH(INDEX('Oktober'!$B$11:$AF$11,DAY(DATE(Jahr,11,0))),Codes,0))="Arbeit",INDEX(Arten,MATCH(B11,Codes,0))="Arbeit"),IF(ROUND((1+INDEX(Beginne,MATCH(B11,Codes,0))-INDEX(EndeRel,MATCH(INDEX('Oktober'!$B$11:$AF$11,DAY(DATE(Jahr,11,0))),Codes,0)))*1440,0)&lt;660,1,0),0),0))</f>
      </c>
      <c r="C60" s="1">
        <f>IF(OR(C$52=0,B11="",C11=""),0,IFERROR(IF(AND(INDEX(Arten,MATCH(B11,Codes,0))="Arbeit",INDEX(Arten,MATCH(C11,Codes,0))="Arbeit"),IF(ROUND((1+INDEX(Beginne,MATCH(C11,Codes,0))-INDEX(EndeRel,MATCH(B11,Codes,0)))*1440,0)&lt;660,1,0),0),0))</f>
      </c>
      <c r="D60" s="1">
        <f>IF(OR(D$52=0,C11="",D11=""),0,IFERROR(IF(AND(INDEX(Arten,MATCH(C11,Codes,0))="Arbeit",INDEX(Arten,MATCH(D11,Codes,0))="Arbeit"),IF(ROUND((1+INDEX(Beginne,MATCH(D11,Codes,0))-INDEX(EndeRel,MATCH(C11,Codes,0)))*1440,0)&lt;660,1,0),0),0))</f>
      </c>
      <c r="E60" s="1">
        <f>IF(OR(E$52=0,D11="",E11=""),0,IFERROR(IF(AND(INDEX(Arten,MATCH(D11,Codes,0))="Arbeit",INDEX(Arten,MATCH(E11,Codes,0))="Arbeit"),IF(ROUND((1+INDEX(Beginne,MATCH(E11,Codes,0))-INDEX(EndeRel,MATCH(D11,Codes,0)))*1440,0)&lt;660,1,0),0),0))</f>
      </c>
      <c r="F60" s="1">
        <f>IF(OR(F$52=0,E11="",F11=""),0,IFERROR(IF(AND(INDEX(Arten,MATCH(E11,Codes,0))="Arbeit",INDEX(Arten,MATCH(F11,Codes,0))="Arbeit"),IF(ROUND((1+INDEX(Beginne,MATCH(F11,Codes,0))-INDEX(EndeRel,MATCH(E11,Codes,0)))*1440,0)&lt;660,1,0),0),0))</f>
      </c>
      <c r="G60" s="1">
        <f>IF(OR(G$52=0,F11="",G11=""),0,IFERROR(IF(AND(INDEX(Arten,MATCH(F11,Codes,0))="Arbeit",INDEX(Arten,MATCH(G11,Codes,0))="Arbeit"),IF(ROUND((1+INDEX(Beginne,MATCH(G11,Codes,0))-INDEX(EndeRel,MATCH(F11,Codes,0)))*1440,0)&lt;660,1,0),0),0))</f>
      </c>
      <c r="H60" s="1">
        <f>IF(OR(H$52=0,G11="",H11=""),0,IFERROR(IF(AND(INDEX(Arten,MATCH(G11,Codes,0))="Arbeit",INDEX(Arten,MATCH(H11,Codes,0))="Arbeit"),IF(ROUND((1+INDEX(Beginne,MATCH(H11,Codes,0))-INDEX(EndeRel,MATCH(G11,Codes,0)))*1440,0)&lt;660,1,0),0),0))</f>
      </c>
      <c r="I60" s="1">
        <f>IF(OR(I$52=0,H11="",I11=""),0,IFERROR(IF(AND(INDEX(Arten,MATCH(H11,Codes,0))="Arbeit",INDEX(Arten,MATCH(I11,Codes,0))="Arbeit"),IF(ROUND((1+INDEX(Beginne,MATCH(I11,Codes,0))-INDEX(EndeRel,MATCH(H11,Codes,0)))*1440,0)&lt;660,1,0),0),0))</f>
      </c>
      <c r="J60" s="1">
        <f>IF(OR(J$52=0,I11="",J11=""),0,IFERROR(IF(AND(INDEX(Arten,MATCH(I11,Codes,0))="Arbeit",INDEX(Arten,MATCH(J11,Codes,0))="Arbeit"),IF(ROUND((1+INDEX(Beginne,MATCH(J11,Codes,0))-INDEX(EndeRel,MATCH(I11,Codes,0)))*1440,0)&lt;660,1,0),0),0))</f>
      </c>
      <c r="K60" s="1">
        <f>IF(OR(K$52=0,J11="",K11=""),0,IFERROR(IF(AND(INDEX(Arten,MATCH(J11,Codes,0))="Arbeit",INDEX(Arten,MATCH(K11,Codes,0))="Arbeit"),IF(ROUND((1+INDEX(Beginne,MATCH(K11,Codes,0))-INDEX(EndeRel,MATCH(J11,Codes,0)))*1440,0)&lt;660,1,0),0),0))</f>
      </c>
      <c r="L60" s="1">
        <f>IF(OR(L$52=0,K11="",L11=""),0,IFERROR(IF(AND(INDEX(Arten,MATCH(K11,Codes,0))="Arbeit",INDEX(Arten,MATCH(L11,Codes,0))="Arbeit"),IF(ROUND((1+INDEX(Beginne,MATCH(L11,Codes,0))-INDEX(EndeRel,MATCH(K11,Codes,0)))*1440,0)&lt;660,1,0),0),0))</f>
      </c>
      <c r="M60" s="1">
        <f>IF(OR(M$52=0,L11="",M11=""),0,IFERROR(IF(AND(INDEX(Arten,MATCH(L11,Codes,0))="Arbeit",INDEX(Arten,MATCH(M11,Codes,0))="Arbeit"),IF(ROUND((1+INDEX(Beginne,MATCH(M11,Codes,0))-INDEX(EndeRel,MATCH(L11,Codes,0)))*1440,0)&lt;660,1,0),0),0))</f>
      </c>
      <c r="N60" s="1">
        <f>IF(OR(N$52=0,M11="",N11=""),0,IFERROR(IF(AND(INDEX(Arten,MATCH(M11,Codes,0))="Arbeit",INDEX(Arten,MATCH(N11,Codes,0))="Arbeit"),IF(ROUND((1+INDEX(Beginne,MATCH(N11,Codes,0))-INDEX(EndeRel,MATCH(M11,Codes,0)))*1440,0)&lt;660,1,0),0),0))</f>
      </c>
      <c r="O60" s="1">
        <f>IF(OR(O$52=0,N11="",O11=""),0,IFERROR(IF(AND(INDEX(Arten,MATCH(N11,Codes,0))="Arbeit",INDEX(Arten,MATCH(O11,Codes,0))="Arbeit"),IF(ROUND((1+INDEX(Beginne,MATCH(O11,Codes,0))-INDEX(EndeRel,MATCH(N11,Codes,0)))*1440,0)&lt;660,1,0),0),0))</f>
      </c>
      <c r="P60" s="1">
        <f>IF(OR(P$52=0,O11="",P11=""),0,IFERROR(IF(AND(INDEX(Arten,MATCH(O11,Codes,0))="Arbeit",INDEX(Arten,MATCH(P11,Codes,0))="Arbeit"),IF(ROUND((1+INDEX(Beginne,MATCH(P11,Codes,0))-INDEX(EndeRel,MATCH(O11,Codes,0)))*1440,0)&lt;660,1,0),0),0))</f>
      </c>
      <c r="Q60" s="1">
        <f>IF(OR(Q$52=0,P11="",Q11=""),0,IFERROR(IF(AND(INDEX(Arten,MATCH(P11,Codes,0))="Arbeit",INDEX(Arten,MATCH(Q11,Codes,0))="Arbeit"),IF(ROUND((1+INDEX(Beginne,MATCH(Q11,Codes,0))-INDEX(EndeRel,MATCH(P11,Codes,0)))*1440,0)&lt;660,1,0),0),0))</f>
      </c>
      <c r="R60" s="1">
        <f>IF(OR(R$52=0,Q11="",R11=""),0,IFERROR(IF(AND(INDEX(Arten,MATCH(Q11,Codes,0))="Arbeit",INDEX(Arten,MATCH(R11,Codes,0))="Arbeit"),IF(ROUND((1+INDEX(Beginne,MATCH(R11,Codes,0))-INDEX(EndeRel,MATCH(Q11,Codes,0)))*1440,0)&lt;660,1,0),0),0))</f>
      </c>
      <c r="S60" s="1">
        <f>IF(OR(S$52=0,R11="",S11=""),0,IFERROR(IF(AND(INDEX(Arten,MATCH(R11,Codes,0))="Arbeit",INDEX(Arten,MATCH(S11,Codes,0))="Arbeit"),IF(ROUND((1+INDEX(Beginne,MATCH(S11,Codes,0))-INDEX(EndeRel,MATCH(R11,Codes,0)))*1440,0)&lt;660,1,0),0),0))</f>
      </c>
      <c r="T60" s="1">
        <f>IF(OR(T$52=0,S11="",T11=""),0,IFERROR(IF(AND(INDEX(Arten,MATCH(S11,Codes,0))="Arbeit",INDEX(Arten,MATCH(T11,Codes,0))="Arbeit"),IF(ROUND((1+INDEX(Beginne,MATCH(T11,Codes,0))-INDEX(EndeRel,MATCH(S11,Codes,0)))*1440,0)&lt;660,1,0),0),0))</f>
      </c>
      <c r="U60" s="1">
        <f>IF(OR(U$52=0,T11="",U11=""),0,IFERROR(IF(AND(INDEX(Arten,MATCH(T11,Codes,0))="Arbeit",INDEX(Arten,MATCH(U11,Codes,0))="Arbeit"),IF(ROUND((1+INDEX(Beginne,MATCH(U11,Codes,0))-INDEX(EndeRel,MATCH(T11,Codes,0)))*1440,0)&lt;660,1,0),0),0))</f>
      </c>
      <c r="V60" s="1">
        <f>IF(OR(V$52=0,U11="",V11=""),0,IFERROR(IF(AND(INDEX(Arten,MATCH(U11,Codes,0))="Arbeit",INDEX(Arten,MATCH(V11,Codes,0))="Arbeit"),IF(ROUND((1+INDEX(Beginne,MATCH(V11,Codes,0))-INDEX(EndeRel,MATCH(U11,Codes,0)))*1440,0)&lt;660,1,0),0),0))</f>
      </c>
      <c r="W60" s="1">
        <f>IF(OR(W$52=0,V11="",W11=""),0,IFERROR(IF(AND(INDEX(Arten,MATCH(V11,Codes,0))="Arbeit",INDEX(Arten,MATCH(W11,Codes,0))="Arbeit"),IF(ROUND((1+INDEX(Beginne,MATCH(W11,Codes,0))-INDEX(EndeRel,MATCH(V11,Codes,0)))*1440,0)&lt;660,1,0),0),0))</f>
      </c>
      <c r="X60" s="1">
        <f>IF(OR(X$52=0,W11="",X11=""),0,IFERROR(IF(AND(INDEX(Arten,MATCH(W11,Codes,0))="Arbeit",INDEX(Arten,MATCH(X11,Codes,0))="Arbeit"),IF(ROUND((1+INDEX(Beginne,MATCH(X11,Codes,0))-INDEX(EndeRel,MATCH(W11,Codes,0)))*1440,0)&lt;660,1,0),0),0))</f>
      </c>
      <c r="Y60" s="1">
        <f>IF(OR(Y$52=0,X11="",Y11=""),0,IFERROR(IF(AND(INDEX(Arten,MATCH(X11,Codes,0))="Arbeit",INDEX(Arten,MATCH(Y11,Codes,0))="Arbeit"),IF(ROUND((1+INDEX(Beginne,MATCH(Y11,Codes,0))-INDEX(EndeRel,MATCH(X11,Codes,0)))*1440,0)&lt;660,1,0),0),0))</f>
      </c>
      <c r="Z60" s="1">
        <f>IF(OR(Z$52=0,Y11="",Z11=""),0,IFERROR(IF(AND(INDEX(Arten,MATCH(Y11,Codes,0))="Arbeit",INDEX(Arten,MATCH(Z11,Codes,0))="Arbeit"),IF(ROUND((1+INDEX(Beginne,MATCH(Z11,Codes,0))-INDEX(EndeRel,MATCH(Y11,Codes,0)))*1440,0)&lt;660,1,0),0),0))</f>
      </c>
      <c r="AA60" s="1">
        <f>IF(OR(AA$52=0,Z11="",AA11=""),0,IFERROR(IF(AND(INDEX(Arten,MATCH(Z11,Codes,0))="Arbeit",INDEX(Arten,MATCH(AA11,Codes,0))="Arbeit"),IF(ROUND((1+INDEX(Beginne,MATCH(AA11,Codes,0))-INDEX(EndeRel,MATCH(Z11,Codes,0)))*1440,0)&lt;660,1,0),0),0))</f>
      </c>
      <c r="AB60" s="1">
        <f>IF(OR(AB$52=0,AA11="",AB11=""),0,IFERROR(IF(AND(INDEX(Arten,MATCH(AA11,Codes,0))="Arbeit",INDEX(Arten,MATCH(AB11,Codes,0))="Arbeit"),IF(ROUND((1+INDEX(Beginne,MATCH(AB11,Codes,0))-INDEX(EndeRel,MATCH(AA11,Codes,0)))*1440,0)&lt;660,1,0),0),0))</f>
      </c>
      <c r="AC60" s="1">
        <f>IF(OR(AC$52=0,AB11="",AC11=""),0,IFERROR(IF(AND(INDEX(Arten,MATCH(AB11,Codes,0))="Arbeit",INDEX(Arten,MATCH(AC11,Codes,0))="Arbeit"),IF(ROUND((1+INDEX(Beginne,MATCH(AC11,Codes,0))-INDEX(EndeRel,MATCH(AB11,Codes,0)))*1440,0)&lt;660,1,0),0),0))</f>
      </c>
      <c r="AD60" s="1">
        <f>IF(OR(AD$52=0,AC11="",AD11=""),0,IFERROR(IF(AND(INDEX(Arten,MATCH(AC11,Codes,0))="Arbeit",INDEX(Arten,MATCH(AD11,Codes,0))="Arbeit"),IF(ROUND((1+INDEX(Beginne,MATCH(AD11,Codes,0))-INDEX(EndeRel,MATCH(AC11,Codes,0)))*1440,0)&lt;660,1,0),0),0))</f>
      </c>
      <c r="AE60" s="1">
        <f>IF(OR(AE$52=0,AD11="",AE11=""),0,IFERROR(IF(AND(INDEX(Arten,MATCH(AD11,Codes,0))="Arbeit",INDEX(Arten,MATCH(AE11,Codes,0))="Arbeit"),IF(ROUND((1+INDEX(Beginne,MATCH(AE11,Codes,0))-INDEX(EndeRel,MATCH(AD11,Codes,0)))*1440,0)&lt;660,1,0),0),0))</f>
      </c>
      <c r="AF60" s="1">
        <f>IF(OR(AF$52=0,AE11="",AF11=""),0,IFERROR(IF(AND(INDEX(Arten,MATCH(AE11,Codes,0))="Arbeit",INDEX(Arten,MATCH(AF11,Codes,0))="Arbeit"),IF(ROUND((1+INDEX(Beginne,MATCH(AF11,Codes,0))-INDEX(EndeRel,MATCH(AE11,Codes,0)))*1440,0)&lt;660,1,0),0),0))</f>
      </c>
    </row>
    <row r="61" hidden="1" spans="1:32" x14ac:dyDescent="0.25">
      <c r="A61" s="1"/>
      <c r="B61" s="1">
        <f>IF(OR(B$52=0,INDEX('Oktober'!$B$12:$AF$12,DAY(DATE(Jahr,11,0)))="",B12=""),0,IFERROR(IF(AND(INDEX(Arten,MATCH(INDEX('Oktober'!$B$12:$AF$12,DAY(DATE(Jahr,11,0))),Codes,0))="Arbeit",INDEX(Arten,MATCH(B12,Codes,0))="Arbeit"),IF(ROUND((1+INDEX(Beginne,MATCH(B12,Codes,0))-INDEX(EndeRel,MATCH(INDEX('Oktober'!$B$12:$AF$12,DAY(DATE(Jahr,11,0))),Codes,0)))*1440,0)&lt;660,1,0),0),0))</f>
      </c>
      <c r="C61" s="1">
        <f>IF(OR(C$52=0,B12="",C12=""),0,IFERROR(IF(AND(INDEX(Arten,MATCH(B12,Codes,0))="Arbeit",INDEX(Arten,MATCH(C12,Codes,0))="Arbeit"),IF(ROUND((1+INDEX(Beginne,MATCH(C12,Codes,0))-INDEX(EndeRel,MATCH(B12,Codes,0)))*1440,0)&lt;660,1,0),0),0))</f>
      </c>
      <c r="D61" s="1">
        <f>IF(OR(D$52=0,C12="",D12=""),0,IFERROR(IF(AND(INDEX(Arten,MATCH(C12,Codes,0))="Arbeit",INDEX(Arten,MATCH(D12,Codes,0))="Arbeit"),IF(ROUND((1+INDEX(Beginne,MATCH(D12,Codes,0))-INDEX(EndeRel,MATCH(C12,Codes,0)))*1440,0)&lt;660,1,0),0),0))</f>
      </c>
      <c r="E61" s="1">
        <f>IF(OR(E$52=0,D12="",E12=""),0,IFERROR(IF(AND(INDEX(Arten,MATCH(D12,Codes,0))="Arbeit",INDEX(Arten,MATCH(E12,Codes,0))="Arbeit"),IF(ROUND((1+INDEX(Beginne,MATCH(E12,Codes,0))-INDEX(EndeRel,MATCH(D12,Codes,0)))*1440,0)&lt;660,1,0),0),0))</f>
      </c>
      <c r="F61" s="1">
        <f>IF(OR(F$52=0,E12="",F12=""),0,IFERROR(IF(AND(INDEX(Arten,MATCH(E12,Codes,0))="Arbeit",INDEX(Arten,MATCH(F12,Codes,0))="Arbeit"),IF(ROUND((1+INDEX(Beginne,MATCH(F12,Codes,0))-INDEX(EndeRel,MATCH(E12,Codes,0)))*1440,0)&lt;660,1,0),0),0))</f>
      </c>
      <c r="G61" s="1">
        <f>IF(OR(G$52=0,F12="",G12=""),0,IFERROR(IF(AND(INDEX(Arten,MATCH(F12,Codes,0))="Arbeit",INDEX(Arten,MATCH(G12,Codes,0))="Arbeit"),IF(ROUND((1+INDEX(Beginne,MATCH(G12,Codes,0))-INDEX(EndeRel,MATCH(F12,Codes,0)))*1440,0)&lt;660,1,0),0),0))</f>
      </c>
      <c r="H61" s="1">
        <f>IF(OR(H$52=0,G12="",H12=""),0,IFERROR(IF(AND(INDEX(Arten,MATCH(G12,Codes,0))="Arbeit",INDEX(Arten,MATCH(H12,Codes,0))="Arbeit"),IF(ROUND((1+INDEX(Beginne,MATCH(H12,Codes,0))-INDEX(EndeRel,MATCH(G12,Codes,0)))*1440,0)&lt;660,1,0),0),0))</f>
      </c>
      <c r="I61" s="1">
        <f>IF(OR(I$52=0,H12="",I12=""),0,IFERROR(IF(AND(INDEX(Arten,MATCH(H12,Codes,0))="Arbeit",INDEX(Arten,MATCH(I12,Codes,0))="Arbeit"),IF(ROUND((1+INDEX(Beginne,MATCH(I12,Codes,0))-INDEX(EndeRel,MATCH(H12,Codes,0)))*1440,0)&lt;660,1,0),0),0))</f>
      </c>
      <c r="J61" s="1">
        <f>IF(OR(J$52=0,I12="",J12=""),0,IFERROR(IF(AND(INDEX(Arten,MATCH(I12,Codes,0))="Arbeit",INDEX(Arten,MATCH(J12,Codes,0))="Arbeit"),IF(ROUND((1+INDEX(Beginne,MATCH(J12,Codes,0))-INDEX(EndeRel,MATCH(I12,Codes,0)))*1440,0)&lt;660,1,0),0),0))</f>
      </c>
      <c r="K61" s="1">
        <f>IF(OR(K$52=0,J12="",K12=""),0,IFERROR(IF(AND(INDEX(Arten,MATCH(J12,Codes,0))="Arbeit",INDEX(Arten,MATCH(K12,Codes,0))="Arbeit"),IF(ROUND((1+INDEX(Beginne,MATCH(K12,Codes,0))-INDEX(EndeRel,MATCH(J12,Codes,0)))*1440,0)&lt;660,1,0),0),0))</f>
      </c>
      <c r="L61" s="1">
        <f>IF(OR(L$52=0,K12="",L12=""),0,IFERROR(IF(AND(INDEX(Arten,MATCH(K12,Codes,0))="Arbeit",INDEX(Arten,MATCH(L12,Codes,0))="Arbeit"),IF(ROUND((1+INDEX(Beginne,MATCH(L12,Codes,0))-INDEX(EndeRel,MATCH(K12,Codes,0)))*1440,0)&lt;660,1,0),0),0))</f>
      </c>
      <c r="M61" s="1">
        <f>IF(OR(M$52=0,L12="",M12=""),0,IFERROR(IF(AND(INDEX(Arten,MATCH(L12,Codes,0))="Arbeit",INDEX(Arten,MATCH(M12,Codes,0))="Arbeit"),IF(ROUND((1+INDEX(Beginne,MATCH(M12,Codes,0))-INDEX(EndeRel,MATCH(L12,Codes,0)))*1440,0)&lt;660,1,0),0),0))</f>
      </c>
      <c r="N61" s="1">
        <f>IF(OR(N$52=0,M12="",N12=""),0,IFERROR(IF(AND(INDEX(Arten,MATCH(M12,Codes,0))="Arbeit",INDEX(Arten,MATCH(N12,Codes,0))="Arbeit"),IF(ROUND((1+INDEX(Beginne,MATCH(N12,Codes,0))-INDEX(EndeRel,MATCH(M12,Codes,0)))*1440,0)&lt;660,1,0),0),0))</f>
      </c>
      <c r="O61" s="1">
        <f>IF(OR(O$52=0,N12="",O12=""),0,IFERROR(IF(AND(INDEX(Arten,MATCH(N12,Codes,0))="Arbeit",INDEX(Arten,MATCH(O12,Codes,0))="Arbeit"),IF(ROUND((1+INDEX(Beginne,MATCH(O12,Codes,0))-INDEX(EndeRel,MATCH(N12,Codes,0)))*1440,0)&lt;660,1,0),0),0))</f>
      </c>
      <c r="P61" s="1">
        <f>IF(OR(P$52=0,O12="",P12=""),0,IFERROR(IF(AND(INDEX(Arten,MATCH(O12,Codes,0))="Arbeit",INDEX(Arten,MATCH(P12,Codes,0))="Arbeit"),IF(ROUND((1+INDEX(Beginne,MATCH(P12,Codes,0))-INDEX(EndeRel,MATCH(O12,Codes,0)))*1440,0)&lt;660,1,0),0),0))</f>
      </c>
      <c r="Q61" s="1">
        <f>IF(OR(Q$52=0,P12="",Q12=""),0,IFERROR(IF(AND(INDEX(Arten,MATCH(P12,Codes,0))="Arbeit",INDEX(Arten,MATCH(Q12,Codes,0))="Arbeit"),IF(ROUND((1+INDEX(Beginne,MATCH(Q12,Codes,0))-INDEX(EndeRel,MATCH(P12,Codes,0)))*1440,0)&lt;660,1,0),0),0))</f>
      </c>
      <c r="R61" s="1">
        <f>IF(OR(R$52=0,Q12="",R12=""),0,IFERROR(IF(AND(INDEX(Arten,MATCH(Q12,Codes,0))="Arbeit",INDEX(Arten,MATCH(R12,Codes,0))="Arbeit"),IF(ROUND((1+INDEX(Beginne,MATCH(R12,Codes,0))-INDEX(EndeRel,MATCH(Q12,Codes,0)))*1440,0)&lt;660,1,0),0),0))</f>
      </c>
      <c r="S61" s="1">
        <f>IF(OR(S$52=0,R12="",S12=""),0,IFERROR(IF(AND(INDEX(Arten,MATCH(R12,Codes,0))="Arbeit",INDEX(Arten,MATCH(S12,Codes,0))="Arbeit"),IF(ROUND((1+INDEX(Beginne,MATCH(S12,Codes,0))-INDEX(EndeRel,MATCH(R12,Codes,0)))*1440,0)&lt;660,1,0),0),0))</f>
      </c>
      <c r="T61" s="1">
        <f>IF(OR(T$52=0,S12="",T12=""),0,IFERROR(IF(AND(INDEX(Arten,MATCH(S12,Codes,0))="Arbeit",INDEX(Arten,MATCH(T12,Codes,0))="Arbeit"),IF(ROUND((1+INDEX(Beginne,MATCH(T12,Codes,0))-INDEX(EndeRel,MATCH(S12,Codes,0)))*1440,0)&lt;660,1,0),0),0))</f>
      </c>
      <c r="U61" s="1">
        <f>IF(OR(U$52=0,T12="",U12=""),0,IFERROR(IF(AND(INDEX(Arten,MATCH(T12,Codes,0))="Arbeit",INDEX(Arten,MATCH(U12,Codes,0))="Arbeit"),IF(ROUND((1+INDEX(Beginne,MATCH(U12,Codes,0))-INDEX(EndeRel,MATCH(T12,Codes,0)))*1440,0)&lt;660,1,0),0),0))</f>
      </c>
      <c r="V61" s="1">
        <f>IF(OR(V$52=0,U12="",V12=""),0,IFERROR(IF(AND(INDEX(Arten,MATCH(U12,Codes,0))="Arbeit",INDEX(Arten,MATCH(V12,Codes,0))="Arbeit"),IF(ROUND((1+INDEX(Beginne,MATCH(V12,Codes,0))-INDEX(EndeRel,MATCH(U12,Codes,0)))*1440,0)&lt;660,1,0),0),0))</f>
      </c>
      <c r="W61" s="1">
        <f>IF(OR(W$52=0,V12="",W12=""),0,IFERROR(IF(AND(INDEX(Arten,MATCH(V12,Codes,0))="Arbeit",INDEX(Arten,MATCH(W12,Codes,0))="Arbeit"),IF(ROUND((1+INDEX(Beginne,MATCH(W12,Codes,0))-INDEX(EndeRel,MATCH(V12,Codes,0)))*1440,0)&lt;660,1,0),0),0))</f>
      </c>
      <c r="X61" s="1">
        <f>IF(OR(X$52=0,W12="",X12=""),0,IFERROR(IF(AND(INDEX(Arten,MATCH(W12,Codes,0))="Arbeit",INDEX(Arten,MATCH(X12,Codes,0))="Arbeit"),IF(ROUND((1+INDEX(Beginne,MATCH(X12,Codes,0))-INDEX(EndeRel,MATCH(W12,Codes,0)))*1440,0)&lt;660,1,0),0),0))</f>
      </c>
      <c r="Y61" s="1">
        <f>IF(OR(Y$52=0,X12="",Y12=""),0,IFERROR(IF(AND(INDEX(Arten,MATCH(X12,Codes,0))="Arbeit",INDEX(Arten,MATCH(Y12,Codes,0))="Arbeit"),IF(ROUND((1+INDEX(Beginne,MATCH(Y12,Codes,0))-INDEX(EndeRel,MATCH(X12,Codes,0)))*1440,0)&lt;660,1,0),0),0))</f>
      </c>
      <c r="Z61" s="1">
        <f>IF(OR(Z$52=0,Y12="",Z12=""),0,IFERROR(IF(AND(INDEX(Arten,MATCH(Y12,Codes,0))="Arbeit",INDEX(Arten,MATCH(Z12,Codes,0))="Arbeit"),IF(ROUND((1+INDEX(Beginne,MATCH(Z12,Codes,0))-INDEX(EndeRel,MATCH(Y12,Codes,0)))*1440,0)&lt;660,1,0),0),0))</f>
      </c>
      <c r="AA61" s="1">
        <f>IF(OR(AA$52=0,Z12="",AA12=""),0,IFERROR(IF(AND(INDEX(Arten,MATCH(Z12,Codes,0))="Arbeit",INDEX(Arten,MATCH(AA12,Codes,0))="Arbeit"),IF(ROUND((1+INDEX(Beginne,MATCH(AA12,Codes,0))-INDEX(EndeRel,MATCH(Z12,Codes,0)))*1440,0)&lt;660,1,0),0),0))</f>
      </c>
      <c r="AB61" s="1">
        <f>IF(OR(AB$52=0,AA12="",AB12=""),0,IFERROR(IF(AND(INDEX(Arten,MATCH(AA12,Codes,0))="Arbeit",INDEX(Arten,MATCH(AB12,Codes,0))="Arbeit"),IF(ROUND((1+INDEX(Beginne,MATCH(AB12,Codes,0))-INDEX(EndeRel,MATCH(AA12,Codes,0)))*1440,0)&lt;660,1,0),0),0))</f>
      </c>
      <c r="AC61" s="1">
        <f>IF(OR(AC$52=0,AB12="",AC12=""),0,IFERROR(IF(AND(INDEX(Arten,MATCH(AB12,Codes,0))="Arbeit",INDEX(Arten,MATCH(AC12,Codes,0))="Arbeit"),IF(ROUND((1+INDEX(Beginne,MATCH(AC12,Codes,0))-INDEX(EndeRel,MATCH(AB12,Codes,0)))*1440,0)&lt;660,1,0),0),0))</f>
      </c>
      <c r="AD61" s="1">
        <f>IF(OR(AD$52=0,AC12="",AD12=""),0,IFERROR(IF(AND(INDEX(Arten,MATCH(AC12,Codes,0))="Arbeit",INDEX(Arten,MATCH(AD12,Codes,0))="Arbeit"),IF(ROUND((1+INDEX(Beginne,MATCH(AD12,Codes,0))-INDEX(EndeRel,MATCH(AC12,Codes,0)))*1440,0)&lt;660,1,0),0),0))</f>
      </c>
      <c r="AE61" s="1">
        <f>IF(OR(AE$52=0,AD12="",AE12=""),0,IFERROR(IF(AND(INDEX(Arten,MATCH(AD12,Codes,0))="Arbeit",INDEX(Arten,MATCH(AE12,Codes,0))="Arbeit"),IF(ROUND((1+INDEX(Beginne,MATCH(AE12,Codes,0))-INDEX(EndeRel,MATCH(AD12,Codes,0)))*1440,0)&lt;660,1,0),0),0))</f>
      </c>
      <c r="AF61" s="1">
        <f>IF(OR(AF$52=0,AE12="",AF12=""),0,IFERROR(IF(AND(INDEX(Arten,MATCH(AE12,Codes,0))="Arbeit",INDEX(Arten,MATCH(AF12,Codes,0))="Arbeit"),IF(ROUND((1+INDEX(Beginne,MATCH(AF12,Codes,0))-INDEX(EndeRel,MATCH(AE12,Codes,0)))*1440,0)&lt;660,1,0),0),0))</f>
      </c>
    </row>
    <row r="62" hidden="1" spans="1:32" x14ac:dyDescent="0.25">
      <c r="A62" s="1"/>
      <c r="B62" s="1">
        <f>IF(OR(B$52=0,INDEX('Oktober'!$B$13:$AF$13,DAY(DATE(Jahr,11,0)))="",B13=""),0,IFERROR(IF(AND(INDEX(Arten,MATCH(INDEX('Oktober'!$B$13:$AF$13,DAY(DATE(Jahr,11,0))),Codes,0))="Arbeit",INDEX(Arten,MATCH(B13,Codes,0))="Arbeit"),IF(ROUND((1+INDEX(Beginne,MATCH(B13,Codes,0))-INDEX(EndeRel,MATCH(INDEX('Oktober'!$B$13:$AF$13,DAY(DATE(Jahr,11,0))),Codes,0)))*1440,0)&lt;660,1,0),0),0))</f>
      </c>
      <c r="C62" s="1">
        <f>IF(OR(C$52=0,B13="",C13=""),0,IFERROR(IF(AND(INDEX(Arten,MATCH(B13,Codes,0))="Arbeit",INDEX(Arten,MATCH(C13,Codes,0))="Arbeit"),IF(ROUND((1+INDEX(Beginne,MATCH(C13,Codes,0))-INDEX(EndeRel,MATCH(B13,Codes,0)))*1440,0)&lt;660,1,0),0),0))</f>
      </c>
      <c r="D62" s="1">
        <f>IF(OR(D$52=0,C13="",D13=""),0,IFERROR(IF(AND(INDEX(Arten,MATCH(C13,Codes,0))="Arbeit",INDEX(Arten,MATCH(D13,Codes,0))="Arbeit"),IF(ROUND((1+INDEX(Beginne,MATCH(D13,Codes,0))-INDEX(EndeRel,MATCH(C13,Codes,0)))*1440,0)&lt;660,1,0),0),0))</f>
      </c>
      <c r="E62" s="1">
        <f>IF(OR(E$52=0,D13="",E13=""),0,IFERROR(IF(AND(INDEX(Arten,MATCH(D13,Codes,0))="Arbeit",INDEX(Arten,MATCH(E13,Codes,0))="Arbeit"),IF(ROUND((1+INDEX(Beginne,MATCH(E13,Codes,0))-INDEX(EndeRel,MATCH(D13,Codes,0)))*1440,0)&lt;660,1,0),0),0))</f>
      </c>
      <c r="F62" s="1">
        <f>IF(OR(F$52=0,E13="",F13=""),0,IFERROR(IF(AND(INDEX(Arten,MATCH(E13,Codes,0))="Arbeit",INDEX(Arten,MATCH(F13,Codes,0))="Arbeit"),IF(ROUND((1+INDEX(Beginne,MATCH(F13,Codes,0))-INDEX(EndeRel,MATCH(E13,Codes,0)))*1440,0)&lt;660,1,0),0),0))</f>
      </c>
      <c r="G62" s="1">
        <f>IF(OR(G$52=0,F13="",G13=""),0,IFERROR(IF(AND(INDEX(Arten,MATCH(F13,Codes,0))="Arbeit",INDEX(Arten,MATCH(G13,Codes,0))="Arbeit"),IF(ROUND((1+INDEX(Beginne,MATCH(G13,Codes,0))-INDEX(EndeRel,MATCH(F13,Codes,0)))*1440,0)&lt;660,1,0),0),0))</f>
      </c>
      <c r="H62" s="1">
        <f>IF(OR(H$52=0,G13="",H13=""),0,IFERROR(IF(AND(INDEX(Arten,MATCH(G13,Codes,0))="Arbeit",INDEX(Arten,MATCH(H13,Codes,0))="Arbeit"),IF(ROUND((1+INDEX(Beginne,MATCH(H13,Codes,0))-INDEX(EndeRel,MATCH(G13,Codes,0)))*1440,0)&lt;660,1,0),0),0))</f>
      </c>
      <c r="I62" s="1">
        <f>IF(OR(I$52=0,H13="",I13=""),0,IFERROR(IF(AND(INDEX(Arten,MATCH(H13,Codes,0))="Arbeit",INDEX(Arten,MATCH(I13,Codes,0))="Arbeit"),IF(ROUND((1+INDEX(Beginne,MATCH(I13,Codes,0))-INDEX(EndeRel,MATCH(H13,Codes,0)))*1440,0)&lt;660,1,0),0),0))</f>
      </c>
      <c r="J62" s="1">
        <f>IF(OR(J$52=0,I13="",J13=""),0,IFERROR(IF(AND(INDEX(Arten,MATCH(I13,Codes,0))="Arbeit",INDEX(Arten,MATCH(J13,Codes,0))="Arbeit"),IF(ROUND((1+INDEX(Beginne,MATCH(J13,Codes,0))-INDEX(EndeRel,MATCH(I13,Codes,0)))*1440,0)&lt;660,1,0),0),0))</f>
      </c>
      <c r="K62" s="1">
        <f>IF(OR(K$52=0,J13="",K13=""),0,IFERROR(IF(AND(INDEX(Arten,MATCH(J13,Codes,0))="Arbeit",INDEX(Arten,MATCH(K13,Codes,0))="Arbeit"),IF(ROUND((1+INDEX(Beginne,MATCH(K13,Codes,0))-INDEX(EndeRel,MATCH(J13,Codes,0)))*1440,0)&lt;660,1,0),0),0))</f>
      </c>
      <c r="L62" s="1">
        <f>IF(OR(L$52=0,K13="",L13=""),0,IFERROR(IF(AND(INDEX(Arten,MATCH(K13,Codes,0))="Arbeit",INDEX(Arten,MATCH(L13,Codes,0))="Arbeit"),IF(ROUND((1+INDEX(Beginne,MATCH(L13,Codes,0))-INDEX(EndeRel,MATCH(K13,Codes,0)))*1440,0)&lt;660,1,0),0),0))</f>
      </c>
      <c r="M62" s="1">
        <f>IF(OR(M$52=0,L13="",M13=""),0,IFERROR(IF(AND(INDEX(Arten,MATCH(L13,Codes,0))="Arbeit",INDEX(Arten,MATCH(M13,Codes,0))="Arbeit"),IF(ROUND((1+INDEX(Beginne,MATCH(M13,Codes,0))-INDEX(EndeRel,MATCH(L13,Codes,0)))*1440,0)&lt;660,1,0),0),0))</f>
      </c>
      <c r="N62" s="1">
        <f>IF(OR(N$52=0,M13="",N13=""),0,IFERROR(IF(AND(INDEX(Arten,MATCH(M13,Codes,0))="Arbeit",INDEX(Arten,MATCH(N13,Codes,0))="Arbeit"),IF(ROUND((1+INDEX(Beginne,MATCH(N13,Codes,0))-INDEX(EndeRel,MATCH(M13,Codes,0)))*1440,0)&lt;660,1,0),0),0))</f>
      </c>
      <c r="O62" s="1">
        <f>IF(OR(O$52=0,N13="",O13=""),0,IFERROR(IF(AND(INDEX(Arten,MATCH(N13,Codes,0))="Arbeit",INDEX(Arten,MATCH(O13,Codes,0))="Arbeit"),IF(ROUND((1+INDEX(Beginne,MATCH(O13,Codes,0))-INDEX(EndeRel,MATCH(N13,Codes,0)))*1440,0)&lt;660,1,0),0),0))</f>
      </c>
      <c r="P62" s="1">
        <f>IF(OR(P$52=0,O13="",P13=""),0,IFERROR(IF(AND(INDEX(Arten,MATCH(O13,Codes,0))="Arbeit",INDEX(Arten,MATCH(P13,Codes,0))="Arbeit"),IF(ROUND((1+INDEX(Beginne,MATCH(P13,Codes,0))-INDEX(EndeRel,MATCH(O13,Codes,0)))*1440,0)&lt;660,1,0),0),0))</f>
      </c>
      <c r="Q62" s="1">
        <f>IF(OR(Q$52=0,P13="",Q13=""),0,IFERROR(IF(AND(INDEX(Arten,MATCH(P13,Codes,0))="Arbeit",INDEX(Arten,MATCH(Q13,Codes,0))="Arbeit"),IF(ROUND((1+INDEX(Beginne,MATCH(Q13,Codes,0))-INDEX(EndeRel,MATCH(P13,Codes,0)))*1440,0)&lt;660,1,0),0),0))</f>
      </c>
      <c r="R62" s="1">
        <f>IF(OR(R$52=0,Q13="",R13=""),0,IFERROR(IF(AND(INDEX(Arten,MATCH(Q13,Codes,0))="Arbeit",INDEX(Arten,MATCH(R13,Codes,0))="Arbeit"),IF(ROUND((1+INDEX(Beginne,MATCH(R13,Codes,0))-INDEX(EndeRel,MATCH(Q13,Codes,0)))*1440,0)&lt;660,1,0),0),0))</f>
      </c>
      <c r="S62" s="1">
        <f>IF(OR(S$52=0,R13="",S13=""),0,IFERROR(IF(AND(INDEX(Arten,MATCH(R13,Codes,0))="Arbeit",INDEX(Arten,MATCH(S13,Codes,0))="Arbeit"),IF(ROUND((1+INDEX(Beginne,MATCH(S13,Codes,0))-INDEX(EndeRel,MATCH(R13,Codes,0)))*1440,0)&lt;660,1,0),0),0))</f>
      </c>
      <c r="T62" s="1">
        <f>IF(OR(T$52=0,S13="",T13=""),0,IFERROR(IF(AND(INDEX(Arten,MATCH(S13,Codes,0))="Arbeit",INDEX(Arten,MATCH(T13,Codes,0))="Arbeit"),IF(ROUND((1+INDEX(Beginne,MATCH(T13,Codes,0))-INDEX(EndeRel,MATCH(S13,Codes,0)))*1440,0)&lt;660,1,0),0),0))</f>
      </c>
      <c r="U62" s="1">
        <f>IF(OR(U$52=0,T13="",U13=""),0,IFERROR(IF(AND(INDEX(Arten,MATCH(T13,Codes,0))="Arbeit",INDEX(Arten,MATCH(U13,Codes,0))="Arbeit"),IF(ROUND((1+INDEX(Beginne,MATCH(U13,Codes,0))-INDEX(EndeRel,MATCH(T13,Codes,0)))*1440,0)&lt;660,1,0),0),0))</f>
      </c>
      <c r="V62" s="1">
        <f>IF(OR(V$52=0,U13="",V13=""),0,IFERROR(IF(AND(INDEX(Arten,MATCH(U13,Codes,0))="Arbeit",INDEX(Arten,MATCH(V13,Codes,0))="Arbeit"),IF(ROUND((1+INDEX(Beginne,MATCH(V13,Codes,0))-INDEX(EndeRel,MATCH(U13,Codes,0)))*1440,0)&lt;660,1,0),0),0))</f>
      </c>
      <c r="W62" s="1">
        <f>IF(OR(W$52=0,V13="",W13=""),0,IFERROR(IF(AND(INDEX(Arten,MATCH(V13,Codes,0))="Arbeit",INDEX(Arten,MATCH(W13,Codes,0))="Arbeit"),IF(ROUND((1+INDEX(Beginne,MATCH(W13,Codes,0))-INDEX(EndeRel,MATCH(V13,Codes,0)))*1440,0)&lt;660,1,0),0),0))</f>
      </c>
      <c r="X62" s="1">
        <f>IF(OR(X$52=0,W13="",X13=""),0,IFERROR(IF(AND(INDEX(Arten,MATCH(W13,Codes,0))="Arbeit",INDEX(Arten,MATCH(X13,Codes,0))="Arbeit"),IF(ROUND((1+INDEX(Beginne,MATCH(X13,Codes,0))-INDEX(EndeRel,MATCH(W13,Codes,0)))*1440,0)&lt;660,1,0),0),0))</f>
      </c>
      <c r="Y62" s="1">
        <f>IF(OR(Y$52=0,X13="",Y13=""),0,IFERROR(IF(AND(INDEX(Arten,MATCH(X13,Codes,0))="Arbeit",INDEX(Arten,MATCH(Y13,Codes,0))="Arbeit"),IF(ROUND((1+INDEX(Beginne,MATCH(Y13,Codes,0))-INDEX(EndeRel,MATCH(X13,Codes,0)))*1440,0)&lt;660,1,0),0),0))</f>
      </c>
      <c r="Z62" s="1">
        <f>IF(OR(Z$52=0,Y13="",Z13=""),0,IFERROR(IF(AND(INDEX(Arten,MATCH(Y13,Codes,0))="Arbeit",INDEX(Arten,MATCH(Z13,Codes,0))="Arbeit"),IF(ROUND((1+INDEX(Beginne,MATCH(Z13,Codes,0))-INDEX(EndeRel,MATCH(Y13,Codes,0)))*1440,0)&lt;660,1,0),0),0))</f>
      </c>
      <c r="AA62" s="1">
        <f>IF(OR(AA$52=0,Z13="",AA13=""),0,IFERROR(IF(AND(INDEX(Arten,MATCH(Z13,Codes,0))="Arbeit",INDEX(Arten,MATCH(AA13,Codes,0))="Arbeit"),IF(ROUND((1+INDEX(Beginne,MATCH(AA13,Codes,0))-INDEX(EndeRel,MATCH(Z13,Codes,0)))*1440,0)&lt;660,1,0),0),0))</f>
      </c>
      <c r="AB62" s="1">
        <f>IF(OR(AB$52=0,AA13="",AB13=""),0,IFERROR(IF(AND(INDEX(Arten,MATCH(AA13,Codes,0))="Arbeit",INDEX(Arten,MATCH(AB13,Codes,0))="Arbeit"),IF(ROUND((1+INDEX(Beginne,MATCH(AB13,Codes,0))-INDEX(EndeRel,MATCH(AA13,Codes,0)))*1440,0)&lt;660,1,0),0),0))</f>
      </c>
      <c r="AC62" s="1">
        <f>IF(OR(AC$52=0,AB13="",AC13=""),0,IFERROR(IF(AND(INDEX(Arten,MATCH(AB13,Codes,0))="Arbeit",INDEX(Arten,MATCH(AC13,Codes,0))="Arbeit"),IF(ROUND((1+INDEX(Beginne,MATCH(AC13,Codes,0))-INDEX(EndeRel,MATCH(AB13,Codes,0)))*1440,0)&lt;660,1,0),0),0))</f>
      </c>
      <c r="AD62" s="1">
        <f>IF(OR(AD$52=0,AC13="",AD13=""),0,IFERROR(IF(AND(INDEX(Arten,MATCH(AC13,Codes,0))="Arbeit",INDEX(Arten,MATCH(AD13,Codes,0))="Arbeit"),IF(ROUND((1+INDEX(Beginne,MATCH(AD13,Codes,0))-INDEX(EndeRel,MATCH(AC13,Codes,0)))*1440,0)&lt;660,1,0),0),0))</f>
      </c>
      <c r="AE62" s="1">
        <f>IF(OR(AE$52=0,AD13="",AE13=""),0,IFERROR(IF(AND(INDEX(Arten,MATCH(AD13,Codes,0))="Arbeit",INDEX(Arten,MATCH(AE13,Codes,0))="Arbeit"),IF(ROUND((1+INDEX(Beginne,MATCH(AE13,Codes,0))-INDEX(EndeRel,MATCH(AD13,Codes,0)))*1440,0)&lt;660,1,0),0),0))</f>
      </c>
      <c r="AF62" s="1">
        <f>IF(OR(AF$52=0,AE13="",AF13=""),0,IFERROR(IF(AND(INDEX(Arten,MATCH(AE13,Codes,0))="Arbeit",INDEX(Arten,MATCH(AF13,Codes,0))="Arbeit"),IF(ROUND((1+INDEX(Beginne,MATCH(AF13,Codes,0))-INDEX(EndeRel,MATCH(AE13,Codes,0)))*1440,0)&lt;660,1,0),0),0))</f>
      </c>
    </row>
    <row r="63" hidden="1" spans="1:32" x14ac:dyDescent="0.25">
      <c r="A63" s="1"/>
      <c r="B63" s="1">
        <f>IF(OR(B$52=0,INDEX('Oktober'!$B$14:$AF$14,DAY(DATE(Jahr,11,0)))="",B14=""),0,IFERROR(IF(AND(INDEX(Arten,MATCH(INDEX('Oktober'!$B$14:$AF$14,DAY(DATE(Jahr,11,0))),Codes,0))="Arbeit",INDEX(Arten,MATCH(B14,Codes,0))="Arbeit"),IF(ROUND((1+INDEX(Beginne,MATCH(B14,Codes,0))-INDEX(EndeRel,MATCH(INDEX('Oktober'!$B$14:$AF$14,DAY(DATE(Jahr,11,0))),Codes,0)))*1440,0)&lt;660,1,0),0),0))</f>
      </c>
      <c r="C63" s="1">
        <f>IF(OR(C$52=0,B14="",C14=""),0,IFERROR(IF(AND(INDEX(Arten,MATCH(B14,Codes,0))="Arbeit",INDEX(Arten,MATCH(C14,Codes,0))="Arbeit"),IF(ROUND((1+INDEX(Beginne,MATCH(C14,Codes,0))-INDEX(EndeRel,MATCH(B14,Codes,0)))*1440,0)&lt;660,1,0),0),0))</f>
      </c>
      <c r="D63" s="1">
        <f>IF(OR(D$52=0,C14="",D14=""),0,IFERROR(IF(AND(INDEX(Arten,MATCH(C14,Codes,0))="Arbeit",INDEX(Arten,MATCH(D14,Codes,0))="Arbeit"),IF(ROUND((1+INDEX(Beginne,MATCH(D14,Codes,0))-INDEX(EndeRel,MATCH(C14,Codes,0)))*1440,0)&lt;660,1,0),0),0))</f>
      </c>
      <c r="E63" s="1">
        <f>IF(OR(E$52=0,D14="",E14=""),0,IFERROR(IF(AND(INDEX(Arten,MATCH(D14,Codes,0))="Arbeit",INDEX(Arten,MATCH(E14,Codes,0))="Arbeit"),IF(ROUND((1+INDEX(Beginne,MATCH(E14,Codes,0))-INDEX(EndeRel,MATCH(D14,Codes,0)))*1440,0)&lt;660,1,0),0),0))</f>
      </c>
      <c r="F63" s="1">
        <f>IF(OR(F$52=0,E14="",F14=""),0,IFERROR(IF(AND(INDEX(Arten,MATCH(E14,Codes,0))="Arbeit",INDEX(Arten,MATCH(F14,Codes,0))="Arbeit"),IF(ROUND((1+INDEX(Beginne,MATCH(F14,Codes,0))-INDEX(EndeRel,MATCH(E14,Codes,0)))*1440,0)&lt;660,1,0),0),0))</f>
      </c>
      <c r="G63" s="1">
        <f>IF(OR(G$52=0,F14="",G14=""),0,IFERROR(IF(AND(INDEX(Arten,MATCH(F14,Codes,0))="Arbeit",INDEX(Arten,MATCH(G14,Codes,0))="Arbeit"),IF(ROUND((1+INDEX(Beginne,MATCH(G14,Codes,0))-INDEX(EndeRel,MATCH(F14,Codes,0)))*1440,0)&lt;660,1,0),0),0))</f>
      </c>
      <c r="H63" s="1">
        <f>IF(OR(H$52=0,G14="",H14=""),0,IFERROR(IF(AND(INDEX(Arten,MATCH(G14,Codes,0))="Arbeit",INDEX(Arten,MATCH(H14,Codes,0))="Arbeit"),IF(ROUND((1+INDEX(Beginne,MATCH(H14,Codes,0))-INDEX(EndeRel,MATCH(G14,Codes,0)))*1440,0)&lt;660,1,0),0),0))</f>
      </c>
      <c r="I63" s="1">
        <f>IF(OR(I$52=0,H14="",I14=""),0,IFERROR(IF(AND(INDEX(Arten,MATCH(H14,Codes,0))="Arbeit",INDEX(Arten,MATCH(I14,Codes,0))="Arbeit"),IF(ROUND((1+INDEX(Beginne,MATCH(I14,Codes,0))-INDEX(EndeRel,MATCH(H14,Codes,0)))*1440,0)&lt;660,1,0),0),0))</f>
      </c>
      <c r="J63" s="1">
        <f>IF(OR(J$52=0,I14="",J14=""),0,IFERROR(IF(AND(INDEX(Arten,MATCH(I14,Codes,0))="Arbeit",INDEX(Arten,MATCH(J14,Codes,0))="Arbeit"),IF(ROUND((1+INDEX(Beginne,MATCH(J14,Codes,0))-INDEX(EndeRel,MATCH(I14,Codes,0)))*1440,0)&lt;660,1,0),0),0))</f>
      </c>
      <c r="K63" s="1">
        <f>IF(OR(K$52=0,J14="",K14=""),0,IFERROR(IF(AND(INDEX(Arten,MATCH(J14,Codes,0))="Arbeit",INDEX(Arten,MATCH(K14,Codes,0))="Arbeit"),IF(ROUND((1+INDEX(Beginne,MATCH(K14,Codes,0))-INDEX(EndeRel,MATCH(J14,Codes,0)))*1440,0)&lt;660,1,0),0),0))</f>
      </c>
      <c r="L63" s="1">
        <f>IF(OR(L$52=0,K14="",L14=""),0,IFERROR(IF(AND(INDEX(Arten,MATCH(K14,Codes,0))="Arbeit",INDEX(Arten,MATCH(L14,Codes,0))="Arbeit"),IF(ROUND((1+INDEX(Beginne,MATCH(L14,Codes,0))-INDEX(EndeRel,MATCH(K14,Codes,0)))*1440,0)&lt;660,1,0),0),0))</f>
      </c>
      <c r="M63" s="1">
        <f>IF(OR(M$52=0,L14="",M14=""),0,IFERROR(IF(AND(INDEX(Arten,MATCH(L14,Codes,0))="Arbeit",INDEX(Arten,MATCH(M14,Codes,0))="Arbeit"),IF(ROUND((1+INDEX(Beginne,MATCH(M14,Codes,0))-INDEX(EndeRel,MATCH(L14,Codes,0)))*1440,0)&lt;660,1,0),0),0))</f>
      </c>
      <c r="N63" s="1">
        <f>IF(OR(N$52=0,M14="",N14=""),0,IFERROR(IF(AND(INDEX(Arten,MATCH(M14,Codes,0))="Arbeit",INDEX(Arten,MATCH(N14,Codes,0))="Arbeit"),IF(ROUND((1+INDEX(Beginne,MATCH(N14,Codes,0))-INDEX(EndeRel,MATCH(M14,Codes,0)))*1440,0)&lt;660,1,0),0),0))</f>
      </c>
      <c r="O63" s="1">
        <f>IF(OR(O$52=0,N14="",O14=""),0,IFERROR(IF(AND(INDEX(Arten,MATCH(N14,Codes,0))="Arbeit",INDEX(Arten,MATCH(O14,Codes,0))="Arbeit"),IF(ROUND((1+INDEX(Beginne,MATCH(O14,Codes,0))-INDEX(EndeRel,MATCH(N14,Codes,0)))*1440,0)&lt;660,1,0),0),0))</f>
      </c>
      <c r="P63" s="1">
        <f>IF(OR(P$52=0,O14="",P14=""),0,IFERROR(IF(AND(INDEX(Arten,MATCH(O14,Codes,0))="Arbeit",INDEX(Arten,MATCH(P14,Codes,0))="Arbeit"),IF(ROUND((1+INDEX(Beginne,MATCH(P14,Codes,0))-INDEX(EndeRel,MATCH(O14,Codes,0)))*1440,0)&lt;660,1,0),0),0))</f>
      </c>
      <c r="Q63" s="1">
        <f>IF(OR(Q$52=0,P14="",Q14=""),0,IFERROR(IF(AND(INDEX(Arten,MATCH(P14,Codes,0))="Arbeit",INDEX(Arten,MATCH(Q14,Codes,0))="Arbeit"),IF(ROUND((1+INDEX(Beginne,MATCH(Q14,Codes,0))-INDEX(EndeRel,MATCH(P14,Codes,0)))*1440,0)&lt;660,1,0),0),0))</f>
      </c>
      <c r="R63" s="1">
        <f>IF(OR(R$52=0,Q14="",R14=""),0,IFERROR(IF(AND(INDEX(Arten,MATCH(Q14,Codes,0))="Arbeit",INDEX(Arten,MATCH(R14,Codes,0))="Arbeit"),IF(ROUND((1+INDEX(Beginne,MATCH(R14,Codes,0))-INDEX(EndeRel,MATCH(Q14,Codes,0)))*1440,0)&lt;660,1,0),0),0))</f>
      </c>
      <c r="S63" s="1">
        <f>IF(OR(S$52=0,R14="",S14=""),0,IFERROR(IF(AND(INDEX(Arten,MATCH(R14,Codes,0))="Arbeit",INDEX(Arten,MATCH(S14,Codes,0))="Arbeit"),IF(ROUND((1+INDEX(Beginne,MATCH(S14,Codes,0))-INDEX(EndeRel,MATCH(R14,Codes,0)))*1440,0)&lt;660,1,0),0),0))</f>
      </c>
      <c r="T63" s="1">
        <f>IF(OR(T$52=0,S14="",T14=""),0,IFERROR(IF(AND(INDEX(Arten,MATCH(S14,Codes,0))="Arbeit",INDEX(Arten,MATCH(T14,Codes,0))="Arbeit"),IF(ROUND((1+INDEX(Beginne,MATCH(T14,Codes,0))-INDEX(EndeRel,MATCH(S14,Codes,0)))*1440,0)&lt;660,1,0),0),0))</f>
      </c>
      <c r="U63" s="1">
        <f>IF(OR(U$52=0,T14="",U14=""),0,IFERROR(IF(AND(INDEX(Arten,MATCH(T14,Codes,0))="Arbeit",INDEX(Arten,MATCH(U14,Codes,0))="Arbeit"),IF(ROUND((1+INDEX(Beginne,MATCH(U14,Codes,0))-INDEX(EndeRel,MATCH(T14,Codes,0)))*1440,0)&lt;660,1,0),0),0))</f>
      </c>
      <c r="V63" s="1">
        <f>IF(OR(V$52=0,U14="",V14=""),0,IFERROR(IF(AND(INDEX(Arten,MATCH(U14,Codes,0))="Arbeit",INDEX(Arten,MATCH(V14,Codes,0))="Arbeit"),IF(ROUND((1+INDEX(Beginne,MATCH(V14,Codes,0))-INDEX(EndeRel,MATCH(U14,Codes,0)))*1440,0)&lt;660,1,0),0),0))</f>
      </c>
      <c r="W63" s="1">
        <f>IF(OR(W$52=0,V14="",W14=""),0,IFERROR(IF(AND(INDEX(Arten,MATCH(V14,Codes,0))="Arbeit",INDEX(Arten,MATCH(W14,Codes,0))="Arbeit"),IF(ROUND((1+INDEX(Beginne,MATCH(W14,Codes,0))-INDEX(EndeRel,MATCH(V14,Codes,0)))*1440,0)&lt;660,1,0),0),0))</f>
      </c>
      <c r="X63" s="1">
        <f>IF(OR(X$52=0,W14="",X14=""),0,IFERROR(IF(AND(INDEX(Arten,MATCH(W14,Codes,0))="Arbeit",INDEX(Arten,MATCH(X14,Codes,0))="Arbeit"),IF(ROUND((1+INDEX(Beginne,MATCH(X14,Codes,0))-INDEX(EndeRel,MATCH(W14,Codes,0)))*1440,0)&lt;660,1,0),0),0))</f>
      </c>
      <c r="Y63" s="1">
        <f>IF(OR(Y$52=0,X14="",Y14=""),0,IFERROR(IF(AND(INDEX(Arten,MATCH(X14,Codes,0))="Arbeit",INDEX(Arten,MATCH(Y14,Codes,0))="Arbeit"),IF(ROUND((1+INDEX(Beginne,MATCH(Y14,Codes,0))-INDEX(EndeRel,MATCH(X14,Codes,0)))*1440,0)&lt;660,1,0),0),0))</f>
      </c>
      <c r="Z63" s="1">
        <f>IF(OR(Z$52=0,Y14="",Z14=""),0,IFERROR(IF(AND(INDEX(Arten,MATCH(Y14,Codes,0))="Arbeit",INDEX(Arten,MATCH(Z14,Codes,0))="Arbeit"),IF(ROUND((1+INDEX(Beginne,MATCH(Z14,Codes,0))-INDEX(EndeRel,MATCH(Y14,Codes,0)))*1440,0)&lt;660,1,0),0),0))</f>
      </c>
      <c r="AA63" s="1">
        <f>IF(OR(AA$52=0,Z14="",AA14=""),0,IFERROR(IF(AND(INDEX(Arten,MATCH(Z14,Codes,0))="Arbeit",INDEX(Arten,MATCH(AA14,Codes,0))="Arbeit"),IF(ROUND((1+INDEX(Beginne,MATCH(AA14,Codes,0))-INDEX(EndeRel,MATCH(Z14,Codes,0)))*1440,0)&lt;660,1,0),0),0))</f>
      </c>
      <c r="AB63" s="1">
        <f>IF(OR(AB$52=0,AA14="",AB14=""),0,IFERROR(IF(AND(INDEX(Arten,MATCH(AA14,Codes,0))="Arbeit",INDEX(Arten,MATCH(AB14,Codes,0))="Arbeit"),IF(ROUND((1+INDEX(Beginne,MATCH(AB14,Codes,0))-INDEX(EndeRel,MATCH(AA14,Codes,0)))*1440,0)&lt;660,1,0),0),0))</f>
      </c>
      <c r="AC63" s="1">
        <f>IF(OR(AC$52=0,AB14="",AC14=""),0,IFERROR(IF(AND(INDEX(Arten,MATCH(AB14,Codes,0))="Arbeit",INDEX(Arten,MATCH(AC14,Codes,0))="Arbeit"),IF(ROUND((1+INDEX(Beginne,MATCH(AC14,Codes,0))-INDEX(EndeRel,MATCH(AB14,Codes,0)))*1440,0)&lt;660,1,0),0),0))</f>
      </c>
      <c r="AD63" s="1">
        <f>IF(OR(AD$52=0,AC14="",AD14=""),0,IFERROR(IF(AND(INDEX(Arten,MATCH(AC14,Codes,0))="Arbeit",INDEX(Arten,MATCH(AD14,Codes,0))="Arbeit"),IF(ROUND((1+INDEX(Beginne,MATCH(AD14,Codes,0))-INDEX(EndeRel,MATCH(AC14,Codes,0)))*1440,0)&lt;660,1,0),0),0))</f>
      </c>
      <c r="AE63" s="1">
        <f>IF(OR(AE$52=0,AD14="",AE14=""),0,IFERROR(IF(AND(INDEX(Arten,MATCH(AD14,Codes,0))="Arbeit",INDEX(Arten,MATCH(AE14,Codes,0))="Arbeit"),IF(ROUND((1+INDEX(Beginne,MATCH(AE14,Codes,0))-INDEX(EndeRel,MATCH(AD14,Codes,0)))*1440,0)&lt;660,1,0),0),0))</f>
      </c>
      <c r="AF63" s="1">
        <f>IF(OR(AF$52=0,AE14="",AF14=""),0,IFERROR(IF(AND(INDEX(Arten,MATCH(AE14,Codes,0))="Arbeit",INDEX(Arten,MATCH(AF14,Codes,0))="Arbeit"),IF(ROUND((1+INDEX(Beginne,MATCH(AF14,Codes,0))-INDEX(EndeRel,MATCH(AE14,Codes,0)))*1440,0)&lt;660,1,0),0),0))</f>
      </c>
    </row>
    <row r="64" hidden="1" spans="1:32" x14ac:dyDescent="0.25">
      <c r="A64" s="1"/>
      <c r="B64" s="1">
        <f>IF(OR(B$52=0,INDEX('Oktober'!$B$15:$AF$15,DAY(DATE(Jahr,11,0)))="",B15=""),0,IFERROR(IF(AND(INDEX(Arten,MATCH(INDEX('Oktober'!$B$15:$AF$15,DAY(DATE(Jahr,11,0))),Codes,0))="Arbeit",INDEX(Arten,MATCH(B15,Codes,0))="Arbeit"),IF(ROUND((1+INDEX(Beginne,MATCH(B15,Codes,0))-INDEX(EndeRel,MATCH(INDEX('Oktober'!$B$15:$AF$15,DAY(DATE(Jahr,11,0))),Codes,0)))*1440,0)&lt;660,1,0),0),0))</f>
      </c>
      <c r="C64" s="1">
        <f>IF(OR(C$52=0,B15="",C15=""),0,IFERROR(IF(AND(INDEX(Arten,MATCH(B15,Codes,0))="Arbeit",INDEX(Arten,MATCH(C15,Codes,0))="Arbeit"),IF(ROUND((1+INDEX(Beginne,MATCH(C15,Codes,0))-INDEX(EndeRel,MATCH(B15,Codes,0)))*1440,0)&lt;660,1,0),0),0))</f>
      </c>
      <c r="D64" s="1">
        <f>IF(OR(D$52=0,C15="",D15=""),0,IFERROR(IF(AND(INDEX(Arten,MATCH(C15,Codes,0))="Arbeit",INDEX(Arten,MATCH(D15,Codes,0))="Arbeit"),IF(ROUND((1+INDEX(Beginne,MATCH(D15,Codes,0))-INDEX(EndeRel,MATCH(C15,Codes,0)))*1440,0)&lt;660,1,0),0),0))</f>
      </c>
      <c r="E64" s="1">
        <f>IF(OR(E$52=0,D15="",E15=""),0,IFERROR(IF(AND(INDEX(Arten,MATCH(D15,Codes,0))="Arbeit",INDEX(Arten,MATCH(E15,Codes,0))="Arbeit"),IF(ROUND((1+INDEX(Beginne,MATCH(E15,Codes,0))-INDEX(EndeRel,MATCH(D15,Codes,0)))*1440,0)&lt;660,1,0),0),0))</f>
      </c>
      <c r="F64" s="1">
        <f>IF(OR(F$52=0,E15="",F15=""),0,IFERROR(IF(AND(INDEX(Arten,MATCH(E15,Codes,0))="Arbeit",INDEX(Arten,MATCH(F15,Codes,0))="Arbeit"),IF(ROUND((1+INDEX(Beginne,MATCH(F15,Codes,0))-INDEX(EndeRel,MATCH(E15,Codes,0)))*1440,0)&lt;660,1,0),0),0))</f>
      </c>
      <c r="G64" s="1">
        <f>IF(OR(G$52=0,F15="",G15=""),0,IFERROR(IF(AND(INDEX(Arten,MATCH(F15,Codes,0))="Arbeit",INDEX(Arten,MATCH(G15,Codes,0))="Arbeit"),IF(ROUND((1+INDEX(Beginne,MATCH(G15,Codes,0))-INDEX(EndeRel,MATCH(F15,Codes,0)))*1440,0)&lt;660,1,0),0),0))</f>
      </c>
      <c r="H64" s="1">
        <f>IF(OR(H$52=0,G15="",H15=""),0,IFERROR(IF(AND(INDEX(Arten,MATCH(G15,Codes,0))="Arbeit",INDEX(Arten,MATCH(H15,Codes,0))="Arbeit"),IF(ROUND((1+INDEX(Beginne,MATCH(H15,Codes,0))-INDEX(EndeRel,MATCH(G15,Codes,0)))*1440,0)&lt;660,1,0),0),0))</f>
      </c>
      <c r="I64" s="1">
        <f>IF(OR(I$52=0,H15="",I15=""),0,IFERROR(IF(AND(INDEX(Arten,MATCH(H15,Codes,0))="Arbeit",INDEX(Arten,MATCH(I15,Codes,0))="Arbeit"),IF(ROUND((1+INDEX(Beginne,MATCH(I15,Codes,0))-INDEX(EndeRel,MATCH(H15,Codes,0)))*1440,0)&lt;660,1,0),0),0))</f>
      </c>
      <c r="J64" s="1">
        <f>IF(OR(J$52=0,I15="",J15=""),0,IFERROR(IF(AND(INDEX(Arten,MATCH(I15,Codes,0))="Arbeit",INDEX(Arten,MATCH(J15,Codes,0))="Arbeit"),IF(ROUND((1+INDEX(Beginne,MATCH(J15,Codes,0))-INDEX(EndeRel,MATCH(I15,Codes,0)))*1440,0)&lt;660,1,0),0),0))</f>
      </c>
      <c r="K64" s="1">
        <f>IF(OR(K$52=0,J15="",K15=""),0,IFERROR(IF(AND(INDEX(Arten,MATCH(J15,Codes,0))="Arbeit",INDEX(Arten,MATCH(K15,Codes,0))="Arbeit"),IF(ROUND((1+INDEX(Beginne,MATCH(K15,Codes,0))-INDEX(EndeRel,MATCH(J15,Codes,0)))*1440,0)&lt;660,1,0),0),0))</f>
      </c>
      <c r="L64" s="1">
        <f>IF(OR(L$52=0,K15="",L15=""),0,IFERROR(IF(AND(INDEX(Arten,MATCH(K15,Codes,0))="Arbeit",INDEX(Arten,MATCH(L15,Codes,0))="Arbeit"),IF(ROUND((1+INDEX(Beginne,MATCH(L15,Codes,0))-INDEX(EndeRel,MATCH(K15,Codes,0)))*1440,0)&lt;660,1,0),0),0))</f>
      </c>
      <c r="M64" s="1">
        <f>IF(OR(M$52=0,L15="",M15=""),0,IFERROR(IF(AND(INDEX(Arten,MATCH(L15,Codes,0))="Arbeit",INDEX(Arten,MATCH(M15,Codes,0))="Arbeit"),IF(ROUND((1+INDEX(Beginne,MATCH(M15,Codes,0))-INDEX(EndeRel,MATCH(L15,Codes,0)))*1440,0)&lt;660,1,0),0),0))</f>
      </c>
      <c r="N64" s="1">
        <f>IF(OR(N$52=0,M15="",N15=""),0,IFERROR(IF(AND(INDEX(Arten,MATCH(M15,Codes,0))="Arbeit",INDEX(Arten,MATCH(N15,Codes,0))="Arbeit"),IF(ROUND((1+INDEX(Beginne,MATCH(N15,Codes,0))-INDEX(EndeRel,MATCH(M15,Codes,0)))*1440,0)&lt;660,1,0),0),0))</f>
      </c>
      <c r="O64" s="1">
        <f>IF(OR(O$52=0,N15="",O15=""),0,IFERROR(IF(AND(INDEX(Arten,MATCH(N15,Codes,0))="Arbeit",INDEX(Arten,MATCH(O15,Codes,0))="Arbeit"),IF(ROUND((1+INDEX(Beginne,MATCH(O15,Codes,0))-INDEX(EndeRel,MATCH(N15,Codes,0)))*1440,0)&lt;660,1,0),0),0))</f>
      </c>
      <c r="P64" s="1">
        <f>IF(OR(P$52=0,O15="",P15=""),0,IFERROR(IF(AND(INDEX(Arten,MATCH(O15,Codes,0))="Arbeit",INDEX(Arten,MATCH(P15,Codes,0))="Arbeit"),IF(ROUND((1+INDEX(Beginne,MATCH(P15,Codes,0))-INDEX(EndeRel,MATCH(O15,Codes,0)))*1440,0)&lt;660,1,0),0),0))</f>
      </c>
      <c r="Q64" s="1">
        <f>IF(OR(Q$52=0,P15="",Q15=""),0,IFERROR(IF(AND(INDEX(Arten,MATCH(P15,Codes,0))="Arbeit",INDEX(Arten,MATCH(Q15,Codes,0))="Arbeit"),IF(ROUND((1+INDEX(Beginne,MATCH(Q15,Codes,0))-INDEX(EndeRel,MATCH(P15,Codes,0)))*1440,0)&lt;660,1,0),0),0))</f>
      </c>
      <c r="R64" s="1">
        <f>IF(OR(R$52=0,Q15="",R15=""),0,IFERROR(IF(AND(INDEX(Arten,MATCH(Q15,Codes,0))="Arbeit",INDEX(Arten,MATCH(R15,Codes,0))="Arbeit"),IF(ROUND((1+INDEX(Beginne,MATCH(R15,Codes,0))-INDEX(EndeRel,MATCH(Q15,Codes,0)))*1440,0)&lt;660,1,0),0),0))</f>
      </c>
      <c r="S64" s="1">
        <f>IF(OR(S$52=0,R15="",S15=""),0,IFERROR(IF(AND(INDEX(Arten,MATCH(R15,Codes,0))="Arbeit",INDEX(Arten,MATCH(S15,Codes,0))="Arbeit"),IF(ROUND((1+INDEX(Beginne,MATCH(S15,Codes,0))-INDEX(EndeRel,MATCH(R15,Codes,0)))*1440,0)&lt;660,1,0),0),0))</f>
      </c>
      <c r="T64" s="1">
        <f>IF(OR(T$52=0,S15="",T15=""),0,IFERROR(IF(AND(INDEX(Arten,MATCH(S15,Codes,0))="Arbeit",INDEX(Arten,MATCH(T15,Codes,0))="Arbeit"),IF(ROUND((1+INDEX(Beginne,MATCH(T15,Codes,0))-INDEX(EndeRel,MATCH(S15,Codes,0)))*1440,0)&lt;660,1,0),0),0))</f>
      </c>
      <c r="U64" s="1">
        <f>IF(OR(U$52=0,T15="",U15=""),0,IFERROR(IF(AND(INDEX(Arten,MATCH(T15,Codes,0))="Arbeit",INDEX(Arten,MATCH(U15,Codes,0))="Arbeit"),IF(ROUND((1+INDEX(Beginne,MATCH(U15,Codes,0))-INDEX(EndeRel,MATCH(T15,Codes,0)))*1440,0)&lt;660,1,0),0),0))</f>
      </c>
      <c r="V64" s="1">
        <f>IF(OR(V$52=0,U15="",V15=""),0,IFERROR(IF(AND(INDEX(Arten,MATCH(U15,Codes,0))="Arbeit",INDEX(Arten,MATCH(V15,Codes,0))="Arbeit"),IF(ROUND((1+INDEX(Beginne,MATCH(V15,Codes,0))-INDEX(EndeRel,MATCH(U15,Codes,0)))*1440,0)&lt;660,1,0),0),0))</f>
      </c>
      <c r="W64" s="1">
        <f>IF(OR(W$52=0,V15="",W15=""),0,IFERROR(IF(AND(INDEX(Arten,MATCH(V15,Codes,0))="Arbeit",INDEX(Arten,MATCH(W15,Codes,0))="Arbeit"),IF(ROUND((1+INDEX(Beginne,MATCH(W15,Codes,0))-INDEX(EndeRel,MATCH(V15,Codes,0)))*1440,0)&lt;660,1,0),0),0))</f>
      </c>
      <c r="X64" s="1">
        <f>IF(OR(X$52=0,W15="",X15=""),0,IFERROR(IF(AND(INDEX(Arten,MATCH(W15,Codes,0))="Arbeit",INDEX(Arten,MATCH(X15,Codes,0))="Arbeit"),IF(ROUND((1+INDEX(Beginne,MATCH(X15,Codes,0))-INDEX(EndeRel,MATCH(W15,Codes,0)))*1440,0)&lt;660,1,0),0),0))</f>
      </c>
      <c r="Y64" s="1">
        <f>IF(OR(Y$52=0,X15="",Y15=""),0,IFERROR(IF(AND(INDEX(Arten,MATCH(X15,Codes,0))="Arbeit",INDEX(Arten,MATCH(Y15,Codes,0))="Arbeit"),IF(ROUND((1+INDEX(Beginne,MATCH(Y15,Codes,0))-INDEX(EndeRel,MATCH(X15,Codes,0)))*1440,0)&lt;660,1,0),0),0))</f>
      </c>
      <c r="Z64" s="1">
        <f>IF(OR(Z$52=0,Y15="",Z15=""),0,IFERROR(IF(AND(INDEX(Arten,MATCH(Y15,Codes,0))="Arbeit",INDEX(Arten,MATCH(Z15,Codes,0))="Arbeit"),IF(ROUND((1+INDEX(Beginne,MATCH(Z15,Codes,0))-INDEX(EndeRel,MATCH(Y15,Codes,0)))*1440,0)&lt;660,1,0),0),0))</f>
      </c>
      <c r="AA64" s="1">
        <f>IF(OR(AA$52=0,Z15="",AA15=""),0,IFERROR(IF(AND(INDEX(Arten,MATCH(Z15,Codes,0))="Arbeit",INDEX(Arten,MATCH(AA15,Codes,0))="Arbeit"),IF(ROUND((1+INDEX(Beginne,MATCH(AA15,Codes,0))-INDEX(EndeRel,MATCH(Z15,Codes,0)))*1440,0)&lt;660,1,0),0),0))</f>
      </c>
      <c r="AB64" s="1">
        <f>IF(OR(AB$52=0,AA15="",AB15=""),0,IFERROR(IF(AND(INDEX(Arten,MATCH(AA15,Codes,0))="Arbeit",INDEX(Arten,MATCH(AB15,Codes,0))="Arbeit"),IF(ROUND((1+INDEX(Beginne,MATCH(AB15,Codes,0))-INDEX(EndeRel,MATCH(AA15,Codes,0)))*1440,0)&lt;660,1,0),0),0))</f>
      </c>
      <c r="AC64" s="1">
        <f>IF(OR(AC$52=0,AB15="",AC15=""),0,IFERROR(IF(AND(INDEX(Arten,MATCH(AB15,Codes,0))="Arbeit",INDEX(Arten,MATCH(AC15,Codes,0))="Arbeit"),IF(ROUND((1+INDEX(Beginne,MATCH(AC15,Codes,0))-INDEX(EndeRel,MATCH(AB15,Codes,0)))*1440,0)&lt;660,1,0),0),0))</f>
      </c>
      <c r="AD64" s="1">
        <f>IF(OR(AD$52=0,AC15="",AD15=""),0,IFERROR(IF(AND(INDEX(Arten,MATCH(AC15,Codes,0))="Arbeit",INDEX(Arten,MATCH(AD15,Codes,0))="Arbeit"),IF(ROUND((1+INDEX(Beginne,MATCH(AD15,Codes,0))-INDEX(EndeRel,MATCH(AC15,Codes,0)))*1440,0)&lt;660,1,0),0),0))</f>
      </c>
      <c r="AE64" s="1">
        <f>IF(OR(AE$52=0,AD15="",AE15=""),0,IFERROR(IF(AND(INDEX(Arten,MATCH(AD15,Codes,0))="Arbeit",INDEX(Arten,MATCH(AE15,Codes,0))="Arbeit"),IF(ROUND((1+INDEX(Beginne,MATCH(AE15,Codes,0))-INDEX(EndeRel,MATCH(AD15,Codes,0)))*1440,0)&lt;660,1,0),0),0))</f>
      </c>
      <c r="AF64" s="1">
        <f>IF(OR(AF$52=0,AE15="",AF15=""),0,IFERROR(IF(AND(INDEX(Arten,MATCH(AE15,Codes,0))="Arbeit",INDEX(Arten,MATCH(AF15,Codes,0))="Arbeit"),IF(ROUND((1+INDEX(Beginne,MATCH(AF15,Codes,0))-INDEX(EndeRel,MATCH(AE15,Codes,0)))*1440,0)&lt;660,1,0),0),0))</f>
      </c>
    </row>
    <row r="65" hidden="1" spans="1:32" x14ac:dyDescent="0.25">
      <c r="A65" s="1"/>
      <c r="B65" s="1">
        <f>IF(OR(B$52=0,INDEX('Oktober'!$B$16:$AF$16,DAY(DATE(Jahr,11,0)))="",B16=""),0,IFERROR(IF(AND(INDEX(Arten,MATCH(INDEX('Oktober'!$B$16:$AF$16,DAY(DATE(Jahr,11,0))),Codes,0))="Arbeit",INDEX(Arten,MATCH(B16,Codes,0))="Arbeit"),IF(ROUND((1+INDEX(Beginne,MATCH(B16,Codes,0))-INDEX(EndeRel,MATCH(INDEX('Oktober'!$B$16:$AF$16,DAY(DATE(Jahr,11,0))),Codes,0)))*1440,0)&lt;660,1,0),0),0))</f>
      </c>
      <c r="C65" s="1">
        <f>IF(OR(C$52=0,B16="",C16=""),0,IFERROR(IF(AND(INDEX(Arten,MATCH(B16,Codes,0))="Arbeit",INDEX(Arten,MATCH(C16,Codes,0))="Arbeit"),IF(ROUND((1+INDEX(Beginne,MATCH(C16,Codes,0))-INDEX(EndeRel,MATCH(B16,Codes,0)))*1440,0)&lt;660,1,0),0),0))</f>
      </c>
      <c r="D65" s="1">
        <f>IF(OR(D$52=0,C16="",D16=""),0,IFERROR(IF(AND(INDEX(Arten,MATCH(C16,Codes,0))="Arbeit",INDEX(Arten,MATCH(D16,Codes,0))="Arbeit"),IF(ROUND((1+INDEX(Beginne,MATCH(D16,Codes,0))-INDEX(EndeRel,MATCH(C16,Codes,0)))*1440,0)&lt;660,1,0),0),0))</f>
      </c>
      <c r="E65" s="1">
        <f>IF(OR(E$52=0,D16="",E16=""),0,IFERROR(IF(AND(INDEX(Arten,MATCH(D16,Codes,0))="Arbeit",INDEX(Arten,MATCH(E16,Codes,0))="Arbeit"),IF(ROUND((1+INDEX(Beginne,MATCH(E16,Codes,0))-INDEX(EndeRel,MATCH(D16,Codes,0)))*1440,0)&lt;660,1,0),0),0))</f>
      </c>
      <c r="F65" s="1">
        <f>IF(OR(F$52=0,E16="",F16=""),0,IFERROR(IF(AND(INDEX(Arten,MATCH(E16,Codes,0))="Arbeit",INDEX(Arten,MATCH(F16,Codes,0))="Arbeit"),IF(ROUND((1+INDEX(Beginne,MATCH(F16,Codes,0))-INDEX(EndeRel,MATCH(E16,Codes,0)))*1440,0)&lt;660,1,0),0),0))</f>
      </c>
      <c r="G65" s="1">
        <f>IF(OR(G$52=0,F16="",G16=""),0,IFERROR(IF(AND(INDEX(Arten,MATCH(F16,Codes,0))="Arbeit",INDEX(Arten,MATCH(G16,Codes,0))="Arbeit"),IF(ROUND((1+INDEX(Beginne,MATCH(G16,Codes,0))-INDEX(EndeRel,MATCH(F16,Codes,0)))*1440,0)&lt;660,1,0),0),0))</f>
      </c>
      <c r="H65" s="1">
        <f>IF(OR(H$52=0,G16="",H16=""),0,IFERROR(IF(AND(INDEX(Arten,MATCH(G16,Codes,0))="Arbeit",INDEX(Arten,MATCH(H16,Codes,0))="Arbeit"),IF(ROUND((1+INDEX(Beginne,MATCH(H16,Codes,0))-INDEX(EndeRel,MATCH(G16,Codes,0)))*1440,0)&lt;660,1,0),0),0))</f>
      </c>
      <c r="I65" s="1">
        <f>IF(OR(I$52=0,H16="",I16=""),0,IFERROR(IF(AND(INDEX(Arten,MATCH(H16,Codes,0))="Arbeit",INDEX(Arten,MATCH(I16,Codes,0))="Arbeit"),IF(ROUND((1+INDEX(Beginne,MATCH(I16,Codes,0))-INDEX(EndeRel,MATCH(H16,Codes,0)))*1440,0)&lt;660,1,0),0),0))</f>
      </c>
      <c r="J65" s="1">
        <f>IF(OR(J$52=0,I16="",J16=""),0,IFERROR(IF(AND(INDEX(Arten,MATCH(I16,Codes,0))="Arbeit",INDEX(Arten,MATCH(J16,Codes,0))="Arbeit"),IF(ROUND((1+INDEX(Beginne,MATCH(J16,Codes,0))-INDEX(EndeRel,MATCH(I16,Codes,0)))*1440,0)&lt;660,1,0),0),0))</f>
      </c>
      <c r="K65" s="1">
        <f>IF(OR(K$52=0,J16="",K16=""),0,IFERROR(IF(AND(INDEX(Arten,MATCH(J16,Codes,0))="Arbeit",INDEX(Arten,MATCH(K16,Codes,0))="Arbeit"),IF(ROUND((1+INDEX(Beginne,MATCH(K16,Codes,0))-INDEX(EndeRel,MATCH(J16,Codes,0)))*1440,0)&lt;660,1,0),0),0))</f>
      </c>
      <c r="L65" s="1">
        <f>IF(OR(L$52=0,K16="",L16=""),0,IFERROR(IF(AND(INDEX(Arten,MATCH(K16,Codes,0))="Arbeit",INDEX(Arten,MATCH(L16,Codes,0))="Arbeit"),IF(ROUND((1+INDEX(Beginne,MATCH(L16,Codes,0))-INDEX(EndeRel,MATCH(K16,Codes,0)))*1440,0)&lt;660,1,0),0),0))</f>
      </c>
      <c r="M65" s="1">
        <f>IF(OR(M$52=0,L16="",M16=""),0,IFERROR(IF(AND(INDEX(Arten,MATCH(L16,Codes,0))="Arbeit",INDEX(Arten,MATCH(M16,Codes,0))="Arbeit"),IF(ROUND((1+INDEX(Beginne,MATCH(M16,Codes,0))-INDEX(EndeRel,MATCH(L16,Codes,0)))*1440,0)&lt;660,1,0),0),0))</f>
      </c>
      <c r="N65" s="1">
        <f>IF(OR(N$52=0,M16="",N16=""),0,IFERROR(IF(AND(INDEX(Arten,MATCH(M16,Codes,0))="Arbeit",INDEX(Arten,MATCH(N16,Codes,0))="Arbeit"),IF(ROUND((1+INDEX(Beginne,MATCH(N16,Codes,0))-INDEX(EndeRel,MATCH(M16,Codes,0)))*1440,0)&lt;660,1,0),0),0))</f>
      </c>
      <c r="O65" s="1">
        <f>IF(OR(O$52=0,N16="",O16=""),0,IFERROR(IF(AND(INDEX(Arten,MATCH(N16,Codes,0))="Arbeit",INDEX(Arten,MATCH(O16,Codes,0))="Arbeit"),IF(ROUND((1+INDEX(Beginne,MATCH(O16,Codes,0))-INDEX(EndeRel,MATCH(N16,Codes,0)))*1440,0)&lt;660,1,0),0),0))</f>
      </c>
      <c r="P65" s="1">
        <f>IF(OR(P$52=0,O16="",P16=""),0,IFERROR(IF(AND(INDEX(Arten,MATCH(O16,Codes,0))="Arbeit",INDEX(Arten,MATCH(P16,Codes,0))="Arbeit"),IF(ROUND((1+INDEX(Beginne,MATCH(P16,Codes,0))-INDEX(EndeRel,MATCH(O16,Codes,0)))*1440,0)&lt;660,1,0),0),0))</f>
      </c>
      <c r="Q65" s="1">
        <f>IF(OR(Q$52=0,P16="",Q16=""),0,IFERROR(IF(AND(INDEX(Arten,MATCH(P16,Codes,0))="Arbeit",INDEX(Arten,MATCH(Q16,Codes,0))="Arbeit"),IF(ROUND((1+INDEX(Beginne,MATCH(Q16,Codes,0))-INDEX(EndeRel,MATCH(P16,Codes,0)))*1440,0)&lt;660,1,0),0),0))</f>
      </c>
      <c r="R65" s="1">
        <f>IF(OR(R$52=0,Q16="",R16=""),0,IFERROR(IF(AND(INDEX(Arten,MATCH(Q16,Codes,0))="Arbeit",INDEX(Arten,MATCH(R16,Codes,0))="Arbeit"),IF(ROUND((1+INDEX(Beginne,MATCH(R16,Codes,0))-INDEX(EndeRel,MATCH(Q16,Codes,0)))*1440,0)&lt;660,1,0),0),0))</f>
      </c>
      <c r="S65" s="1">
        <f>IF(OR(S$52=0,R16="",S16=""),0,IFERROR(IF(AND(INDEX(Arten,MATCH(R16,Codes,0))="Arbeit",INDEX(Arten,MATCH(S16,Codes,0))="Arbeit"),IF(ROUND((1+INDEX(Beginne,MATCH(S16,Codes,0))-INDEX(EndeRel,MATCH(R16,Codes,0)))*1440,0)&lt;660,1,0),0),0))</f>
      </c>
      <c r="T65" s="1">
        <f>IF(OR(T$52=0,S16="",T16=""),0,IFERROR(IF(AND(INDEX(Arten,MATCH(S16,Codes,0))="Arbeit",INDEX(Arten,MATCH(T16,Codes,0))="Arbeit"),IF(ROUND((1+INDEX(Beginne,MATCH(T16,Codes,0))-INDEX(EndeRel,MATCH(S16,Codes,0)))*1440,0)&lt;660,1,0),0),0))</f>
      </c>
      <c r="U65" s="1">
        <f>IF(OR(U$52=0,T16="",U16=""),0,IFERROR(IF(AND(INDEX(Arten,MATCH(T16,Codes,0))="Arbeit",INDEX(Arten,MATCH(U16,Codes,0))="Arbeit"),IF(ROUND((1+INDEX(Beginne,MATCH(U16,Codes,0))-INDEX(EndeRel,MATCH(T16,Codes,0)))*1440,0)&lt;660,1,0),0),0))</f>
      </c>
      <c r="V65" s="1">
        <f>IF(OR(V$52=0,U16="",V16=""),0,IFERROR(IF(AND(INDEX(Arten,MATCH(U16,Codes,0))="Arbeit",INDEX(Arten,MATCH(V16,Codes,0))="Arbeit"),IF(ROUND((1+INDEX(Beginne,MATCH(V16,Codes,0))-INDEX(EndeRel,MATCH(U16,Codes,0)))*1440,0)&lt;660,1,0),0),0))</f>
      </c>
      <c r="W65" s="1">
        <f>IF(OR(W$52=0,V16="",W16=""),0,IFERROR(IF(AND(INDEX(Arten,MATCH(V16,Codes,0))="Arbeit",INDEX(Arten,MATCH(W16,Codes,0))="Arbeit"),IF(ROUND((1+INDEX(Beginne,MATCH(W16,Codes,0))-INDEX(EndeRel,MATCH(V16,Codes,0)))*1440,0)&lt;660,1,0),0),0))</f>
      </c>
      <c r="X65" s="1">
        <f>IF(OR(X$52=0,W16="",X16=""),0,IFERROR(IF(AND(INDEX(Arten,MATCH(W16,Codes,0))="Arbeit",INDEX(Arten,MATCH(X16,Codes,0))="Arbeit"),IF(ROUND((1+INDEX(Beginne,MATCH(X16,Codes,0))-INDEX(EndeRel,MATCH(W16,Codes,0)))*1440,0)&lt;660,1,0),0),0))</f>
      </c>
      <c r="Y65" s="1">
        <f>IF(OR(Y$52=0,X16="",Y16=""),0,IFERROR(IF(AND(INDEX(Arten,MATCH(X16,Codes,0))="Arbeit",INDEX(Arten,MATCH(Y16,Codes,0))="Arbeit"),IF(ROUND((1+INDEX(Beginne,MATCH(Y16,Codes,0))-INDEX(EndeRel,MATCH(X16,Codes,0)))*1440,0)&lt;660,1,0),0),0))</f>
      </c>
      <c r="Z65" s="1">
        <f>IF(OR(Z$52=0,Y16="",Z16=""),0,IFERROR(IF(AND(INDEX(Arten,MATCH(Y16,Codes,0))="Arbeit",INDEX(Arten,MATCH(Z16,Codes,0))="Arbeit"),IF(ROUND((1+INDEX(Beginne,MATCH(Z16,Codes,0))-INDEX(EndeRel,MATCH(Y16,Codes,0)))*1440,0)&lt;660,1,0),0),0))</f>
      </c>
      <c r="AA65" s="1">
        <f>IF(OR(AA$52=0,Z16="",AA16=""),0,IFERROR(IF(AND(INDEX(Arten,MATCH(Z16,Codes,0))="Arbeit",INDEX(Arten,MATCH(AA16,Codes,0))="Arbeit"),IF(ROUND((1+INDEX(Beginne,MATCH(AA16,Codes,0))-INDEX(EndeRel,MATCH(Z16,Codes,0)))*1440,0)&lt;660,1,0),0),0))</f>
      </c>
      <c r="AB65" s="1">
        <f>IF(OR(AB$52=0,AA16="",AB16=""),0,IFERROR(IF(AND(INDEX(Arten,MATCH(AA16,Codes,0))="Arbeit",INDEX(Arten,MATCH(AB16,Codes,0))="Arbeit"),IF(ROUND((1+INDEX(Beginne,MATCH(AB16,Codes,0))-INDEX(EndeRel,MATCH(AA16,Codes,0)))*1440,0)&lt;660,1,0),0),0))</f>
      </c>
      <c r="AC65" s="1">
        <f>IF(OR(AC$52=0,AB16="",AC16=""),0,IFERROR(IF(AND(INDEX(Arten,MATCH(AB16,Codes,0))="Arbeit",INDEX(Arten,MATCH(AC16,Codes,0))="Arbeit"),IF(ROUND((1+INDEX(Beginne,MATCH(AC16,Codes,0))-INDEX(EndeRel,MATCH(AB16,Codes,0)))*1440,0)&lt;660,1,0),0),0))</f>
      </c>
      <c r="AD65" s="1">
        <f>IF(OR(AD$52=0,AC16="",AD16=""),0,IFERROR(IF(AND(INDEX(Arten,MATCH(AC16,Codes,0))="Arbeit",INDEX(Arten,MATCH(AD16,Codes,0))="Arbeit"),IF(ROUND((1+INDEX(Beginne,MATCH(AD16,Codes,0))-INDEX(EndeRel,MATCH(AC16,Codes,0)))*1440,0)&lt;660,1,0),0),0))</f>
      </c>
      <c r="AE65" s="1">
        <f>IF(OR(AE$52=0,AD16="",AE16=""),0,IFERROR(IF(AND(INDEX(Arten,MATCH(AD16,Codes,0))="Arbeit",INDEX(Arten,MATCH(AE16,Codes,0))="Arbeit"),IF(ROUND((1+INDEX(Beginne,MATCH(AE16,Codes,0))-INDEX(EndeRel,MATCH(AD16,Codes,0)))*1440,0)&lt;660,1,0),0),0))</f>
      </c>
      <c r="AF65" s="1">
        <f>IF(OR(AF$52=0,AE16="",AF16=""),0,IFERROR(IF(AND(INDEX(Arten,MATCH(AE16,Codes,0))="Arbeit",INDEX(Arten,MATCH(AF16,Codes,0))="Arbeit"),IF(ROUND((1+INDEX(Beginne,MATCH(AF16,Codes,0))-INDEX(EndeRel,MATCH(AE16,Codes,0)))*1440,0)&lt;660,1,0),0),0))</f>
      </c>
    </row>
    <row r="66" hidden="1" spans="1:32" x14ac:dyDescent="0.25">
      <c r="A66" s="1"/>
      <c r="B66" s="1">
        <f>IF(OR(B$52=0,INDEX('Oktober'!$B$17:$AF$17,DAY(DATE(Jahr,11,0)))="",B17=""),0,IFERROR(IF(AND(INDEX(Arten,MATCH(INDEX('Oktober'!$B$17:$AF$17,DAY(DATE(Jahr,11,0))),Codes,0))="Arbeit",INDEX(Arten,MATCH(B17,Codes,0))="Arbeit"),IF(ROUND((1+INDEX(Beginne,MATCH(B17,Codes,0))-INDEX(EndeRel,MATCH(INDEX('Oktober'!$B$17:$AF$17,DAY(DATE(Jahr,11,0))),Codes,0)))*1440,0)&lt;660,1,0),0),0))</f>
      </c>
      <c r="C66" s="1">
        <f>IF(OR(C$52=0,B17="",C17=""),0,IFERROR(IF(AND(INDEX(Arten,MATCH(B17,Codes,0))="Arbeit",INDEX(Arten,MATCH(C17,Codes,0))="Arbeit"),IF(ROUND((1+INDEX(Beginne,MATCH(C17,Codes,0))-INDEX(EndeRel,MATCH(B17,Codes,0)))*1440,0)&lt;660,1,0),0),0))</f>
      </c>
      <c r="D66" s="1">
        <f>IF(OR(D$52=0,C17="",D17=""),0,IFERROR(IF(AND(INDEX(Arten,MATCH(C17,Codes,0))="Arbeit",INDEX(Arten,MATCH(D17,Codes,0))="Arbeit"),IF(ROUND((1+INDEX(Beginne,MATCH(D17,Codes,0))-INDEX(EndeRel,MATCH(C17,Codes,0)))*1440,0)&lt;660,1,0),0),0))</f>
      </c>
      <c r="E66" s="1">
        <f>IF(OR(E$52=0,D17="",E17=""),0,IFERROR(IF(AND(INDEX(Arten,MATCH(D17,Codes,0))="Arbeit",INDEX(Arten,MATCH(E17,Codes,0))="Arbeit"),IF(ROUND((1+INDEX(Beginne,MATCH(E17,Codes,0))-INDEX(EndeRel,MATCH(D17,Codes,0)))*1440,0)&lt;660,1,0),0),0))</f>
      </c>
      <c r="F66" s="1">
        <f>IF(OR(F$52=0,E17="",F17=""),0,IFERROR(IF(AND(INDEX(Arten,MATCH(E17,Codes,0))="Arbeit",INDEX(Arten,MATCH(F17,Codes,0))="Arbeit"),IF(ROUND((1+INDEX(Beginne,MATCH(F17,Codes,0))-INDEX(EndeRel,MATCH(E17,Codes,0)))*1440,0)&lt;660,1,0),0),0))</f>
      </c>
      <c r="G66" s="1">
        <f>IF(OR(G$52=0,F17="",G17=""),0,IFERROR(IF(AND(INDEX(Arten,MATCH(F17,Codes,0))="Arbeit",INDEX(Arten,MATCH(G17,Codes,0))="Arbeit"),IF(ROUND((1+INDEX(Beginne,MATCH(G17,Codes,0))-INDEX(EndeRel,MATCH(F17,Codes,0)))*1440,0)&lt;660,1,0),0),0))</f>
      </c>
      <c r="H66" s="1">
        <f>IF(OR(H$52=0,G17="",H17=""),0,IFERROR(IF(AND(INDEX(Arten,MATCH(G17,Codes,0))="Arbeit",INDEX(Arten,MATCH(H17,Codes,0))="Arbeit"),IF(ROUND((1+INDEX(Beginne,MATCH(H17,Codes,0))-INDEX(EndeRel,MATCH(G17,Codes,0)))*1440,0)&lt;660,1,0),0),0))</f>
      </c>
      <c r="I66" s="1">
        <f>IF(OR(I$52=0,H17="",I17=""),0,IFERROR(IF(AND(INDEX(Arten,MATCH(H17,Codes,0))="Arbeit",INDEX(Arten,MATCH(I17,Codes,0))="Arbeit"),IF(ROUND((1+INDEX(Beginne,MATCH(I17,Codes,0))-INDEX(EndeRel,MATCH(H17,Codes,0)))*1440,0)&lt;660,1,0),0),0))</f>
      </c>
      <c r="J66" s="1">
        <f>IF(OR(J$52=0,I17="",J17=""),0,IFERROR(IF(AND(INDEX(Arten,MATCH(I17,Codes,0))="Arbeit",INDEX(Arten,MATCH(J17,Codes,0))="Arbeit"),IF(ROUND((1+INDEX(Beginne,MATCH(J17,Codes,0))-INDEX(EndeRel,MATCH(I17,Codes,0)))*1440,0)&lt;660,1,0),0),0))</f>
      </c>
      <c r="K66" s="1">
        <f>IF(OR(K$52=0,J17="",K17=""),0,IFERROR(IF(AND(INDEX(Arten,MATCH(J17,Codes,0))="Arbeit",INDEX(Arten,MATCH(K17,Codes,0))="Arbeit"),IF(ROUND((1+INDEX(Beginne,MATCH(K17,Codes,0))-INDEX(EndeRel,MATCH(J17,Codes,0)))*1440,0)&lt;660,1,0),0),0))</f>
      </c>
      <c r="L66" s="1">
        <f>IF(OR(L$52=0,K17="",L17=""),0,IFERROR(IF(AND(INDEX(Arten,MATCH(K17,Codes,0))="Arbeit",INDEX(Arten,MATCH(L17,Codes,0))="Arbeit"),IF(ROUND((1+INDEX(Beginne,MATCH(L17,Codes,0))-INDEX(EndeRel,MATCH(K17,Codes,0)))*1440,0)&lt;660,1,0),0),0))</f>
      </c>
      <c r="M66" s="1">
        <f>IF(OR(M$52=0,L17="",M17=""),0,IFERROR(IF(AND(INDEX(Arten,MATCH(L17,Codes,0))="Arbeit",INDEX(Arten,MATCH(M17,Codes,0))="Arbeit"),IF(ROUND((1+INDEX(Beginne,MATCH(M17,Codes,0))-INDEX(EndeRel,MATCH(L17,Codes,0)))*1440,0)&lt;660,1,0),0),0))</f>
      </c>
      <c r="N66" s="1">
        <f>IF(OR(N$52=0,M17="",N17=""),0,IFERROR(IF(AND(INDEX(Arten,MATCH(M17,Codes,0))="Arbeit",INDEX(Arten,MATCH(N17,Codes,0))="Arbeit"),IF(ROUND((1+INDEX(Beginne,MATCH(N17,Codes,0))-INDEX(EndeRel,MATCH(M17,Codes,0)))*1440,0)&lt;660,1,0),0),0))</f>
      </c>
      <c r="O66" s="1">
        <f>IF(OR(O$52=0,N17="",O17=""),0,IFERROR(IF(AND(INDEX(Arten,MATCH(N17,Codes,0))="Arbeit",INDEX(Arten,MATCH(O17,Codes,0))="Arbeit"),IF(ROUND((1+INDEX(Beginne,MATCH(O17,Codes,0))-INDEX(EndeRel,MATCH(N17,Codes,0)))*1440,0)&lt;660,1,0),0),0))</f>
      </c>
      <c r="P66" s="1">
        <f>IF(OR(P$52=0,O17="",P17=""),0,IFERROR(IF(AND(INDEX(Arten,MATCH(O17,Codes,0))="Arbeit",INDEX(Arten,MATCH(P17,Codes,0))="Arbeit"),IF(ROUND((1+INDEX(Beginne,MATCH(P17,Codes,0))-INDEX(EndeRel,MATCH(O17,Codes,0)))*1440,0)&lt;660,1,0),0),0))</f>
      </c>
      <c r="Q66" s="1">
        <f>IF(OR(Q$52=0,P17="",Q17=""),0,IFERROR(IF(AND(INDEX(Arten,MATCH(P17,Codes,0))="Arbeit",INDEX(Arten,MATCH(Q17,Codes,0))="Arbeit"),IF(ROUND((1+INDEX(Beginne,MATCH(Q17,Codes,0))-INDEX(EndeRel,MATCH(P17,Codes,0)))*1440,0)&lt;660,1,0),0),0))</f>
      </c>
      <c r="R66" s="1">
        <f>IF(OR(R$52=0,Q17="",R17=""),0,IFERROR(IF(AND(INDEX(Arten,MATCH(Q17,Codes,0))="Arbeit",INDEX(Arten,MATCH(R17,Codes,0))="Arbeit"),IF(ROUND((1+INDEX(Beginne,MATCH(R17,Codes,0))-INDEX(EndeRel,MATCH(Q17,Codes,0)))*1440,0)&lt;660,1,0),0),0))</f>
      </c>
      <c r="S66" s="1">
        <f>IF(OR(S$52=0,R17="",S17=""),0,IFERROR(IF(AND(INDEX(Arten,MATCH(R17,Codes,0))="Arbeit",INDEX(Arten,MATCH(S17,Codes,0))="Arbeit"),IF(ROUND((1+INDEX(Beginne,MATCH(S17,Codes,0))-INDEX(EndeRel,MATCH(R17,Codes,0)))*1440,0)&lt;660,1,0),0),0))</f>
      </c>
      <c r="T66" s="1">
        <f>IF(OR(T$52=0,S17="",T17=""),0,IFERROR(IF(AND(INDEX(Arten,MATCH(S17,Codes,0))="Arbeit",INDEX(Arten,MATCH(T17,Codes,0))="Arbeit"),IF(ROUND((1+INDEX(Beginne,MATCH(T17,Codes,0))-INDEX(EndeRel,MATCH(S17,Codes,0)))*1440,0)&lt;660,1,0),0),0))</f>
      </c>
      <c r="U66" s="1">
        <f>IF(OR(U$52=0,T17="",U17=""),0,IFERROR(IF(AND(INDEX(Arten,MATCH(T17,Codes,0))="Arbeit",INDEX(Arten,MATCH(U17,Codes,0))="Arbeit"),IF(ROUND((1+INDEX(Beginne,MATCH(U17,Codes,0))-INDEX(EndeRel,MATCH(T17,Codes,0)))*1440,0)&lt;660,1,0),0),0))</f>
      </c>
      <c r="V66" s="1">
        <f>IF(OR(V$52=0,U17="",V17=""),0,IFERROR(IF(AND(INDEX(Arten,MATCH(U17,Codes,0))="Arbeit",INDEX(Arten,MATCH(V17,Codes,0))="Arbeit"),IF(ROUND((1+INDEX(Beginne,MATCH(V17,Codes,0))-INDEX(EndeRel,MATCH(U17,Codes,0)))*1440,0)&lt;660,1,0),0),0))</f>
      </c>
      <c r="W66" s="1">
        <f>IF(OR(W$52=0,V17="",W17=""),0,IFERROR(IF(AND(INDEX(Arten,MATCH(V17,Codes,0))="Arbeit",INDEX(Arten,MATCH(W17,Codes,0))="Arbeit"),IF(ROUND((1+INDEX(Beginne,MATCH(W17,Codes,0))-INDEX(EndeRel,MATCH(V17,Codes,0)))*1440,0)&lt;660,1,0),0),0))</f>
      </c>
      <c r="X66" s="1">
        <f>IF(OR(X$52=0,W17="",X17=""),0,IFERROR(IF(AND(INDEX(Arten,MATCH(W17,Codes,0))="Arbeit",INDEX(Arten,MATCH(X17,Codes,0))="Arbeit"),IF(ROUND((1+INDEX(Beginne,MATCH(X17,Codes,0))-INDEX(EndeRel,MATCH(W17,Codes,0)))*1440,0)&lt;660,1,0),0),0))</f>
      </c>
      <c r="Y66" s="1">
        <f>IF(OR(Y$52=0,X17="",Y17=""),0,IFERROR(IF(AND(INDEX(Arten,MATCH(X17,Codes,0))="Arbeit",INDEX(Arten,MATCH(Y17,Codes,0))="Arbeit"),IF(ROUND((1+INDEX(Beginne,MATCH(Y17,Codes,0))-INDEX(EndeRel,MATCH(X17,Codes,0)))*1440,0)&lt;660,1,0),0),0))</f>
      </c>
      <c r="Z66" s="1">
        <f>IF(OR(Z$52=0,Y17="",Z17=""),0,IFERROR(IF(AND(INDEX(Arten,MATCH(Y17,Codes,0))="Arbeit",INDEX(Arten,MATCH(Z17,Codes,0))="Arbeit"),IF(ROUND((1+INDEX(Beginne,MATCH(Z17,Codes,0))-INDEX(EndeRel,MATCH(Y17,Codes,0)))*1440,0)&lt;660,1,0),0),0))</f>
      </c>
      <c r="AA66" s="1">
        <f>IF(OR(AA$52=0,Z17="",AA17=""),0,IFERROR(IF(AND(INDEX(Arten,MATCH(Z17,Codes,0))="Arbeit",INDEX(Arten,MATCH(AA17,Codes,0))="Arbeit"),IF(ROUND((1+INDEX(Beginne,MATCH(AA17,Codes,0))-INDEX(EndeRel,MATCH(Z17,Codes,0)))*1440,0)&lt;660,1,0),0),0))</f>
      </c>
      <c r="AB66" s="1">
        <f>IF(OR(AB$52=0,AA17="",AB17=""),0,IFERROR(IF(AND(INDEX(Arten,MATCH(AA17,Codes,0))="Arbeit",INDEX(Arten,MATCH(AB17,Codes,0))="Arbeit"),IF(ROUND((1+INDEX(Beginne,MATCH(AB17,Codes,0))-INDEX(EndeRel,MATCH(AA17,Codes,0)))*1440,0)&lt;660,1,0),0),0))</f>
      </c>
      <c r="AC66" s="1">
        <f>IF(OR(AC$52=0,AB17="",AC17=""),0,IFERROR(IF(AND(INDEX(Arten,MATCH(AB17,Codes,0))="Arbeit",INDEX(Arten,MATCH(AC17,Codes,0))="Arbeit"),IF(ROUND((1+INDEX(Beginne,MATCH(AC17,Codes,0))-INDEX(EndeRel,MATCH(AB17,Codes,0)))*1440,0)&lt;660,1,0),0),0))</f>
      </c>
      <c r="AD66" s="1">
        <f>IF(OR(AD$52=0,AC17="",AD17=""),0,IFERROR(IF(AND(INDEX(Arten,MATCH(AC17,Codes,0))="Arbeit",INDEX(Arten,MATCH(AD17,Codes,0))="Arbeit"),IF(ROUND((1+INDEX(Beginne,MATCH(AD17,Codes,0))-INDEX(EndeRel,MATCH(AC17,Codes,0)))*1440,0)&lt;660,1,0),0),0))</f>
      </c>
      <c r="AE66" s="1">
        <f>IF(OR(AE$52=0,AD17="",AE17=""),0,IFERROR(IF(AND(INDEX(Arten,MATCH(AD17,Codes,0))="Arbeit",INDEX(Arten,MATCH(AE17,Codes,0))="Arbeit"),IF(ROUND((1+INDEX(Beginne,MATCH(AE17,Codes,0))-INDEX(EndeRel,MATCH(AD17,Codes,0)))*1440,0)&lt;660,1,0),0),0))</f>
      </c>
      <c r="AF66" s="1">
        <f>IF(OR(AF$52=0,AE17="",AF17=""),0,IFERROR(IF(AND(INDEX(Arten,MATCH(AE17,Codes,0))="Arbeit",INDEX(Arten,MATCH(AF17,Codes,0))="Arbeit"),IF(ROUND((1+INDEX(Beginne,MATCH(AF17,Codes,0))-INDEX(EndeRel,MATCH(AE17,Codes,0)))*1440,0)&lt;660,1,0),0),0))</f>
      </c>
    </row>
    <row r="67" hidden="1" spans="1:32" x14ac:dyDescent="0.25">
      <c r="A67" s="1"/>
      <c r="B67" s="1">
        <f>IF(OR(B$52=0,INDEX('Oktober'!$B$18:$AF$18,DAY(DATE(Jahr,11,0)))="",B18=""),0,IFERROR(IF(AND(INDEX(Arten,MATCH(INDEX('Oktober'!$B$18:$AF$18,DAY(DATE(Jahr,11,0))),Codes,0))="Arbeit",INDEX(Arten,MATCH(B18,Codes,0))="Arbeit"),IF(ROUND((1+INDEX(Beginne,MATCH(B18,Codes,0))-INDEX(EndeRel,MATCH(INDEX('Oktober'!$B$18:$AF$18,DAY(DATE(Jahr,11,0))),Codes,0)))*1440,0)&lt;660,1,0),0),0))</f>
      </c>
      <c r="C67" s="1">
        <f>IF(OR(C$52=0,B18="",C18=""),0,IFERROR(IF(AND(INDEX(Arten,MATCH(B18,Codes,0))="Arbeit",INDEX(Arten,MATCH(C18,Codes,0))="Arbeit"),IF(ROUND((1+INDEX(Beginne,MATCH(C18,Codes,0))-INDEX(EndeRel,MATCH(B18,Codes,0)))*1440,0)&lt;660,1,0),0),0))</f>
      </c>
      <c r="D67" s="1">
        <f>IF(OR(D$52=0,C18="",D18=""),0,IFERROR(IF(AND(INDEX(Arten,MATCH(C18,Codes,0))="Arbeit",INDEX(Arten,MATCH(D18,Codes,0))="Arbeit"),IF(ROUND((1+INDEX(Beginne,MATCH(D18,Codes,0))-INDEX(EndeRel,MATCH(C18,Codes,0)))*1440,0)&lt;660,1,0),0),0))</f>
      </c>
      <c r="E67" s="1">
        <f>IF(OR(E$52=0,D18="",E18=""),0,IFERROR(IF(AND(INDEX(Arten,MATCH(D18,Codes,0))="Arbeit",INDEX(Arten,MATCH(E18,Codes,0))="Arbeit"),IF(ROUND((1+INDEX(Beginne,MATCH(E18,Codes,0))-INDEX(EndeRel,MATCH(D18,Codes,0)))*1440,0)&lt;660,1,0),0),0))</f>
      </c>
      <c r="F67" s="1">
        <f>IF(OR(F$52=0,E18="",F18=""),0,IFERROR(IF(AND(INDEX(Arten,MATCH(E18,Codes,0))="Arbeit",INDEX(Arten,MATCH(F18,Codes,0))="Arbeit"),IF(ROUND((1+INDEX(Beginne,MATCH(F18,Codes,0))-INDEX(EndeRel,MATCH(E18,Codes,0)))*1440,0)&lt;660,1,0),0),0))</f>
      </c>
      <c r="G67" s="1">
        <f>IF(OR(G$52=0,F18="",G18=""),0,IFERROR(IF(AND(INDEX(Arten,MATCH(F18,Codes,0))="Arbeit",INDEX(Arten,MATCH(G18,Codes,0))="Arbeit"),IF(ROUND((1+INDEX(Beginne,MATCH(G18,Codes,0))-INDEX(EndeRel,MATCH(F18,Codes,0)))*1440,0)&lt;660,1,0),0),0))</f>
      </c>
      <c r="H67" s="1">
        <f>IF(OR(H$52=0,G18="",H18=""),0,IFERROR(IF(AND(INDEX(Arten,MATCH(G18,Codes,0))="Arbeit",INDEX(Arten,MATCH(H18,Codes,0))="Arbeit"),IF(ROUND((1+INDEX(Beginne,MATCH(H18,Codes,0))-INDEX(EndeRel,MATCH(G18,Codes,0)))*1440,0)&lt;660,1,0),0),0))</f>
      </c>
      <c r="I67" s="1">
        <f>IF(OR(I$52=0,H18="",I18=""),0,IFERROR(IF(AND(INDEX(Arten,MATCH(H18,Codes,0))="Arbeit",INDEX(Arten,MATCH(I18,Codes,0))="Arbeit"),IF(ROUND((1+INDEX(Beginne,MATCH(I18,Codes,0))-INDEX(EndeRel,MATCH(H18,Codes,0)))*1440,0)&lt;660,1,0),0),0))</f>
      </c>
      <c r="J67" s="1">
        <f>IF(OR(J$52=0,I18="",J18=""),0,IFERROR(IF(AND(INDEX(Arten,MATCH(I18,Codes,0))="Arbeit",INDEX(Arten,MATCH(J18,Codes,0))="Arbeit"),IF(ROUND((1+INDEX(Beginne,MATCH(J18,Codes,0))-INDEX(EndeRel,MATCH(I18,Codes,0)))*1440,0)&lt;660,1,0),0),0))</f>
      </c>
      <c r="K67" s="1">
        <f>IF(OR(K$52=0,J18="",K18=""),0,IFERROR(IF(AND(INDEX(Arten,MATCH(J18,Codes,0))="Arbeit",INDEX(Arten,MATCH(K18,Codes,0))="Arbeit"),IF(ROUND((1+INDEX(Beginne,MATCH(K18,Codes,0))-INDEX(EndeRel,MATCH(J18,Codes,0)))*1440,0)&lt;660,1,0),0),0))</f>
      </c>
      <c r="L67" s="1">
        <f>IF(OR(L$52=0,K18="",L18=""),0,IFERROR(IF(AND(INDEX(Arten,MATCH(K18,Codes,0))="Arbeit",INDEX(Arten,MATCH(L18,Codes,0))="Arbeit"),IF(ROUND((1+INDEX(Beginne,MATCH(L18,Codes,0))-INDEX(EndeRel,MATCH(K18,Codes,0)))*1440,0)&lt;660,1,0),0),0))</f>
      </c>
      <c r="M67" s="1">
        <f>IF(OR(M$52=0,L18="",M18=""),0,IFERROR(IF(AND(INDEX(Arten,MATCH(L18,Codes,0))="Arbeit",INDEX(Arten,MATCH(M18,Codes,0))="Arbeit"),IF(ROUND((1+INDEX(Beginne,MATCH(M18,Codes,0))-INDEX(EndeRel,MATCH(L18,Codes,0)))*1440,0)&lt;660,1,0),0),0))</f>
      </c>
      <c r="N67" s="1">
        <f>IF(OR(N$52=0,M18="",N18=""),0,IFERROR(IF(AND(INDEX(Arten,MATCH(M18,Codes,0))="Arbeit",INDEX(Arten,MATCH(N18,Codes,0))="Arbeit"),IF(ROUND((1+INDEX(Beginne,MATCH(N18,Codes,0))-INDEX(EndeRel,MATCH(M18,Codes,0)))*1440,0)&lt;660,1,0),0),0))</f>
      </c>
      <c r="O67" s="1">
        <f>IF(OR(O$52=0,N18="",O18=""),0,IFERROR(IF(AND(INDEX(Arten,MATCH(N18,Codes,0))="Arbeit",INDEX(Arten,MATCH(O18,Codes,0))="Arbeit"),IF(ROUND((1+INDEX(Beginne,MATCH(O18,Codes,0))-INDEX(EndeRel,MATCH(N18,Codes,0)))*1440,0)&lt;660,1,0),0),0))</f>
      </c>
      <c r="P67" s="1">
        <f>IF(OR(P$52=0,O18="",P18=""),0,IFERROR(IF(AND(INDEX(Arten,MATCH(O18,Codes,0))="Arbeit",INDEX(Arten,MATCH(P18,Codes,0))="Arbeit"),IF(ROUND((1+INDEX(Beginne,MATCH(P18,Codes,0))-INDEX(EndeRel,MATCH(O18,Codes,0)))*1440,0)&lt;660,1,0),0),0))</f>
      </c>
      <c r="Q67" s="1">
        <f>IF(OR(Q$52=0,P18="",Q18=""),0,IFERROR(IF(AND(INDEX(Arten,MATCH(P18,Codes,0))="Arbeit",INDEX(Arten,MATCH(Q18,Codes,0))="Arbeit"),IF(ROUND((1+INDEX(Beginne,MATCH(Q18,Codes,0))-INDEX(EndeRel,MATCH(P18,Codes,0)))*1440,0)&lt;660,1,0),0),0))</f>
      </c>
      <c r="R67" s="1">
        <f>IF(OR(R$52=0,Q18="",R18=""),0,IFERROR(IF(AND(INDEX(Arten,MATCH(Q18,Codes,0))="Arbeit",INDEX(Arten,MATCH(R18,Codes,0))="Arbeit"),IF(ROUND((1+INDEX(Beginne,MATCH(R18,Codes,0))-INDEX(EndeRel,MATCH(Q18,Codes,0)))*1440,0)&lt;660,1,0),0),0))</f>
      </c>
      <c r="S67" s="1">
        <f>IF(OR(S$52=0,R18="",S18=""),0,IFERROR(IF(AND(INDEX(Arten,MATCH(R18,Codes,0))="Arbeit",INDEX(Arten,MATCH(S18,Codes,0))="Arbeit"),IF(ROUND((1+INDEX(Beginne,MATCH(S18,Codes,0))-INDEX(EndeRel,MATCH(R18,Codes,0)))*1440,0)&lt;660,1,0),0),0))</f>
      </c>
      <c r="T67" s="1">
        <f>IF(OR(T$52=0,S18="",T18=""),0,IFERROR(IF(AND(INDEX(Arten,MATCH(S18,Codes,0))="Arbeit",INDEX(Arten,MATCH(T18,Codes,0))="Arbeit"),IF(ROUND((1+INDEX(Beginne,MATCH(T18,Codes,0))-INDEX(EndeRel,MATCH(S18,Codes,0)))*1440,0)&lt;660,1,0),0),0))</f>
      </c>
      <c r="U67" s="1">
        <f>IF(OR(U$52=0,T18="",U18=""),0,IFERROR(IF(AND(INDEX(Arten,MATCH(T18,Codes,0))="Arbeit",INDEX(Arten,MATCH(U18,Codes,0))="Arbeit"),IF(ROUND((1+INDEX(Beginne,MATCH(U18,Codes,0))-INDEX(EndeRel,MATCH(T18,Codes,0)))*1440,0)&lt;660,1,0),0),0))</f>
      </c>
      <c r="V67" s="1">
        <f>IF(OR(V$52=0,U18="",V18=""),0,IFERROR(IF(AND(INDEX(Arten,MATCH(U18,Codes,0))="Arbeit",INDEX(Arten,MATCH(V18,Codes,0))="Arbeit"),IF(ROUND((1+INDEX(Beginne,MATCH(V18,Codes,0))-INDEX(EndeRel,MATCH(U18,Codes,0)))*1440,0)&lt;660,1,0),0),0))</f>
      </c>
      <c r="W67" s="1">
        <f>IF(OR(W$52=0,V18="",W18=""),0,IFERROR(IF(AND(INDEX(Arten,MATCH(V18,Codes,0))="Arbeit",INDEX(Arten,MATCH(W18,Codes,0))="Arbeit"),IF(ROUND((1+INDEX(Beginne,MATCH(W18,Codes,0))-INDEX(EndeRel,MATCH(V18,Codes,0)))*1440,0)&lt;660,1,0),0),0))</f>
      </c>
      <c r="X67" s="1">
        <f>IF(OR(X$52=0,W18="",X18=""),0,IFERROR(IF(AND(INDEX(Arten,MATCH(W18,Codes,0))="Arbeit",INDEX(Arten,MATCH(X18,Codes,0))="Arbeit"),IF(ROUND((1+INDEX(Beginne,MATCH(X18,Codes,0))-INDEX(EndeRel,MATCH(W18,Codes,0)))*1440,0)&lt;660,1,0),0),0))</f>
      </c>
      <c r="Y67" s="1">
        <f>IF(OR(Y$52=0,X18="",Y18=""),0,IFERROR(IF(AND(INDEX(Arten,MATCH(X18,Codes,0))="Arbeit",INDEX(Arten,MATCH(Y18,Codes,0))="Arbeit"),IF(ROUND((1+INDEX(Beginne,MATCH(Y18,Codes,0))-INDEX(EndeRel,MATCH(X18,Codes,0)))*1440,0)&lt;660,1,0),0),0))</f>
      </c>
      <c r="Z67" s="1">
        <f>IF(OR(Z$52=0,Y18="",Z18=""),0,IFERROR(IF(AND(INDEX(Arten,MATCH(Y18,Codes,0))="Arbeit",INDEX(Arten,MATCH(Z18,Codes,0))="Arbeit"),IF(ROUND((1+INDEX(Beginne,MATCH(Z18,Codes,0))-INDEX(EndeRel,MATCH(Y18,Codes,0)))*1440,0)&lt;660,1,0),0),0))</f>
      </c>
      <c r="AA67" s="1">
        <f>IF(OR(AA$52=0,Z18="",AA18=""),0,IFERROR(IF(AND(INDEX(Arten,MATCH(Z18,Codes,0))="Arbeit",INDEX(Arten,MATCH(AA18,Codes,0))="Arbeit"),IF(ROUND((1+INDEX(Beginne,MATCH(AA18,Codes,0))-INDEX(EndeRel,MATCH(Z18,Codes,0)))*1440,0)&lt;660,1,0),0),0))</f>
      </c>
      <c r="AB67" s="1">
        <f>IF(OR(AB$52=0,AA18="",AB18=""),0,IFERROR(IF(AND(INDEX(Arten,MATCH(AA18,Codes,0))="Arbeit",INDEX(Arten,MATCH(AB18,Codes,0))="Arbeit"),IF(ROUND((1+INDEX(Beginne,MATCH(AB18,Codes,0))-INDEX(EndeRel,MATCH(AA18,Codes,0)))*1440,0)&lt;660,1,0),0),0))</f>
      </c>
      <c r="AC67" s="1">
        <f>IF(OR(AC$52=0,AB18="",AC18=""),0,IFERROR(IF(AND(INDEX(Arten,MATCH(AB18,Codes,0))="Arbeit",INDEX(Arten,MATCH(AC18,Codes,0))="Arbeit"),IF(ROUND((1+INDEX(Beginne,MATCH(AC18,Codes,0))-INDEX(EndeRel,MATCH(AB18,Codes,0)))*1440,0)&lt;660,1,0),0),0))</f>
      </c>
      <c r="AD67" s="1">
        <f>IF(OR(AD$52=0,AC18="",AD18=""),0,IFERROR(IF(AND(INDEX(Arten,MATCH(AC18,Codes,0))="Arbeit",INDEX(Arten,MATCH(AD18,Codes,0))="Arbeit"),IF(ROUND((1+INDEX(Beginne,MATCH(AD18,Codes,0))-INDEX(EndeRel,MATCH(AC18,Codes,0)))*1440,0)&lt;660,1,0),0),0))</f>
      </c>
      <c r="AE67" s="1">
        <f>IF(OR(AE$52=0,AD18="",AE18=""),0,IFERROR(IF(AND(INDEX(Arten,MATCH(AD18,Codes,0))="Arbeit",INDEX(Arten,MATCH(AE18,Codes,0))="Arbeit"),IF(ROUND((1+INDEX(Beginne,MATCH(AE18,Codes,0))-INDEX(EndeRel,MATCH(AD18,Codes,0)))*1440,0)&lt;660,1,0),0),0))</f>
      </c>
      <c r="AF67" s="1">
        <f>IF(OR(AF$52=0,AE18="",AF18=""),0,IFERROR(IF(AND(INDEX(Arten,MATCH(AE18,Codes,0))="Arbeit",INDEX(Arten,MATCH(AF18,Codes,0))="Arbeit"),IF(ROUND((1+INDEX(Beginne,MATCH(AF18,Codes,0))-INDEX(EndeRel,MATCH(AE18,Codes,0)))*1440,0)&lt;660,1,0),0),0))</f>
      </c>
    </row>
    <row r="68" hidden="1" spans="1:32" x14ac:dyDescent="0.25">
      <c r="A68" s="1"/>
      <c r="B68" s="1">
        <f>IF(OR(B$52=0,INDEX('Oktober'!$B$19:$AF$19,DAY(DATE(Jahr,11,0)))="",B19=""),0,IFERROR(IF(AND(INDEX(Arten,MATCH(INDEX('Oktober'!$B$19:$AF$19,DAY(DATE(Jahr,11,0))),Codes,0))="Arbeit",INDEX(Arten,MATCH(B19,Codes,0))="Arbeit"),IF(ROUND((1+INDEX(Beginne,MATCH(B19,Codes,0))-INDEX(EndeRel,MATCH(INDEX('Oktober'!$B$19:$AF$19,DAY(DATE(Jahr,11,0))),Codes,0)))*1440,0)&lt;660,1,0),0),0))</f>
      </c>
      <c r="C68" s="1">
        <f>IF(OR(C$52=0,B19="",C19=""),0,IFERROR(IF(AND(INDEX(Arten,MATCH(B19,Codes,0))="Arbeit",INDEX(Arten,MATCH(C19,Codes,0))="Arbeit"),IF(ROUND((1+INDEX(Beginne,MATCH(C19,Codes,0))-INDEX(EndeRel,MATCH(B19,Codes,0)))*1440,0)&lt;660,1,0),0),0))</f>
      </c>
      <c r="D68" s="1">
        <f>IF(OR(D$52=0,C19="",D19=""),0,IFERROR(IF(AND(INDEX(Arten,MATCH(C19,Codes,0))="Arbeit",INDEX(Arten,MATCH(D19,Codes,0))="Arbeit"),IF(ROUND((1+INDEX(Beginne,MATCH(D19,Codes,0))-INDEX(EndeRel,MATCH(C19,Codes,0)))*1440,0)&lt;660,1,0),0),0))</f>
      </c>
      <c r="E68" s="1">
        <f>IF(OR(E$52=0,D19="",E19=""),0,IFERROR(IF(AND(INDEX(Arten,MATCH(D19,Codes,0))="Arbeit",INDEX(Arten,MATCH(E19,Codes,0))="Arbeit"),IF(ROUND((1+INDEX(Beginne,MATCH(E19,Codes,0))-INDEX(EndeRel,MATCH(D19,Codes,0)))*1440,0)&lt;660,1,0),0),0))</f>
      </c>
      <c r="F68" s="1">
        <f>IF(OR(F$52=0,E19="",F19=""),0,IFERROR(IF(AND(INDEX(Arten,MATCH(E19,Codes,0))="Arbeit",INDEX(Arten,MATCH(F19,Codes,0))="Arbeit"),IF(ROUND((1+INDEX(Beginne,MATCH(F19,Codes,0))-INDEX(EndeRel,MATCH(E19,Codes,0)))*1440,0)&lt;660,1,0),0),0))</f>
      </c>
      <c r="G68" s="1">
        <f>IF(OR(G$52=0,F19="",G19=""),0,IFERROR(IF(AND(INDEX(Arten,MATCH(F19,Codes,0))="Arbeit",INDEX(Arten,MATCH(G19,Codes,0))="Arbeit"),IF(ROUND((1+INDEX(Beginne,MATCH(G19,Codes,0))-INDEX(EndeRel,MATCH(F19,Codes,0)))*1440,0)&lt;660,1,0),0),0))</f>
      </c>
      <c r="H68" s="1">
        <f>IF(OR(H$52=0,G19="",H19=""),0,IFERROR(IF(AND(INDEX(Arten,MATCH(G19,Codes,0))="Arbeit",INDEX(Arten,MATCH(H19,Codes,0))="Arbeit"),IF(ROUND((1+INDEX(Beginne,MATCH(H19,Codes,0))-INDEX(EndeRel,MATCH(G19,Codes,0)))*1440,0)&lt;660,1,0),0),0))</f>
      </c>
      <c r="I68" s="1">
        <f>IF(OR(I$52=0,H19="",I19=""),0,IFERROR(IF(AND(INDEX(Arten,MATCH(H19,Codes,0))="Arbeit",INDEX(Arten,MATCH(I19,Codes,0))="Arbeit"),IF(ROUND((1+INDEX(Beginne,MATCH(I19,Codes,0))-INDEX(EndeRel,MATCH(H19,Codes,0)))*1440,0)&lt;660,1,0),0),0))</f>
      </c>
      <c r="J68" s="1">
        <f>IF(OR(J$52=0,I19="",J19=""),0,IFERROR(IF(AND(INDEX(Arten,MATCH(I19,Codes,0))="Arbeit",INDEX(Arten,MATCH(J19,Codes,0))="Arbeit"),IF(ROUND((1+INDEX(Beginne,MATCH(J19,Codes,0))-INDEX(EndeRel,MATCH(I19,Codes,0)))*1440,0)&lt;660,1,0),0),0))</f>
      </c>
      <c r="K68" s="1">
        <f>IF(OR(K$52=0,J19="",K19=""),0,IFERROR(IF(AND(INDEX(Arten,MATCH(J19,Codes,0))="Arbeit",INDEX(Arten,MATCH(K19,Codes,0))="Arbeit"),IF(ROUND((1+INDEX(Beginne,MATCH(K19,Codes,0))-INDEX(EndeRel,MATCH(J19,Codes,0)))*1440,0)&lt;660,1,0),0),0))</f>
      </c>
      <c r="L68" s="1">
        <f>IF(OR(L$52=0,K19="",L19=""),0,IFERROR(IF(AND(INDEX(Arten,MATCH(K19,Codes,0))="Arbeit",INDEX(Arten,MATCH(L19,Codes,0))="Arbeit"),IF(ROUND((1+INDEX(Beginne,MATCH(L19,Codes,0))-INDEX(EndeRel,MATCH(K19,Codes,0)))*1440,0)&lt;660,1,0),0),0))</f>
      </c>
      <c r="M68" s="1">
        <f>IF(OR(M$52=0,L19="",M19=""),0,IFERROR(IF(AND(INDEX(Arten,MATCH(L19,Codes,0))="Arbeit",INDEX(Arten,MATCH(M19,Codes,0))="Arbeit"),IF(ROUND((1+INDEX(Beginne,MATCH(M19,Codes,0))-INDEX(EndeRel,MATCH(L19,Codes,0)))*1440,0)&lt;660,1,0),0),0))</f>
      </c>
      <c r="N68" s="1">
        <f>IF(OR(N$52=0,M19="",N19=""),0,IFERROR(IF(AND(INDEX(Arten,MATCH(M19,Codes,0))="Arbeit",INDEX(Arten,MATCH(N19,Codes,0))="Arbeit"),IF(ROUND((1+INDEX(Beginne,MATCH(N19,Codes,0))-INDEX(EndeRel,MATCH(M19,Codes,0)))*1440,0)&lt;660,1,0),0),0))</f>
      </c>
      <c r="O68" s="1">
        <f>IF(OR(O$52=0,N19="",O19=""),0,IFERROR(IF(AND(INDEX(Arten,MATCH(N19,Codes,0))="Arbeit",INDEX(Arten,MATCH(O19,Codes,0))="Arbeit"),IF(ROUND((1+INDEX(Beginne,MATCH(O19,Codes,0))-INDEX(EndeRel,MATCH(N19,Codes,0)))*1440,0)&lt;660,1,0),0),0))</f>
      </c>
      <c r="P68" s="1">
        <f>IF(OR(P$52=0,O19="",P19=""),0,IFERROR(IF(AND(INDEX(Arten,MATCH(O19,Codes,0))="Arbeit",INDEX(Arten,MATCH(P19,Codes,0))="Arbeit"),IF(ROUND((1+INDEX(Beginne,MATCH(P19,Codes,0))-INDEX(EndeRel,MATCH(O19,Codes,0)))*1440,0)&lt;660,1,0),0),0))</f>
      </c>
      <c r="Q68" s="1">
        <f>IF(OR(Q$52=0,P19="",Q19=""),0,IFERROR(IF(AND(INDEX(Arten,MATCH(P19,Codes,0))="Arbeit",INDEX(Arten,MATCH(Q19,Codes,0))="Arbeit"),IF(ROUND((1+INDEX(Beginne,MATCH(Q19,Codes,0))-INDEX(EndeRel,MATCH(P19,Codes,0)))*1440,0)&lt;660,1,0),0),0))</f>
      </c>
      <c r="R68" s="1">
        <f>IF(OR(R$52=0,Q19="",R19=""),0,IFERROR(IF(AND(INDEX(Arten,MATCH(Q19,Codes,0))="Arbeit",INDEX(Arten,MATCH(R19,Codes,0))="Arbeit"),IF(ROUND((1+INDEX(Beginne,MATCH(R19,Codes,0))-INDEX(EndeRel,MATCH(Q19,Codes,0)))*1440,0)&lt;660,1,0),0),0))</f>
      </c>
      <c r="S68" s="1">
        <f>IF(OR(S$52=0,R19="",S19=""),0,IFERROR(IF(AND(INDEX(Arten,MATCH(R19,Codes,0))="Arbeit",INDEX(Arten,MATCH(S19,Codes,0))="Arbeit"),IF(ROUND((1+INDEX(Beginne,MATCH(S19,Codes,0))-INDEX(EndeRel,MATCH(R19,Codes,0)))*1440,0)&lt;660,1,0),0),0))</f>
      </c>
      <c r="T68" s="1">
        <f>IF(OR(T$52=0,S19="",T19=""),0,IFERROR(IF(AND(INDEX(Arten,MATCH(S19,Codes,0))="Arbeit",INDEX(Arten,MATCH(T19,Codes,0))="Arbeit"),IF(ROUND((1+INDEX(Beginne,MATCH(T19,Codes,0))-INDEX(EndeRel,MATCH(S19,Codes,0)))*1440,0)&lt;660,1,0),0),0))</f>
      </c>
      <c r="U68" s="1">
        <f>IF(OR(U$52=0,T19="",U19=""),0,IFERROR(IF(AND(INDEX(Arten,MATCH(T19,Codes,0))="Arbeit",INDEX(Arten,MATCH(U19,Codes,0))="Arbeit"),IF(ROUND((1+INDEX(Beginne,MATCH(U19,Codes,0))-INDEX(EndeRel,MATCH(T19,Codes,0)))*1440,0)&lt;660,1,0),0),0))</f>
      </c>
      <c r="V68" s="1">
        <f>IF(OR(V$52=0,U19="",V19=""),0,IFERROR(IF(AND(INDEX(Arten,MATCH(U19,Codes,0))="Arbeit",INDEX(Arten,MATCH(V19,Codes,0))="Arbeit"),IF(ROUND((1+INDEX(Beginne,MATCH(V19,Codes,0))-INDEX(EndeRel,MATCH(U19,Codes,0)))*1440,0)&lt;660,1,0),0),0))</f>
      </c>
      <c r="W68" s="1">
        <f>IF(OR(W$52=0,V19="",W19=""),0,IFERROR(IF(AND(INDEX(Arten,MATCH(V19,Codes,0))="Arbeit",INDEX(Arten,MATCH(W19,Codes,0))="Arbeit"),IF(ROUND((1+INDEX(Beginne,MATCH(W19,Codes,0))-INDEX(EndeRel,MATCH(V19,Codes,0)))*1440,0)&lt;660,1,0),0),0))</f>
      </c>
      <c r="X68" s="1">
        <f>IF(OR(X$52=0,W19="",X19=""),0,IFERROR(IF(AND(INDEX(Arten,MATCH(W19,Codes,0))="Arbeit",INDEX(Arten,MATCH(X19,Codes,0))="Arbeit"),IF(ROUND((1+INDEX(Beginne,MATCH(X19,Codes,0))-INDEX(EndeRel,MATCH(W19,Codes,0)))*1440,0)&lt;660,1,0),0),0))</f>
      </c>
      <c r="Y68" s="1">
        <f>IF(OR(Y$52=0,X19="",Y19=""),0,IFERROR(IF(AND(INDEX(Arten,MATCH(X19,Codes,0))="Arbeit",INDEX(Arten,MATCH(Y19,Codes,0))="Arbeit"),IF(ROUND((1+INDEX(Beginne,MATCH(Y19,Codes,0))-INDEX(EndeRel,MATCH(X19,Codes,0)))*1440,0)&lt;660,1,0),0),0))</f>
      </c>
      <c r="Z68" s="1">
        <f>IF(OR(Z$52=0,Y19="",Z19=""),0,IFERROR(IF(AND(INDEX(Arten,MATCH(Y19,Codes,0))="Arbeit",INDEX(Arten,MATCH(Z19,Codes,0))="Arbeit"),IF(ROUND((1+INDEX(Beginne,MATCH(Z19,Codes,0))-INDEX(EndeRel,MATCH(Y19,Codes,0)))*1440,0)&lt;660,1,0),0),0))</f>
      </c>
      <c r="AA68" s="1">
        <f>IF(OR(AA$52=0,Z19="",AA19=""),0,IFERROR(IF(AND(INDEX(Arten,MATCH(Z19,Codes,0))="Arbeit",INDEX(Arten,MATCH(AA19,Codes,0))="Arbeit"),IF(ROUND((1+INDEX(Beginne,MATCH(AA19,Codes,0))-INDEX(EndeRel,MATCH(Z19,Codes,0)))*1440,0)&lt;660,1,0),0),0))</f>
      </c>
      <c r="AB68" s="1">
        <f>IF(OR(AB$52=0,AA19="",AB19=""),0,IFERROR(IF(AND(INDEX(Arten,MATCH(AA19,Codes,0))="Arbeit",INDEX(Arten,MATCH(AB19,Codes,0))="Arbeit"),IF(ROUND((1+INDEX(Beginne,MATCH(AB19,Codes,0))-INDEX(EndeRel,MATCH(AA19,Codes,0)))*1440,0)&lt;660,1,0),0),0))</f>
      </c>
      <c r="AC68" s="1">
        <f>IF(OR(AC$52=0,AB19="",AC19=""),0,IFERROR(IF(AND(INDEX(Arten,MATCH(AB19,Codes,0))="Arbeit",INDEX(Arten,MATCH(AC19,Codes,0))="Arbeit"),IF(ROUND((1+INDEX(Beginne,MATCH(AC19,Codes,0))-INDEX(EndeRel,MATCH(AB19,Codes,0)))*1440,0)&lt;660,1,0),0),0))</f>
      </c>
      <c r="AD68" s="1">
        <f>IF(OR(AD$52=0,AC19="",AD19=""),0,IFERROR(IF(AND(INDEX(Arten,MATCH(AC19,Codes,0))="Arbeit",INDEX(Arten,MATCH(AD19,Codes,0))="Arbeit"),IF(ROUND((1+INDEX(Beginne,MATCH(AD19,Codes,0))-INDEX(EndeRel,MATCH(AC19,Codes,0)))*1440,0)&lt;660,1,0),0),0))</f>
      </c>
      <c r="AE68" s="1">
        <f>IF(OR(AE$52=0,AD19="",AE19=""),0,IFERROR(IF(AND(INDEX(Arten,MATCH(AD19,Codes,0))="Arbeit",INDEX(Arten,MATCH(AE19,Codes,0))="Arbeit"),IF(ROUND((1+INDEX(Beginne,MATCH(AE19,Codes,0))-INDEX(EndeRel,MATCH(AD19,Codes,0)))*1440,0)&lt;660,1,0),0),0))</f>
      </c>
      <c r="AF68" s="1">
        <f>IF(OR(AF$52=0,AE19="",AF19=""),0,IFERROR(IF(AND(INDEX(Arten,MATCH(AE19,Codes,0))="Arbeit",INDEX(Arten,MATCH(AF19,Codes,0))="Arbeit"),IF(ROUND((1+INDEX(Beginne,MATCH(AF19,Codes,0))-INDEX(EndeRel,MATCH(AE19,Codes,0)))*1440,0)&lt;660,1,0),0),0))</f>
      </c>
    </row>
    <row r="69" hidden="1" spans="1:32" x14ac:dyDescent="0.25">
      <c r="A69" s="1"/>
      <c r="B69" s="1">
        <f>IF(OR(B$52=0,INDEX('Oktober'!$B$20:$AF$20,DAY(DATE(Jahr,11,0)))="",B20=""),0,IFERROR(IF(AND(INDEX(Arten,MATCH(INDEX('Oktober'!$B$20:$AF$20,DAY(DATE(Jahr,11,0))),Codes,0))="Arbeit",INDEX(Arten,MATCH(B20,Codes,0))="Arbeit"),IF(ROUND((1+INDEX(Beginne,MATCH(B20,Codes,0))-INDEX(EndeRel,MATCH(INDEX('Oktober'!$B$20:$AF$20,DAY(DATE(Jahr,11,0))),Codes,0)))*1440,0)&lt;660,1,0),0),0))</f>
      </c>
      <c r="C69" s="1">
        <f>IF(OR(C$52=0,B20="",C20=""),0,IFERROR(IF(AND(INDEX(Arten,MATCH(B20,Codes,0))="Arbeit",INDEX(Arten,MATCH(C20,Codes,0))="Arbeit"),IF(ROUND((1+INDEX(Beginne,MATCH(C20,Codes,0))-INDEX(EndeRel,MATCH(B20,Codes,0)))*1440,0)&lt;660,1,0),0),0))</f>
      </c>
      <c r="D69" s="1">
        <f>IF(OR(D$52=0,C20="",D20=""),0,IFERROR(IF(AND(INDEX(Arten,MATCH(C20,Codes,0))="Arbeit",INDEX(Arten,MATCH(D20,Codes,0))="Arbeit"),IF(ROUND((1+INDEX(Beginne,MATCH(D20,Codes,0))-INDEX(EndeRel,MATCH(C20,Codes,0)))*1440,0)&lt;660,1,0),0),0))</f>
      </c>
      <c r="E69" s="1">
        <f>IF(OR(E$52=0,D20="",E20=""),0,IFERROR(IF(AND(INDEX(Arten,MATCH(D20,Codes,0))="Arbeit",INDEX(Arten,MATCH(E20,Codes,0))="Arbeit"),IF(ROUND((1+INDEX(Beginne,MATCH(E20,Codes,0))-INDEX(EndeRel,MATCH(D20,Codes,0)))*1440,0)&lt;660,1,0),0),0))</f>
      </c>
      <c r="F69" s="1">
        <f>IF(OR(F$52=0,E20="",F20=""),0,IFERROR(IF(AND(INDEX(Arten,MATCH(E20,Codes,0))="Arbeit",INDEX(Arten,MATCH(F20,Codes,0))="Arbeit"),IF(ROUND((1+INDEX(Beginne,MATCH(F20,Codes,0))-INDEX(EndeRel,MATCH(E20,Codes,0)))*1440,0)&lt;660,1,0),0),0))</f>
      </c>
      <c r="G69" s="1">
        <f>IF(OR(G$52=0,F20="",G20=""),0,IFERROR(IF(AND(INDEX(Arten,MATCH(F20,Codes,0))="Arbeit",INDEX(Arten,MATCH(G20,Codes,0))="Arbeit"),IF(ROUND((1+INDEX(Beginne,MATCH(G20,Codes,0))-INDEX(EndeRel,MATCH(F20,Codes,0)))*1440,0)&lt;660,1,0),0),0))</f>
      </c>
      <c r="H69" s="1">
        <f>IF(OR(H$52=0,G20="",H20=""),0,IFERROR(IF(AND(INDEX(Arten,MATCH(G20,Codes,0))="Arbeit",INDEX(Arten,MATCH(H20,Codes,0))="Arbeit"),IF(ROUND((1+INDEX(Beginne,MATCH(H20,Codes,0))-INDEX(EndeRel,MATCH(G20,Codes,0)))*1440,0)&lt;660,1,0),0),0))</f>
      </c>
      <c r="I69" s="1">
        <f>IF(OR(I$52=0,H20="",I20=""),0,IFERROR(IF(AND(INDEX(Arten,MATCH(H20,Codes,0))="Arbeit",INDEX(Arten,MATCH(I20,Codes,0))="Arbeit"),IF(ROUND((1+INDEX(Beginne,MATCH(I20,Codes,0))-INDEX(EndeRel,MATCH(H20,Codes,0)))*1440,0)&lt;660,1,0),0),0))</f>
      </c>
      <c r="J69" s="1">
        <f>IF(OR(J$52=0,I20="",J20=""),0,IFERROR(IF(AND(INDEX(Arten,MATCH(I20,Codes,0))="Arbeit",INDEX(Arten,MATCH(J20,Codes,0))="Arbeit"),IF(ROUND((1+INDEX(Beginne,MATCH(J20,Codes,0))-INDEX(EndeRel,MATCH(I20,Codes,0)))*1440,0)&lt;660,1,0),0),0))</f>
      </c>
      <c r="K69" s="1">
        <f>IF(OR(K$52=0,J20="",K20=""),0,IFERROR(IF(AND(INDEX(Arten,MATCH(J20,Codes,0))="Arbeit",INDEX(Arten,MATCH(K20,Codes,0))="Arbeit"),IF(ROUND((1+INDEX(Beginne,MATCH(K20,Codes,0))-INDEX(EndeRel,MATCH(J20,Codes,0)))*1440,0)&lt;660,1,0),0),0))</f>
      </c>
      <c r="L69" s="1">
        <f>IF(OR(L$52=0,K20="",L20=""),0,IFERROR(IF(AND(INDEX(Arten,MATCH(K20,Codes,0))="Arbeit",INDEX(Arten,MATCH(L20,Codes,0))="Arbeit"),IF(ROUND((1+INDEX(Beginne,MATCH(L20,Codes,0))-INDEX(EndeRel,MATCH(K20,Codes,0)))*1440,0)&lt;660,1,0),0),0))</f>
      </c>
      <c r="M69" s="1">
        <f>IF(OR(M$52=0,L20="",M20=""),0,IFERROR(IF(AND(INDEX(Arten,MATCH(L20,Codes,0))="Arbeit",INDEX(Arten,MATCH(M20,Codes,0))="Arbeit"),IF(ROUND((1+INDEX(Beginne,MATCH(M20,Codes,0))-INDEX(EndeRel,MATCH(L20,Codes,0)))*1440,0)&lt;660,1,0),0),0))</f>
      </c>
      <c r="N69" s="1">
        <f>IF(OR(N$52=0,M20="",N20=""),0,IFERROR(IF(AND(INDEX(Arten,MATCH(M20,Codes,0))="Arbeit",INDEX(Arten,MATCH(N20,Codes,0))="Arbeit"),IF(ROUND((1+INDEX(Beginne,MATCH(N20,Codes,0))-INDEX(EndeRel,MATCH(M20,Codes,0)))*1440,0)&lt;660,1,0),0),0))</f>
      </c>
      <c r="O69" s="1">
        <f>IF(OR(O$52=0,N20="",O20=""),0,IFERROR(IF(AND(INDEX(Arten,MATCH(N20,Codes,0))="Arbeit",INDEX(Arten,MATCH(O20,Codes,0))="Arbeit"),IF(ROUND((1+INDEX(Beginne,MATCH(O20,Codes,0))-INDEX(EndeRel,MATCH(N20,Codes,0)))*1440,0)&lt;660,1,0),0),0))</f>
      </c>
      <c r="P69" s="1">
        <f>IF(OR(P$52=0,O20="",P20=""),0,IFERROR(IF(AND(INDEX(Arten,MATCH(O20,Codes,0))="Arbeit",INDEX(Arten,MATCH(P20,Codes,0))="Arbeit"),IF(ROUND((1+INDEX(Beginne,MATCH(P20,Codes,0))-INDEX(EndeRel,MATCH(O20,Codes,0)))*1440,0)&lt;660,1,0),0),0))</f>
      </c>
      <c r="Q69" s="1">
        <f>IF(OR(Q$52=0,P20="",Q20=""),0,IFERROR(IF(AND(INDEX(Arten,MATCH(P20,Codes,0))="Arbeit",INDEX(Arten,MATCH(Q20,Codes,0))="Arbeit"),IF(ROUND((1+INDEX(Beginne,MATCH(Q20,Codes,0))-INDEX(EndeRel,MATCH(P20,Codes,0)))*1440,0)&lt;660,1,0),0),0))</f>
      </c>
      <c r="R69" s="1">
        <f>IF(OR(R$52=0,Q20="",R20=""),0,IFERROR(IF(AND(INDEX(Arten,MATCH(Q20,Codes,0))="Arbeit",INDEX(Arten,MATCH(R20,Codes,0))="Arbeit"),IF(ROUND((1+INDEX(Beginne,MATCH(R20,Codes,0))-INDEX(EndeRel,MATCH(Q20,Codes,0)))*1440,0)&lt;660,1,0),0),0))</f>
      </c>
      <c r="S69" s="1">
        <f>IF(OR(S$52=0,R20="",S20=""),0,IFERROR(IF(AND(INDEX(Arten,MATCH(R20,Codes,0))="Arbeit",INDEX(Arten,MATCH(S20,Codes,0))="Arbeit"),IF(ROUND((1+INDEX(Beginne,MATCH(S20,Codes,0))-INDEX(EndeRel,MATCH(R20,Codes,0)))*1440,0)&lt;660,1,0),0),0))</f>
      </c>
      <c r="T69" s="1">
        <f>IF(OR(T$52=0,S20="",T20=""),0,IFERROR(IF(AND(INDEX(Arten,MATCH(S20,Codes,0))="Arbeit",INDEX(Arten,MATCH(T20,Codes,0))="Arbeit"),IF(ROUND((1+INDEX(Beginne,MATCH(T20,Codes,0))-INDEX(EndeRel,MATCH(S20,Codes,0)))*1440,0)&lt;660,1,0),0),0))</f>
      </c>
      <c r="U69" s="1">
        <f>IF(OR(U$52=0,T20="",U20=""),0,IFERROR(IF(AND(INDEX(Arten,MATCH(T20,Codes,0))="Arbeit",INDEX(Arten,MATCH(U20,Codes,0))="Arbeit"),IF(ROUND((1+INDEX(Beginne,MATCH(U20,Codes,0))-INDEX(EndeRel,MATCH(T20,Codes,0)))*1440,0)&lt;660,1,0),0),0))</f>
      </c>
      <c r="V69" s="1">
        <f>IF(OR(V$52=0,U20="",V20=""),0,IFERROR(IF(AND(INDEX(Arten,MATCH(U20,Codes,0))="Arbeit",INDEX(Arten,MATCH(V20,Codes,0))="Arbeit"),IF(ROUND((1+INDEX(Beginne,MATCH(V20,Codes,0))-INDEX(EndeRel,MATCH(U20,Codes,0)))*1440,0)&lt;660,1,0),0),0))</f>
      </c>
      <c r="W69" s="1">
        <f>IF(OR(W$52=0,V20="",W20=""),0,IFERROR(IF(AND(INDEX(Arten,MATCH(V20,Codes,0))="Arbeit",INDEX(Arten,MATCH(W20,Codes,0))="Arbeit"),IF(ROUND((1+INDEX(Beginne,MATCH(W20,Codes,0))-INDEX(EndeRel,MATCH(V20,Codes,0)))*1440,0)&lt;660,1,0),0),0))</f>
      </c>
      <c r="X69" s="1">
        <f>IF(OR(X$52=0,W20="",X20=""),0,IFERROR(IF(AND(INDEX(Arten,MATCH(W20,Codes,0))="Arbeit",INDEX(Arten,MATCH(X20,Codes,0))="Arbeit"),IF(ROUND((1+INDEX(Beginne,MATCH(X20,Codes,0))-INDEX(EndeRel,MATCH(W20,Codes,0)))*1440,0)&lt;660,1,0),0),0))</f>
      </c>
      <c r="Y69" s="1">
        <f>IF(OR(Y$52=0,X20="",Y20=""),0,IFERROR(IF(AND(INDEX(Arten,MATCH(X20,Codes,0))="Arbeit",INDEX(Arten,MATCH(Y20,Codes,0))="Arbeit"),IF(ROUND((1+INDEX(Beginne,MATCH(Y20,Codes,0))-INDEX(EndeRel,MATCH(X20,Codes,0)))*1440,0)&lt;660,1,0),0),0))</f>
      </c>
      <c r="Z69" s="1">
        <f>IF(OR(Z$52=0,Y20="",Z20=""),0,IFERROR(IF(AND(INDEX(Arten,MATCH(Y20,Codes,0))="Arbeit",INDEX(Arten,MATCH(Z20,Codes,0))="Arbeit"),IF(ROUND((1+INDEX(Beginne,MATCH(Z20,Codes,0))-INDEX(EndeRel,MATCH(Y20,Codes,0)))*1440,0)&lt;660,1,0),0),0))</f>
      </c>
      <c r="AA69" s="1">
        <f>IF(OR(AA$52=0,Z20="",AA20=""),0,IFERROR(IF(AND(INDEX(Arten,MATCH(Z20,Codes,0))="Arbeit",INDEX(Arten,MATCH(AA20,Codes,0))="Arbeit"),IF(ROUND((1+INDEX(Beginne,MATCH(AA20,Codes,0))-INDEX(EndeRel,MATCH(Z20,Codes,0)))*1440,0)&lt;660,1,0),0),0))</f>
      </c>
      <c r="AB69" s="1">
        <f>IF(OR(AB$52=0,AA20="",AB20=""),0,IFERROR(IF(AND(INDEX(Arten,MATCH(AA20,Codes,0))="Arbeit",INDEX(Arten,MATCH(AB20,Codes,0))="Arbeit"),IF(ROUND((1+INDEX(Beginne,MATCH(AB20,Codes,0))-INDEX(EndeRel,MATCH(AA20,Codes,0)))*1440,0)&lt;660,1,0),0),0))</f>
      </c>
      <c r="AC69" s="1">
        <f>IF(OR(AC$52=0,AB20="",AC20=""),0,IFERROR(IF(AND(INDEX(Arten,MATCH(AB20,Codes,0))="Arbeit",INDEX(Arten,MATCH(AC20,Codes,0))="Arbeit"),IF(ROUND((1+INDEX(Beginne,MATCH(AC20,Codes,0))-INDEX(EndeRel,MATCH(AB20,Codes,0)))*1440,0)&lt;660,1,0),0),0))</f>
      </c>
      <c r="AD69" s="1">
        <f>IF(OR(AD$52=0,AC20="",AD20=""),0,IFERROR(IF(AND(INDEX(Arten,MATCH(AC20,Codes,0))="Arbeit",INDEX(Arten,MATCH(AD20,Codes,0))="Arbeit"),IF(ROUND((1+INDEX(Beginne,MATCH(AD20,Codes,0))-INDEX(EndeRel,MATCH(AC20,Codes,0)))*1440,0)&lt;660,1,0),0),0))</f>
      </c>
      <c r="AE69" s="1">
        <f>IF(OR(AE$52=0,AD20="",AE20=""),0,IFERROR(IF(AND(INDEX(Arten,MATCH(AD20,Codes,0))="Arbeit",INDEX(Arten,MATCH(AE20,Codes,0))="Arbeit"),IF(ROUND((1+INDEX(Beginne,MATCH(AE20,Codes,0))-INDEX(EndeRel,MATCH(AD20,Codes,0)))*1440,0)&lt;660,1,0),0),0))</f>
      </c>
      <c r="AF69" s="1">
        <f>IF(OR(AF$52=0,AE20="",AF20=""),0,IFERROR(IF(AND(INDEX(Arten,MATCH(AE20,Codes,0))="Arbeit",INDEX(Arten,MATCH(AF20,Codes,0))="Arbeit"),IF(ROUND((1+INDEX(Beginne,MATCH(AF20,Codes,0))-INDEX(EndeRel,MATCH(AE20,Codes,0)))*1440,0)&lt;660,1,0),0),0))</f>
      </c>
    </row>
    <row r="70" hidden="1" spans="1:32" x14ac:dyDescent="0.25">
      <c r="A70" s="1"/>
      <c r="B70" s="1">
        <f>IF(OR(B$52=0,INDEX('Oktober'!$B$21:$AF$21,DAY(DATE(Jahr,11,0)))="",B21=""),0,IFERROR(IF(AND(INDEX(Arten,MATCH(INDEX('Oktober'!$B$21:$AF$21,DAY(DATE(Jahr,11,0))),Codes,0))="Arbeit",INDEX(Arten,MATCH(B21,Codes,0))="Arbeit"),IF(ROUND((1+INDEX(Beginne,MATCH(B21,Codes,0))-INDEX(EndeRel,MATCH(INDEX('Oktober'!$B$21:$AF$21,DAY(DATE(Jahr,11,0))),Codes,0)))*1440,0)&lt;660,1,0),0),0))</f>
      </c>
      <c r="C70" s="1">
        <f>IF(OR(C$52=0,B21="",C21=""),0,IFERROR(IF(AND(INDEX(Arten,MATCH(B21,Codes,0))="Arbeit",INDEX(Arten,MATCH(C21,Codes,0))="Arbeit"),IF(ROUND((1+INDEX(Beginne,MATCH(C21,Codes,0))-INDEX(EndeRel,MATCH(B21,Codes,0)))*1440,0)&lt;660,1,0),0),0))</f>
      </c>
      <c r="D70" s="1">
        <f>IF(OR(D$52=0,C21="",D21=""),0,IFERROR(IF(AND(INDEX(Arten,MATCH(C21,Codes,0))="Arbeit",INDEX(Arten,MATCH(D21,Codes,0))="Arbeit"),IF(ROUND((1+INDEX(Beginne,MATCH(D21,Codes,0))-INDEX(EndeRel,MATCH(C21,Codes,0)))*1440,0)&lt;660,1,0),0),0))</f>
      </c>
      <c r="E70" s="1">
        <f>IF(OR(E$52=0,D21="",E21=""),0,IFERROR(IF(AND(INDEX(Arten,MATCH(D21,Codes,0))="Arbeit",INDEX(Arten,MATCH(E21,Codes,0))="Arbeit"),IF(ROUND((1+INDEX(Beginne,MATCH(E21,Codes,0))-INDEX(EndeRel,MATCH(D21,Codes,0)))*1440,0)&lt;660,1,0),0),0))</f>
      </c>
      <c r="F70" s="1">
        <f>IF(OR(F$52=0,E21="",F21=""),0,IFERROR(IF(AND(INDEX(Arten,MATCH(E21,Codes,0))="Arbeit",INDEX(Arten,MATCH(F21,Codes,0))="Arbeit"),IF(ROUND((1+INDEX(Beginne,MATCH(F21,Codes,0))-INDEX(EndeRel,MATCH(E21,Codes,0)))*1440,0)&lt;660,1,0),0),0))</f>
      </c>
      <c r="G70" s="1">
        <f>IF(OR(G$52=0,F21="",G21=""),0,IFERROR(IF(AND(INDEX(Arten,MATCH(F21,Codes,0))="Arbeit",INDEX(Arten,MATCH(G21,Codes,0))="Arbeit"),IF(ROUND((1+INDEX(Beginne,MATCH(G21,Codes,0))-INDEX(EndeRel,MATCH(F21,Codes,0)))*1440,0)&lt;660,1,0),0),0))</f>
      </c>
      <c r="H70" s="1">
        <f>IF(OR(H$52=0,G21="",H21=""),0,IFERROR(IF(AND(INDEX(Arten,MATCH(G21,Codes,0))="Arbeit",INDEX(Arten,MATCH(H21,Codes,0))="Arbeit"),IF(ROUND((1+INDEX(Beginne,MATCH(H21,Codes,0))-INDEX(EndeRel,MATCH(G21,Codes,0)))*1440,0)&lt;660,1,0),0),0))</f>
      </c>
      <c r="I70" s="1">
        <f>IF(OR(I$52=0,H21="",I21=""),0,IFERROR(IF(AND(INDEX(Arten,MATCH(H21,Codes,0))="Arbeit",INDEX(Arten,MATCH(I21,Codes,0))="Arbeit"),IF(ROUND((1+INDEX(Beginne,MATCH(I21,Codes,0))-INDEX(EndeRel,MATCH(H21,Codes,0)))*1440,0)&lt;660,1,0),0),0))</f>
      </c>
      <c r="J70" s="1">
        <f>IF(OR(J$52=0,I21="",J21=""),0,IFERROR(IF(AND(INDEX(Arten,MATCH(I21,Codes,0))="Arbeit",INDEX(Arten,MATCH(J21,Codes,0))="Arbeit"),IF(ROUND((1+INDEX(Beginne,MATCH(J21,Codes,0))-INDEX(EndeRel,MATCH(I21,Codes,0)))*1440,0)&lt;660,1,0),0),0))</f>
      </c>
      <c r="K70" s="1">
        <f>IF(OR(K$52=0,J21="",K21=""),0,IFERROR(IF(AND(INDEX(Arten,MATCH(J21,Codes,0))="Arbeit",INDEX(Arten,MATCH(K21,Codes,0))="Arbeit"),IF(ROUND((1+INDEX(Beginne,MATCH(K21,Codes,0))-INDEX(EndeRel,MATCH(J21,Codes,0)))*1440,0)&lt;660,1,0),0),0))</f>
      </c>
      <c r="L70" s="1">
        <f>IF(OR(L$52=0,K21="",L21=""),0,IFERROR(IF(AND(INDEX(Arten,MATCH(K21,Codes,0))="Arbeit",INDEX(Arten,MATCH(L21,Codes,0))="Arbeit"),IF(ROUND((1+INDEX(Beginne,MATCH(L21,Codes,0))-INDEX(EndeRel,MATCH(K21,Codes,0)))*1440,0)&lt;660,1,0),0),0))</f>
      </c>
      <c r="M70" s="1">
        <f>IF(OR(M$52=0,L21="",M21=""),0,IFERROR(IF(AND(INDEX(Arten,MATCH(L21,Codes,0))="Arbeit",INDEX(Arten,MATCH(M21,Codes,0))="Arbeit"),IF(ROUND((1+INDEX(Beginne,MATCH(M21,Codes,0))-INDEX(EndeRel,MATCH(L21,Codes,0)))*1440,0)&lt;660,1,0),0),0))</f>
      </c>
      <c r="N70" s="1">
        <f>IF(OR(N$52=0,M21="",N21=""),0,IFERROR(IF(AND(INDEX(Arten,MATCH(M21,Codes,0))="Arbeit",INDEX(Arten,MATCH(N21,Codes,0))="Arbeit"),IF(ROUND((1+INDEX(Beginne,MATCH(N21,Codes,0))-INDEX(EndeRel,MATCH(M21,Codes,0)))*1440,0)&lt;660,1,0),0),0))</f>
      </c>
      <c r="O70" s="1">
        <f>IF(OR(O$52=0,N21="",O21=""),0,IFERROR(IF(AND(INDEX(Arten,MATCH(N21,Codes,0))="Arbeit",INDEX(Arten,MATCH(O21,Codes,0))="Arbeit"),IF(ROUND((1+INDEX(Beginne,MATCH(O21,Codes,0))-INDEX(EndeRel,MATCH(N21,Codes,0)))*1440,0)&lt;660,1,0),0),0))</f>
      </c>
      <c r="P70" s="1">
        <f>IF(OR(P$52=0,O21="",P21=""),0,IFERROR(IF(AND(INDEX(Arten,MATCH(O21,Codes,0))="Arbeit",INDEX(Arten,MATCH(P21,Codes,0))="Arbeit"),IF(ROUND((1+INDEX(Beginne,MATCH(P21,Codes,0))-INDEX(EndeRel,MATCH(O21,Codes,0)))*1440,0)&lt;660,1,0),0),0))</f>
      </c>
      <c r="Q70" s="1">
        <f>IF(OR(Q$52=0,P21="",Q21=""),0,IFERROR(IF(AND(INDEX(Arten,MATCH(P21,Codes,0))="Arbeit",INDEX(Arten,MATCH(Q21,Codes,0))="Arbeit"),IF(ROUND((1+INDEX(Beginne,MATCH(Q21,Codes,0))-INDEX(EndeRel,MATCH(P21,Codes,0)))*1440,0)&lt;660,1,0),0),0))</f>
      </c>
      <c r="R70" s="1">
        <f>IF(OR(R$52=0,Q21="",R21=""),0,IFERROR(IF(AND(INDEX(Arten,MATCH(Q21,Codes,0))="Arbeit",INDEX(Arten,MATCH(R21,Codes,0))="Arbeit"),IF(ROUND((1+INDEX(Beginne,MATCH(R21,Codes,0))-INDEX(EndeRel,MATCH(Q21,Codes,0)))*1440,0)&lt;660,1,0),0),0))</f>
      </c>
      <c r="S70" s="1">
        <f>IF(OR(S$52=0,R21="",S21=""),0,IFERROR(IF(AND(INDEX(Arten,MATCH(R21,Codes,0))="Arbeit",INDEX(Arten,MATCH(S21,Codes,0))="Arbeit"),IF(ROUND((1+INDEX(Beginne,MATCH(S21,Codes,0))-INDEX(EndeRel,MATCH(R21,Codes,0)))*1440,0)&lt;660,1,0),0),0))</f>
      </c>
      <c r="T70" s="1">
        <f>IF(OR(T$52=0,S21="",T21=""),0,IFERROR(IF(AND(INDEX(Arten,MATCH(S21,Codes,0))="Arbeit",INDEX(Arten,MATCH(T21,Codes,0))="Arbeit"),IF(ROUND((1+INDEX(Beginne,MATCH(T21,Codes,0))-INDEX(EndeRel,MATCH(S21,Codes,0)))*1440,0)&lt;660,1,0),0),0))</f>
      </c>
      <c r="U70" s="1">
        <f>IF(OR(U$52=0,T21="",U21=""),0,IFERROR(IF(AND(INDEX(Arten,MATCH(T21,Codes,0))="Arbeit",INDEX(Arten,MATCH(U21,Codes,0))="Arbeit"),IF(ROUND((1+INDEX(Beginne,MATCH(U21,Codes,0))-INDEX(EndeRel,MATCH(T21,Codes,0)))*1440,0)&lt;660,1,0),0),0))</f>
      </c>
      <c r="V70" s="1">
        <f>IF(OR(V$52=0,U21="",V21=""),0,IFERROR(IF(AND(INDEX(Arten,MATCH(U21,Codes,0))="Arbeit",INDEX(Arten,MATCH(V21,Codes,0))="Arbeit"),IF(ROUND((1+INDEX(Beginne,MATCH(V21,Codes,0))-INDEX(EndeRel,MATCH(U21,Codes,0)))*1440,0)&lt;660,1,0),0),0))</f>
      </c>
      <c r="W70" s="1">
        <f>IF(OR(W$52=0,V21="",W21=""),0,IFERROR(IF(AND(INDEX(Arten,MATCH(V21,Codes,0))="Arbeit",INDEX(Arten,MATCH(W21,Codes,0))="Arbeit"),IF(ROUND((1+INDEX(Beginne,MATCH(W21,Codes,0))-INDEX(EndeRel,MATCH(V21,Codes,0)))*1440,0)&lt;660,1,0),0),0))</f>
      </c>
      <c r="X70" s="1">
        <f>IF(OR(X$52=0,W21="",X21=""),0,IFERROR(IF(AND(INDEX(Arten,MATCH(W21,Codes,0))="Arbeit",INDEX(Arten,MATCH(X21,Codes,0))="Arbeit"),IF(ROUND((1+INDEX(Beginne,MATCH(X21,Codes,0))-INDEX(EndeRel,MATCH(W21,Codes,0)))*1440,0)&lt;660,1,0),0),0))</f>
      </c>
      <c r="Y70" s="1">
        <f>IF(OR(Y$52=0,X21="",Y21=""),0,IFERROR(IF(AND(INDEX(Arten,MATCH(X21,Codes,0))="Arbeit",INDEX(Arten,MATCH(Y21,Codes,0))="Arbeit"),IF(ROUND((1+INDEX(Beginne,MATCH(Y21,Codes,0))-INDEX(EndeRel,MATCH(X21,Codes,0)))*1440,0)&lt;660,1,0),0),0))</f>
      </c>
      <c r="Z70" s="1">
        <f>IF(OR(Z$52=0,Y21="",Z21=""),0,IFERROR(IF(AND(INDEX(Arten,MATCH(Y21,Codes,0))="Arbeit",INDEX(Arten,MATCH(Z21,Codes,0))="Arbeit"),IF(ROUND((1+INDEX(Beginne,MATCH(Z21,Codes,0))-INDEX(EndeRel,MATCH(Y21,Codes,0)))*1440,0)&lt;660,1,0),0),0))</f>
      </c>
      <c r="AA70" s="1">
        <f>IF(OR(AA$52=0,Z21="",AA21=""),0,IFERROR(IF(AND(INDEX(Arten,MATCH(Z21,Codes,0))="Arbeit",INDEX(Arten,MATCH(AA21,Codes,0))="Arbeit"),IF(ROUND((1+INDEX(Beginne,MATCH(AA21,Codes,0))-INDEX(EndeRel,MATCH(Z21,Codes,0)))*1440,0)&lt;660,1,0),0),0))</f>
      </c>
      <c r="AB70" s="1">
        <f>IF(OR(AB$52=0,AA21="",AB21=""),0,IFERROR(IF(AND(INDEX(Arten,MATCH(AA21,Codes,0))="Arbeit",INDEX(Arten,MATCH(AB21,Codes,0))="Arbeit"),IF(ROUND((1+INDEX(Beginne,MATCH(AB21,Codes,0))-INDEX(EndeRel,MATCH(AA21,Codes,0)))*1440,0)&lt;660,1,0),0),0))</f>
      </c>
      <c r="AC70" s="1">
        <f>IF(OR(AC$52=0,AB21="",AC21=""),0,IFERROR(IF(AND(INDEX(Arten,MATCH(AB21,Codes,0))="Arbeit",INDEX(Arten,MATCH(AC21,Codes,0))="Arbeit"),IF(ROUND((1+INDEX(Beginne,MATCH(AC21,Codes,0))-INDEX(EndeRel,MATCH(AB21,Codes,0)))*1440,0)&lt;660,1,0),0),0))</f>
      </c>
      <c r="AD70" s="1">
        <f>IF(OR(AD$52=0,AC21="",AD21=""),0,IFERROR(IF(AND(INDEX(Arten,MATCH(AC21,Codes,0))="Arbeit",INDEX(Arten,MATCH(AD21,Codes,0))="Arbeit"),IF(ROUND((1+INDEX(Beginne,MATCH(AD21,Codes,0))-INDEX(EndeRel,MATCH(AC21,Codes,0)))*1440,0)&lt;660,1,0),0),0))</f>
      </c>
      <c r="AE70" s="1">
        <f>IF(OR(AE$52=0,AD21="",AE21=""),0,IFERROR(IF(AND(INDEX(Arten,MATCH(AD21,Codes,0))="Arbeit",INDEX(Arten,MATCH(AE21,Codes,0))="Arbeit"),IF(ROUND((1+INDEX(Beginne,MATCH(AE21,Codes,0))-INDEX(EndeRel,MATCH(AD21,Codes,0)))*1440,0)&lt;660,1,0),0),0))</f>
      </c>
      <c r="AF70" s="1">
        <f>IF(OR(AF$52=0,AE21="",AF21=""),0,IFERROR(IF(AND(INDEX(Arten,MATCH(AE21,Codes,0))="Arbeit",INDEX(Arten,MATCH(AF21,Codes,0))="Arbeit"),IF(ROUND((1+INDEX(Beginne,MATCH(AF21,Codes,0))-INDEX(EndeRel,MATCH(AE21,Codes,0)))*1440,0)&lt;660,1,0),0),0))</f>
      </c>
    </row>
    <row r="71" hidden="1" spans="1:32" x14ac:dyDescent="0.25">
      <c r="A71" s="1"/>
      <c r="B71" s="1">
        <f>IF(OR(B$52=0,INDEX('Oktober'!$B$22:$AF$22,DAY(DATE(Jahr,11,0)))="",B22=""),0,IFERROR(IF(AND(INDEX(Arten,MATCH(INDEX('Oktober'!$B$22:$AF$22,DAY(DATE(Jahr,11,0))),Codes,0))="Arbeit",INDEX(Arten,MATCH(B22,Codes,0))="Arbeit"),IF(ROUND((1+INDEX(Beginne,MATCH(B22,Codes,0))-INDEX(EndeRel,MATCH(INDEX('Oktober'!$B$22:$AF$22,DAY(DATE(Jahr,11,0))),Codes,0)))*1440,0)&lt;660,1,0),0),0))</f>
      </c>
      <c r="C71" s="1">
        <f>IF(OR(C$52=0,B22="",C22=""),0,IFERROR(IF(AND(INDEX(Arten,MATCH(B22,Codes,0))="Arbeit",INDEX(Arten,MATCH(C22,Codes,0))="Arbeit"),IF(ROUND((1+INDEX(Beginne,MATCH(C22,Codes,0))-INDEX(EndeRel,MATCH(B22,Codes,0)))*1440,0)&lt;660,1,0),0),0))</f>
      </c>
      <c r="D71" s="1">
        <f>IF(OR(D$52=0,C22="",D22=""),0,IFERROR(IF(AND(INDEX(Arten,MATCH(C22,Codes,0))="Arbeit",INDEX(Arten,MATCH(D22,Codes,0))="Arbeit"),IF(ROUND((1+INDEX(Beginne,MATCH(D22,Codes,0))-INDEX(EndeRel,MATCH(C22,Codes,0)))*1440,0)&lt;660,1,0),0),0))</f>
      </c>
      <c r="E71" s="1">
        <f>IF(OR(E$52=0,D22="",E22=""),0,IFERROR(IF(AND(INDEX(Arten,MATCH(D22,Codes,0))="Arbeit",INDEX(Arten,MATCH(E22,Codes,0))="Arbeit"),IF(ROUND((1+INDEX(Beginne,MATCH(E22,Codes,0))-INDEX(EndeRel,MATCH(D22,Codes,0)))*1440,0)&lt;660,1,0),0),0))</f>
      </c>
      <c r="F71" s="1">
        <f>IF(OR(F$52=0,E22="",F22=""),0,IFERROR(IF(AND(INDEX(Arten,MATCH(E22,Codes,0))="Arbeit",INDEX(Arten,MATCH(F22,Codes,0))="Arbeit"),IF(ROUND((1+INDEX(Beginne,MATCH(F22,Codes,0))-INDEX(EndeRel,MATCH(E22,Codes,0)))*1440,0)&lt;660,1,0),0),0))</f>
      </c>
      <c r="G71" s="1">
        <f>IF(OR(G$52=0,F22="",G22=""),0,IFERROR(IF(AND(INDEX(Arten,MATCH(F22,Codes,0))="Arbeit",INDEX(Arten,MATCH(G22,Codes,0))="Arbeit"),IF(ROUND((1+INDEX(Beginne,MATCH(G22,Codes,0))-INDEX(EndeRel,MATCH(F22,Codes,0)))*1440,0)&lt;660,1,0),0),0))</f>
      </c>
      <c r="H71" s="1">
        <f>IF(OR(H$52=0,G22="",H22=""),0,IFERROR(IF(AND(INDEX(Arten,MATCH(G22,Codes,0))="Arbeit",INDEX(Arten,MATCH(H22,Codes,0))="Arbeit"),IF(ROUND((1+INDEX(Beginne,MATCH(H22,Codes,0))-INDEX(EndeRel,MATCH(G22,Codes,0)))*1440,0)&lt;660,1,0),0),0))</f>
      </c>
      <c r="I71" s="1">
        <f>IF(OR(I$52=0,H22="",I22=""),0,IFERROR(IF(AND(INDEX(Arten,MATCH(H22,Codes,0))="Arbeit",INDEX(Arten,MATCH(I22,Codes,0))="Arbeit"),IF(ROUND((1+INDEX(Beginne,MATCH(I22,Codes,0))-INDEX(EndeRel,MATCH(H22,Codes,0)))*1440,0)&lt;660,1,0),0),0))</f>
      </c>
      <c r="J71" s="1">
        <f>IF(OR(J$52=0,I22="",J22=""),0,IFERROR(IF(AND(INDEX(Arten,MATCH(I22,Codes,0))="Arbeit",INDEX(Arten,MATCH(J22,Codes,0))="Arbeit"),IF(ROUND((1+INDEX(Beginne,MATCH(J22,Codes,0))-INDEX(EndeRel,MATCH(I22,Codes,0)))*1440,0)&lt;660,1,0),0),0))</f>
      </c>
      <c r="K71" s="1">
        <f>IF(OR(K$52=0,J22="",K22=""),0,IFERROR(IF(AND(INDEX(Arten,MATCH(J22,Codes,0))="Arbeit",INDEX(Arten,MATCH(K22,Codes,0))="Arbeit"),IF(ROUND((1+INDEX(Beginne,MATCH(K22,Codes,0))-INDEX(EndeRel,MATCH(J22,Codes,0)))*1440,0)&lt;660,1,0),0),0))</f>
      </c>
      <c r="L71" s="1">
        <f>IF(OR(L$52=0,K22="",L22=""),0,IFERROR(IF(AND(INDEX(Arten,MATCH(K22,Codes,0))="Arbeit",INDEX(Arten,MATCH(L22,Codes,0))="Arbeit"),IF(ROUND((1+INDEX(Beginne,MATCH(L22,Codes,0))-INDEX(EndeRel,MATCH(K22,Codes,0)))*1440,0)&lt;660,1,0),0),0))</f>
      </c>
      <c r="M71" s="1">
        <f>IF(OR(M$52=0,L22="",M22=""),0,IFERROR(IF(AND(INDEX(Arten,MATCH(L22,Codes,0))="Arbeit",INDEX(Arten,MATCH(M22,Codes,0))="Arbeit"),IF(ROUND((1+INDEX(Beginne,MATCH(M22,Codes,0))-INDEX(EndeRel,MATCH(L22,Codes,0)))*1440,0)&lt;660,1,0),0),0))</f>
      </c>
      <c r="N71" s="1">
        <f>IF(OR(N$52=0,M22="",N22=""),0,IFERROR(IF(AND(INDEX(Arten,MATCH(M22,Codes,0))="Arbeit",INDEX(Arten,MATCH(N22,Codes,0))="Arbeit"),IF(ROUND((1+INDEX(Beginne,MATCH(N22,Codes,0))-INDEX(EndeRel,MATCH(M22,Codes,0)))*1440,0)&lt;660,1,0),0),0))</f>
      </c>
      <c r="O71" s="1">
        <f>IF(OR(O$52=0,N22="",O22=""),0,IFERROR(IF(AND(INDEX(Arten,MATCH(N22,Codes,0))="Arbeit",INDEX(Arten,MATCH(O22,Codes,0))="Arbeit"),IF(ROUND((1+INDEX(Beginne,MATCH(O22,Codes,0))-INDEX(EndeRel,MATCH(N22,Codes,0)))*1440,0)&lt;660,1,0),0),0))</f>
      </c>
      <c r="P71" s="1">
        <f>IF(OR(P$52=0,O22="",P22=""),0,IFERROR(IF(AND(INDEX(Arten,MATCH(O22,Codes,0))="Arbeit",INDEX(Arten,MATCH(P22,Codes,0))="Arbeit"),IF(ROUND((1+INDEX(Beginne,MATCH(P22,Codes,0))-INDEX(EndeRel,MATCH(O22,Codes,0)))*1440,0)&lt;660,1,0),0),0))</f>
      </c>
      <c r="Q71" s="1">
        <f>IF(OR(Q$52=0,P22="",Q22=""),0,IFERROR(IF(AND(INDEX(Arten,MATCH(P22,Codes,0))="Arbeit",INDEX(Arten,MATCH(Q22,Codes,0))="Arbeit"),IF(ROUND((1+INDEX(Beginne,MATCH(Q22,Codes,0))-INDEX(EndeRel,MATCH(P22,Codes,0)))*1440,0)&lt;660,1,0),0),0))</f>
      </c>
      <c r="R71" s="1">
        <f>IF(OR(R$52=0,Q22="",R22=""),0,IFERROR(IF(AND(INDEX(Arten,MATCH(Q22,Codes,0))="Arbeit",INDEX(Arten,MATCH(R22,Codes,0))="Arbeit"),IF(ROUND((1+INDEX(Beginne,MATCH(R22,Codes,0))-INDEX(EndeRel,MATCH(Q22,Codes,0)))*1440,0)&lt;660,1,0),0),0))</f>
      </c>
      <c r="S71" s="1">
        <f>IF(OR(S$52=0,R22="",S22=""),0,IFERROR(IF(AND(INDEX(Arten,MATCH(R22,Codes,0))="Arbeit",INDEX(Arten,MATCH(S22,Codes,0))="Arbeit"),IF(ROUND((1+INDEX(Beginne,MATCH(S22,Codes,0))-INDEX(EndeRel,MATCH(R22,Codes,0)))*1440,0)&lt;660,1,0),0),0))</f>
      </c>
      <c r="T71" s="1">
        <f>IF(OR(T$52=0,S22="",T22=""),0,IFERROR(IF(AND(INDEX(Arten,MATCH(S22,Codes,0))="Arbeit",INDEX(Arten,MATCH(T22,Codes,0))="Arbeit"),IF(ROUND((1+INDEX(Beginne,MATCH(T22,Codes,0))-INDEX(EndeRel,MATCH(S22,Codes,0)))*1440,0)&lt;660,1,0),0),0))</f>
      </c>
      <c r="U71" s="1">
        <f>IF(OR(U$52=0,T22="",U22=""),0,IFERROR(IF(AND(INDEX(Arten,MATCH(T22,Codes,0))="Arbeit",INDEX(Arten,MATCH(U22,Codes,0))="Arbeit"),IF(ROUND((1+INDEX(Beginne,MATCH(U22,Codes,0))-INDEX(EndeRel,MATCH(T22,Codes,0)))*1440,0)&lt;660,1,0),0),0))</f>
      </c>
      <c r="V71" s="1">
        <f>IF(OR(V$52=0,U22="",V22=""),0,IFERROR(IF(AND(INDEX(Arten,MATCH(U22,Codes,0))="Arbeit",INDEX(Arten,MATCH(V22,Codes,0))="Arbeit"),IF(ROUND((1+INDEX(Beginne,MATCH(V22,Codes,0))-INDEX(EndeRel,MATCH(U22,Codes,0)))*1440,0)&lt;660,1,0),0),0))</f>
      </c>
      <c r="W71" s="1">
        <f>IF(OR(W$52=0,V22="",W22=""),0,IFERROR(IF(AND(INDEX(Arten,MATCH(V22,Codes,0))="Arbeit",INDEX(Arten,MATCH(W22,Codes,0))="Arbeit"),IF(ROUND((1+INDEX(Beginne,MATCH(W22,Codes,0))-INDEX(EndeRel,MATCH(V22,Codes,0)))*1440,0)&lt;660,1,0),0),0))</f>
      </c>
      <c r="X71" s="1">
        <f>IF(OR(X$52=0,W22="",X22=""),0,IFERROR(IF(AND(INDEX(Arten,MATCH(W22,Codes,0))="Arbeit",INDEX(Arten,MATCH(X22,Codes,0))="Arbeit"),IF(ROUND((1+INDEX(Beginne,MATCH(X22,Codes,0))-INDEX(EndeRel,MATCH(W22,Codes,0)))*1440,0)&lt;660,1,0),0),0))</f>
      </c>
      <c r="Y71" s="1">
        <f>IF(OR(Y$52=0,X22="",Y22=""),0,IFERROR(IF(AND(INDEX(Arten,MATCH(X22,Codes,0))="Arbeit",INDEX(Arten,MATCH(Y22,Codes,0))="Arbeit"),IF(ROUND((1+INDEX(Beginne,MATCH(Y22,Codes,0))-INDEX(EndeRel,MATCH(X22,Codes,0)))*1440,0)&lt;660,1,0),0),0))</f>
      </c>
      <c r="Z71" s="1">
        <f>IF(OR(Z$52=0,Y22="",Z22=""),0,IFERROR(IF(AND(INDEX(Arten,MATCH(Y22,Codes,0))="Arbeit",INDEX(Arten,MATCH(Z22,Codes,0))="Arbeit"),IF(ROUND((1+INDEX(Beginne,MATCH(Z22,Codes,0))-INDEX(EndeRel,MATCH(Y22,Codes,0)))*1440,0)&lt;660,1,0),0),0))</f>
      </c>
      <c r="AA71" s="1">
        <f>IF(OR(AA$52=0,Z22="",AA22=""),0,IFERROR(IF(AND(INDEX(Arten,MATCH(Z22,Codes,0))="Arbeit",INDEX(Arten,MATCH(AA22,Codes,0))="Arbeit"),IF(ROUND((1+INDEX(Beginne,MATCH(AA22,Codes,0))-INDEX(EndeRel,MATCH(Z22,Codes,0)))*1440,0)&lt;660,1,0),0),0))</f>
      </c>
      <c r="AB71" s="1">
        <f>IF(OR(AB$52=0,AA22="",AB22=""),0,IFERROR(IF(AND(INDEX(Arten,MATCH(AA22,Codes,0))="Arbeit",INDEX(Arten,MATCH(AB22,Codes,0))="Arbeit"),IF(ROUND((1+INDEX(Beginne,MATCH(AB22,Codes,0))-INDEX(EndeRel,MATCH(AA22,Codes,0)))*1440,0)&lt;660,1,0),0),0))</f>
      </c>
      <c r="AC71" s="1">
        <f>IF(OR(AC$52=0,AB22="",AC22=""),0,IFERROR(IF(AND(INDEX(Arten,MATCH(AB22,Codes,0))="Arbeit",INDEX(Arten,MATCH(AC22,Codes,0))="Arbeit"),IF(ROUND((1+INDEX(Beginne,MATCH(AC22,Codes,0))-INDEX(EndeRel,MATCH(AB22,Codes,0)))*1440,0)&lt;660,1,0),0),0))</f>
      </c>
      <c r="AD71" s="1">
        <f>IF(OR(AD$52=0,AC22="",AD22=""),0,IFERROR(IF(AND(INDEX(Arten,MATCH(AC22,Codes,0))="Arbeit",INDEX(Arten,MATCH(AD22,Codes,0))="Arbeit"),IF(ROUND((1+INDEX(Beginne,MATCH(AD22,Codes,0))-INDEX(EndeRel,MATCH(AC22,Codes,0)))*1440,0)&lt;660,1,0),0),0))</f>
      </c>
      <c r="AE71" s="1">
        <f>IF(OR(AE$52=0,AD22="",AE22=""),0,IFERROR(IF(AND(INDEX(Arten,MATCH(AD22,Codes,0))="Arbeit",INDEX(Arten,MATCH(AE22,Codes,0))="Arbeit"),IF(ROUND((1+INDEX(Beginne,MATCH(AE22,Codes,0))-INDEX(EndeRel,MATCH(AD22,Codes,0)))*1440,0)&lt;660,1,0),0),0))</f>
      </c>
      <c r="AF71" s="1">
        <f>IF(OR(AF$52=0,AE22="",AF22=""),0,IFERROR(IF(AND(INDEX(Arten,MATCH(AE22,Codes,0))="Arbeit",INDEX(Arten,MATCH(AF22,Codes,0))="Arbeit"),IF(ROUND((1+INDEX(Beginne,MATCH(AF22,Codes,0))-INDEX(EndeRel,MATCH(AE22,Codes,0)))*1440,0)&lt;660,1,0),0),0))</f>
      </c>
    </row>
    <row r="72" hidden="1" spans="1:32" x14ac:dyDescent="0.25">
      <c r="A72" s="1"/>
      <c r="B72" s="1">
        <f>IF(OR(B$52=0,INDEX('Oktober'!$B$23:$AF$23,DAY(DATE(Jahr,11,0)))="",B23=""),0,IFERROR(IF(AND(INDEX(Arten,MATCH(INDEX('Oktober'!$B$23:$AF$23,DAY(DATE(Jahr,11,0))),Codes,0))="Arbeit",INDEX(Arten,MATCH(B23,Codes,0))="Arbeit"),IF(ROUND((1+INDEX(Beginne,MATCH(B23,Codes,0))-INDEX(EndeRel,MATCH(INDEX('Oktober'!$B$23:$AF$23,DAY(DATE(Jahr,11,0))),Codes,0)))*1440,0)&lt;660,1,0),0),0))</f>
      </c>
      <c r="C72" s="1">
        <f>IF(OR(C$52=0,B23="",C23=""),0,IFERROR(IF(AND(INDEX(Arten,MATCH(B23,Codes,0))="Arbeit",INDEX(Arten,MATCH(C23,Codes,0))="Arbeit"),IF(ROUND((1+INDEX(Beginne,MATCH(C23,Codes,0))-INDEX(EndeRel,MATCH(B23,Codes,0)))*1440,0)&lt;660,1,0),0),0))</f>
      </c>
      <c r="D72" s="1">
        <f>IF(OR(D$52=0,C23="",D23=""),0,IFERROR(IF(AND(INDEX(Arten,MATCH(C23,Codes,0))="Arbeit",INDEX(Arten,MATCH(D23,Codes,0))="Arbeit"),IF(ROUND((1+INDEX(Beginne,MATCH(D23,Codes,0))-INDEX(EndeRel,MATCH(C23,Codes,0)))*1440,0)&lt;660,1,0),0),0))</f>
      </c>
      <c r="E72" s="1">
        <f>IF(OR(E$52=0,D23="",E23=""),0,IFERROR(IF(AND(INDEX(Arten,MATCH(D23,Codes,0))="Arbeit",INDEX(Arten,MATCH(E23,Codes,0))="Arbeit"),IF(ROUND((1+INDEX(Beginne,MATCH(E23,Codes,0))-INDEX(EndeRel,MATCH(D23,Codes,0)))*1440,0)&lt;660,1,0),0),0))</f>
      </c>
      <c r="F72" s="1">
        <f>IF(OR(F$52=0,E23="",F23=""),0,IFERROR(IF(AND(INDEX(Arten,MATCH(E23,Codes,0))="Arbeit",INDEX(Arten,MATCH(F23,Codes,0))="Arbeit"),IF(ROUND((1+INDEX(Beginne,MATCH(F23,Codes,0))-INDEX(EndeRel,MATCH(E23,Codes,0)))*1440,0)&lt;660,1,0),0),0))</f>
      </c>
      <c r="G72" s="1">
        <f>IF(OR(G$52=0,F23="",G23=""),0,IFERROR(IF(AND(INDEX(Arten,MATCH(F23,Codes,0))="Arbeit",INDEX(Arten,MATCH(G23,Codes,0))="Arbeit"),IF(ROUND((1+INDEX(Beginne,MATCH(G23,Codes,0))-INDEX(EndeRel,MATCH(F23,Codes,0)))*1440,0)&lt;660,1,0),0),0))</f>
      </c>
      <c r="H72" s="1">
        <f>IF(OR(H$52=0,G23="",H23=""),0,IFERROR(IF(AND(INDEX(Arten,MATCH(G23,Codes,0))="Arbeit",INDEX(Arten,MATCH(H23,Codes,0))="Arbeit"),IF(ROUND((1+INDEX(Beginne,MATCH(H23,Codes,0))-INDEX(EndeRel,MATCH(G23,Codes,0)))*1440,0)&lt;660,1,0),0),0))</f>
      </c>
      <c r="I72" s="1">
        <f>IF(OR(I$52=0,H23="",I23=""),0,IFERROR(IF(AND(INDEX(Arten,MATCH(H23,Codes,0))="Arbeit",INDEX(Arten,MATCH(I23,Codes,0))="Arbeit"),IF(ROUND((1+INDEX(Beginne,MATCH(I23,Codes,0))-INDEX(EndeRel,MATCH(H23,Codes,0)))*1440,0)&lt;660,1,0),0),0))</f>
      </c>
      <c r="J72" s="1">
        <f>IF(OR(J$52=0,I23="",J23=""),0,IFERROR(IF(AND(INDEX(Arten,MATCH(I23,Codes,0))="Arbeit",INDEX(Arten,MATCH(J23,Codes,0))="Arbeit"),IF(ROUND((1+INDEX(Beginne,MATCH(J23,Codes,0))-INDEX(EndeRel,MATCH(I23,Codes,0)))*1440,0)&lt;660,1,0),0),0))</f>
      </c>
      <c r="K72" s="1">
        <f>IF(OR(K$52=0,J23="",K23=""),0,IFERROR(IF(AND(INDEX(Arten,MATCH(J23,Codes,0))="Arbeit",INDEX(Arten,MATCH(K23,Codes,0))="Arbeit"),IF(ROUND((1+INDEX(Beginne,MATCH(K23,Codes,0))-INDEX(EndeRel,MATCH(J23,Codes,0)))*1440,0)&lt;660,1,0),0),0))</f>
      </c>
      <c r="L72" s="1">
        <f>IF(OR(L$52=0,K23="",L23=""),0,IFERROR(IF(AND(INDEX(Arten,MATCH(K23,Codes,0))="Arbeit",INDEX(Arten,MATCH(L23,Codes,0))="Arbeit"),IF(ROUND((1+INDEX(Beginne,MATCH(L23,Codes,0))-INDEX(EndeRel,MATCH(K23,Codes,0)))*1440,0)&lt;660,1,0),0),0))</f>
      </c>
      <c r="M72" s="1">
        <f>IF(OR(M$52=0,L23="",M23=""),0,IFERROR(IF(AND(INDEX(Arten,MATCH(L23,Codes,0))="Arbeit",INDEX(Arten,MATCH(M23,Codes,0))="Arbeit"),IF(ROUND((1+INDEX(Beginne,MATCH(M23,Codes,0))-INDEX(EndeRel,MATCH(L23,Codes,0)))*1440,0)&lt;660,1,0),0),0))</f>
      </c>
      <c r="N72" s="1">
        <f>IF(OR(N$52=0,M23="",N23=""),0,IFERROR(IF(AND(INDEX(Arten,MATCH(M23,Codes,0))="Arbeit",INDEX(Arten,MATCH(N23,Codes,0))="Arbeit"),IF(ROUND((1+INDEX(Beginne,MATCH(N23,Codes,0))-INDEX(EndeRel,MATCH(M23,Codes,0)))*1440,0)&lt;660,1,0),0),0))</f>
      </c>
      <c r="O72" s="1">
        <f>IF(OR(O$52=0,N23="",O23=""),0,IFERROR(IF(AND(INDEX(Arten,MATCH(N23,Codes,0))="Arbeit",INDEX(Arten,MATCH(O23,Codes,0))="Arbeit"),IF(ROUND((1+INDEX(Beginne,MATCH(O23,Codes,0))-INDEX(EndeRel,MATCH(N23,Codes,0)))*1440,0)&lt;660,1,0),0),0))</f>
      </c>
      <c r="P72" s="1">
        <f>IF(OR(P$52=0,O23="",P23=""),0,IFERROR(IF(AND(INDEX(Arten,MATCH(O23,Codes,0))="Arbeit",INDEX(Arten,MATCH(P23,Codes,0))="Arbeit"),IF(ROUND((1+INDEX(Beginne,MATCH(P23,Codes,0))-INDEX(EndeRel,MATCH(O23,Codes,0)))*1440,0)&lt;660,1,0),0),0))</f>
      </c>
      <c r="Q72" s="1">
        <f>IF(OR(Q$52=0,P23="",Q23=""),0,IFERROR(IF(AND(INDEX(Arten,MATCH(P23,Codes,0))="Arbeit",INDEX(Arten,MATCH(Q23,Codes,0))="Arbeit"),IF(ROUND((1+INDEX(Beginne,MATCH(Q23,Codes,0))-INDEX(EndeRel,MATCH(P23,Codes,0)))*1440,0)&lt;660,1,0),0),0))</f>
      </c>
      <c r="R72" s="1">
        <f>IF(OR(R$52=0,Q23="",R23=""),0,IFERROR(IF(AND(INDEX(Arten,MATCH(Q23,Codes,0))="Arbeit",INDEX(Arten,MATCH(R23,Codes,0))="Arbeit"),IF(ROUND((1+INDEX(Beginne,MATCH(R23,Codes,0))-INDEX(EndeRel,MATCH(Q23,Codes,0)))*1440,0)&lt;660,1,0),0),0))</f>
      </c>
      <c r="S72" s="1">
        <f>IF(OR(S$52=0,R23="",S23=""),0,IFERROR(IF(AND(INDEX(Arten,MATCH(R23,Codes,0))="Arbeit",INDEX(Arten,MATCH(S23,Codes,0))="Arbeit"),IF(ROUND((1+INDEX(Beginne,MATCH(S23,Codes,0))-INDEX(EndeRel,MATCH(R23,Codes,0)))*1440,0)&lt;660,1,0),0),0))</f>
      </c>
      <c r="T72" s="1">
        <f>IF(OR(T$52=0,S23="",T23=""),0,IFERROR(IF(AND(INDEX(Arten,MATCH(S23,Codes,0))="Arbeit",INDEX(Arten,MATCH(T23,Codes,0))="Arbeit"),IF(ROUND((1+INDEX(Beginne,MATCH(T23,Codes,0))-INDEX(EndeRel,MATCH(S23,Codes,0)))*1440,0)&lt;660,1,0),0),0))</f>
      </c>
      <c r="U72" s="1">
        <f>IF(OR(U$52=0,T23="",U23=""),0,IFERROR(IF(AND(INDEX(Arten,MATCH(T23,Codes,0))="Arbeit",INDEX(Arten,MATCH(U23,Codes,0))="Arbeit"),IF(ROUND((1+INDEX(Beginne,MATCH(U23,Codes,0))-INDEX(EndeRel,MATCH(T23,Codes,0)))*1440,0)&lt;660,1,0),0),0))</f>
      </c>
      <c r="V72" s="1">
        <f>IF(OR(V$52=0,U23="",V23=""),0,IFERROR(IF(AND(INDEX(Arten,MATCH(U23,Codes,0))="Arbeit",INDEX(Arten,MATCH(V23,Codes,0))="Arbeit"),IF(ROUND((1+INDEX(Beginne,MATCH(V23,Codes,0))-INDEX(EndeRel,MATCH(U23,Codes,0)))*1440,0)&lt;660,1,0),0),0))</f>
      </c>
      <c r="W72" s="1">
        <f>IF(OR(W$52=0,V23="",W23=""),0,IFERROR(IF(AND(INDEX(Arten,MATCH(V23,Codes,0))="Arbeit",INDEX(Arten,MATCH(W23,Codes,0))="Arbeit"),IF(ROUND((1+INDEX(Beginne,MATCH(W23,Codes,0))-INDEX(EndeRel,MATCH(V23,Codes,0)))*1440,0)&lt;660,1,0),0),0))</f>
      </c>
      <c r="X72" s="1">
        <f>IF(OR(X$52=0,W23="",X23=""),0,IFERROR(IF(AND(INDEX(Arten,MATCH(W23,Codes,0))="Arbeit",INDEX(Arten,MATCH(X23,Codes,0))="Arbeit"),IF(ROUND((1+INDEX(Beginne,MATCH(X23,Codes,0))-INDEX(EndeRel,MATCH(W23,Codes,0)))*1440,0)&lt;660,1,0),0),0))</f>
      </c>
      <c r="Y72" s="1">
        <f>IF(OR(Y$52=0,X23="",Y23=""),0,IFERROR(IF(AND(INDEX(Arten,MATCH(X23,Codes,0))="Arbeit",INDEX(Arten,MATCH(Y23,Codes,0))="Arbeit"),IF(ROUND((1+INDEX(Beginne,MATCH(Y23,Codes,0))-INDEX(EndeRel,MATCH(X23,Codes,0)))*1440,0)&lt;660,1,0),0),0))</f>
      </c>
      <c r="Z72" s="1">
        <f>IF(OR(Z$52=0,Y23="",Z23=""),0,IFERROR(IF(AND(INDEX(Arten,MATCH(Y23,Codes,0))="Arbeit",INDEX(Arten,MATCH(Z23,Codes,0))="Arbeit"),IF(ROUND((1+INDEX(Beginne,MATCH(Z23,Codes,0))-INDEX(EndeRel,MATCH(Y23,Codes,0)))*1440,0)&lt;660,1,0),0),0))</f>
      </c>
      <c r="AA72" s="1">
        <f>IF(OR(AA$52=0,Z23="",AA23=""),0,IFERROR(IF(AND(INDEX(Arten,MATCH(Z23,Codes,0))="Arbeit",INDEX(Arten,MATCH(AA23,Codes,0))="Arbeit"),IF(ROUND((1+INDEX(Beginne,MATCH(AA23,Codes,0))-INDEX(EndeRel,MATCH(Z23,Codes,0)))*1440,0)&lt;660,1,0),0),0))</f>
      </c>
      <c r="AB72" s="1">
        <f>IF(OR(AB$52=0,AA23="",AB23=""),0,IFERROR(IF(AND(INDEX(Arten,MATCH(AA23,Codes,0))="Arbeit",INDEX(Arten,MATCH(AB23,Codes,0))="Arbeit"),IF(ROUND((1+INDEX(Beginne,MATCH(AB23,Codes,0))-INDEX(EndeRel,MATCH(AA23,Codes,0)))*1440,0)&lt;660,1,0),0),0))</f>
      </c>
      <c r="AC72" s="1">
        <f>IF(OR(AC$52=0,AB23="",AC23=""),0,IFERROR(IF(AND(INDEX(Arten,MATCH(AB23,Codes,0))="Arbeit",INDEX(Arten,MATCH(AC23,Codes,0))="Arbeit"),IF(ROUND((1+INDEX(Beginne,MATCH(AC23,Codes,0))-INDEX(EndeRel,MATCH(AB23,Codes,0)))*1440,0)&lt;660,1,0),0),0))</f>
      </c>
      <c r="AD72" s="1">
        <f>IF(OR(AD$52=0,AC23="",AD23=""),0,IFERROR(IF(AND(INDEX(Arten,MATCH(AC23,Codes,0))="Arbeit",INDEX(Arten,MATCH(AD23,Codes,0))="Arbeit"),IF(ROUND((1+INDEX(Beginne,MATCH(AD23,Codes,0))-INDEX(EndeRel,MATCH(AC23,Codes,0)))*1440,0)&lt;660,1,0),0),0))</f>
      </c>
      <c r="AE72" s="1">
        <f>IF(OR(AE$52=0,AD23="",AE23=""),0,IFERROR(IF(AND(INDEX(Arten,MATCH(AD23,Codes,0))="Arbeit",INDEX(Arten,MATCH(AE23,Codes,0))="Arbeit"),IF(ROUND((1+INDEX(Beginne,MATCH(AE23,Codes,0))-INDEX(EndeRel,MATCH(AD23,Codes,0)))*1440,0)&lt;660,1,0),0),0))</f>
      </c>
      <c r="AF72" s="1">
        <f>IF(OR(AF$52=0,AE23="",AF23=""),0,IFERROR(IF(AND(INDEX(Arten,MATCH(AE23,Codes,0))="Arbeit",INDEX(Arten,MATCH(AF23,Codes,0))="Arbeit"),IF(ROUND((1+INDEX(Beginne,MATCH(AF23,Codes,0))-INDEX(EndeRel,MATCH(AE23,Codes,0)))*1440,0)&lt;660,1,0),0),0))</f>
      </c>
    </row>
    <row r="73" hidden="1" spans="1:32" x14ac:dyDescent="0.25">
      <c r="A73" s="1"/>
      <c r="B73" s="1">
        <f>IF(OR(B$52=0,INDEX('Oktober'!$B$24:$AF$24,DAY(DATE(Jahr,11,0)))="",B24=""),0,IFERROR(IF(AND(INDEX(Arten,MATCH(INDEX('Oktober'!$B$24:$AF$24,DAY(DATE(Jahr,11,0))),Codes,0))="Arbeit",INDEX(Arten,MATCH(B24,Codes,0))="Arbeit"),IF(ROUND((1+INDEX(Beginne,MATCH(B24,Codes,0))-INDEX(EndeRel,MATCH(INDEX('Oktober'!$B$24:$AF$24,DAY(DATE(Jahr,11,0))),Codes,0)))*1440,0)&lt;660,1,0),0),0))</f>
      </c>
      <c r="C73" s="1">
        <f>IF(OR(C$52=0,B24="",C24=""),0,IFERROR(IF(AND(INDEX(Arten,MATCH(B24,Codes,0))="Arbeit",INDEX(Arten,MATCH(C24,Codes,0))="Arbeit"),IF(ROUND((1+INDEX(Beginne,MATCH(C24,Codes,0))-INDEX(EndeRel,MATCH(B24,Codes,0)))*1440,0)&lt;660,1,0),0),0))</f>
      </c>
      <c r="D73" s="1">
        <f>IF(OR(D$52=0,C24="",D24=""),0,IFERROR(IF(AND(INDEX(Arten,MATCH(C24,Codes,0))="Arbeit",INDEX(Arten,MATCH(D24,Codes,0))="Arbeit"),IF(ROUND((1+INDEX(Beginne,MATCH(D24,Codes,0))-INDEX(EndeRel,MATCH(C24,Codes,0)))*1440,0)&lt;660,1,0),0),0))</f>
      </c>
      <c r="E73" s="1">
        <f>IF(OR(E$52=0,D24="",E24=""),0,IFERROR(IF(AND(INDEX(Arten,MATCH(D24,Codes,0))="Arbeit",INDEX(Arten,MATCH(E24,Codes,0))="Arbeit"),IF(ROUND((1+INDEX(Beginne,MATCH(E24,Codes,0))-INDEX(EndeRel,MATCH(D24,Codes,0)))*1440,0)&lt;660,1,0),0),0))</f>
      </c>
      <c r="F73" s="1">
        <f>IF(OR(F$52=0,E24="",F24=""),0,IFERROR(IF(AND(INDEX(Arten,MATCH(E24,Codes,0))="Arbeit",INDEX(Arten,MATCH(F24,Codes,0))="Arbeit"),IF(ROUND((1+INDEX(Beginne,MATCH(F24,Codes,0))-INDEX(EndeRel,MATCH(E24,Codes,0)))*1440,0)&lt;660,1,0),0),0))</f>
      </c>
      <c r="G73" s="1">
        <f>IF(OR(G$52=0,F24="",G24=""),0,IFERROR(IF(AND(INDEX(Arten,MATCH(F24,Codes,0))="Arbeit",INDEX(Arten,MATCH(G24,Codes,0))="Arbeit"),IF(ROUND((1+INDEX(Beginne,MATCH(G24,Codes,0))-INDEX(EndeRel,MATCH(F24,Codes,0)))*1440,0)&lt;660,1,0),0),0))</f>
      </c>
      <c r="H73" s="1">
        <f>IF(OR(H$52=0,G24="",H24=""),0,IFERROR(IF(AND(INDEX(Arten,MATCH(G24,Codes,0))="Arbeit",INDEX(Arten,MATCH(H24,Codes,0))="Arbeit"),IF(ROUND((1+INDEX(Beginne,MATCH(H24,Codes,0))-INDEX(EndeRel,MATCH(G24,Codes,0)))*1440,0)&lt;660,1,0),0),0))</f>
      </c>
      <c r="I73" s="1">
        <f>IF(OR(I$52=0,H24="",I24=""),0,IFERROR(IF(AND(INDEX(Arten,MATCH(H24,Codes,0))="Arbeit",INDEX(Arten,MATCH(I24,Codes,0))="Arbeit"),IF(ROUND((1+INDEX(Beginne,MATCH(I24,Codes,0))-INDEX(EndeRel,MATCH(H24,Codes,0)))*1440,0)&lt;660,1,0),0),0))</f>
      </c>
      <c r="J73" s="1">
        <f>IF(OR(J$52=0,I24="",J24=""),0,IFERROR(IF(AND(INDEX(Arten,MATCH(I24,Codes,0))="Arbeit",INDEX(Arten,MATCH(J24,Codes,0))="Arbeit"),IF(ROUND((1+INDEX(Beginne,MATCH(J24,Codes,0))-INDEX(EndeRel,MATCH(I24,Codes,0)))*1440,0)&lt;660,1,0),0),0))</f>
      </c>
      <c r="K73" s="1">
        <f>IF(OR(K$52=0,J24="",K24=""),0,IFERROR(IF(AND(INDEX(Arten,MATCH(J24,Codes,0))="Arbeit",INDEX(Arten,MATCH(K24,Codes,0))="Arbeit"),IF(ROUND((1+INDEX(Beginne,MATCH(K24,Codes,0))-INDEX(EndeRel,MATCH(J24,Codes,0)))*1440,0)&lt;660,1,0),0),0))</f>
      </c>
      <c r="L73" s="1">
        <f>IF(OR(L$52=0,K24="",L24=""),0,IFERROR(IF(AND(INDEX(Arten,MATCH(K24,Codes,0))="Arbeit",INDEX(Arten,MATCH(L24,Codes,0))="Arbeit"),IF(ROUND((1+INDEX(Beginne,MATCH(L24,Codes,0))-INDEX(EndeRel,MATCH(K24,Codes,0)))*1440,0)&lt;660,1,0),0),0))</f>
      </c>
      <c r="M73" s="1">
        <f>IF(OR(M$52=0,L24="",M24=""),0,IFERROR(IF(AND(INDEX(Arten,MATCH(L24,Codes,0))="Arbeit",INDEX(Arten,MATCH(M24,Codes,0))="Arbeit"),IF(ROUND((1+INDEX(Beginne,MATCH(M24,Codes,0))-INDEX(EndeRel,MATCH(L24,Codes,0)))*1440,0)&lt;660,1,0),0),0))</f>
      </c>
      <c r="N73" s="1">
        <f>IF(OR(N$52=0,M24="",N24=""),0,IFERROR(IF(AND(INDEX(Arten,MATCH(M24,Codes,0))="Arbeit",INDEX(Arten,MATCH(N24,Codes,0))="Arbeit"),IF(ROUND((1+INDEX(Beginne,MATCH(N24,Codes,0))-INDEX(EndeRel,MATCH(M24,Codes,0)))*1440,0)&lt;660,1,0),0),0))</f>
      </c>
      <c r="O73" s="1">
        <f>IF(OR(O$52=0,N24="",O24=""),0,IFERROR(IF(AND(INDEX(Arten,MATCH(N24,Codes,0))="Arbeit",INDEX(Arten,MATCH(O24,Codes,0))="Arbeit"),IF(ROUND((1+INDEX(Beginne,MATCH(O24,Codes,0))-INDEX(EndeRel,MATCH(N24,Codes,0)))*1440,0)&lt;660,1,0),0),0))</f>
      </c>
      <c r="P73" s="1">
        <f>IF(OR(P$52=0,O24="",P24=""),0,IFERROR(IF(AND(INDEX(Arten,MATCH(O24,Codes,0))="Arbeit",INDEX(Arten,MATCH(P24,Codes,0))="Arbeit"),IF(ROUND((1+INDEX(Beginne,MATCH(P24,Codes,0))-INDEX(EndeRel,MATCH(O24,Codes,0)))*1440,0)&lt;660,1,0),0),0))</f>
      </c>
      <c r="Q73" s="1">
        <f>IF(OR(Q$52=0,P24="",Q24=""),0,IFERROR(IF(AND(INDEX(Arten,MATCH(P24,Codes,0))="Arbeit",INDEX(Arten,MATCH(Q24,Codes,0))="Arbeit"),IF(ROUND((1+INDEX(Beginne,MATCH(Q24,Codes,0))-INDEX(EndeRel,MATCH(P24,Codes,0)))*1440,0)&lt;660,1,0),0),0))</f>
      </c>
      <c r="R73" s="1">
        <f>IF(OR(R$52=0,Q24="",R24=""),0,IFERROR(IF(AND(INDEX(Arten,MATCH(Q24,Codes,0))="Arbeit",INDEX(Arten,MATCH(R24,Codes,0))="Arbeit"),IF(ROUND((1+INDEX(Beginne,MATCH(R24,Codes,0))-INDEX(EndeRel,MATCH(Q24,Codes,0)))*1440,0)&lt;660,1,0),0),0))</f>
      </c>
      <c r="S73" s="1">
        <f>IF(OR(S$52=0,R24="",S24=""),0,IFERROR(IF(AND(INDEX(Arten,MATCH(R24,Codes,0))="Arbeit",INDEX(Arten,MATCH(S24,Codes,0))="Arbeit"),IF(ROUND((1+INDEX(Beginne,MATCH(S24,Codes,0))-INDEX(EndeRel,MATCH(R24,Codes,0)))*1440,0)&lt;660,1,0),0),0))</f>
      </c>
      <c r="T73" s="1">
        <f>IF(OR(T$52=0,S24="",T24=""),0,IFERROR(IF(AND(INDEX(Arten,MATCH(S24,Codes,0))="Arbeit",INDEX(Arten,MATCH(T24,Codes,0))="Arbeit"),IF(ROUND((1+INDEX(Beginne,MATCH(T24,Codes,0))-INDEX(EndeRel,MATCH(S24,Codes,0)))*1440,0)&lt;660,1,0),0),0))</f>
      </c>
      <c r="U73" s="1">
        <f>IF(OR(U$52=0,T24="",U24=""),0,IFERROR(IF(AND(INDEX(Arten,MATCH(T24,Codes,0))="Arbeit",INDEX(Arten,MATCH(U24,Codes,0))="Arbeit"),IF(ROUND((1+INDEX(Beginne,MATCH(U24,Codes,0))-INDEX(EndeRel,MATCH(T24,Codes,0)))*1440,0)&lt;660,1,0),0),0))</f>
      </c>
      <c r="V73" s="1">
        <f>IF(OR(V$52=0,U24="",V24=""),0,IFERROR(IF(AND(INDEX(Arten,MATCH(U24,Codes,0))="Arbeit",INDEX(Arten,MATCH(V24,Codes,0))="Arbeit"),IF(ROUND((1+INDEX(Beginne,MATCH(V24,Codes,0))-INDEX(EndeRel,MATCH(U24,Codes,0)))*1440,0)&lt;660,1,0),0),0))</f>
      </c>
      <c r="W73" s="1">
        <f>IF(OR(W$52=0,V24="",W24=""),0,IFERROR(IF(AND(INDEX(Arten,MATCH(V24,Codes,0))="Arbeit",INDEX(Arten,MATCH(W24,Codes,0))="Arbeit"),IF(ROUND((1+INDEX(Beginne,MATCH(W24,Codes,0))-INDEX(EndeRel,MATCH(V24,Codes,0)))*1440,0)&lt;660,1,0),0),0))</f>
      </c>
      <c r="X73" s="1">
        <f>IF(OR(X$52=0,W24="",X24=""),0,IFERROR(IF(AND(INDEX(Arten,MATCH(W24,Codes,0))="Arbeit",INDEX(Arten,MATCH(X24,Codes,0))="Arbeit"),IF(ROUND((1+INDEX(Beginne,MATCH(X24,Codes,0))-INDEX(EndeRel,MATCH(W24,Codes,0)))*1440,0)&lt;660,1,0),0),0))</f>
      </c>
      <c r="Y73" s="1">
        <f>IF(OR(Y$52=0,X24="",Y24=""),0,IFERROR(IF(AND(INDEX(Arten,MATCH(X24,Codes,0))="Arbeit",INDEX(Arten,MATCH(Y24,Codes,0))="Arbeit"),IF(ROUND((1+INDEX(Beginne,MATCH(Y24,Codes,0))-INDEX(EndeRel,MATCH(X24,Codes,0)))*1440,0)&lt;660,1,0),0),0))</f>
      </c>
      <c r="Z73" s="1">
        <f>IF(OR(Z$52=0,Y24="",Z24=""),0,IFERROR(IF(AND(INDEX(Arten,MATCH(Y24,Codes,0))="Arbeit",INDEX(Arten,MATCH(Z24,Codes,0))="Arbeit"),IF(ROUND((1+INDEX(Beginne,MATCH(Z24,Codes,0))-INDEX(EndeRel,MATCH(Y24,Codes,0)))*1440,0)&lt;660,1,0),0),0))</f>
      </c>
      <c r="AA73" s="1">
        <f>IF(OR(AA$52=0,Z24="",AA24=""),0,IFERROR(IF(AND(INDEX(Arten,MATCH(Z24,Codes,0))="Arbeit",INDEX(Arten,MATCH(AA24,Codes,0))="Arbeit"),IF(ROUND((1+INDEX(Beginne,MATCH(AA24,Codes,0))-INDEX(EndeRel,MATCH(Z24,Codes,0)))*1440,0)&lt;660,1,0),0),0))</f>
      </c>
      <c r="AB73" s="1">
        <f>IF(OR(AB$52=0,AA24="",AB24=""),0,IFERROR(IF(AND(INDEX(Arten,MATCH(AA24,Codes,0))="Arbeit",INDEX(Arten,MATCH(AB24,Codes,0))="Arbeit"),IF(ROUND((1+INDEX(Beginne,MATCH(AB24,Codes,0))-INDEX(EndeRel,MATCH(AA24,Codes,0)))*1440,0)&lt;660,1,0),0),0))</f>
      </c>
      <c r="AC73" s="1">
        <f>IF(OR(AC$52=0,AB24="",AC24=""),0,IFERROR(IF(AND(INDEX(Arten,MATCH(AB24,Codes,0))="Arbeit",INDEX(Arten,MATCH(AC24,Codes,0))="Arbeit"),IF(ROUND((1+INDEX(Beginne,MATCH(AC24,Codes,0))-INDEX(EndeRel,MATCH(AB24,Codes,0)))*1440,0)&lt;660,1,0),0),0))</f>
      </c>
      <c r="AD73" s="1">
        <f>IF(OR(AD$52=0,AC24="",AD24=""),0,IFERROR(IF(AND(INDEX(Arten,MATCH(AC24,Codes,0))="Arbeit",INDEX(Arten,MATCH(AD24,Codes,0))="Arbeit"),IF(ROUND((1+INDEX(Beginne,MATCH(AD24,Codes,0))-INDEX(EndeRel,MATCH(AC24,Codes,0)))*1440,0)&lt;660,1,0),0),0))</f>
      </c>
      <c r="AE73" s="1">
        <f>IF(OR(AE$52=0,AD24="",AE24=""),0,IFERROR(IF(AND(INDEX(Arten,MATCH(AD24,Codes,0))="Arbeit",INDEX(Arten,MATCH(AE24,Codes,0))="Arbeit"),IF(ROUND((1+INDEX(Beginne,MATCH(AE24,Codes,0))-INDEX(EndeRel,MATCH(AD24,Codes,0)))*1440,0)&lt;660,1,0),0),0))</f>
      </c>
      <c r="AF73" s="1">
        <f>IF(OR(AF$52=0,AE24="",AF24=""),0,IFERROR(IF(AND(INDEX(Arten,MATCH(AE24,Codes,0))="Arbeit",INDEX(Arten,MATCH(AF24,Codes,0))="Arbeit"),IF(ROUND((1+INDEX(Beginne,MATCH(AF24,Codes,0))-INDEX(EndeRel,MATCH(AE24,Codes,0)))*1440,0)&lt;660,1,0),0),0))</f>
      </c>
    </row>
    <row r="74" hidden="1" spans="1:32" x14ac:dyDescent="0.25">
      <c r="A74" s="1"/>
      <c r="B74" s="1">
        <f>IF(OR(B$52=0,INDEX('Oktober'!$B$25:$AF$25,DAY(DATE(Jahr,11,0)))="",B25=""),0,IFERROR(IF(AND(INDEX(Arten,MATCH(INDEX('Oktober'!$B$25:$AF$25,DAY(DATE(Jahr,11,0))),Codes,0))="Arbeit",INDEX(Arten,MATCH(B25,Codes,0))="Arbeit"),IF(ROUND((1+INDEX(Beginne,MATCH(B25,Codes,0))-INDEX(EndeRel,MATCH(INDEX('Oktober'!$B$25:$AF$25,DAY(DATE(Jahr,11,0))),Codes,0)))*1440,0)&lt;660,1,0),0),0))</f>
      </c>
      <c r="C74" s="1">
        <f>IF(OR(C$52=0,B25="",C25=""),0,IFERROR(IF(AND(INDEX(Arten,MATCH(B25,Codes,0))="Arbeit",INDEX(Arten,MATCH(C25,Codes,0))="Arbeit"),IF(ROUND((1+INDEX(Beginne,MATCH(C25,Codes,0))-INDEX(EndeRel,MATCH(B25,Codes,0)))*1440,0)&lt;660,1,0),0),0))</f>
      </c>
      <c r="D74" s="1">
        <f>IF(OR(D$52=0,C25="",D25=""),0,IFERROR(IF(AND(INDEX(Arten,MATCH(C25,Codes,0))="Arbeit",INDEX(Arten,MATCH(D25,Codes,0))="Arbeit"),IF(ROUND((1+INDEX(Beginne,MATCH(D25,Codes,0))-INDEX(EndeRel,MATCH(C25,Codes,0)))*1440,0)&lt;660,1,0),0),0))</f>
      </c>
      <c r="E74" s="1">
        <f>IF(OR(E$52=0,D25="",E25=""),0,IFERROR(IF(AND(INDEX(Arten,MATCH(D25,Codes,0))="Arbeit",INDEX(Arten,MATCH(E25,Codes,0))="Arbeit"),IF(ROUND((1+INDEX(Beginne,MATCH(E25,Codes,0))-INDEX(EndeRel,MATCH(D25,Codes,0)))*1440,0)&lt;660,1,0),0),0))</f>
      </c>
      <c r="F74" s="1">
        <f>IF(OR(F$52=0,E25="",F25=""),0,IFERROR(IF(AND(INDEX(Arten,MATCH(E25,Codes,0))="Arbeit",INDEX(Arten,MATCH(F25,Codes,0))="Arbeit"),IF(ROUND((1+INDEX(Beginne,MATCH(F25,Codes,0))-INDEX(EndeRel,MATCH(E25,Codes,0)))*1440,0)&lt;660,1,0),0),0))</f>
      </c>
      <c r="G74" s="1">
        <f>IF(OR(G$52=0,F25="",G25=""),0,IFERROR(IF(AND(INDEX(Arten,MATCH(F25,Codes,0))="Arbeit",INDEX(Arten,MATCH(G25,Codes,0))="Arbeit"),IF(ROUND((1+INDEX(Beginne,MATCH(G25,Codes,0))-INDEX(EndeRel,MATCH(F25,Codes,0)))*1440,0)&lt;660,1,0),0),0))</f>
      </c>
      <c r="H74" s="1">
        <f>IF(OR(H$52=0,G25="",H25=""),0,IFERROR(IF(AND(INDEX(Arten,MATCH(G25,Codes,0))="Arbeit",INDEX(Arten,MATCH(H25,Codes,0))="Arbeit"),IF(ROUND((1+INDEX(Beginne,MATCH(H25,Codes,0))-INDEX(EndeRel,MATCH(G25,Codes,0)))*1440,0)&lt;660,1,0),0),0))</f>
      </c>
      <c r="I74" s="1">
        <f>IF(OR(I$52=0,H25="",I25=""),0,IFERROR(IF(AND(INDEX(Arten,MATCH(H25,Codes,0))="Arbeit",INDEX(Arten,MATCH(I25,Codes,0))="Arbeit"),IF(ROUND((1+INDEX(Beginne,MATCH(I25,Codes,0))-INDEX(EndeRel,MATCH(H25,Codes,0)))*1440,0)&lt;660,1,0),0),0))</f>
      </c>
      <c r="J74" s="1">
        <f>IF(OR(J$52=0,I25="",J25=""),0,IFERROR(IF(AND(INDEX(Arten,MATCH(I25,Codes,0))="Arbeit",INDEX(Arten,MATCH(J25,Codes,0))="Arbeit"),IF(ROUND((1+INDEX(Beginne,MATCH(J25,Codes,0))-INDEX(EndeRel,MATCH(I25,Codes,0)))*1440,0)&lt;660,1,0),0),0))</f>
      </c>
      <c r="K74" s="1">
        <f>IF(OR(K$52=0,J25="",K25=""),0,IFERROR(IF(AND(INDEX(Arten,MATCH(J25,Codes,0))="Arbeit",INDEX(Arten,MATCH(K25,Codes,0))="Arbeit"),IF(ROUND((1+INDEX(Beginne,MATCH(K25,Codes,0))-INDEX(EndeRel,MATCH(J25,Codes,0)))*1440,0)&lt;660,1,0),0),0))</f>
      </c>
      <c r="L74" s="1">
        <f>IF(OR(L$52=0,K25="",L25=""),0,IFERROR(IF(AND(INDEX(Arten,MATCH(K25,Codes,0))="Arbeit",INDEX(Arten,MATCH(L25,Codes,0))="Arbeit"),IF(ROUND((1+INDEX(Beginne,MATCH(L25,Codes,0))-INDEX(EndeRel,MATCH(K25,Codes,0)))*1440,0)&lt;660,1,0),0),0))</f>
      </c>
      <c r="M74" s="1">
        <f>IF(OR(M$52=0,L25="",M25=""),0,IFERROR(IF(AND(INDEX(Arten,MATCH(L25,Codes,0))="Arbeit",INDEX(Arten,MATCH(M25,Codes,0))="Arbeit"),IF(ROUND((1+INDEX(Beginne,MATCH(M25,Codes,0))-INDEX(EndeRel,MATCH(L25,Codes,0)))*1440,0)&lt;660,1,0),0),0))</f>
      </c>
      <c r="N74" s="1">
        <f>IF(OR(N$52=0,M25="",N25=""),0,IFERROR(IF(AND(INDEX(Arten,MATCH(M25,Codes,0))="Arbeit",INDEX(Arten,MATCH(N25,Codes,0))="Arbeit"),IF(ROUND((1+INDEX(Beginne,MATCH(N25,Codes,0))-INDEX(EndeRel,MATCH(M25,Codes,0)))*1440,0)&lt;660,1,0),0),0))</f>
      </c>
      <c r="O74" s="1">
        <f>IF(OR(O$52=0,N25="",O25=""),0,IFERROR(IF(AND(INDEX(Arten,MATCH(N25,Codes,0))="Arbeit",INDEX(Arten,MATCH(O25,Codes,0))="Arbeit"),IF(ROUND((1+INDEX(Beginne,MATCH(O25,Codes,0))-INDEX(EndeRel,MATCH(N25,Codes,0)))*1440,0)&lt;660,1,0),0),0))</f>
      </c>
      <c r="P74" s="1">
        <f>IF(OR(P$52=0,O25="",P25=""),0,IFERROR(IF(AND(INDEX(Arten,MATCH(O25,Codes,0))="Arbeit",INDEX(Arten,MATCH(P25,Codes,0))="Arbeit"),IF(ROUND((1+INDEX(Beginne,MATCH(P25,Codes,0))-INDEX(EndeRel,MATCH(O25,Codes,0)))*1440,0)&lt;660,1,0),0),0))</f>
      </c>
      <c r="Q74" s="1">
        <f>IF(OR(Q$52=0,P25="",Q25=""),0,IFERROR(IF(AND(INDEX(Arten,MATCH(P25,Codes,0))="Arbeit",INDEX(Arten,MATCH(Q25,Codes,0))="Arbeit"),IF(ROUND((1+INDEX(Beginne,MATCH(Q25,Codes,0))-INDEX(EndeRel,MATCH(P25,Codes,0)))*1440,0)&lt;660,1,0),0),0))</f>
      </c>
      <c r="R74" s="1">
        <f>IF(OR(R$52=0,Q25="",R25=""),0,IFERROR(IF(AND(INDEX(Arten,MATCH(Q25,Codes,0))="Arbeit",INDEX(Arten,MATCH(R25,Codes,0))="Arbeit"),IF(ROUND((1+INDEX(Beginne,MATCH(R25,Codes,0))-INDEX(EndeRel,MATCH(Q25,Codes,0)))*1440,0)&lt;660,1,0),0),0))</f>
      </c>
      <c r="S74" s="1">
        <f>IF(OR(S$52=0,R25="",S25=""),0,IFERROR(IF(AND(INDEX(Arten,MATCH(R25,Codes,0))="Arbeit",INDEX(Arten,MATCH(S25,Codes,0))="Arbeit"),IF(ROUND((1+INDEX(Beginne,MATCH(S25,Codes,0))-INDEX(EndeRel,MATCH(R25,Codes,0)))*1440,0)&lt;660,1,0),0),0))</f>
      </c>
      <c r="T74" s="1">
        <f>IF(OR(T$52=0,S25="",T25=""),0,IFERROR(IF(AND(INDEX(Arten,MATCH(S25,Codes,0))="Arbeit",INDEX(Arten,MATCH(T25,Codes,0))="Arbeit"),IF(ROUND((1+INDEX(Beginne,MATCH(T25,Codes,0))-INDEX(EndeRel,MATCH(S25,Codes,0)))*1440,0)&lt;660,1,0),0),0))</f>
      </c>
      <c r="U74" s="1">
        <f>IF(OR(U$52=0,T25="",U25=""),0,IFERROR(IF(AND(INDEX(Arten,MATCH(T25,Codes,0))="Arbeit",INDEX(Arten,MATCH(U25,Codes,0))="Arbeit"),IF(ROUND((1+INDEX(Beginne,MATCH(U25,Codes,0))-INDEX(EndeRel,MATCH(T25,Codes,0)))*1440,0)&lt;660,1,0),0),0))</f>
      </c>
      <c r="V74" s="1">
        <f>IF(OR(V$52=0,U25="",V25=""),0,IFERROR(IF(AND(INDEX(Arten,MATCH(U25,Codes,0))="Arbeit",INDEX(Arten,MATCH(V25,Codes,0))="Arbeit"),IF(ROUND((1+INDEX(Beginne,MATCH(V25,Codes,0))-INDEX(EndeRel,MATCH(U25,Codes,0)))*1440,0)&lt;660,1,0),0),0))</f>
      </c>
      <c r="W74" s="1">
        <f>IF(OR(W$52=0,V25="",W25=""),0,IFERROR(IF(AND(INDEX(Arten,MATCH(V25,Codes,0))="Arbeit",INDEX(Arten,MATCH(W25,Codes,0))="Arbeit"),IF(ROUND((1+INDEX(Beginne,MATCH(W25,Codes,0))-INDEX(EndeRel,MATCH(V25,Codes,0)))*1440,0)&lt;660,1,0),0),0))</f>
      </c>
      <c r="X74" s="1">
        <f>IF(OR(X$52=0,W25="",X25=""),0,IFERROR(IF(AND(INDEX(Arten,MATCH(W25,Codes,0))="Arbeit",INDEX(Arten,MATCH(X25,Codes,0))="Arbeit"),IF(ROUND((1+INDEX(Beginne,MATCH(X25,Codes,0))-INDEX(EndeRel,MATCH(W25,Codes,0)))*1440,0)&lt;660,1,0),0),0))</f>
      </c>
      <c r="Y74" s="1">
        <f>IF(OR(Y$52=0,X25="",Y25=""),0,IFERROR(IF(AND(INDEX(Arten,MATCH(X25,Codes,0))="Arbeit",INDEX(Arten,MATCH(Y25,Codes,0))="Arbeit"),IF(ROUND((1+INDEX(Beginne,MATCH(Y25,Codes,0))-INDEX(EndeRel,MATCH(X25,Codes,0)))*1440,0)&lt;660,1,0),0),0))</f>
      </c>
      <c r="Z74" s="1">
        <f>IF(OR(Z$52=0,Y25="",Z25=""),0,IFERROR(IF(AND(INDEX(Arten,MATCH(Y25,Codes,0))="Arbeit",INDEX(Arten,MATCH(Z25,Codes,0))="Arbeit"),IF(ROUND((1+INDEX(Beginne,MATCH(Z25,Codes,0))-INDEX(EndeRel,MATCH(Y25,Codes,0)))*1440,0)&lt;660,1,0),0),0))</f>
      </c>
      <c r="AA74" s="1">
        <f>IF(OR(AA$52=0,Z25="",AA25=""),0,IFERROR(IF(AND(INDEX(Arten,MATCH(Z25,Codes,0))="Arbeit",INDEX(Arten,MATCH(AA25,Codes,0))="Arbeit"),IF(ROUND((1+INDEX(Beginne,MATCH(AA25,Codes,0))-INDEX(EndeRel,MATCH(Z25,Codes,0)))*1440,0)&lt;660,1,0),0),0))</f>
      </c>
      <c r="AB74" s="1">
        <f>IF(OR(AB$52=0,AA25="",AB25=""),0,IFERROR(IF(AND(INDEX(Arten,MATCH(AA25,Codes,0))="Arbeit",INDEX(Arten,MATCH(AB25,Codes,0))="Arbeit"),IF(ROUND((1+INDEX(Beginne,MATCH(AB25,Codes,0))-INDEX(EndeRel,MATCH(AA25,Codes,0)))*1440,0)&lt;660,1,0),0),0))</f>
      </c>
      <c r="AC74" s="1">
        <f>IF(OR(AC$52=0,AB25="",AC25=""),0,IFERROR(IF(AND(INDEX(Arten,MATCH(AB25,Codes,0))="Arbeit",INDEX(Arten,MATCH(AC25,Codes,0))="Arbeit"),IF(ROUND((1+INDEX(Beginne,MATCH(AC25,Codes,0))-INDEX(EndeRel,MATCH(AB25,Codes,0)))*1440,0)&lt;660,1,0),0),0))</f>
      </c>
      <c r="AD74" s="1">
        <f>IF(OR(AD$52=0,AC25="",AD25=""),0,IFERROR(IF(AND(INDEX(Arten,MATCH(AC25,Codes,0))="Arbeit",INDEX(Arten,MATCH(AD25,Codes,0))="Arbeit"),IF(ROUND((1+INDEX(Beginne,MATCH(AD25,Codes,0))-INDEX(EndeRel,MATCH(AC25,Codes,0)))*1440,0)&lt;660,1,0),0),0))</f>
      </c>
      <c r="AE74" s="1">
        <f>IF(OR(AE$52=0,AD25="",AE25=""),0,IFERROR(IF(AND(INDEX(Arten,MATCH(AD25,Codes,0))="Arbeit",INDEX(Arten,MATCH(AE25,Codes,0))="Arbeit"),IF(ROUND((1+INDEX(Beginne,MATCH(AE25,Codes,0))-INDEX(EndeRel,MATCH(AD25,Codes,0)))*1440,0)&lt;660,1,0),0),0))</f>
      </c>
      <c r="AF74" s="1">
        <f>IF(OR(AF$52=0,AE25="",AF25=""),0,IFERROR(IF(AND(INDEX(Arten,MATCH(AE25,Codes,0))="Arbeit",INDEX(Arten,MATCH(AF25,Codes,0))="Arbeit"),IF(ROUND((1+INDEX(Beginne,MATCH(AF25,Codes,0))-INDEX(EndeRel,MATCH(AE25,Codes,0)))*1440,0)&lt;660,1,0),0),0))</f>
      </c>
    </row>
    <row r="75" hidden="1" spans="1:32" x14ac:dyDescent="0.25">
      <c r="A75" s="1"/>
      <c r="B75" s="1">
        <f>IF(OR(B$52=0,INDEX('Oktober'!$B$26:$AF$26,DAY(DATE(Jahr,11,0)))="",B26=""),0,IFERROR(IF(AND(INDEX(Arten,MATCH(INDEX('Oktober'!$B$26:$AF$26,DAY(DATE(Jahr,11,0))),Codes,0))="Arbeit",INDEX(Arten,MATCH(B26,Codes,0))="Arbeit"),IF(ROUND((1+INDEX(Beginne,MATCH(B26,Codes,0))-INDEX(EndeRel,MATCH(INDEX('Oktober'!$B$26:$AF$26,DAY(DATE(Jahr,11,0))),Codes,0)))*1440,0)&lt;660,1,0),0),0))</f>
      </c>
      <c r="C75" s="1">
        <f>IF(OR(C$52=0,B26="",C26=""),0,IFERROR(IF(AND(INDEX(Arten,MATCH(B26,Codes,0))="Arbeit",INDEX(Arten,MATCH(C26,Codes,0))="Arbeit"),IF(ROUND((1+INDEX(Beginne,MATCH(C26,Codes,0))-INDEX(EndeRel,MATCH(B26,Codes,0)))*1440,0)&lt;660,1,0),0),0))</f>
      </c>
      <c r="D75" s="1">
        <f>IF(OR(D$52=0,C26="",D26=""),0,IFERROR(IF(AND(INDEX(Arten,MATCH(C26,Codes,0))="Arbeit",INDEX(Arten,MATCH(D26,Codes,0))="Arbeit"),IF(ROUND((1+INDEX(Beginne,MATCH(D26,Codes,0))-INDEX(EndeRel,MATCH(C26,Codes,0)))*1440,0)&lt;660,1,0),0),0))</f>
      </c>
      <c r="E75" s="1">
        <f>IF(OR(E$52=0,D26="",E26=""),0,IFERROR(IF(AND(INDEX(Arten,MATCH(D26,Codes,0))="Arbeit",INDEX(Arten,MATCH(E26,Codes,0))="Arbeit"),IF(ROUND((1+INDEX(Beginne,MATCH(E26,Codes,0))-INDEX(EndeRel,MATCH(D26,Codes,0)))*1440,0)&lt;660,1,0),0),0))</f>
      </c>
      <c r="F75" s="1">
        <f>IF(OR(F$52=0,E26="",F26=""),0,IFERROR(IF(AND(INDEX(Arten,MATCH(E26,Codes,0))="Arbeit",INDEX(Arten,MATCH(F26,Codes,0))="Arbeit"),IF(ROUND((1+INDEX(Beginne,MATCH(F26,Codes,0))-INDEX(EndeRel,MATCH(E26,Codes,0)))*1440,0)&lt;660,1,0),0),0))</f>
      </c>
      <c r="G75" s="1">
        <f>IF(OR(G$52=0,F26="",G26=""),0,IFERROR(IF(AND(INDEX(Arten,MATCH(F26,Codes,0))="Arbeit",INDEX(Arten,MATCH(G26,Codes,0))="Arbeit"),IF(ROUND((1+INDEX(Beginne,MATCH(G26,Codes,0))-INDEX(EndeRel,MATCH(F26,Codes,0)))*1440,0)&lt;660,1,0),0),0))</f>
      </c>
      <c r="H75" s="1">
        <f>IF(OR(H$52=0,G26="",H26=""),0,IFERROR(IF(AND(INDEX(Arten,MATCH(G26,Codes,0))="Arbeit",INDEX(Arten,MATCH(H26,Codes,0))="Arbeit"),IF(ROUND((1+INDEX(Beginne,MATCH(H26,Codes,0))-INDEX(EndeRel,MATCH(G26,Codes,0)))*1440,0)&lt;660,1,0),0),0))</f>
      </c>
      <c r="I75" s="1">
        <f>IF(OR(I$52=0,H26="",I26=""),0,IFERROR(IF(AND(INDEX(Arten,MATCH(H26,Codes,0))="Arbeit",INDEX(Arten,MATCH(I26,Codes,0))="Arbeit"),IF(ROUND((1+INDEX(Beginne,MATCH(I26,Codes,0))-INDEX(EndeRel,MATCH(H26,Codes,0)))*1440,0)&lt;660,1,0),0),0))</f>
      </c>
      <c r="J75" s="1">
        <f>IF(OR(J$52=0,I26="",J26=""),0,IFERROR(IF(AND(INDEX(Arten,MATCH(I26,Codes,0))="Arbeit",INDEX(Arten,MATCH(J26,Codes,0))="Arbeit"),IF(ROUND((1+INDEX(Beginne,MATCH(J26,Codes,0))-INDEX(EndeRel,MATCH(I26,Codes,0)))*1440,0)&lt;660,1,0),0),0))</f>
      </c>
      <c r="K75" s="1">
        <f>IF(OR(K$52=0,J26="",K26=""),0,IFERROR(IF(AND(INDEX(Arten,MATCH(J26,Codes,0))="Arbeit",INDEX(Arten,MATCH(K26,Codes,0))="Arbeit"),IF(ROUND((1+INDEX(Beginne,MATCH(K26,Codes,0))-INDEX(EndeRel,MATCH(J26,Codes,0)))*1440,0)&lt;660,1,0),0),0))</f>
      </c>
      <c r="L75" s="1">
        <f>IF(OR(L$52=0,K26="",L26=""),0,IFERROR(IF(AND(INDEX(Arten,MATCH(K26,Codes,0))="Arbeit",INDEX(Arten,MATCH(L26,Codes,0))="Arbeit"),IF(ROUND((1+INDEX(Beginne,MATCH(L26,Codes,0))-INDEX(EndeRel,MATCH(K26,Codes,0)))*1440,0)&lt;660,1,0),0),0))</f>
      </c>
      <c r="M75" s="1">
        <f>IF(OR(M$52=0,L26="",M26=""),0,IFERROR(IF(AND(INDEX(Arten,MATCH(L26,Codes,0))="Arbeit",INDEX(Arten,MATCH(M26,Codes,0))="Arbeit"),IF(ROUND((1+INDEX(Beginne,MATCH(M26,Codes,0))-INDEX(EndeRel,MATCH(L26,Codes,0)))*1440,0)&lt;660,1,0),0),0))</f>
      </c>
      <c r="N75" s="1">
        <f>IF(OR(N$52=0,M26="",N26=""),0,IFERROR(IF(AND(INDEX(Arten,MATCH(M26,Codes,0))="Arbeit",INDEX(Arten,MATCH(N26,Codes,0))="Arbeit"),IF(ROUND((1+INDEX(Beginne,MATCH(N26,Codes,0))-INDEX(EndeRel,MATCH(M26,Codes,0)))*1440,0)&lt;660,1,0),0),0))</f>
      </c>
      <c r="O75" s="1">
        <f>IF(OR(O$52=0,N26="",O26=""),0,IFERROR(IF(AND(INDEX(Arten,MATCH(N26,Codes,0))="Arbeit",INDEX(Arten,MATCH(O26,Codes,0))="Arbeit"),IF(ROUND((1+INDEX(Beginne,MATCH(O26,Codes,0))-INDEX(EndeRel,MATCH(N26,Codes,0)))*1440,0)&lt;660,1,0),0),0))</f>
      </c>
      <c r="P75" s="1">
        <f>IF(OR(P$52=0,O26="",P26=""),0,IFERROR(IF(AND(INDEX(Arten,MATCH(O26,Codes,0))="Arbeit",INDEX(Arten,MATCH(P26,Codes,0))="Arbeit"),IF(ROUND((1+INDEX(Beginne,MATCH(P26,Codes,0))-INDEX(EndeRel,MATCH(O26,Codes,0)))*1440,0)&lt;660,1,0),0),0))</f>
      </c>
      <c r="Q75" s="1">
        <f>IF(OR(Q$52=0,P26="",Q26=""),0,IFERROR(IF(AND(INDEX(Arten,MATCH(P26,Codes,0))="Arbeit",INDEX(Arten,MATCH(Q26,Codes,0))="Arbeit"),IF(ROUND((1+INDEX(Beginne,MATCH(Q26,Codes,0))-INDEX(EndeRel,MATCH(P26,Codes,0)))*1440,0)&lt;660,1,0),0),0))</f>
      </c>
      <c r="R75" s="1">
        <f>IF(OR(R$52=0,Q26="",R26=""),0,IFERROR(IF(AND(INDEX(Arten,MATCH(Q26,Codes,0))="Arbeit",INDEX(Arten,MATCH(R26,Codes,0))="Arbeit"),IF(ROUND((1+INDEX(Beginne,MATCH(R26,Codes,0))-INDEX(EndeRel,MATCH(Q26,Codes,0)))*1440,0)&lt;660,1,0),0),0))</f>
      </c>
      <c r="S75" s="1">
        <f>IF(OR(S$52=0,R26="",S26=""),0,IFERROR(IF(AND(INDEX(Arten,MATCH(R26,Codes,0))="Arbeit",INDEX(Arten,MATCH(S26,Codes,0))="Arbeit"),IF(ROUND((1+INDEX(Beginne,MATCH(S26,Codes,0))-INDEX(EndeRel,MATCH(R26,Codes,0)))*1440,0)&lt;660,1,0),0),0))</f>
      </c>
      <c r="T75" s="1">
        <f>IF(OR(T$52=0,S26="",T26=""),0,IFERROR(IF(AND(INDEX(Arten,MATCH(S26,Codes,0))="Arbeit",INDEX(Arten,MATCH(T26,Codes,0))="Arbeit"),IF(ROUND((1+INDEX(Beginne,MATCH(T26,Codes,0))-INDEX(EndeRel,MATCH(S26,Codes,0)))*1440,0)&lt;660,1,0),0),0))</f>
      </c>
      <c r="U75" s="1">
        <f>IF(OR(U$52=0,T26="",U26=""),0,IFERROR(IF(AND(INDEX(Arten,MATCH(T26,Codes,0))="Arbeit",INDEX(Arten,MATCH(U26,Codes,0))="Arbeit"),IF(ROUND((1+INDEX(Beginne,MATCH(U26,Codes,0))-INDEX(EndeRel,MATCH(T26,Codes,0)))*1440,0)&lt;660,1,0),0),0))</f>
      </c>
      <c r="V75" s="1">
        <f>IF(OR(V$52=0,U26="",V26=""),0,IFERROR(IF(AND(INDEX(Arten,MATCH(U26,Codes,0))="Arbeit",INDEX(Arten,MATCH(V26,Codes,0))="Arbeit"),IF(ROUND((1+INDEX(Beginne,MATCH(V26,Codes,0))-INDEX(EndeRel,MATCH(U26,Codes,0)))*1440,0)&lt;660,1,0),0),0))</f>
      </c>
      <c r="W75" s="1">
        <f>IF(OR(W$52=0,V26="",W26=""),0,IFERROR(IF(AND(INDEX(Arten,MATCH(V26,Codes,0))="Arbeit",INDEX(Arten,MATCH(W26,Codes,0))="Arbeit"),IF(ROUND((1+INDEX(Beginne,MATCH(W26,Codes,0))-INDEX(EndeRel,MATCH(V26,Codes,0)))*1440,0)&lt;660,1,0),0),0))</f>
      </c>
      <c r="X75" s="1">
        <f>IF(OR(X$52=0,W26="",X26=""),0,IFERROR(IF(AND(INDEX(Arten,MATCH(W26,Codes,0))="Arbeit",INDEX(Arten,MATCH(X26,Codes,0))="Arbeit"),IF(ROUND((1+INDEX(Beginne,MATCH(X26,Codes,0))-INDEX(EndeRel,MATCH(W26,Codes,0)))*1440,0)&lt;660,1,0),0),0))</f>
      </c>
      <c r="Y75" s="1">
        <f>IF(OR(Y$52=0,X26="",Y26=""),0,IFERROR(IF(AND(INDEX(Arten,MATCH(X26,Codes,0))="Arbeit",INDEX(Arten,MATCH(Y26,Codes,0))="Arbeit"),IF(ROUND((1+INDEX(Beginne,MATCH(Y26,Codes,0))-INDEX(EndeRel,MATCH(X26,Codes,0)))*1440,0)&lt;660,1,0),0),0))</f>
      </c>
      <c r="Z75" s="1">
        <f>IF(OR(Z$52=0,Y26="",Z26=""),0,IFERROR(IF(AND(INDEX(Arten,MATCH(Y26,Codes,0))="Arbeit",INDEX(Arten,MATCH(Z26,Codes,0))="Arbeit"),IF(ROUND((1+INDEX(Beginne,MATCH(Z26,Codes,0))-INDEX(EndeRel,MATCH(Y26,Codes,0)))*1440,0)&lt;660,1,0),0),0))</f>
      </c>
      <c r="AA75" s="1">
        <f>IF(OR(AA$52=0,Z26="",AA26=""),0,IFERROR(IF(AND(INDEX(Arten,MATCH(Z26,Codes,0))="Arbeit",INDEX(Arten,MATCH(AA26,Codes,0))="Arbeit"),IF(ROUND((1+INDEX(Beginne,MATCH(AA26,Codes,0))-INDEX(EndeRel,MATCH(Z26,Codes,0)))*1440,0)&lt;660,1,0),0),0))</f>
      </c>
      <c r="AB75" s="1">
        <f>IF(OR(AB$52=0,AA26="",AB26=""),0,IFERROR(IF(AND(INDEX(Arten,MATCH(AA26,Codes,0))="Arbeit",INDEX(Arten,MATCH(AB26,Codes,0))="Arbeit"),IF(ROUND((1+INDEX(Beginne,MATCH(AB26,Codes,0))-INDEX(EndeRel,MATCH(AA26,Codes,0)))*1440,0)&lt;660,1,0),0),0))</f>
      </c>
      <c r="AC75" s="1">
        <f>IF(OR(AC$52=0,AB26="",AC26=""),0,IFERROR(IF(AND(INDEX(Arten,MATCH(AB26,Codes,0))="Arbeit",INDEX(Arten,MATCH(AC26,Codes,0))="Arbeit"),IF(ROUND((1+INDEX(Beginne,MATCH(AC26,Codes,0))-INDEX(EndeRel,MATCH(AB26,Codes,0)))*1440,0)&lt;660,1,0),0),0))</f>
      </c>
      <c r="AD75" s="1">
        <f>IF(OR(AD$52=0,AC26="",AD26=""),0,IFERROR(IF(AND(INDEX(Arten,MATCH(AC26,Codes,0))="Arbeit",INDEX(Arten,MATCH(AD26,Codes,0))="Arbeit"),IF(ROUND((1+INDEX(Beginne,MATCH(AD26,Codes,0))-INDEX(EndeRel,MATCH(AC26,Codes,0)))*1440,0)&lt;660,1,0),0),0))</f>
      </c>
      <c r="AE75" s="1">
        <f>IF(OR(AE$52=0,AD26="",AE26=""),0,IFERROR(IF(AND(INDEX(Arten,MATCH(AD26,Codes,0))="Arbeit",INDEX(Arten,MATCH(AE26,Codes,0))="Arbeit"),IF(ROUND((1+INDEX(Beginne,MATCH(AE26,Codes,0))-INDEX(EndeRel,MATCH(AD26,Codes,0)))*1440,0)&lt;660,1,0),0),0))</f>
      </c>
      <c r="AF75" s="1">
        <f>IF(OR(AF$52=0,AE26="",AF26=""),0,IFERROR(IF(AND(INDEX(Arten,MATCH(AE26,Codes,0))="Arbeit",INDEX(Arten,MATCH(AF26,Codes,0))="Arbeit"),IF(ROUND((1+INDEX(Beginne,MATCH(AF26,Codes,0))-INDEX(EndeRel,MATCH(AE26,Codes,0)))*1440,0)&lt;660,1,0),0),0))</f>
      </c>
    </row>
    <row r="76" hidden="1" spans="1:32" x14ac:dyDescent="0.25">
      <c r="A76" s="1"/>
      <c r="B76" s="1">
        <f>IF(OR(B$52=0,INDEX('Oktober'!$B$27:$AF$27,DAY(DATE(Jahr,11,0)))="",B27=""),0,IFERROR(IF(AND(INDEX(Arten,MATCH(INDEX('Oktober'!$B$27:$AF$27,DAY(DATE(Jahr,11,0))),Codes,0))="Arbeit",INDEX(Arten,MATCH(B27,Codes,0))="Arbeit"),IF(ROUND((1+INDEX(Beginne,MATCH(B27,Codes,0))-INDEX(EndeRel,MATCH(INDEX('Oktober'!$B$27:$AF$27,DAY(DATE(Jahr,11,0))),Codes,0)))*1440,0)&lt;660,1,0),0),0))</f>
      </c>
      <c r="C76" s="1">
        <f>IF(OR(C$52=0,B27="",C27=""),0,IFERROR(IF(AND(INDEX(Arten,MATCH(B27,Codes,0))="Arbeit",INDEX(Arten,MATCH(C27,Codes,0))="Arbeit"),IF(ROUND((1+INDEX(Beginne,MATCH(C27,Codes,0))-INDEX(EndeRel,MATCH(B27,Codes,0)))*1440,0)&lt;660,1,0),0),0))</f>
      </c>
      <c r="D76" s="1">
        <f>IF(OR(D$52=0,C27="",D27=""),0,IFERROR(IF(AND(INDEX(Arten,MATCH(C27,Codes,0))="Arbeit",INDEX(Arten,MATCH(D27,Codes,0))="Arbeit"),IF(ROUND((1+INDEX(Beginne,MATCH(D27,Codes,0))-INDEX(EndeRel,MATCH(C27,Codes,0)))*1440,0)&lt;660,1,0),0),0))</f>
      </c>
      <c r="E76" s="1">
        <f>IF(OR(E$52=0,D27="",E27=""),0,IFERROR(IF(AND(INDEX(Arten,MATCH(D27,Codes,0))="Arbeit",INDEX(Arten,MATCH(E27,Codes,0))="Arbeit"),IF(ROUND((1+INDEX(Beginne,MATCH(E27,Codes,0))-INDEX(EndeRel,MATCH(D27,Codes,0)))*1440,0)&lt;660,1,0),0),0))</f>
      </c>
      <c r="F76" s="1">
        <f>IF(OR(F$52=0,E27="",F27=""),0,IFERROR(IF(AND(INDEX(Arten,MATCH(E27,Codes,0))="Arbeit",INDEX(Arten,MATCH(F27,Codes,0))="Arbeit"),IF(ROUND((1+INDEX(Beginne,MATCH(F27,Codes,0))-INDEX(EndeRel,MATCH(E27,Codes,0)))*1440,0)&lt;660,1,0),0),0))</f>
      </c>
      <c r="G76" s="1">
        <f>IF(OR(G$52=0,F27="",G27=""),0,IFERROR(IF(AND(INDEX(Arten,MATCH(F27,Codes,0))="Arbeit",INDEX(Arten,MATCH(G27,Codes,0))="Arbeit"),IF(ROUND((1+INDEX(Beginne,MATCH(G27,Codes,0))-INDEX(EndeRel,MATCH(F27,Codes,0)))*1440,0)&lt;660,1,0),0),0))</f>
      </c>
      <c r="H76" s="1">
        <f>IF(OR(H$52=0,G27="",H27=""),0,IFERROR(IF(AND(INDEX(Arten,MATCH(G27,Codes,0))="Arbeit",INDEX(Arten,MATCH(H27,Codes,0))="Arbeit"),IF(ROUND((1+INDEX(Beginne,MATCH(H27,Codes,0))-INDEX(EndeRel,MATCH(G27,Codes,0)))*1440,0)&lt;660,1,0),0),0))</f>
      </c>
      <c r="I76" s="1">
        <f>IF(OR(I$52=0,H27="",I27=""),0,IFERROR(IF(AND(INDEX(Arten,MATCH(H27,Codes,0))="Arbeit",INDEX(Arten,MATCH(I27,Codes,0))="Arbeit"),IF(ROUND((1+INDEX(Beginne,MATCH(I27,Codes,0))-INDEX(EndeRel,MATCH(H27,Codes,0)))*1440,0)&lt;660,1,0),0),0))</f>
      </c>
      <c r="J76" s="1">
        <f>IF(OR(J$52=0,I27="",J27=""),0,IFERROR(IF(AND(INDEX(Arten,MATCH(I27,Codes,0))="Arbeit",INDEX(Arten,MATCH(J27,Codes,0))="Arbeit"),IF(ROUND((1+INDEX(Beginne,MATCH(J27,Codes,0))-INDEX(EndeRel,MATCH(I27,Codes,0)))*1440,0)&lt;660,1,0),0),0))</f>
      </c>
      <c r="K76" s="1">
        <f>IF(OR(K$52=0,J27="",K27=""),0,IFERROR(IF(AND(INDEX(Arten,MATCH(J27,Codes,0))="Arbeit",INDEX(Arten,MATCH(K27,Codes,0))="Arbeit"),IF(ROUND((1+INDEX(Beginne,MATCH(K27,Codes,0))-INDEX(EndeRel,MATCH(J27,Codes,0)))*1440,0)&lt;660,1,0),0),0))</f>
      </c>
      <c r="L76" s="1">
        <f>IF(OR(L$52=0,K27="",L27=""),0,IFERROR(IF(AND(INDEX(Arten,MATCH(K27,Codes,0))="Arbeit",INDEX(Arten,MATCH(L27,Codes,0))="Arbeit"),IF(ROUND((1+INDEX(Beginne,MATCH(L27,Codes,0))-INDEX(EndeRel,MATCH(K27,Codes,0)))*1440,0)&lt;660,1,0),0),0))</f>
      </c>
      <c r="M76" s="1">
        <f>IF(OR(M$52=0,L27="",M27=""),0,IFERROR(IF(AND(INDEX(Arten,MATCH(L27,Codes,0))="Arbeit",INDEX(Arten,MATCH(M27,Codes,0))="Arbeit"),IF(ROUND((1+INDEX(Beginne,MATCH(M27,Codes,0))-INDEX(EndeRel,MATCH(L27,Codes,0)))*1440,0)&lt;660,1,0),0),0))</f>
      </c>
      <c r="N76" s="1">
        <f>IF(OR(N$52=0,M27="",N27=""),0,IFERROR(IF(AND(INDEX(Arten,MATCH(M27,Codes,0))="Arbeit",INDEX(Arten,MATCH(N27,Codes,0))="Arbeit"),IF(ROUND((1+INDEX(Beginne,MATCH(N27,Codes,0))-INDEX(EndeRel,MATCH(M27,Codes,0)))*1440,0)&lt;660,1,0),0),0))</f>
      </c>
      <c r="O76" s="1">
        <f>IF(OR(O$52=0,N27="",O27=""),0,IFERROR(IF(AND(INDEX(Arten,MATCH(N27,Codes,0))="Arbeit",INDEX(Arten,MATCH(O27,Codes,0))="Arbeit"),IF(ROUND((1+INDEX(Beginne,MATCH(O27,Codes,0))-INDEX(EndeRel,MATCH(N27,Codes,0)))*1440,0)&lt;660,1,0),0),0))</f>
      </c>
      <c r="P76" s="1">
        <f>IF(OR(P$52=0,O27="",P27=""),0,IFERROR(IF(AND(INDEX(Arten,MATCH(O27,Codes,0))="Arbeit",INDEX(Arten,MATCH(P27,Codes,0))="Arbeit"),IF(ROUND((1+INDEX(Beginne,MATCH(P27,Codes,0))-INDEX(EndeRel,MATCH(O27,Codes,0)))*1440,0)&lt;660,1,0),0),0))</f>
      </c>
      <c r="Q76" s="1">
        <f>IF(OR(Q$52=0,P27="",Q27=""),0,IFERROR(IF(AND(INDEX(Arten,MATCH(P27,Codes,0))="Arbeit",INDEX(Arten,MATCH(Q27,Codes,0))="Arbeit"),IF(ROUND((1+INDEX(Beginne,MATCH(Q27,Codes,0))-INDEX(EndeRel,MATCH(P27,Codes,0)))*1440,0)&lt;660,1,0),0),0))</f>
      </c>
      <c r="R76" s="1">
        <f>IF(OR(R$52=0,Q27="",R27=""),0,IFERROR(IF(AND(INDEX(Arten,MATCH(Q27,Codes,0))="Arbeit",INDEX(Arten,MATCH(R27,Codes,0))="Arbeit"),IF(ROUND((1+INDEX(Beginne,MATCH(R27,Codes,0))-INDEX(EndeRel,MATCH(Q27,Codes,0)))*1440,0)&lt;660,1,0),0),0))</f>
      </c>
      <c r="S76" s="1">
        <f>IF(OR(S$52=0,R27="",S27=""),0,IFERROR(IF(AND(INDEX(Arten,MATCH(R27,Codes,0))="Arbeit",INDEX(Arten,MATCH(S27,Codes,0))="Arbeit"),IF(ROUND((1+INDEX(Beginne,MATCH(S27,Codes,0))-INDEX(EndeRel,MATCH(R27,Codes,0)))*1440,0)&lt;660,1,0),0),0))</f>
      </c>
      <c r="T76" s="1">
        <f>IF(OR(T$52=0,S27="",T27=""),0,IFERROR(IF(AND(INDEX(Arten,MATCH(S27,Codes,0))="Arbeit",INDEX(Arten,MATCH(T27,Codes,0))="Arbeit"),IF(ROUND((1+INDEX(Beginne,MATCH(T27,Codes,0))-INDEX(EndeRel,MATCH(S27,Codes,0)))*1440,0)&lt;660,1,0),0),0))</f>
      </c>
      <c r="U76" s="1">
        <f>IF(OR(U$52=0,T27="",U27=""),0,IFERROR(IF(AND(INDEX(Arten,MATCH(T27,Codes,0))="Arbeit",INDEX(Arten,MATCH(U27,Codes,0))="Arbeit"),IF(ROUND((1+INDEX(Beginne,MATCH(U27,Codes,0))-INDEX(EndeRel,MATCH(T27,Codes,0)))*1440,0)&lt;660,1,0),0),0))</f>
      </c>
      <c r="V76" s="1">
        <f>IF(OR(V$52=0,U27="",V27=""),0,IFERROR(IF(AND(INDEX(Arten,MATCH(U27,Codes,0))="Arbeit",INDEX(Arten,MATCH(V27,Codes,0))="Arbeit"),IF(ROUND((1+INDEX(Beginne,MATCH(V27,Codes,0))-INDEX(EndeRel,MATCH(U27,Codes,0)))*1440,0)&lt;660,1,0),0),0))</f>
      </c>
      <c r="W76" s="1">
        <f>IF(OR(W$52=0,V27="",W27=""),0,IFERROR(IF(AND(INDEX(Arten,MATCH(V27,Codes,0))="Arbeit",INDEX(Arten,MATCH(W27,Codes,0))="Arbeit"),IF(ROUND((1+INDEX(Beginne,MATCH(W27,Codes,0))-INDEX(EndeRel,MATCH(V27,Codes,0)))*1440,0)&lt;660,1,0),0),0))</f>
      </c>
      <c r="X76" s="1">
        <f>IF(OR(X$52=0,W27="",X27=""),0,IFERROR(IF(AND(INDEX(Arten,MATCH(W27,Codes,0))="Arbeit",INDEX(Arten,MATCH(X27,Codes,0))="Arbeit"),IF(ROUND((1+INDEX(Beginne,MATCH(X27,Codes,0))-INDEX(EndeRel,MATCH(W27,Codes,0)))*1440,0)&lt;660,1,0),0),0))</f>
      </c>
      <c r="Y76" s="1">
        <f>IF(OR(Y$52=0,X27="",Y27=""),0,IFERROR(IF(AND(INDEX(Arten,MATCH(X27,Codes,0))="Arbeit",INDEX(Arten,MATCH(Y27,Codes,0))="Arbeit"),IF(ROUND((1+INDEX(Beginne,MATCH(Y27,Codes,0))-INDEX(EndeRel,MATCH(X27,Codes,0)))*1440,0)&lt;660,1,0),0),0))</f>
      </c>
      <c r="Z76" s="1">
        <f>IF(OR(Z$52=0,Y27="",Z27=""),0,IFERROR(IF(AND(INDEX(Arten,MATCH(Y27,Codes,0))="Arbeit",INDEX(Arten,MATCH(Z27,Codes,0))="Arbeit"),IF(ROUND((1+INDEX(Beginne,MATCH(Z27,Codes,0))-INDEX(EndeRel,MATCH(Y27,Codes,0)))*1440,0)&lt;660,1,0),0),0))</f>
      </c>
      <c r="AA76" s="1">
        <f>IF(OR(AA$52=0,Z27="",AA27=""),0,IFERROR(IF(AND(INDEX(Arten,MATCH(Z27,Codes,0))="Arbeit",INDEX(Arten,MATCH(AA27,Codes,0))="Arbeit"),IF(ROUND((1+INDEX(Beginne,MATCH(AA27,Codes,0))-INDEX(EndeRel,MATCH(Z27,Codes,0)))*1440,0)&lt;660,1,0),0),0))</f>
      </c>
      <c r="AB76" s="1">
        <f>IF(OR(AB$52=0,AA27="",AB27=""),0,IFERROR(IF(AND(INDEX(Arten,MATCH(AA27,Codes,0))="Arbeit",INDEX(Arten,MATCH(AB27,Codes,0))="Arbeit"),IF(ROUND((1+INDEX(Beginne,MATCH(AB27,Codes,0))-INDEX(EndeRel,MATCH(AA27,Codes,0)))*1440,0)&lt;660,1,0),0),0))</f>
      </c>
      <c r="AC76" s="1">
        <f>IF(OR(AC$52=0,AB27="",AC27=""),0,IFERROR(IF(AND(INDEX(Arten,MATCH(AB27,Codes,0))="Arbeit",INDEX(Arten,MATCH(AC27,Codes,0))="Arbeit"),IF(ROUND((1+INDEX(Beginne,MATCH(AC27,Codes,0))-INDEX(EndeRel,MATCH(AB27,Codes,0)))*1440,0)&lt;660,1,0),0),0))</f>
      </c>
      <c r="AD76" s="1">
        <f>IF(OR(AD$52=0,AC27="",AD27=""),0,IFERROR(IF(AND(INDEX(Arten,MATCH(AC27,Codes,0))="Arbeit",INDEX(Arten,MATCH(AD27,Codes,0))="Arbeit"),IF(ROUND((1+INDEX(Beginne,MATCH(AD27,Codes,0))-INDEX(EndeRel,MATCH(AC27,Codes,0)))*1440,0)&lt;660,1,0),0),0))</f>
      </c>
      <c r="AE76" s="1">
        <f>IF(OR(AE$52=0,AD27="",AE27=""),0,IFERROR(IF(AND(INDEX(Arten,MATCH(AD27,Codes,0))="Arbeit",INDEX(Arten,MATCH(AE27,Codes,0))="Arbeit"),IF(ROUND((1+INDEX(Beginne,MATCH(AE27,Codes,0))-INDEX(EndeRel,MATCH(AD27,Codes,0)))*1440,0)&lt;660,1,0),0),0))</f>
      </c>
      <c r="AF76" s="1">
        <f>IF(OR(AF$52=0,AE27="",AF27=""),0,IFERROR(IF(AND(INDEX(Arten,MATCH(AE27,Codes,0))="Arbeit",INDEX(Arten,MATCH(AF27,Codes,0))="Arbeit"),IF(ROUND((1+INDEX(Beginne,MATCH(AF27,Codes,0))-INDEX(EndeRel,MATCH(AE27,Codes,0)))*1440,0)&lt;660,1,0),0),0))</f>
      </c>
    </row>
    <row r="77" hidden="1" spans="1:32" x14ac:dyDescent="0.25">
      <c r="A77" s="1"/>
      <c r="B77" s="1">
        <f>IF(OR(B$52=0,INDEX('Oktober'!$B$28:$AF$28,DAY(DATE(Jahr,11,0)))="",B28=""),0,IFERROR(IF(AND(INDEX(Arten,MATCH(INDEX('Oktober'!$B$28:$AF$28,DAY(DATE(Jahr,11,0))),Codes,0))="Arbeit",INDEX(Arten,MATCH(B28,Codes,0))="Arbeit"),IF(ROUND((1+INDEX(Beginne,MATCH(B28,Codes,0))-INDEX(EndeRel,MATCH(INDEX('Oktober'!$B$28:$AF$28,DAY(DATE(Jahr,11,0))),Codes,0)))*1440,0)&lt;660,1,0),0),0))</f>
      </c>
      <c r="C77" s="1">
        <f>IF(OR(C$52=0,B28="",C28=""),0,IFERROR(IF(AND(INDEX(Arten,MATCH(B28,Codes,0))="Arbeit",INDEX(Arten,MATCH(C28,Codes,0))="Arbeit"),IF(ROUND((1+INDEX(Beginne,MATCH(C28,Codes,0))-INDEX(EndeRel,MATCH(B28,Codes,0)))*1440,0)&lt;660,1,0),0),0))</f>
      </c>
      <c r="D77" s="1">
        <f>IF(OR(D$52=0,C28="",D28=""),0,IFERROR(IF(AND(INDEX(Arten,MATCH(C28,Codes,0))="Arbeit",INDEX(Arten,MATCH(D28,Codes,0))="Arbeit"),IF(ROUND((1+INDEX(Beginne,MATCH(D28,Codes,0))-INDEX(EndeRel,MATCH(C28,Codes,0)))*1440,0)&lt;660,1,0),0),0))</f>
      </c>
      <c r="E77" s="1">
        <f>IF(OR(E$52=0,D28="",E28=""),0,IFERROR(IF(AND(INDEX(Arten,MATCH(D28,Codes,0))="Arbeit",INDEX(Arten,MATCH(E28,Codes,0))="Arbeit"),IF(ROUND((1+INDEX(Beginne,MATCH(E28,Codes,0))-INDEX(EndeRel,MATCH(D28,Codes,0)))*1440,0)&lt;660,1,0),0),0))</f>
      </c>
      <c r="F77" s="1">
        <f>IF(OR(F$52=0,E28="",F28=""),0,IFERROR(IF(AND(INDEX(Arten,MATCH(E28,Codes,0))="Arbeit",INDEX(Arten,MATCH(F28,Codes,0))="Arbeit"),IF(ROUND((1+INDEX(Beginne,MATCH(F28,Codes,0))-INDEX(EndeRel,MATCH(E28,Codes,0)))*1440,0)&lt;660,1,0),0),0))</f>
      </c>
      <c r="G77" s="1">
        <f>IF(OR(G$52=0,F28="",G28=""),0,IFERROR(IF(AND(INDEX(Arten,MATCH(F28,Codes,0))="Arbeit",INDEX(Arten,MATCH(G28,Codes,0))="Arbeit"),IF(ROUND((1+INDEX(Beginne,MATCH(G28,Codes,0))-INDEX(EndeRel,MATCH(F28,Codes,0)))*1440,0)&lt;660,1,0),0),0))</f>
      </c>
      <c r="H77" s="1">
        <f>IF(OR(H$52=0,G28="",H28=""),0,IFERROR(IF(AND(INDEX(Arten,MATCH(G28,Codes,0))="Arbeit",INDEX(Arten,MATCH(H28,Codes,0))="Arbeit"),IF(ROUND((1+INDEX(Beginne,MATCH(H28,Codes,0))-INDEX(EndeRel,MATCH(G28,Codes,0)))*1440,0)&lt;660,1,0),0),0))</f>
      </c>
      <c r="I77" s="1">
        <f>IF(OR(I$52=0,H28="",I28=""),0,IFERROR(IF(AND(INDEX(Arten,MATCH(H28,Codes,0))="Arbeit",INDEX(Arten,MATCH(I28,Codes,0))="Arbeit"),IF(ROUND((1+INDEX(Beginne,MATCH(I28,Codes,0))-INDEX(EndeRel,MATCH(H28,Codes,0)))*1440,0)&lt;660,1,0),0),0))</f>
      </c>
      <c r="J77" s="1">
        <f>IF(OR(J$52=0,I28="",J28=""),0,IFERROR(IF(AND(INDEX(Arten,MATCH(I28,Codes,0))="Arbeit",INDEX(Arten,MATCH(J28,Codes,0))="Arbeit"),IF(ROUND((1+INDEX(Beginne,MATCH(J28,Codes,0))-INDEX(EndeRel,MATCH(I28,Codes,0)))*1440,0)&lt;660,1,0),0),0))</f>
      </c>
      <c r="K77" s="1">
        <f>IF(OR(K$52=0,J28="",K28=""),0,IFERROR(IF(AND(INDEX(Arten,MATCH(J28,Codes,0))="Arbeit",INDEX(Arten,MATCH(K28,Codes,0))="Arbeit"),IF(ROUND((1+INDEX(Beginne,MATCH(K28,Codes,0))-INDEX(EndeRel,MATCH(J28,Codes,0)))*1440,0)&lt;660,1,0),0),0))</f>
      </c>
      <c r="L77" s="1">
        <f>IF(OR(L$52=0,K28="",L28=""),0,IFERROR(IF(AND(INDEX(Arten,MATCH(K28,Codes,0))="Arbeit",INDEX(Arten,MATCH(L28,Codes,0))="Arbeit"),IF(ROUND((1+INDEX(Beginne,MATCH(L28,Codes,0))-INDEX(EndeRel,MATCH(K28,Codes,0)))*1440,0)&lt;660,1,0),0),0))</f>
      </c>
      <c r="M77" s="1">
        <f>IF(OR(M$52=0,L28="",M28=""),0,IFERROR(IF(AND(INDEX(Arten,MATCH(L28,Codes,0))="Arbeit",INDEX(Arten,MATCH(M28,Codes,0))="Arbeit"),IF(ROUND((1+INDEX(Beginne,MATCH(M28,Codes,0))-INDEX(EndeRel,MATCH(L28,Codes,0)))*1440,0)&lt;660,1,0),0),0))</f>
      </c>
      <c r="N77" s="1">
        <f>IF(OR(N$52=0,M28="",N28=""),0,IFERROR(IF(AND(INDEX(Arten,MATCH(M28,Codes,0))="Arbeit",INDEX(Arten,MATCH(N28,Codes,0))="Arbeit"),IF(ROUND((1+INDEX(Beginne,MATCH(N28,Codes,0))-INDEX(EndeRel,MATCH(M28,Codes,0)))*1440,0)&lt;660,1,0),0),0))</f>
      </c>
      <c r="O77" s="1">
        <f>IF(OR(O$52=0,N28="",O28=""),0,IFERROR(IF(AND(INDEX(Arten,MATCH(N28,Codes,0))="Arbeit",INDEX(Arten,MATCH(O28,Codes,0))="Arbeit"),IF(ROUND((1+INDEX(Beginne,MATCH(O28,Codes,0))-INDEX(EndeRel,MATCH(N28,Codes,0)))*1440,0)&lt;660,1,0),0),0))</f>
      </c>
      <c r="P77" s="1">
        <f>IF(OR(P$52=0,O28="",P28=""),0,IFERROR(IF(AND(INDEX(Arten,MATCH(O28,Codes,0))="Arbeit",INDEX(Arten,MATCH(P28,Codes,0))="Arbeit"),IF(ROUND((1+INDEX(Beginne,MATCH(P28,Codes,0))-INDEX(EndeRel,MATCH(O28,Codes,0)))*1440,0)&lt;660,1,0),0),0))</f>
      </c>
      <c r="Q77" s="1">
        <f>IF(OR(Q$52=0,P28="",Q28=""),0,IFERROR(IF(AND(INDEX(Arten,MATCH(P28,Codes,0))="Arbeit",INDEX(Arten,MATCH(Q28,Codes,0))="Arbeit"),IF(ROUND((1+INDEX(Beginne,MATCH(Q28,Codes,0))-INDEX(EndeRel,MATCH(P28,Codes,0)))*1440,0)&lt;660,1,0),0),0))</f>
      </c>
      <c r="R77" s="1">
        <f>IF(OR(R$52=0,Q28="",R28=""),0,IFERROR(IF(AND(INDEX(Arten,MATCH(Q28,Codes,0))="Arbeit",INDEX(Arten,MATCH(R28,Codes,0))="Arbeit"),IF(ROUND((1+INDEX(Beginne,MATCH(R28,Codes,0))-INDEX(EndeRel,MATCH(Q28,Codes,0)))*1440,0)&lt;660,1,0),0),0))</f>
      </c>
      <c r="S77" s="1">
        <f>IF(OR(S$52=0,R28="",S28=""),0,IFERROR(IF(AND(INDEX(Arten,MATCH(R28,Codes,0))="Arbeit",INDEX(Arten,MATCH(S28,Codes,0))="Arbeit"),IF(ROUND((1+INDEX(Beginne,MATCH(S28,Codes,0))-INDEX(EndeRel,MATCH(R28,Codes,0)))*1440,0)&lt;660,1,0),0),0))</f>
      </c>
      <c r="T77" s="1">
        <f>IF(OR(T$52=0,S28="",T28=""),0,IFERROR(IF(AND(INDEX(Arten,MATCH(S28,Codes,0))="Arbeit",INDEX(Arten,MATCH(T28,Codes,0))="Arbeit"),IF(ROUND((1+INDEX(Beginne,MATCH(T28,Codes,0))-INDEX(EndeRel,MATCH(S28,Codes,0)))*1440,0)&lt;660,1,0),0),0))</f>
      </c>
      <c r="U77" s="1">
        <f>IF(OR(U$52=0,T28="",U28=""),0,IFERROR(IF(AND(INDEX(Arten,MATCH(T28,Codes,0))="Arbeit",INDEX(Arten,MATCH(U28,Codes,0))="Arbeit"),IF(ROUND((1+INDEX(Beginne,MATCH(U28,Codes,0))-INDEX(EndeRel,MATCH(T28,Codes,0)))*1440,0)&lt;660,1,0),0),0))</f>
      </c>
      <c r="V77" s="1">
        <f>IF(OR(V$52=0,U28="",V28=""),0,IFERROR(IF(AND(INDEX(Arten,MATCH(U28,Codes,0))="Arbeit",INDEX(Arten,MATCH(V28,Codes,0))="Arbeit"),IF(ROUND((1+INDEX(Beginne,MATCH(V28,Codes,0))-INDEX(EndeRel,MATCH(U28,Codes,0)))*1440,0)&lt;660,1,0),0),0))</f>
      </c>
      <c r="W77" s="1">
        <f>IF(OR(W$52=0,V28="",W28=""),0,IFERROR(IF(AND(INDEX(Arten,MATCH(V28,Codes,0))="Arbeit",INDEX(Arten,MATCH(W28,Codes,0))="Arbeit"),IF(ROUND((1+INDEX(Beginne,MATCH(W28,Codes,0))-INDEX(EndeRel,MATCH(V28,Codes,0)))*1440,0)&lt;660,1,0),0),0))</f>
      </c>
      <c r="X77" s="1">
        <f>IF(OR(X$52=0,W28="",X28=""),0,IFERROR(IF(AND(INDEX(Arten,MATCH(W28,Codes,0))="Arbeit",INDEX(Arten,MATCH(X28,Codes,0))="Arbeit"),IF(ROUND((1+INDEX(Beginne,MATCH(X28,Codes,0))-INDEX(EndeRel,MATCH(W28,Codes,0)))*1440,0)&lt;660,1,0),0),0))</f>
      </c>
      <c r="Y77" s="1">
        <f>IF(OR(Y$52=0,X28="",Y28=""),0,IFERROR(IF(AND(INDEX(Arten,MATCH(X28,Codes,0))="Arbeit",INDEX(Arten,MATCH(Y28,Codes,0))="Arbeit"),IF(ROUND((1+INDEX(Beginne,MATCH(Y28,Codes,0))-INDEX(EndeRel,MATCH(X28,Codes,0)))*1440,0)&lt;660,1,0),0),0))</f>
      </c>
      <c r="Z77" s="1">
        <f>IF(OR(Z$52=0,Y28="",Z28=""),0,IFERROR(IF(AND(INDEX(Arten,MATCH(Y28,Codes,0))="Arbeit",INDEX(Arten,MATCH(Z28,Codes,0))="Arbeit"),IF(ROUND((1+INDEX(Beginne,MATCH(Z28,Codes,0))-INDEX(EndeRel,MATCH(Y28,Codes,0)))*1440,0)&lt;660,1,0),0),0))</f>
      </c>
      <c r="AA77" s="1">
        <f>IF(OR(AA$52=0,Z28="",AA28=""),0,IFERROR(IF(AND(INDEX(Arten,MATCH(Z28,Codes,0))="Arbeit",INDEX(Arten,MATCH(AA28,Codes,0))="Arbeit"),IF(ROUND((1+INDEX(Beginne,MATCH(AA28,Codes,0))-INDEX(EndeRel,MATCH(Z28,Codes,0)))*1440,0)&lt;660,1,0),0),0))</f>
      </c>
      <c r="AB77" s="1">
        <f>IF(OR(AB$52=0,AA28="",AB28=""),0,IFERROR(IF(AND(INDEX(Arten,MATCH(AA28,Codes,0))="Arbeit",INDEX(Arten,MATCH(AB28,Codes,0))="Arbeit"),IF(ROUND((1+INDEX(Beginne,MATCH(AB28,Codes,0))-INDEX(EndeRel,MATCH(AA28,Codes,0)))*1440,0)&lt;660,1,0),0),0))</f>
      </c>
      <c r="AC77" s="1">
        <f>IF(OR(AC$52=0,AB28="",AC28=""),0,IFERROR(IF(AND(INDEX(Arten,MATCH(AB28,Codes,0))="Arbeit",INDEX(Arten,MATCH(AC28,Codes,0))="Arbeit"),IF(ROUND((1+INDEX(Beginne,MATCH(AC28,Codes,0))-INDEX(EndeRel,MATCH(AB28,Codes,0)))*1440,0)&lt;660,1,0),0),0))</f>
      </c>
      <c r="AD77" s="1">
        <f>IF(OR(AD$52=0,AC28="",AD28=""),0,IFERROR(IF(AND(INDEX(Arten,MATCH(AC28,Codes,0))="Arbeit",INDEX(Arten,MATCH(AD28,Codes,0))="Arbeit"),IF(ROUND((1+INDEX(Beginne,MATCH(AD28,Codes,0))-INDEX(EndeRel,MATCH(AC28,Codes,0)))*1440,0)&lt;660,1,0),0),0))</f>
      </c>
      <c r="AE77" s="1">
        <f>IF(OR(AE$52=0,AD28="",AE28=""),0,IFERROR(IF(AND(INDEX(Arten,MATCH(AD28,Codes,0))="Arbeit",INDEX(Arten,MATCH(AE28,Codes,0))="Arbeit"),IF(ROUND((1+INDEX(Beginne,MATCH(AE28,Codes,0))-INDEX(EndeRel,MATCH(AD28,Codes,0)))*1440,0)&lt;660,1,0),0),0))</f>
      </c>
      <c r="AF77" s="1">
        <f>IF(OR(AF$52=0,AE28="",AF28=""),0,IFERROR(IF(AND(INDEX(Arten,MATCH(AE28,Codes,0))="Arbeit",INDEX(Arten,MATCH(AF28,Codes,0))="Arbeit"),IF(ROUND((1+INDEX(Beginne,MATCH(AF28,Codes,0))-INDEX(EndeRel,MATCH(AE28,Codes,0)))*1440,0)&lt;660,1,0),0),0))</f>
      </c>
    </row>
    <row r="78" hidden="1" spans="1:32" x14ac:dyDescent="0.25">
      <c r="A78" s="1"/>
      <c r="B78" s="1">
        <f>IF(OR(B$52=0,INDEX('Oktober'!$B$29:$AF$29,DAY(DATE(Jahr,11,0)))="",B29=""),0,IFERROR(IF(AND(INDEX(Arten,MATCH(INDEX('Oktober'!$B$29:$AF$29,DAY(DATE(Jahr,11,0))),Codes,0))="Arbeit",INDEX(Arten,MATCH(B29,Codes,0))="Arbeit"),IF(ROUND((1+INDEX(Beginne,MATCH(B29,Codes,0))-INDEX(EndeRel,MATCH(INDEX('Oktober'!$B$29:$AF$29,DAY(DATE(Jahr,11,0))),Codes,0)))*1440,0)&lt;660,1,0),0),0))</f>
      </c>
      <c r="C78" s="1">
        <f>IF(OR(C$52=0,B29="",C29=""),0,IFERROR(IF(AND(INDEX(Arten,MATCH(B29,Codes,0))="Arbeit",INDEX(Arten,MATCH(C29,Codes,0))="Arbeit"),IF(ROUND((1+INDEX(Beginne,MATCH(C29,Codes,0))-INDEX(EndeRel,MATCH(B29,Codes,0)))*1440,0)&lt;660,1,0),0),0))</f>
      </c>
      <c r="D78" s="1">
        <f>IF(OR(D$52=0,C29="",D29=""),0,IFERROR(IF(AND(INDEX(Arten,MATCH(C29,Codes,0))="Arbeit",INDEX(Arten,MATCH(D29,Codes,0))="Arbeit"),IF(ROUND((1+INDEX(Beginne,MATCH(D29,Codes,0))-INDEX(EndeRel,MATCH(C29,Codes,0)))*1440,0)&lt;660,1,0),0),0))</f>
      </c>
      <c r="E78" s="1">
        <f>IF(OR(E$52=0,D29="",E29=""),0,IFERROR(IF(AND(INDEX(Arten,MATCH(D29,Codes,0))="Arbeit",INDEX(Arten,MATCH(E29,Codes,0))="Arbeit"),IF(ROUND((1+INDEX(Beginne,MATCH(E29,Codes,0))-INDEX(EndeRel,MATCH(D29,Codes,0)))*1440,0)&lt;660,1,0),0),0))</f>
      </c>
      <c r="F78" s="1">
        <f>IF(OR(F$52=0,E29="",F29=""),0,IFERROR(IF(AND(INDEX(Arten,MATCH(E29,Codes,0))="Arbeit",INDEX(Arten,MATCH(F29,Codes,0))="Arbeit"),IF(ROUND((1+INDEX(Beginne,MATCH(F29,Codes,0))-INDEX(EndeRel,MATCH(E29,Codes,0)))*1440,0)&lt;660,1,0),0),0))</f>
      </c>
      <c r="G78" s="1">
        <f>IF(OR(G$52=0,F29="",G29=""),0,IFERROR(IF(AND(INDEX(Arten,MATCH(F29,Codes,0))="Arbeit",INDEX(Arten,MATCH(G29,Codes,0))="Arbeit"),IF(ROUND((1+INDEX(Beginne,MATCH(G29,Codes,0))-INDEX(EndeRel,MATCH(F29,Codes,0)))*1440,0)&lt;660,1,0),0),0))</f>
      </c>
      <c r="H78" s="1">
        <f>IF(OR(H$52=0,G29="",H29=""),0,IFERROR(IF(AND(INDEX(Arten,MATCH(G29,Codes,0))="Arbeit",INDEX(Arten,MATCH(H29,Codes,0))="Arbeit"),IF(ROUND((1+INDEX(Beginne,MATCH(H29,Codes,0))-INDEX(EndeRel,MATCH(G29,Codes,0)))*1440,0)&lt;660,1,0),0),0))</f>
      </c>
      <c r="I78" s="1">
        <f>IF(OR(I$52=0,H29="",I29=""),0,IFERROR(IF(AND(INDEX(Arten,MATCH(H29,Codes,0))="Arbeit",INDEX(Arten,MATCH(I29,Codes,0))="Arbeit"),IF(ROUND((1+INDEX(Beginne,MATCH(I29,Codes,0))-INDEX(EndeRel,MATCH(H29,Codes,0)))*1440,0)&lt;660,1,0),0),0))</f>
      </c>
      <c r="J78" s="1">
        <f>IF(OR(J$52=0,I29="",J29=""),0,IFERROR(IF(AND(INDEX(Arten,MATCH(I29,Codes,0))="Arbeit",INDEX(Arten,MATCH(J29,Codes,0))="Arbeit"),IF(ROUND((1+INDEX(Beginne,MATCH(J29,Codes,0))-INDEX(EndeRel,MATCH(I29,Codes,0)))*1440,0)&lt;660,1,0),0),0))</f>
      </c>
      <c r="K78" s="1">
        <f>IF(OR(K$52=0,J29="",K29=""),0,IFERROR(IF(AND(INDEX(Arten,MATCH(J29,Codes,0))="Arbeit",INDEX(Arten,MATCH(K29,Codes,0))="Arbeit"),IF(ROUND((1+INDEX(Beginne,MATCH(K29,Codes,0))-INDEX(EndeRel,MATCH(J29,Codes,0)))*1440,0)&lt;660,1,0),0),0))</f>
      </c>
      <c r="L78" s="1">
        <f>IF(OR(L$52=0,K29="",L29=""),0,IFERROR(IF(AND(INDEX(Arten,MATCH(K29,Codes,0))="Arbeit",INDEX(Arten,MATCH(L29,Codes,0))="Arbeit"),IF(ROUND((1+INDEX(Beginne,MATCH(L29,Codes,0))-INDEX(EndeRel,MATCH(K29,Codes,0)))*1440,0)&lt;660,1,0),0),0))</f>
      </c>
      <c r="M78" s="1">
        <f>IF(OR(M$52=0,L29="",M29=""),0,IFERROR(IF(AND(INDEX(Arten,MATCH(L29,Codes,0))="Arbeit",INDEX(Arten,MATCH(M29,Codes,0))="Arbeit"),IF(ROUND((1+INDEX(Beginne,MATCH(M29,Codes,0))-INDEX(EndeRel,MATCH(L29,Codes,0)))*1440,0)&lt;660,1,0),0),0))</f>
      </c>
      <c r="N78" s="1">
        <f>IF(OR(N$52=0,M29="",N29=""),0,IFERROR(IF(AND(INDEX(Arten,MATCH(M29,Codes,0))="Arbeit",INDEX(Arten,MATCH(N29,Codes,0))="Arbeit"),IF(ROUND((1+INDEX(Beginne,MATCH(N29,Codes,0))-INDEX(EndeRel,MATCH(M29,Codes,0)))*1440,0)&lt;660,1,0),0),0))</f>
      </c>
      <c r="O78" s="1">
        <f>IF(OR(O$52=0,N29="",O29=""),0,IFERROR(IF(AND(INDEX(Arten,MATCH(N29,Codes,0))="Arbeit",INDEX(Arten,MATCH(O29,Codes,0))="Arbeit"),IF(ROUND((1+INDEX(Beginne,MATCH(O29,Codes,0))-INDEX(EndeRel,MATCH(N29,Codes,0)))*1440,0)&lt;660,1,0),0),0))</f>
      </c>
      <c r="P78" s="1">
        <f>IF(OR(P$52=0,O29="",P29=""),0,IFERROR(IF(AND(INDEX(Arten,MATCH(O29,Codes,0))="Arbeit",INDEX(Arten,MATCH(P29,Codes,0))="Arbeit"),IF(ROUND((1+INDEX(Beginne,MATCH(P29,Codes,0))-INDEX(EndeRel,MATCH(O29,Codes,0)))*1440,0)&lt;660,1,0),0),0))</f>
      </c>
      <c r="Q78" s="1">
        <f>IF(OR(Q$52=0,P29="",Q29=""),0,IFERROR(IF(AND(INDEX(Arten,MATCH(P29,Codes,0))="Arbeit",INDEX(Arten,MATCH(Q29,Codes,0))="Arbeit"),IF(ROUND((1+INDEX(Beginne,MATCH(Q29,Codes,0))-INDEX(EndeRel,MATCH(P29,Codes,0)))*1440,0)&lt;660,1,0),0),0))</f>
      </c>
      <c r="R78" s="1">
        <f>IF(OR(R$52=0,Q29="",R29=""),0,IFERROR(IF(AND(INDEX(Arten,MATCH(Q29,Codes,0))="Arbeit",INDEX(Arten,MATCH(R29,Codes,0))="Arbeit"),IF(ROUND((1+INDEX(Beginne,MATCH(R29,Codes,0))-INDEX(EndeRel,MATCH(Q29,Codes,0)))*1440,0)&lt;660,1,0),0),0))</f>
      </c>
      <c r="S78" s="1">
        <f>IF(OR(S$52=0,R29="",S29=""),0,IFERROR(IF(AND(INDEX(Arten,MATCH(R29,Codes,0))="Arbeit",INDEX(Arten,MATCH(S29,Codes,0))="Arbeit"),IF(ROUND((1+INDEX(Beginne,MATCH(S29,Codes,0))-INDEX(EndeRel,MATCH(R29,Codes,0)))*1440,0)&lt;660,1,0),0),0))</f>
      </c>
      <c r="T78" s="1">
        <f>IF(OR(T$52=0,S29="",T29=""),0,IFERROR(IF(AND(INDEX(Arten,MATCH(S29,Codes,0))="Arbeit",INDEX(Arten,MATCH(T29,Codes,0))="Arbeit"),IF(ROUND((1+INDEX(Beginne,MATCH(T29,Codes,0))-INDEX(EndeRel,MATCH(S29,Codes,0)))*1440,0)&lt;660,1,0),0),0))</f>
      </c>
      <c r="U78" s="1">
        <f>IF(OR(U$52=0,T29="",U29=""),0,IFERROR(IF(AND(INDEX(Arten,MATCH(T29,Codes,0))="Arbeit",INDEX(Arten,MATCH(U29,Codes,0))="Arbeit"),IF(ROUND((1+INDEX(Beginne,MATCH(U29,Codes,0))-INDEX(EndeRel,MATCH(T29,Codes,0)))*1440,0)&lt;660,1,0),0),0))</f>
      </c>
      <c r="V78" s="1">
        <f>IF(OR(V$52=0,U29="",V29=""),0,IFERROR(IF(AND(INDEX(Arten,MATCH(U29,Codes,0))="Arbeit",INDEX(Arten,MATCH(V29,Codes,0))="Arbeit"),IF(ROUND((1+INDEX(Beginne,MATCH(V29,Codes,0))-INDEX(EndeRel,MATCH(U29,Codes,0)))*1440,0)&lt;660,1,0),0),0))</f>
      </c>
      <c r="W78" s="1">
        <f>IF(OR(W$52=0,V29="",W29=""),0,IFERROR(IF(AND(INDEX(Arten,MATCH(V29,Codes,0))="Arbeit",INDEX(Arten,MATCH(W29,Codes,0))="Arbeit"),IF(ROUND((1+INDEX(Beginne,MATCH(W29,Codes,0))-INDEX(EndeRel,MATCH(V29,Codes,0)))*1440,0)&lt;660,1,0),0),0))</f>
      </c>
      <c r="X78" s="1">
        <f>IF(OR(X$52=0,W29="",X29=""),0,IFERROR(IF(AND(INDEX(Arten,MATCH(W29,Codes,0))="Arbeit",INDEX(Arten,MATCH(X29,Codes,0))="Arbeit"),IF(ROUND((1+INDEX(Beginne,MATCH(X29,Codes,0))-INDEX(EndeRel,MATCH(W29,Codes,0)))*1440,0)&lt;660,1,0),0),0))</f>
      </c>
      <c r="Y78" s="1">
        <f>IF(OR(Y$52=0,X29="",Y29=""),0,IFERROR(IF(AND(INDEX(Arten,MATCH(X29,Codes,0))="Arbeit",INDEX(Arten,MATCH(Y29,Codes,0))="Arbeit"),IF(ROUND((1+INDEX(Beginne,MATCH(Y29,Codes,0))-INDEX(EndeRel,MATCH(X29,Codes,0)))*1440,0)&lt;660,1,0),0),0))</f>
      </c>
      <c r="Z78" s="1">
        <f>IF(OR(Z$52=0,Y29="",Z29=""),0,IFERROR(IF(AND(INDEX(Arten,MATCH(Y29,Codes,0))="Arbeit",INDEX(Arten,MATCH(Z29,Codes,0))="Arbeit"),IF(ROUND((1+INDEX(Beginne,MATCH(Z29,Codes,0))-INDEX(EndeRel,MATCH(Y29,Codes,0)))*1440,0)&lt;660,1,0),0),0))</f>
      </c>
      <c r="AA78" s="1">
        <f>IF(OR(AA$52=0,Z29="",AA29=""),0,IFERROR(IF(AND(INDEX(Arten,MATCH(Z29,Codes,0))="Arbeit",INDEX(Arten,MATCH(AA29,Codes,0))="Arbeit"),IF(ROUND((1+INDEX(Beginne,MATCH(AA29,Codes,0))-INDEX(EndeRel,MATCH(Z29,Codes,0)))*1440,0)&lt;660,1,0),0),0))</f>
      </c>
      <c r="AB78" s="1">
        <f>IF(OR(AB$52=0,AA29="",AB29=""),0,IFERROR(IF(AND(INDEX(Arten,MATCH(AA29,Codes,0))="Arbeit",INDEX(Arten,MATCH(AB29,Codes,0))="Arbeit"),IF(ROUND((1+INDEX(Beginne,MATCH(AB29,Codes,0))-INDEX(EndeRel,MATCH(AA29,Codes,0)))*1440,0)&lt;660,1,0),0),0))</f>
      </c>
      <c r="AC78" s="1">
        <f>IF(OR(AC$52=0,AB29="",AC29=""),0,IFERROR(IF(AND(INDEX(Arten,MATCH(AB29,Codes,0))="Arbeit",INDEX(Arten,MATCH(AC29,Codes,0))="Arbeit"),IF(ROUND((1+INDEX(Beginne,MATCH(AC29,Codes,0))-INDEX(EndeRel,MATCH(AB29,Codes,0)))*1440,0)&lt;660,1,0),0),0))</f>
      </c>
      <c r="AD78" s="1">
        <f>IF(OR(AD$52=0,AC29="",AD29=""),0,IFERROR(IF(AND(INDEX(Arten,MATCH(AC29,Codes,0))="Arbeit",INDEX(Arten,MATCH(AD29,Codes,0))="Arbeit"),IF(ROUND((1+INDEX(Beginne,MATCH(AD29,Codes,0))-INDEX(EndeRel,MATCH(AC29,Codes,0)))*1440,0)&lt;660,1,0),0),0))</f>
      </c>
      <c r="AE78" s="1">
        <f>IF(OR(AE$52=0,AD29="",AE29=""),0,IFERROR(IF(AND(INDEX(Arten,MATCH(AD29,Codes,0))="Arbeit",INDEX(Arten,MATCH(AE29,Codes,0))="Arbeit"),IF(ROUND((1+INDEX(Beginne,MATCH(AE29,Codes,0))-INDEX(EndeRel,MATCH(AD29,Codes,0)))*1440,0)&lt;660,1,0),0),0))</f>
      </c>
      <c r="AF78" s="1">
        <f>IF(OR(AF$52=0,AE29="",AF29=""),0,IFERROR(IF(AND(INDEX(Arten,MATCH(AE29,Codes,0))="Arbeit",INDEX(Arten,MATCH(AF29,Codes,0))="Arbeit"),IF(ROUND((1+INDEX(Beginne,MATCH(AF29,Codes,0))-INDEX(EndeRel,MATCH(AE29,Codes,0)))*1440,0)&lt;660,1,0),0),0))</f>
      </c>
    </row>
    <row r="79" hidden="1" spans="1:32" x14ac:dyDescent="0.25">
      <c r="A79" s="1"/>
      <c r="B79" s="1">
        <f>IF(OR(B$52=0,INDEX('Oktober'!$B$30:$AF$30,DAY(DATE(Jahr,11,0)))="",B30=""),0,IFERROR(IF(AND(INDEX(Arten,MATCH(INDEX('Oktober'!$B$30:$AF$30,DAY(DATE(Jahr,11,0))),Codes,0))="Arbeit",INDEX(Arten,MATCH(B30,Codes,0))="Arbeit"),IF(ROUND((1+INDEX(Beginne,MATCH(B30,Codes,0))-INDEX(EndeRel,MATCH(INDEX('Oktober'!$B$30:$AF$30,DAY(DATE(Jahr,11,0))),Codes,0)))*1440,0)&lt;660,1,0),0),0))</f>
      </c>
      <c r="C79" s="1">
        <f>IF(OR(C$52=0,B30="",C30=""),0,IFERROR(IF(AND(INDEX(Arten,MATCH(B30,Codes,0))="Arbeit",INDEX(Arten,MATCH(C30,Codes,0))="Arbeit"),IF(ROUND((1+INDEX(Beginne,MATCH(C30,Codes,0))-INDEX(EndeRel,MATCH(B30,Codes,0)))*1440,0)&lt;660,1,0),0),0))</f>
      </c>
      <c r="D79" s="1">
        <f>IF(OR(D$52=0,C30="",D30=""),0,IFERROR(IF(AND(INDEX(Arten,MATCH(C30,Codes,0))="Arbeit",INDEX(Arten,MATCH(D30,Codes,0))="Arbeit"),IF(ROUND((1+INDEX(Beginne,MATCH(D30,Codes,0))-INDEX(EndeRel,MATCH(C30,Codes,0)))*1440,0)&lt;660,1,0),0),0))</f>
      </c>
      <c r="E79" s="1">
        <f>IF(OR(E$52=0,D30="",E30=""),0,IFERROR(IF(AND(INDEX(Arten,MATCH(D30,Codes,0))="Arbeit",INDEX(Arten,MATCH(E30,Codes,0))="Arbeit"),IF(ROUND((1+INDEX(Beginne,MATCH(E30,Codes,0))-INDEX(EndeRel,MATCH(D30,Codes,0)))*1440,0)&lt;660,1,0),0),0))</f>
      </c>
      <c r="F79" s="1">
        <f>IF(OR(F$52=0,E30="",F30=""),0,IFERROR(IF(AND(INDEX(Arten,MATCH(E30,Codes,0))="Arbeit",INDEX(Arten,MATCH(F30,Codes,0))="Arbeit"),IF(ROUND((1+INDEX(Beginne,MATCH(F30,Codes,0))-INDEX(EndeRel,MATCH(E30,Codes,0)))*1440,0)&lt;660,1,0),0),0))</f>
      </c>
      <c r="G79" s="1">
        <f>IF(OR(G$52=0,F30="",G30=""),0,IFERROR(IF(AND(INDEX(Arten,MATCH(F30,Codes,0))="Arbeit",INDEX(Arten,MATCH(G30,Codes,0))="Arbeit"),IF(ROUND((1+INDEX(Beginne,MATCH(G30,Codes,0))-INDEX(EndeRel,MATCH(F30,Codes,0)))*1440,0)&lt;660,1,0),0),0))</f>
      </c>
      <c r="H79" s="1">
        <f>IF(OR(H$52=0,G30="",H30=""),0,IFERROR(IF(AND(INDEX(Arten,MATCH(G30,Codes,0))="Arbeit",INDEX(Arten,MATCH(H30,Codes,0))="Arbeit"),IF(ROUND((1+INDEX(Beginne,MATCH(H30,Codes,0))-INDEX(EndeRel,MATCH(G30,Codes,0)))*1440,0)&lt;660,1,0),0),0))</f>
      </c>
      <c r="I79" s="1">
        <f>IF(OR(I$52=0,H30="",I30=""),0,IFERROR(IF(AND(INDEX(Arten,MATCH(H30,Codes,0))="Arbeit",INDEX(Arten,MATCH(I30,Codes,0))="Arbeit"),IF(ROUND((1+INDEX(Beginne,MATCH(I30,Codes,0))-INDEX(EndeRel,MATCH(H30,Codes,0)))*1440,0)&lt;660,1,0),0),0))</f>
      </c>
      <c r="J79" s="1">
        <f>IF(OR(J$52=0,I30="",J30=""),0,IFERROR(IF(AND(INDEX(Arten,MATCH(I30,Codes,0))="Arbeit",INDEX(Arten,MATCH(J30,Codes,0))="Arbeit"),IF(ROUND((1+INDEX(Beginne,MATCH(J30,Codes,0))-INDEX(EndeRel,MATCH(I30,Codes,0)))*1440,0)&lt;660,1,0),0),0))</f>
      </c>
      <c r="K79" s="1">
        <f>IF(OR(K$52=0,J30="",K30=""),0,IFERROR(IF(AND(INDEX(Arten,MATCH(J30,Codes,0))="Arbeit",INDEX(Arten,MATCH(K30,Codes,0))="Arbeit"),IF(ROUND((1+INDEX(Beginne,MATCH(K30,Codes,0))-INDEX(EndeRel,MATCH(J30,Codes,0)))*1440,0)&lt;660,1,0),0),0))</f>
      </c>
      <c r="L79" s="1">
        <f>IF(OR(L$52=0,K30="",L30=""),0,IFERROR(IF(AND(INDEX(Arten,MATCH(K30,Codes,0))="Arbeit",INDEX(Arten,MATCH(L30,Codes,0))="Arbeit"),IF(ROUND((1+INDEX(Beginne,MATCH(L30,Codes,0))-INDEX(EndeRel,MATCH(K30,Codes,0)))*1440,0)&lt;660,1,0),0),0))</f>
      </c>
      <c r="M79" s="1">
        <f>IF(OR(M$52=0,L30="",M30=""),0,IFERROR(IF(AND(INDEX(Arten,MATCH(L30,Codes,0))="Arbeit",INDEX(Arten,MATCH(M30,Codes,0))="Arbeit"),IF(ROUND((1+INDEX(Beginne,MATCH(M30,Codes,0))-INDEX(EndeRel,MATCH(L30,Codes,0)))*1440,0)&lt;660,1,0),0),0))</f>
      </c>
      <c r="N79" s="1">
        <f>IF(OR(N$52=0,M30="",N30=""),0,IFERROR(IF(AND(INDEX(Arten,MATCH(M30,Codes,0))="Arbeit",INDEX(Arten,MATCH(N30,Codes,0))="Arbeit"),IF(ROUND((1+INDEX(Beginne,MATCH(N30,Codes,0))-INDEX(EndeRel,MATCH(M30,Codes,0)))*1440,0)&lt;660,1,0),0),0))</f>
      </c>
      <c r="O79" s="1">
        <f>IF(OR(O$52=0,N30="",O30=""),0,IFERROR(IF(AND(INDEX(Arten,MATCH(N30,Codes,0))="Arbeit",INDEX(Arten,MATCH(O30,Codes,0))="Arbeit"),IF(ROUND((1+INDEX(Beginne,MATCH(O30,Codes,0))-INDEX(EndeRel,MATCH(N30,Codes,0)))*1440,0)&lt;660,1,0),0),0))</f>
      </c>
      <c r="P79" s="1">
        <f>IF(OR(P$52=0,O30="",P30=""),0,IFERROR(IF(AND(INDEX(Arten,MATCH(O30,Codes,0))="Arbeit",INDEX(Arten,MATCH(P30,Codes,0))="Arbeit"),IF(ROUND((1+INDEX(Beginne,MATCH(P30,Codes,0))-INDEX(EndeRel,MATCH(O30,Codes,0)))*1440,0)&lt;660,1,0),0),0))</f>
      </c>
      <c r="Q79" s="1">
        <f>IF(OR(Q$52=0,P30="",Q30=""),0,IFERROR(IF(AND(INDEX(Arten,MATCH(P30,Codes,0))="Arbeit",INDEX(Arten,MATCH(Q30,Codes,0))="Arbeit"),IF(ROUND((1+INDEX(Beginne,MATCH(Q30,Codes,0))-INDEX(EndeRel,MATCH(P30,Codes,0)))*1440,0)&lt;660,1,0),0),0))</f>
      </c>
      <c r="R79" s="1">
        <f>IF(OR(R$52=0,Q30="",R30=""),0,IFERROR(IF(AND(INDEX(Arten,MATCH(Q30,Codes,0))="Arbeit",INDEX(Arten,MATCH(R30,Codes,0))="Arbeit"),IF(ROUND((1+INDEX(Beginne,MATCH(R30,Codes,0))-INDEX(EndeRel,MATCH(Q30,Codes,0)))*1440,0)&lt;660,1,0),0),0))</f>
      </c>
      <c r="S79" s="1">
        <f>IF(OR(S$52=0,R30="",S30=""),0,IFERROR(IF(AND(INDEX(Arten,MATCH(R30,Codes,0))="Arbeit",INDEX(Arten,MATCH(S30,Codes,0))="Arbeit"),IF(ROUND((1+INDEX(Beginne,MATCH(S30,Codes,0))-INDEX(EndeRel,MATCH(R30,Codes,0)))*1440,0)&lt;660,1,0),0),0))</f>
      </c>
      <c r="T79" s="1">
        <f>IF(OR(T$52=0,S30="",T30=""),0,IFERROR(IF(AND(INDEX(Arten,MATCH(S30,Codes,0))="Arbeit",INDEX(Arten,MATCH(T30,Codes,0))="Arbeit"),IF(ROUND((1+INDEX(Beginne,MATCH(T30,Codes,0))-INDEX(EndeRel,MATCH(S30,Codes,0)))*1440,0)&lt;660,1,0),0),0))</f>
      </c>
      <c r="U79" s="1">
        <f>IF(OR(U$52=0,T30="",U30=""),0,IFERROR(IF(AND(INDEX(Arten,MATCH(T30,Codes,0))="Arbeit",INDEX(Arten,MATCH(U30,Codes,0))="Arbeit"),IF(ROUND((1+INDEX(Beginne,MATCH(U30,Codes,0))-INDEX(EndeRel,MATCH(T30,Codes,0)))*1440,0)&lt;660,1,0),0),0))</f>
      </c>
      <c r="V79" s="1">
        <f>IF(OR(V$52=0,U30="",V30=""),0,IFERROR(IF(AND(INDEX(Arten,MATCH(U30,Codes,0))="Arbeit",INDEX(Arten,MATCH(V30,Codes,0))="Arbeit"),IF(ROUND((1+INDEX(Beginne,MATCH(V30,Codes,0))-INDEX(EndeRel,MATCH(U30,Codes,0)))*1440,0)&lt;660,1,0),0),0))</f>
      </c>
      <c r="W79" s="1">
        <f>IF(OR(W$52=0,V30="",W30=""),0,IFERROR(IF(AND(INDEX(Arten,MATCH(V30,Codes,0))="Arbeit",INDEX(Arten,MATCH(W30,Codes,0))="Arbeit"),IF(ROUND((1+INDEX(Beginne,MATCH(W30,Codes,0))-INDEX(EndeRel,MATCH(V30,Codes,0)))*1440,0)&lt;660,1,0),0),0))</f>
      </c>
      <c r="X79" s="1">
        <f>IF(OR(X$52=0,W30="",X30=""),0,IFERROR(IF(AND(INDEX(Arten,MATCH(W30,Codes,0))="Arbeit",INDEX(Arten,MATCH(X30,Codes,0))="Arbeit"),IF(ROUND((1+INDEX(Beginne,MATCH(X30,Codes,0))-INDEX(EndeRel,MATCH(W30,Codes,0)))*1440,0)&lt;660,1,0),0),0))</f>
      </c>
      <c r="Y79" s="1">
        <f>IF(OR(Y$52=0,X30="",Y30=""),0,IFERROR(IF(AND(INDEX(Arten,MATCH(X30,Codes,0))="Arbeit",INDEX(Arten,MATCH(Y30,Codes,0))="Arbeit"),IF(ROUND((1+INDEX(Beginne,MATCH(Y30,Codes,0))-INDEX(EndeRel,MATCH(X30,Codes,0)))*1440,0)&lt;660,1,0),0),0))</f>
      </c>
      <c r="Z79" s="1">
        <f>IF(OR(Z$52=0,Y30="",Z30=""),0,IFERROR(IF(AND(INDEX(Arten,MATCH(Y30,Codes,0))="Arbeit",INDEX(Arten,MATCH(Z30,Codes,0))="Arbeit"),IF(ROUND((1+INDEX(Beginne,MATCH(Z30,Codes,0))-INDEX(EndeRel,MATCH(Y30,Codes,0)))*1440,0)&lt;660,1,0),0),0))</f>
      </c>
      <c r="AA79" s="1">
        <f>IF(OR(AA$52=0,Z30="",AA30=""),0,IFERROR(IF(AND(INDEX(Arten,MATCH(Z30,Codes,0))="Arbeit",INDEX(Arten,MATCH(AA30,Codes,0))="Arbeit"),IF(ROUND((1+INDEX(Beginne,MATCH(AA30,Codes,0))-INDEX(EndeRel,MATCH(Z30,Codes,0)))*1440,0)&lt;660,1,0),0),0))</f>
      </c>
      <c r="AB79" s="1">
        <f>IF(OR(AB$52=0,AA30="",AB30=""),0,IFERROR(IF(AND(INDEX(Arten,MATCH(AA30,Codes,0))="Arbeit",INDEX(Arten,MATCH(AB30,Codes,0))="Arbeit"),IF(ROUND((1+INDEX(Beginne,MATCH(AB30,Codes,0))-INDEX(EndeRel,MATCH(AA30,Codes,0)))*1440,0)&lt;660,1,0),0),0))</f>
      </c>
      <c r="AC79" s="1">
        <f>IF(OR(AC$52=0,AB30="",AC30=""),0,IFERROR(IF(AND(INDEX(Arten,MATCH(AB30,Codes,0))="Arbeit",INDEX(Arten,MATCH(AC30,Codes,0))="Arbeit"),IF(ROUND((1+INDEX(Beginne,MATCH(AC30,Codes,0))-INDEX(EndeRel,MATCH(AB30,Codes,0)))*1440,0)&lt;660,1,0),0),0))</f>
      </c>
      <c r="AD79" s="1">
        <f>IF(OR(AD$52=0,AC30="",AD30=""),0,IFERROR(IF(AND(INDEX(Arten,MATCH(AC30,Codes,0))="Arbeit",INDEX(Arten,MATCH(AD30,Codes,0))="Arbeit"),IF(ROUND((1+INDEX(Beginne,MATCH(AD30,Codes,0))-INDEX(EndeRel,MATCH(AC30,Codes,0)))*1440,0)&lt;660,1,0),0),0))</f>
      </c>
      <c r="AE79" s="1">
        <f>IF(OR(AE$52=0,AD30="",AE30=""),0,IFERROR(IF(AND(INDEX(Arten,MATCH(AD30,Codes,0))="Arbeit",INDEX(Arten,MATCH(AE30,Codes,0))="Arbeit"),IF(ROUND((1+INDEX(Beginne,MATCH(AE30,Codes,0))-INDEX(EndeRel,MATCH(AD30,Codes,0)))*1440,0)&lt;660,1,0),0),0))</f>
      </c>
      <c r="AF79" s="1">
        <f>IF(OR(AF$52=0,AE30="",AF30=""),0,IFERROR(IF(AND(INDEX(Arten,MATCH(AE30,Codes,0))="Arbeit",INDEX(Arten,MATCH(AF30,Codes,0))="Arbeit"),IF(ROUND((1+INDEX(Beginne,MATCH(AF30,Codes,0))-INDEX(EndeRel,MATCH(AE30,Codes,0)))*1440,0)&lt;660,1,0),0),0))</f>
      </c>
    </row>
    <row r="80" hidden="1" spans="1:32" x14ac:dyDescent="0.25">
      <c r="A80" s="1"/>
      <c r="B80" s="1">
        <f>IF(OR(B$52=0,INDEX('Oktober'!$B$31:$AF$31,DAY(DATE(Jahr,11,0)))="",B31=""),0,IFERROR(IF(AND(INDEX(Arten,MATCH(INDEX('Oktober'!$B$31:$AF$31,DAY(DATE(Jahr,11,0))),Codes,0))="Arbeit",INDEX(Arten,MATCH(B31,Codes,0))="Arbeit"),IF(ROUND((1+INDEX(Beginne,MATCH(B31,Codes,0))-INDEX(EndeRel,MATCH(INDEX('Oktober'!$B$31:$AF$31,DAY(DATE(Jahr,11,0))),Codes,0)))*1440,0)&lt;660,1,0),0),0))</f>
      </c>
      <c r="C80" s="1">
        <f>IF(OR(C$52=0,B31="",C31=""),0,IFERROR(IF(AND(INDEX(Arten,MATCH(B31,Codes,0))="Arbeit",INDEX(Arten,MATCH(C31,Codes,0))="Arbeit"),IF(ROUND((1+INDEX(Beginne,MATCH(C31,Codes,0))-INDEX(EndeRel,MATCH(B31,Codes,0)))*1440,0)&lt;660,1,0),0),0))</f>
      </c>
      <c r="D80" s="1">
        <f>IF(OR(D$52=0,C31="",D31=""),0,IFERROR(IF(AND(INDEX(Arten,MATCH(C31,Codes,0))="Arbeit",INDEX(Arten,MATCH(D31,Codes,0))="Arbeit"),IF(ROUND((1+INDEX(Beginne,MATCH(D31,Codes,0))-INDEX(EndeRel,MATCH(C31,Codes,0)))*1440,0)&lt;660,1,0),0),0))</f>
      </c>
      <c r="E80" s="1">
        <f>IF(OR(E$52=0,D31="",E31=""),0,IFERROR(IF(AND(INDEX(Arten,MATCH(D31,Codes,0))="Arbeit",INDEX(Arten,MATCH(E31,Codes,0))="Arbeit"),IF(ROUND((1+INDEX(Beginne,MATCH(E31,Codes,0))-INDEX(EndeRel,MATCH(D31,Codes,0)))*1440,0)&lt;660,1,0),0),0))</f>
      </c>
      <c r="F80" s="1">
        <f>IF(OR(F$52=0,E31="",F31=""),0,IFERROR(IF(AND(INDEX(Arten,MATCH(E31,Codes,0))="Arbeit",INDEX(Arten,MATCH(F31,Codes,0))="Arbeit"),IF(ROUND((1+INDEX(Beginne,MATCH(F31,Codes,0))-INDEX(EndeRel,MATCH(E31,Codes,0)))*1440,0)&lt;660,1,0),0),0))</f>
      </c>
      <c r="G80" s="1">
        <f>IF(OR(G$52=0,F31="",G31=""),0,IFERROR(IF(AND(INDEX(Arten,MATCH(F31,Codes,0))="Arbeit",INDEX(Arten,MATCH(G31,Codes,0))="Arbeit"),IF(ROUND((1+INDEX(Beginne,MATCH(G31,Codes,0))-INDEX(EndeRel,MATCH(F31,Codes,0)))*1440,0)&lt;660,1,0),0),0))</f>
      </c>
      <c r="H80" s="1">
        <f>IF(OR(H$52=0,G31="",H31=""),0,IFERROR(IF(AND(INDEX(Arten,MATCH(G31,Codes,0))="Arbeit",INDEX(Arten,MATCH(H31,Codes,0))="Arbeit"),IF(ROUND((1+INDEX(Beginne,MATCH(H31,Codes,0))-INDEX(EndeRel,MATCH(G31,Codes,0)))*1440,0)&lt;660,1,0),0),0))</f>
      </c>
      <c r="I80" s="1">
        <f>IF(OR(I$52=0,H31="",I31=""),0,IFERROR(IF(AND(INDEX(Arten,MATCH(H31,Codes,0))="Arbeit",INDEX(Arten,MATCH(I31,Codes,0))="Arbeit"),IF(ROUND((1+INDEX(Beginne,MATCH(I31,Codes,0))-INDEX(EndeRel,MATCH(H31,Codes,0)))*1440,0)&lt;660,1,0),0),0))</f>
      </c>
      <c r="J80" s="1">
        <f>IF(OR(J$52=0,I31="",J31=""),0,IFERROR(IF(AND(INDEX(Arten,MATCH(I31,Codes,0))="Arbeit",INDEX(Arten,MATCH(J31,Codes,0))="Arbeit"),IF(ROUND((1+INDEX(Beginne,MATCH(J31,Codes,0))-INDEX(EndeRel,MATCH(I31,Codes,0)))*1440,0)&lt;660,1,0),0),0))</f>
      </c>
      <c r="K80" s="1">
        <f>IF(OR(K$52=0,J31="",K31=""),0,IFERROR(IF(AND(INDEX(Arten,MATCH(J31,Codes,0))="Arbeit",INDEX(Arten,MATCH(K31,Codes,0))="Arbeit"),IF(ROUND((1+INDEX(Beginne,MATCH(K31,Codes,0))-INDEX(EndeRel,MATCH(J31,Codes,0)))*1440,0)&lt;660,1,0),0),0))</f>
      </c>
      <c r="L80" s="1">
        <f>IF(OR(L$52=0,K31="",L31=""),0,IFERROR(IF(AND(INDEX(Arten,MATCH(K31,Codes,0))="Arbeit",INDEX(Arten,MATCH(L31,Codes,0))="Arbeit"),IF(ROUND((1+INDEX(Beginne,MATCH(L31,Codes,0))-INDEX(EndeRel,MATCH(K31,Codes,0)))*1440,0)&lt;660,1,0),0),0))</f>
      </c>
      <c r="M80" s="1">
        <f>IF(OR(M$52=0,L31="",M31=""),0,IFERROR(IF(AND(INDEX(Arten,MATCH(L31,Codes,0))="Arbeit",INDEX(Arten,MATCH(M31,Codes,0))="Arbeit"),IF(ROUND((1+INDEX(Beginne,MATCH(M31,Codes,0))-INDEX(EndeRel,MATCH(L31,Codes,0)))*1440,0)&lt;660,1,0),0),0))</f>
      </c>
      <c r="N80" s="1">
        <f>IF(OR(N$52=0,M31="",N31=""),0,IFERROR(IF(AND(INDEX(Arten,MATCH(M31,Codes,0))="Arbeit",INDEX(Arten,MATCH(N31,Codes,0))="Arbeit"),IF(ROUND((1+INDEX(Beginne,MATCH(N31,Codes,0))-INDEX(EndeRel,MATCH(M31,Codes,0)))*1440,0)&lt;660,1,0),0),0))</f>
      </c>
      <c r="O80" s="1">
        <f>IF(OR(O$52=0,N31="",O31=""),0,IFERROR(IF(AND(INDEX(Arten,MATCH(N31,Codes,0))="Arbeit",INDEX(Arten,MATCH(O31,Codes,0))="Arbeit"),IF(ROUND((1+INDEX(Beginne,MATCH(O31,Codes,0))-INDEX(EndeRel,MATCH(N31,Codes,0)))*1440,0)&lt;660,1,0),0),0))</f>
      </c>
      <c r="P80" s="1">
        <f>IF(OR(P$52=0,O31="",P31=""),0,IFERROR(IF(AND(INDEX(Arten,MATCH(O31,Codes,0))="Arbeit",INDEX(Arten,MATCH(P31,Codes,0))="Arbeit"),IF(ROUND((1+INDEX(Beginne,MATCH(P31,Codes,0))-INDEX(EndeRel,MATCH(O31,Codes,0)))*1440,0)&lt;660,1,0),0),0))</f>
      </c>
      <c r="Q80" s="1">
        <f>IF(OR(Q$52=0,P31="",Q31=""),0,IFERROR(IF(AND(INDEX(Arten,MATCH(P31,Codes,0))="Arbeit",INDEX(Arten,MATCH(Q31,Codes,0))="Arbeit"),IF(ROUND((1+INDEX(Beginne,MATCH(Q31,Codes,0))-INDEX(EndeRel,MATCH(P31,Codes,0)))*1440,0)&lt;660,1,0),0),0))</f>
      </c>
      <c r="R80" s="1">
        <f>IF(OR(R$52=0,Q31="",R31=""),0,IFERROR(IF(AND(INDEX(Arten,MATCH(Q31,Codes,0))="Arbeit",INDEX(Arten,MATCH(R31,Codes,0))="Arbeit"),IF(ROUND((1+INDEX(Beginne,MATCH(R31,Codes,0))-INDEX(EndeRel,MATCH(Q31,Codes,0)))*1440,0)&lt;660,1,0),0),0))</f>
      </c>
      <c r="S80" s="1">
        <f>IF(OR(S$52=0,R31="",S31=""),0,IFERROR(IF(AND(INDEX(Arten,MATCH(R31,Codes,0))="Arbeit",INDEX(Arten,MATCH(S31,Codes,0))="Arbeit"),IF(ROUND((1+INDEX(Beginne,MATCH(S31,Codes,0))-INDEX(EndeRel,MATCH(R31,Codes,0)))*1440,0)&lt;660,1,0),0),0))</f>
      </c>
      <c r="T80" s="1">
        <f>IF(OR(T$52=0,S31="",T31=""),0,IFERROR(IF(AND(INDEX(Arten,MATCH(S31,Codes,0))="Arbeit",INDEX(Arten,MATCH(T31,Codes,0))="Arbeit"),IF(ROUND((1+INDEX(Beginne,MATCH(T31,Codes,0))-INDEX(EndeRel,MATCH(S31,Codes,0)))*1440,0)&lt;660,1,0),0),0))</f>
      </c>
      <c r="U80" s="1">
        <f>IF(OR(U$52=0,T31="",U31=""),0,IFERROR(IF(AND(INDEX(Arten,MATCH(T31,Codes,0))="Arbeit",INDEX(Arten,MATCH(U31,Codes,0))="Arbeit"),IF(ROUND((1+INDEX(Beginne,MATCH(U31,Codes,0))-INDEX(EndeRel,MATCH(T31,Codes,0)))*1440,0)&lt;660,1,0),0),0))</f>
      </c>
      <c r="V80" s="1">
        <f>IF(OR(V$52=0,U31="",V31=""),0,IFERROR(IF(AND(INDEX(Arten,MATCH(U31,Codes,0))="Arbeit",INDEX(Arten,MATCH(V31,Codes,0))="Arbeit"),IF(ROUND((1+INDEX(Beginne,MATCH(V31,Codes,0))-INDEX(EndeRel,MATCH(U31,Codes,0)))*1440,0)&lt;660,1,0),0),0))</f>
      </c>
      <c r="W80" s="1">
        <f>IF(OR(W$52=0,V31="",W31=""),0,IFERROR(IF(AND(INDEX(Arten,MATCH(V31,Codes,0))="Arbeit",INDEX(Arten,MATCH(W31,Codes,0))="Arbeit"),IF(ROUND((1+INDEX(Beginne,MATCH(W31,Codes,0))-INDEX(EndeRel,MATCH(V31,Codes,0)))*1440,0)&lt;660,1,0),0),0))</f>
      </c>
      <c r="X80" s="1">
        <f>IF(OR(X$52=0,W31="",X31=""),0,IFERROR(IF(AND(INDEX(Arten,MATCH(W31,Codes,0))="Arbeit",INDEX(Arten,MATCH(X31,Codes,0))="Arbeit"),IF(ROUND((1+INDEX(Beginne,MATCH(X31,Codes,0))-INDEX(EndeRel,MATCH(W31,Codes,0)))*1440,0)&lt;660,1,0),0),0))</f>
      </c>
      <c r="Y80" s="1">
        <f>IF(OR(Y$52=0,X31="",Y31=""),0,IFERROR(IF(AND(INDEX(Arten,MATCH(X31,Codes,0))="Arbeit",INDEX(Arten,MATCH(Y31,Codes,0))="Arbeit"),IF(ROUND((1+INDEX(Beginne,MATCH(Y31,Codes,0))-INDEX(EndeRel,MATCH(X31,Codes,0)))*1440,0)&lt;660,1,0),0),0))</f>
      </c>
      <c r="Z80" s="1">
        <f>IF(OR(Z$52=0,Y31="",Z31=""),0,IFERROR(IF(AND(INDEX(Arten,MATCH(Y31,Codes,0))="Arbeit",INDEX(Arten,MATCH(Z31,Codes,0))="Arbeit"),IF(ROUND((1+INDEX(Beginne,MATCH(Z31,Codes,0))-INDEX(EndeRel,MATCH(Y31,Codes,0)))*1440,0)&lt;660,1,0),0),0))</f>
      </c>
      <c r="AA80" s="1">
        <f>IF(OR(AA$52=0,Z31="",AA31=""),0,IFERROR(IF(AND(INDEX(Arten,MATCH(Z31,Codes,0))="Arbeit",INDEX(Arten,MATCH(AA31,Codes,0))="Arbeit"),IF(ROUND((1+INDEX(Beginne,MATCH(AA31,Codes,0))-INDEX(EndeRel,MATCH(Z31,Codes,0)))*1440,0)&lt;660,1,0),0),0))</f>
      </c>
      <c r="AB80" s="1">
        <f>IF(OR(AB$52=0,AA31="",AB31=""),0,IFERROR(IF(AND(INDEX(Arten,MATCH(AA31,Codes,0))="Arbeit",INDEX(Arten,MATCH(AB31,Codes,0))="Arbeit"),IF(ROUND((1+INDEX(Beginne,MATCH(AB31,Codes,0))-INDEX(EndeRel,MATCH(AA31,Codes,0)))*1440,0)&lt;660,1,0),0),0))</f>
      </c>
      <c r="AC80" s="1">
        <f>IF(OR(AC$52=0,AB31="",AC31=""),0,IFERROR(IF(AND(INDEX(Arten,MATCH(AB31,Codes,0))="Arbeit",INDEX(Arten,MATCH(AC31,Codes,0))="Arbeit"),IF(ROUND((1+INDEX(Beginne,MATCH(AC31,Codes,0))-INDEX(EndeRel,MATCH(AB31,Codes,0)))*1440,0)&lt;660,1,0),0),0))</f>
      </c>
      <c r="AD80" s="1">
        <f>IF(OR(AD$52=0,AC31="",AD31=""),0,IFERROR(IF(AND(INDEX(Arten,MATCH(AC31,Codes,0))="Arbeit",INDEX(Arten,MATCH(AD31,Codes,0))="Arbeit"),IF(ROUND((1+INDEX(Beginne,MATCH(AD31,Codes,0))-INDEX(EndeRel,MATCH(AC31,Codes,0)))*1440,0)&lt;660,1,0),0),0))</f>
      </c>
      <c r="AE80" s="1">
        <f>IF(OR(AE$52=0,AD31="",AE31=""),0,IFERROR(IF(AND(INDEX(Arten,MATCH(AD31,Codes,0))="Arbeit",INDEX(Arten,MATCH(AE31,Codes,0))="Arbeit"),IF(ROUND((1+INDEX(Beginne,MATCH(AE31,Codes,0))-INDEX(EndeRel,MATCH(AD31,Codes,0)))*1440,0)&lt;660,1,0),0),0))</f>
      </c>
      <c r="AF80" s="1">
        <f>IF(OR(AF$52=0,AE31="",AF31=""),0,IFERROR(IF(AND(INDEX(Arten,MATCH(AE31,Codes,0))="Arbeit",INDEX(Arten,MATCH(AF31,Codes,0))="Arbeit"),IF(ROUND((1+INDEX(Beginne,MATCH(AF31,Codes,0))-INDEX(EndeRel,MATCH(AE31,Codes,0)))*1440,0)&lt;660,1,0),0),0))</f>
      </c>
    </row>
    <row r="81" hidden="1" spans="1:32" x14ac:dyDescent="0.25">
      <c r="A81" s="1"/>
      <c r="B81" s="1">
        <f>IF(OR(B$52=0,INDEX('Oktober'!$B$32:$AF$32,DAY(DATE(Jahr,11,0)))="",B32=""),0,IFERROR(IF(AND(INDEX(Arten,MATCH(INDEX('Oktober'!$B$32:$AF$32,DAY(DATE(Jahr,11,0))),Codes,0))="Arbeit",INDEX(Arten,MATCH(B32,Codes,0))="Arbeit"),IF(ROUND((1+INDEX(Beginne,MATCH(B32,Codes,0))-INDEX(EndeRel,MATCH(INDEX('Oktober'!$B$32:$AF$32,DAY(DATE(Jahr,11,0))),Codes,0)))*1440,0)&lt;660,1,0),0),0))</f>
      </c>
      <c r="C81" s="1">
        <f>IF(OR(C$52=0,B32="",C32=""),0,IFERROR(IF(AND(INDEX(Arten,MATCH(B32,Codes,0))="Arbeit",INDEX(Arten,MATCH(C32,Codes,0))="Arbeit"),IF(ROUND((1+INDEX(Beginne,MATCH(C32,Codes,0))-INDEX(EndeRel,MATCH(B32,Codes,0)))*1440,0)&lt;660,1,0),0),0))</f>
      </c>
      <c r="D81" s="1">
        <f>IF(OR(D$52=0,C32="",D32=""),0,IFERROR(IF(AND(INDEX(Arten,MATCH(C32,Codes,0))="Arbeit",INDEX(Arten,MATCH(D32,Codes,0))="Arbeit"),IF(ROUND((1+INDEX(Beginne,MATCH(D32,Codes,0))-INDEX(EndeRel,MATCH(C32,Codes,0)))*1440,0)&lt;660,1,0),0),0))</f>
      </c>
      <c r="E81" s="1">
        <f>IF(OR(E$52=0,D32="",E32=""),0,IFERROR(IF(AND(INDEX(Arten,MATCH(D32,Codes,0))="Arbeit",INDEX(Arten,MATCH(E32,Codes,0))="Arbeit"),IF(ROUND((1+INDEX(Beginne,MATCH(E32,Codes,0))-INDEX(EndeRel,MATCH(D32,Codes,0)))*1440,0)&lt;660,1,0),0),0))</f>
      </c>
      <c r="F81" s="1">
        <f>IF(OR(F$52=0,E32="",F32=""),0,IFERROR(IF(AND(INDEX(Arten,MATCH(E32,Codes,0))="Arbeit",INDEX(Arten,MATCH(F32,Codes,0))="Arbeit"),IF(ROUND((1+INDEX(Beginne,MATCH(F32,Codes,0))-INDEX(EndeRel,MATCH(E32,Codes,0)))*1440,0)&lt;660,1,0),0),0))</f>
      </c>
      <c r="G81" s="1">
        <f>IF(OR(G$52=0,F32="",G32=""),0,IFERROR(IF(AND(INDEX(Arten,MATCH(F32,Codes,0))="Arbeit",INDEX(Arten,MATCH(G32,Codes,0))="Arbeit"),IF(ROUND((1+INDEX(Beginne,MATCH(G32,Codes,0))-INDEX(EndeRel,MATCH(F32,Codes,0)))*1440,0)&lt;660,1,0),0),0))</f>
      </c>
      <c r="H81" s="1">
        <f>IF(OR(H$52=0,G32="",H32=""),0,IFERROR(IF(AND(INDEX(Arten,MATCH(G32,Codes,0))="Arbeit",INDEX(Arten,MATCH(H32,Codes,0))="Arbeit"),IF(ROUND((1+INDEX(Beginne,MATCH(H32,Codes,0))-INDEX(EndeRel,MATCH(G32,Codes,0)))*1440,0)&lt;660,1,0),0),0))</f>
      </c>
      <c r="I81" s="1">
        <f>IF(OR(I$52=0,H32="",I32=""),0,IFERROR(IF(AND(INDEX(Arten,MATCH(H32,Codes,0))="Arbeit",INDEX(Arten,MATCH(I32,Codes,0))="Arbeit"),IF(ROUND((1+INDEX(Beginne,MATCH(I32,Codes,0))-INDEX(EndeRel,MATCH(H32,Codes,0)))*1440,0)&lt;660,1,0),0),0))</f>
      </c>
      <c r="J81" s="1">
        <f>IF(OR(J$52=0,I32="",J32=""),0,IFERROR(IF(AND(INDEX(Arten,MATCH(I32,Codes,0))="Arbeit",INDEX(Arten,MATCH(J32,Codes,0))="Arbeit"),IF(ROUND((1+INDEX(Beginne,MATCH(J32,Codes,0))-INDEX(EndeRel,MATCH(I32,Codes,0)))*1440,0)&lt;660,1,0),0),0))</f>
      </c>
      <c r="K81" s="1">
        <f>IF(OR(K$52=0,J32="",K32=""),0,IFERROR(IF(AND(INDEX(Arten,MATCH(J32,Codes,0))="Arbeit",INDEX(Arten,MATCH(K32,Codes,0))="Arbeit"),IF(ROUND((1+INDEX(Beginne,MATCH(K32,Codes,0))-INDEX(EndeRel,MATCH(J32,Codes,0)))*1440,0)&lt;660,1,0),0),0))</f>
      </c>
      <c r="L81" s="1">
        <f>IF(OR(L$52=0,K32="",L32=""),0,IFERROR(IF(AND(INDEX(Arten,MATCH(K32,Codes,0))="Arbeit",INDEX(Arten,MATCH(L32,Codes,0))="Arbeit"),IF(ROUND((1+INDEX(Beginne,MATCH(L32,Codes,0))-INDEX(EndeRel,MATCH(K32,Codes,0)))*1440,0)&lt;660,1,0),0),0))</f>
      </c>
      <c r="M81" s="1">
        <f>IF(OR(M$52=0,L32="",M32=""),0,IFERROR(IF(AND(INDEX(Arten,MATCH(L32,Codes,0))="Arbeit",INDEX(Arten,MATCH(M32,Codes,0))="Arbeit"),IF(ROUND((1+INDEX(Beginne,MATCH(M32,Codes,0))-INDEX(EndeRel,MATCH(L32,Codes,0)))*1440,0)&lt;660,1,0),0),0))</f>
      </c>
      <c r="N81" s="1">
        <f>IF(OR(N$52=0,M32="",N32=""),0,IFERROR(IF(AND(INDEX(Arten,MATCH(M32,Codes,0))="Arbeit",INDEX(Arten,MATCH(N32,Codes,0))="Arbeit"),IF(ROUND((1+INDEX(Beginne,MATCH(N32,Codes,0))-INDEX(EndeRel,MATCH(M32,Codes,0)))*1440,0)&lt;660,1,0),0),0))</f>
      </c>
      <c r="O81" s="1">
        <f>IF(OR(O$52=0,N32="",O32=""),0,IFERROR(IF(AND(INDEX(Arten,MATCH(N32,Codes,0))="Arbeit",INDEX(Arten,MATCH(O32,Codes,0))="Arbeit"),IF(ROUND((1+INDEX(Beginne,MATCH(O32,Codes,0))-INDEX(EndeRel,MATCH(N32,Codes,0)))*1440,0)&lt;660,1,0),0),0))</f>
      </c>
      <c r="P81" s="1">
        <f>IF(OR(P$52=0,O32="",P32=""),0,IFERROR(IF(AND(INDEX(Arten,MATCH(O32,Codes,0))="Arbeit",INDEX(Arten,MATCH(P32,Codes,0))="Arbeit"),IF(ROUND((1+INDEX(Beginne,MATCH(P32,Codes,0))-INDEX(EndeRel,MATCH(O32,Codes,0)))*1440,0)&lt;660,1,0),0),0))</f>
      </c>
      <c r="Q81" s="1">
        <f>IF(OR(Q$52=0,P32="",Q32=""),0,IFERROR(IF(AND(INDEX(Arten,MATCH(P32,Codes,0))="Arbeit",INDEX(Arten,MATCH(Q32,Codes,0))="Arbeit"),IF(ROUND((1+INDEX(Beginne,MATCH(Q32,Codes,0))-INDEX(EndeRel,MATCH(P32,Codes,0)))*1440,0)&lt;660,1,0),0),0))</f>
      </c>
      <c r="R81" s="1">
        <f>IF(OR(R$52=0,Q32="",R32=""),0,IFERROR(IF(AND(INDEX(Arten,MATCH(Q32,Codes,0))="Arbeit",INDEX(Arten,MATCH(R32,Codes,0))="Arbeit"),IF(ROUND((1+INDEX(Beginne,MATCH(R32,Codes,0))-INDEX(EndeRel,MATCH(Q32,Codes,0)))*1440,0)&lt;660,1,0),0),0))</f>
      </c>
      <c r="S81" s="1">
        <f>IF(OR(S$52=0,R32="",S32=""),0,IFERROR(IF(AND(INDEX(Arten,MATCH(R32,Codes,0))="Arbeit",INDEX(Arten,MATCH(S32,Codes,0))="Arbeit"),IF(ROUND((1+INDEX(Beginne,MATCH(S32,Codes,0))-INDEX(EndeRel,MATCH(R32,Codes,0)))*1440,0)&lt;660,1,0),0),0))</f>
      </c>
      <c r="T81" s="1">
        <f>IF(OR(T$52=0,S32="",T32=""),0,IFERROR(IF(AND(INDEX(Arten,MATCH(S32,Codes,0))="Arbeit",INDEX(Arten,MATCH(T32,Codes,0))="Arbeit"),IF(ROUND((1+INDEX(Beginne,MATCH(T32,Codes,0))-INDEX(EndeRel,MATCH(S32,Codes,0)))*1440,0)&lt;660,1,0),0),0))</f>
      </c>
      <c r="U81" s="1">
        <f>IF(OR(U$52=0,T32="",U32=""),0,IFERROR(IF(AND(INDEX(Arten,MATCH(T32,Codes,0))="Arbeit",INDEX(Arten,MATCH(U32,Codes,0))="Arbeit"),IF(ROUND((1+INDEX(Beginne,MATCH(U32,Codes,0))-INDEX(EndeRel,MATCH(T32,Codes,0)))*1440,0)&lt;660,1,0),0),0))</f>
      </c>
      <c r="V81" s="1">
        <f>IF(OR(V$52=0,U32="",V32=""),0,IFERROR(IF(AND(INDEX(Arten,MATCH(U32,Codes,0))="Arbeit",INDEX(Arten,MATCH(V32,Codes,0))="Arbeit"),IF(ROUND((1+INDEX(Beginne,MATCH(V32,Codes,0))-INDEX(EndeRel,MATCH(U32,Codes,0)))*1440,0)&lt;660,1,0),0),0))</f>
      </c>
      <c r="W81" s="1">
        <f>IF(OR(W$52=0,V32="",W32=""),0,IFERROR(IF(AND(INDEX(Arten,MATCH(V32,Codes,0))="Arbeit",INDEX(Arten,MATCH(W32,Codes,0))="Arbeit"),IF(ROUND((1+INDEX(Beginne,MATCH(W32,Codes,0))-INDEX(EndeRel,MATCH(V32,Codes,0)))*1440,0)&lt;660,1,0),0),0))</f>
      </c>
      <c r="X81" s="1">
        <f>IF(OR(X$52=0,W32="",X32=""),0,IFERROR(IF(AND(INDEX(Arten,MATCH(W32,Codes,0))="Arbeit",INDEX(Arten,MATCH(X32,Codes,0))="Arbeit"),IF(ROUND((1+INDEX(Beginne,MATCH(X32,Codes,0))-INDEX(EndeRel,MATCH(W32,Codes,0)))*1440,0)&lt;660,1,0),0),0))</f>
      </c>
      <c r="Y81" s="1">
        <f>IF(OR(Y$52=0,X32="",Y32=""),0,IFERROR(IF(AND(INDEX(Arten,MATCH(X32,Codes,0))="Arbeit",INDEX(Arten,MATCH(Y32,Codes,0))="Arbeit"),IF(ROUND((1+INDEX(Beginne,MATCH(Y32,Codes,0))-INDEX(EndeRel,MATCH(X32,Codes,0)))*1440,0)&lt;660,1,0),0),0))</f>
      </c>
      <c r="Z81" s="1">
        <f>IF(OR(Z$52=0,Y32="",Z32=""),0,IFERROR(IF(AND(INDEX(Arten,MATCH(Y32,Codes,0))="Arbeit",INDEX(Arten,MATCH(Z32,Codes,0))="Arbeit"),IF(ROUND((1+INDEX(Beginne,MATCH(Z32,Codes,0))-INDEX(EndeRel,MATCH(Y32,Codes,0)))*1440,0)&lt;660,1,0),0),0))</f>
      </c>
      <c r="AA81" s="1">
        <f>IF(OR(AA$52=0,Z32="",AA32=""),0,IFERROR(IF(AND(INDEX(Arten,MATCH(Z32,Codes,0))="Arbeit",INDEX(Arten,MATCH(AA32,Codes,0))="Arbeit"),IF(ROUND((1+INDEX(Beginne,MATCH(AA32,Codes,0))-INDEX(EndeRel,MATCH(Z32,Codes,0)))*1440,0)&lt;660,1,0),0),0))</f>
      </c>
      <c r="AB81" s="1">
        <f>IF(OR(AB$52=0,AA32="",AB32=""),0,IFERROR(IF(AND(INDEX(Arten,MATCH(AA32,Codes,0))="Arbeit",INDEX(Arten,MATCH(AB32,Codes,0))="Arbeit"),IF(ROUND((1+INDEX(Beginne,MATCH(AB32,Codes,0))-INDEX(EndeRel,MATCH(AA32,Codes,0)))*1440,0)&lt;660,1,0),0),0))</f>
      </c>
      <c r="AC81" s="1">
        <f>IF(OR(AC$52=0,AB32="",AC32=""),0,IFERROR(IF(AND(INDEX(Arten,MATCH(AB32,Codes,0))="Arbeit",INDEX(Arten,MATCH(AC32,Codes,0))="Arbeit"),IF(ROUND((1+INDEX(Beginne,MATCH(AC32,Codes,0))-INDEX(EndeRel,MATCH(AB32,Codes,0)))*1440,0)&lt;660,1,0),0),0))</f>
      </c>
      <c r="AD81" s="1">
        <f>IF(OR(AD$52=0,AC32="",AD32=""),0,IFERROR(IF(AND(INDEX(Arten,MATCH(AC32,Codes,0))="Arbeit",INDEX(Arten,MATCH(AD32,Codes,0))="Arbeit"),IF(ROUND((1+INDEX(Beginne,MATCH(AD32,Codes,0))-INDEX(EndeRel,MATCH(AC32,Codes,0)))*1440,0)&lt;660,1,0),0),0))</f>
      </c>
      <c r="AE81" s="1">
        <f>IF(OR(AE$52=0,AD32="",AE32=""),0,IFERROR(IF(AND(INDEX(Arten,MATCH(AD32,Codes,0))="Arbeit",INDEX(Arten,MATCH(AE32,Codes,0))="Arbeit"),IF(ROUND((1+INDEX(Beginne,MATCH(AE32,Codes,0))-INDEX(EndeRel,MATCH(AD32,Codes,0)))*1440,0)&lt;660,1,0),0),0))</f>
      </c>
      <c r="AF81" s="1">
        <f>IF(OR(AF$52=0,AE32="",AF32=""),0,IFERROR(IF(AND(INDEX(Arten,MATCH(AE32,Codes,0))="Arbeit",INDEX(Arten,MATCH(AF32,Codes,0))="Arbeit"),IF(ROUND((1+INDEX(Beginne,MATCH(AF32,Codes,0))-INDEX(EndeRel,MATCH(AE32,Codes,0)))*1440,0)&lt;660,1,0),0),0))</f>
      </c>
    </row>
    <row r="82" hidden="1" spans="1:32" x14ac:dyDescent="0.25">
      <c r="A82" s="1"/>
      <c r="B82" s="1">
        <f>IF(OR(B$52=0,INDEX('Oktober'!$B$33:$AF$33,DAY(DATE(Jahr,11,0)))="",B33=""),0,IFERROR(IF(AND(INDEX(Arten,MATCH(INDEX('Oktober'!$B$33:$AF$33,DAY(DATE(Jahr,11,0))),Codes,0))="Arbeit",INDEX(Arten,MATCH(B33,Codes,0))="Arbeit"),IF(ROUND((1+INDEX(Beginne,MATCH(B33,Codes,0))-INDEX(EndeRel,MATCH(INDEX('Oktober'!$B$33:$AF$33,DAY(DATE(Jahr,11,0))),Codes,0)))*1440,0)&lt;660,1,0),0),0))</f>
      </c>
      <c r="C82" s="1">
        <f>IF(OR(C$52=0,B33="",C33=""),0,IFERROR(IF(AND(INDEX(Arten,MATCH(B33,Codes,0))="Arbeit",INDEX(Arten,MATCH(C33,Codes,0))="Arbeit"),IF(ROUND((1+INDEX(Beginne,MATCH(C33,Codes,0))-INDEX(EndeRel,MATCH(B33,Codes,0)))*1440,0)&lt;660,1,0),0),0))</f>
      </c>
      <c r="D82" s="1">
        <f>IF(OR(D$52=0,C33="",D33=""),0,IFERROR(IF(AND(INDEX(Arten,MATCH(C33,Codes,0))="Arbeit",INDEX(Arten,MATCH(D33,Codes,0))="Arbeit"),IF(ROUND((1+INDEX(Beginne,MATCH(D33,Codes,0))-INDEX(EndeRel,MATCH(C33,Codes,0)))*1440,0)&lt;660,1,0),0),0))</f>
      </c>
      <c r="E82" s="1">
        <f>IF(OR(E$52=0,D33="",E33=""),0,IFERROR(IF(AND(INDEX(Arten,MATCH(D33,Codes,0))="Arbeit",INDEX(Arten,MATCH(E33,Codes,0))="Arbeit"),IF(ROUND((1+INDEX(Beginne,MATCH(E33,Codes,0))-INDEX(EndeRel,MATCH(D33,Codes,0)))*1440,0)&lt;660,1,0),0),0))</f>
      </c>
      <c r="F82" s="1">
        <f>IF(OR(F$52=0,E33="",F33=""),0,IFERROR(IF(AND(INDEX(Arten,MATCH(E33,Codes,0))="Arbeit",INDEX(Arten,MATCH(F33,Codes,0))="Arbeit"),IF(ROUND((1+INDEX(Beginne,MATCH(F33,Codes,0))-INDEX(EndeRel,MATCH(E33,Codes,0)))*1440,0)&lt;660,1,0),0),0))</f>
      </c>
      <c r="G82" s="1">
        <f>IF(OR(G$52=0,F33="",G33=""),0,IFERROR(IF(AND(INDEX(Arten,MATCH(F33,Codes,0))="Arbeit",INDEX(Arten,MATCH(G33,Codes,0))="Arbeit"),IF(ROUND((1+INDEX(Beginne,MATCH(G33,Codes,0))-INDEX(EndeRel,MATCH(F33,Codes,0)))*1440,0)&lt;660,1,0),0),0))</f>
      </c>
      <c r="H82" s="1">
        <f>IF(OR(H$52=0,G33="",H33=""),0,IFERROR(IF(AND(INDEX(Arten,MATCH(G33,Codes,0))="Arbeit",INDEX(Arten,MATCH(H33,Codes,0))="Arbeit"),IF(ROUND((1+INDEX(Beginne,MATCH(H33,Codes,0))-INDEX(EndeRel,MATCH(G33,Codes,0)))*1440,0)&lt;660,1,0),0),0))</f>
      </c>
      <c r="I82" s="1">
        <f>IF(OR(I$52=0,H33="",I33=""),0,IFERROR(IF(AND(INDEX(Arten,MATCH(H33,Codes,0))="Arbeit",INDEX(Arten,MATCH(I33,Codes,0))="Arbeit"),IF(ROUND((1+INDEX(Beginne,MATCH(I33,Codes,0))-INDEX(EndeRel,MATCH(H33,Codes,0)))*1440,0)&lt;660,1,0),0),0))</f>
      </c>
      <c r="J82" s="1">
        <f>IF(OR(J$52=0,I33="",J33=""),0,IFERROR(IF(AND(INDEX(Arten,MATCH(I33,Codes,0))="Arbeit",INDEX(Arten,MATCH(J33,Codes,0))="Arbeit"),IF(ROUND((1+INDEX(Beginne,MATCH(J33,Codes,0))-INDEX(EndeRel,MATCH(I33,Codes,0)))*1440,0)&lt;660,1,0),0),0))</f>
      </c>
      <c r="K82" s="1">
        <f>IF(OR(K$52=0,J33="",K33=""),0,IFERROR(IF(AND(INDEX(Arten,MATCH(J33,Codes,0))="Arbeit",INDEX(Arten,MATCH(K33,Codes,0))="Arbeit"),IF(ROUND((1+INDEX(Beginne,MATCH(K33,Codes,0))-INDEX(EndeRel,MATCH(J33,Codes,0)))*1440,0)&lt;660,1,0),0),0))</f>
      </c>
      <c r="L82" s="1">
        <f>IF(OR(L$52=0,K33="",L33=""),0,IFERROR(IF(AND(INDEX(Arten,MATCH(K33,Codes,0))="Arbeit",INDEX(Arten,MATCH(L33,Codes,0))="Arbeit"),IF(ROUND((1+INDEX(Beginne,MATCH(L33,Codes,0))-INDEX(EndeRel,MATCH(K33,Codes,0)))*1440,0)&lt;660,1,0),0),0))</f>
      </c>
      <c r="M82" s="1">
        <f>IF(OR(M$52=0,L33="",M33=""),0,IFERROR(IF(AND(INDEX(Arten,MATCH(L33,Codes,0))="Arbeit",INDEX(Arten,MATCH(M33,Codes,0))="Arbeit"),IF(ROUND((1+INDEX(Beginne,MATCH(M33,Codes,0))-INDEX(EndeRel,MATCH(L33,Codes,0)))*1440,0)&lt;660,1,0),0),0))</f>
      </c>
      <c r="N82" s="1">
        <f>IF(OR(N$52=0,M33="",N33=""),0,IFERROR(IF(AND(INDEX(Arten,MATCH(M33,Codes,0))="Arbeit",INDEX(Arten,MATCH(N33,Codes,0))="Arbeit"),IF(ROUND((1+INDEX(Beginne,MATCH(N33,Codes,0))-INDEX(EndeRel,MATCH(M33,Codes,0)))*1440,0)&lt;660,1,0),0),0))</f>
      </c>
      <c r="O82" s="1">
        <f>IF(OR(O$52=0,N33="",O33=""),0,IFERROR(IF(AND(INDEX(Arten,MATCH(N33,Codes,0))="Arbeit",INDEX(Arten,MATCH(O33,Codes,0))="Arbeit"),IF(ROUND((1+INDEX(Beginne,MATCH(O33,Codes,0))-INDEX(EndeRel,MATCH(N33,Codes,0)))*1440,0)&lt;660,1,0),0),0))</f>
      </c>
      <c r="P82" s="1">
        <f>IF(OR(P$52=0,O33="",P33=""),0,IFERROR(IF(AND(INDEX(Arten,MATCH(O33,Codes,0))="Arbeit",INDEX(Arten,MATCH(P33,Codes,0))="Arbeit"),IF(ROUND((1+INDEX(Beginne,MATCH(P33,Codes,0))-INDEX(EndeRel,MATCH(O33,Codes,0)))*1440,0)&lt;660,1,0),0),0))</f>
      </c>
      <c r="Q82" s="1">
        <f>IF(OR(Q$52=0,P33="",Q33=""),0,IFERROR(IF(AND(INDEX(Arten,MATCH(P33,Codes,0))="Arbeit",INDEX(Arten,MATCH(Q33,Codes,0))="Arbeit"),IF(ROUND((1+INDEX(Beginne,MATCH(Q33,Codes,0))-INDEX(EndeRel,MATCH(P33,Codes,0)))*1440,0)&lt;660,1,0),0),0))</f>
      </c>
      <c r="R82" s="1">
        <f>IF(OR(R$52=0,Q33="",R33=""),0,IFERROR(IF(AND(INDEX(Arten,MATCH(Q33,Codes,0))="Arbeit",INDEX(Arten,MATCH(R33,Codes,0))="Arbeit"),IF(ROUND((1+INDEX(Beginne,MATCH(R33,Codes,0))-INDEX(EndeRel,MATCH(Q33,Codes,0)))*1440,0)&lt;660,1,0),0),0))</f>
      </c>
      <c r="S82" s="1">
        <f>IF(OR(S$52=0,R33="",S33=""),0,IFERROR(IF(AND(INDEX(Arten,MATCH(R33,Codes,0))="Arbeit",INDEX(Arten,MATCH(S33,Codes,0))="Arbeit"),IF(ROUND((1+INDEX(Beginne,MATCH(S33,Codes,0))-INDEX(EndeRel,MATCH(R33,Codes,0)))*1440,0)&lt;660,1,0),0),0))</f>
      </c>
      <c r="T82" s="1">
        <f>IF(OR(T$52=0,S33="",T33=""),0,IFERROR(IF(AND(INDEX(Arten,MATCH(S33,Codes,0))="Arbeit",INDEX(Arten,MATCH(T33,Codes,0))="Arbeit"),IF(ROUND((1+INDEX(Beginne,MATCH(T33,Codes,0))-INDEX(EndeRel,MATCH(S33,Codes,0)))*1440,0)&lt;660,1,0),0),0))</f>
      </c>
      <c r="U82" s="1">
        <f>IF(OR(U$52=0,T33="",U33=""),0,IFERROR(IF(AND(INDEX(Arten,MATCH(T33,Codes,0))="Arbeit",INDEX(Arten,MATCH(U33,Codes,0))="Arbeit"),IF(ROUND((1+INDEX(Beginne,MATCH(U33,Codes,0))-INDEX(EndeRel,MATCH(T33,Codes,0)))*1440,0)&lt;660,1,0),0),0))</f>
      </c>
      <c r="V82" s="1">
        <f>IF(OR(V$52=0,U33="",V33=""),0,IFERROR(IF(AND(INDEX(Arten,MATCH(U33,Codes,0))="Arbeit",INDEX(Arten,MATCH(V33,Codes,0))="Arbeit"),IF(ROUND((1+INDEX(Beginne,MATCH(V33,Codes,0))-INDEX(EndeRel,MATCH(U33,Codes,0)))*1440,0)&lt;660,1,0),0),0))</f>
      </c>
      <c r="W82" s="1">
        <f>IF(OR(W$52=0,V33="",W33=""),0,IFERROR(IF(AND(INDEX(Arten,MATCH(V33,Codes,0))="Arbeit",INDEX(Arten,MATCH(W33,Codes,0))="Arbeit"),IF(ROUND((1+INDEX(Beginne,MATCH(W33,Codes,0))-INDEX(EndeRel,MATCH(V33,Codes,0)))*1440,0)&lt;660,1,0),0),0))</f>
      </c>
      <c r="X82" s="1">
        <f>IF(OR(X$52=0,W33="",X33=""),0,IFERROR(IF(AND(INDEX(Arten,MATCH(W33,Codes,0))="Arbeit",INDEX(Arten,MATCH(X33,Codes,0))="Arbeit"),IF(ROUND((1+INDEX(Beginne,MATCH(X33,Codes,0))-INDEX(EndeRel,MATCH(W33,Codes,0)))*1440,0)&lt;660,1,0),0),0))</f>
      </c>
      <c r="Y82" s="1">
        <f>IF(OR(Y$52=0,X33="",Y33=""),0,IFERROR(IF(AND(INDEX(Arten,MATCH(X33,Codes,0))="Arbeit",INDEX(Arten,MATCH(Y33,Codes,0))="Arbeit"),IF(ROUND((1+INDEX(Beginne,MATCH(Y33,Codes,0))-INDEX(EndeRel,MATCH(X33,Codes,0)))*1440,0)&lt;660,1,0),0),0))</f>
      </c>
      <c r="Z82" s="1">
        <f>IF(OR(Z$52=0,Y33="",Z33=""),0,IFERROR(IF(AND(INDEX(Arten,MATCH(Y33,Codes,0))="Arbeit",INDEX(Arten,MATCH(Z33,Codes,0))="Arbeit"),IF(ROUND((1+INDEX(Beginne,MATCH(Z33,Codes,0))-INDEX(EndeRel,MATCH(Y33,Codes,0)))*1440,0)&lt;660,1,0),0),0))</f>
      </c>
      <c r="AA82" s="1">
        <f>IF(OR(AA$52=0,Z33="",AA33=""),0,IFERROR(IF(AND(INDEX(Arten,MATCH(Z33,Codes,0))="Arbeit",INDEX(Arten,MATCH(AA33,Codes,0))="Arbeit"),IF(ROUND((1+INDEX(Beginne,MATCH(AA33,Codes,0))-INDEX(EndeRel,MATCH(Z33,Codes,0)))*1440,0)&lt;660,1,0),0),0))</f>
      </c>
      <c r="AB82" s="1">
        <f>IF(OR(AB$52=0,AA33="",AB33=""),0,IFERROR(IF(AND(INDEX(Arten,MATCH(AA33,Codes,0))="Arbeit",INDEX(Arten,MATCH(AB33,Codes,0))="Arbeit"),IF(ROUND((1+INDEX(Beginne,MATCH(AB33,Codes,0))-INDEX(EndeRel,MATCH(AA33,Codes,0)))*1440,0)&lt;660,1,0),0),0))</f>
      </c>
      <c r="AC82" s="1">
        <f>IF(OR(AC$52=0,AB33="",AC33=""),0,IFERROR(IF(AND(INDEX(Arten,MATCH(AB33,Codes,0))="Arbeit",INDEX(Arten,MATCH(AC33,Codes,0))="Arbeit"),IF(ROUND((1+INDEX(Beginne,MATCH(AC33,Codes,0))-INDEX(EndeRel,MATCH(AB33,Codes,0)))*1440,0)&lt;660,1,0),0),0))</f>
      </c>
      <c r="AD82" s="1">
        <f>IF(OR(AD$52=0,AC33="",AD33=""),0,IFERROR(IF(AND(INDEX(Arten,MATCH(AC33,Codes,0))="Arbeit",INDEX(Arten,MATCH(AD33,Codes,0))="Arbeit"),IF(ROUND((1+INDEX(Beginne,MATCH(AD33,Codes,0))-INDEX(EndeRel,MATCH(AC33,Codes,0)))*1440,0)&lt;660,1,0),0),0))</f>
      </c>
      <c r="AE82" s="1">
        <f>IF(OR(AE$52=0,AD33="",AE33=""),0,IFERROR(IF(AND(INDEX(Arten,MATCH(AD33,Codes,0))="Arbeit",INDEX(Arten,MATCH(AE33,Codes,0))="Arbeit"),IF(ROUND((1+INDEX(Beginne,MATCH(AE33,Codes,0))-INDEX(EndeRel,MATCH(AD33,Codes,0)))*1440,0)&lt;660,1,0),0),0))</f>
      </c>
      <c r="AF82" s="1">
        <f>IF(OR(AF$52=0,AE33="",AF33=""),0,IFERROR(IF(AND(INDEX(Arten,MATCH(AE33,Codes,0))="Arbeit",INDEX(Arten,MATCH(AF33,Codes,0))="Arbeit"),IF(ROUND((1+INDEX(Beginne,MATCH(AF33,Codes,0))-INDEX(EndeRel,MATCH(AE33,Codes,0)))*1440,0)&lt;660,1,0),0),0))</f>
      </c>
    </row>
    <row r="83" hidden="1" spans="1:32" x14ac:dyDescent="0.25">
      <c r="A83" s="1"/>
      <c r="B83" s="1">
        <f>IF(OR(B$52=0,INDEX('Oktober'!$B$34:$AF$34,DAY(DATE(Jahr,11,0)))="",B34=""),0,IFERROR(IF(AND(INDEX(Arten,MATCH(INDEX('Oktober'!$B$34:$AF$34,DAY(DATE(Jahr,11,0))),Codes,0))="Arbeit",INDEX(Arten,MATCH(B34,Codes,0))="Arbeit"),IF(ROUND((1+INDEX(Beginne,MATCH(B34,Codes,0))-INDEX(EndeRel,MATCH(INDEX('Oktober'!$B$34:$AF$34,DAY(DATE(Jahr,11,0))),Codes,0)))*1440,0)&lt;660,1,0),0),0))</f>
      </c>
      <c r="C83" s="1">
        <f>IF(OR(C$52=0,B34="",C34=""),0,IFERROR(IF(AND(INDEX(Arten,MATCH(B34,Codes,0))="Arbeit",INDEX(Arten,MATCH(C34,Codes,0))="Arbeit"),IF(ROUND((1+INDEX(Beginne,MATCH(C34,Codes,0))-INDEX(EndeRel,MATCH(B34,Codes,0)))*1440,0)&lt;660,1,0),0),0))</f>
      </c>
      <c r="D83" s="1">
        <f>IF(OR(D$52=0,C34="",D34=""),0,IFERROR(IF(AND(INDEX(Arten,MATCH(C34,Codes,0))="Arbeit",INDEX(Arten,MATCH(D34,Codes,0))="Arbeit"),IF(ROUND((1+INDEX(Beginne,MATCH(D34,Codes,0))-INDEX(EndeRel,MATCH(C34,Codes,0)))*1440,0)&lt;660,1,0),0),0))</f>
      </c>
      <c r="E83" s="1">
        <f>IF(OR(E$52=0,D34="",E34=""),0,IFERROR(IF(AND(INDEX(Arten,MATCH(D34,Codes,0))="Arbeit",INDEX(Arten,MATCH(E34,Codes,0))="Arbeit"),IF(ROUND((1+INDEX(Beginne,MATCH(E34,Codes,0))-INDEX(EndeRel,MATCH(D34,Codes,0)))*1440,0)&lt;660,1,0),0),0))</f>
      </c>
      <c r="F83" s="1">
        <f>IF(OR(F$52=0,E34="",F34=""),0,IFERROR(IF(AND(INDEX(Arten,MATCH(E34,Codes,0))="Arbeit",INDEX(Arten,MATCH(F34,Codes,0))="Arbeit"),IF(ROUND((1+INDEX(Beginne,MATCH(F34,Codes,0))-INDEX(EndeRel,MATCH(E34,Codes,0)))*1440,0)&lt;660,1,0),0),0))</f>
      </c>
      <c r="G83" s="1">
        <f>IF(OR(G$52=0,F34="",G34=""),0,IFERROR(IF(AND(INDEX(Arten,MATCH(F34,Codes,0))="Arbeit",INDEX(Arten,MATCH(G34,Codes,0))="Arbeit"),IF(ROUND((1+INDEX(Beginne,MATCH(G34,Codes,0))-INDEX(EndeRel,MATCH(F34,Codes,0)))*1440,0)&lt;660,1,0),0),0))</f>
      </c>
      <c r="H83" s="1">
        <f>IF(OR(H$52=0,G34="",H34=""),0,IFERROR(IF(AND(INDEX(Arten,MATCH(G34,Codes,0))="Arbeit",INDEX(Arten,MATCH(H34,Codes,0))="Arbeit"),IF(ROUND((1+INDEX(Beginne,MATCH(H34,Codes,0))-INDEX(EndeRel,MATCH(G34,Codes,0)))*1440,0)&lt;660,1,0),0),0))</f>
      </c>
      <c r="I83" s="1">
        <f>IF(OR(I$52=0,H34="",I34=""),0,IFERROR(IF(AND(INDEX(Arten,MATCH(H34,Codes,0))="Arbeit",INDEX(Arten,MATCH(I34,Codes,0))="Arbeit"),IF(ROUND((1+INDEX(Beginne,MATCH(I34,Codes,0))-INDEX(EndeRel,MATCH(H34,Codes,0)))*1440,0)&lt;660,1,0),0),0))</f>
      </c>
      <c r="J83" s="1">
        <f>IF(OR(J$52=0,I34="",J34=""),0,IFERROR(IF(AND(INDEX(Arten,MATCH(I34,Codes,0))="Arbeit",INDEX(Arten,MATCH(J34,Codes,0))="Arbeit"),IF(ROUND((1+INDEX(Beginne,MATCH(J34,Codes,0))-INDEX(EndeRel,MATCH(I34,Codes,0)))*1440,0)&lt;660,1,0),0),0))</f>
      </c>
      <c r="K83" s="1">
        <f>IF(OR(K$52=0,J34="",K34=""),0,IFERROR(IF(AND(INDEX(Arten,MATCH(J34,Codes,0))="Arbeit",INDEX(Arten,MATCH(K34,Codes,0))="Arbeit"),IF(ROUND((1+INDEX(Beginne,MATCH(K34,Codes,0))-INDEX(EndeRel,MATCH(J34,Codes,0)))*1440,0)&lt;660,1,0),0),0))</f>
      </c>
      <c r="L83" s="1">
        <f>IF(OR(L$52=0,K34="",L34=""),0,IFERROR(IF(AND(INDEX(Arten,MATCH(K34,Codes,0))="Arbeit",INDEX(Arten,MATCH(L34,Codes,0))="Arbeit"),IF(ROUND((1+INDEX(Beginne,MATCH(L34,Codes,0))-INDEX(EndeRel,MATCH(K34,Codes,0)))*1440,0)&lt;660,1,0),0),0))</f>
      </c>
      <c r="M83" s="1">
        <f>IF(OR(M$52=0,L34="",M34=""),0,IFERROR(IF(AND(INDEX(Arten,MATCH(L34,Codes,0))="Arbeit",INDEX(Arten,MATCH(M34,Codes,0))="Arbeit"),IF(ROUND((1+INDEX(Beginne,MATCH(M34,Codes,0))-INDEX(EndeRel,MATCH(L34,Codes,0)))*1440,0)&lt;660,1,0),0),0))</f>
      </c>
      <c r="N83" s="1">
        <f>IF(OR(N$52=0,M34="",N34=""),0,IFERROR(IF(AND(INDEX(Arten,MATCH(M34,Codes,0))="Arbeit",INDEX(Arten,MATCH(N34,Codes,0))="Arbeit"),IF(ROUND((1+INDEX(Beginne,MATCH(N34,Codes,0))-INDEX(EndeRel,MATCH(M34,Codes,0)))*1440,0)&lt;660,1,0),0),0))</f>
      </c>
      <c r="O83" s="1">
        <f>IF(OR(O$52=0,N34="",O34=""),0,IFERROR(IF(AND(INDEX(Arten,MATCH(N34,Codes,0))="Arbeit",INDEX(Arten,MATCH(O34,Codes,0))="Arbeit"),IF(ROUND((1+INDEX(Beginne,MATCH(O34,Codes,0))-INDEX(EndeRel,MATCH(N34,Codes,0)))*1440,0)&lt;660,1,0),0),0))</f>
      </c>
      <c r="P83" s="1">
        <f>IF(OR(P$52=0,O34="",P34=""),0,IFERROR(IF(AND(INDEX(Arten,MATCH(O34,Codes,0))="Arbeit",INDEX(Arten,MATCH(P34,Codes,0))="Arbeit"),IF(ROUND((1+INDEX(Beginne,MATCH(P34,Codes,0))-INDEX(EndeRel,MATCH(O34,Codes,0)))*1440,0)&lt;660,1,0),0),0))</f>
      </c>
      <c r="Q83" s="1">
        <f>IF(OR(Q$52=0,P34="",Q34=""),0,IFERROR(IF(AND(INDEX(Arten,MATCH(P34,Codes,0))="Arbeit",INDEX(Arten,MATCH(Q34,Codes,0))="Arbeit"),IF(ROUND((1+INDEX(Beginne,MATCH(Q34,Codes,0))-INDEX(EndeRel,MATCH(P34,Codes,0)))*1440,0)&lt;660,1,0),0),0))</f>
      </c>
      <c r="R83" s="1">
        <f>IF(OR(R$52=0,Q34="",R34=""),0,IFERROR(IF(AND(INDEX(Arten,MATCH(Q34,Codes,0))="Arbeit",INDEX(Arten,MATCH(R34,Codes,0))="Arbeit"),IF(ROUND((1+INDEX(Beginne,MATCH(R34,Codes,0))-INDEX(EndeRel,MATCH(Q34,Codes,0)))*1440,0)&lt;660,1,0),0),0))</f>
      </c>
      <c r="S83" s="1">
        <f>IF(OR(S$52=0,R34="",S34=""),0,IFERROR(IF(AND(INDEX(Arten,MATCH(R34,Codes,0))="Arbeit",INDEX(Arten,MATCH(S34,Codes,0))="Arbeit"),IF(ROUND((1+INDEX(Beginne,MATCH(S34,Codes,0))-INDEX(EndeRel,MATCH(R34,Codes,0)))*1440,0)&lt;660,1,0),0),0))</f>
      </c>
      <c r="T83" s="1">
        <f>IF(OR(T$52=0,S34="",T34=""),0,IFERROR(IF(AND(INDEX(Arten,MATCH(S34,Codes,0))="Arbeit",INDEX(Arten,MATCH(T34,Codes,0))="Arbeit"),IF(ROUND((1+INDEX(Beginne,MATCH(T34,Codes,0))-INDEX(EndeRel,MATCH(S34,Codes,0)))*1440,0)&lt;660,1,0),0),0))</f>
      </c>
      <c r="U83" s="1">
        <f>IF(OR(U$52=0,T34="",U34=""),0,IFERROR(IF(AND(INDEX(Arten,MATCH(T34,Codes,0))="Arbeit",INDEX(Arten,MATCH(U34,Codes,0))="Arbeit"),IF(ROUND((1+INDEX(Beginne,MATCH(U34,Codes,0))-INDEX(EndeRel,MATCH(T34,Codes,0)))*1440,0)&lt;660,1,0),0),0))</f>
      </c>
      <c r="V83" s="1">
        <f>IF(OR(V$52=0,U34="",V34=""),0,IFERROR(IF(AND(INDEX(Arten,MATCH(U34,Codes,0))="Arbeit",INDEX(Arten,MATCH(V34,Codes,0))="Arbeit"),IF(ROUND((1+INDEX(Beginne,MATCH(V34,Codes,0))-INDEX(EndeRel,MATCH(U34,Codes,0)))*1440,0)&lt;660,1,0),0),0))</f>
      </c>
      <c r="W83" s="1">
        <f>IF(OR(W$52=0,V34="",W34=""),0,IFERROR(IF(AND(INDEX(Arten,MATCH(V34,Codes,0))="Arbeit",INDEX(Arten,MATCH(W34,Codes,0))="Arbeit"),IF(ROUND((1+INDEX(Beginne,MATCH(W34,Codes,0))-INDEX(EndeRel,MATCH(V34,Codes,0)))*1440,0)&lt;660,1,0),0),0))</f>
      </c>
      <c r="X83" s="1">
        <f>IF(OR(X$52=0,W34="",X34=""),0,IFERROR(IF(AND(INDEX(Arten,MATCH(W34,Codes,0))="Arbeit",INDEX(Arten,MATCH(X34,Codes,0))="Arbeit"),IF(ROUND((1+INDEX(Beginne,MATCH(X34,Codes,0))-INDEX(EndeRel,MATCH(W34,Codes,0)))*1440,0)&lt;660,1,0),0),0))</f>
      </c>
      <c r="Y83" s="1">
        <f>IF(OR(Y$52=0,X34="",Y34=""),0,IFERROR(IF(AND(INDEX(Arten,MATCH(X34,Codes,0))="Arbeit",INDEX(Arten,MATCH(Y34,Codes,0))="Arbeit"),IF(ROUND((1+INDEX(Beginne,MATCH(Y34,Codes,0))-INDEX(EndeRel,MATCH(X34,Codes,0)))*1440,0)&lt;660,1,0),0),0))</f>
      </c>
      <c r="Z83" s="1">
        <f>IF(OR(Z$52=0,Y34="",Z34=""),0,IFERROR(IF(AND(INDEX(Arten,MATCH(Y34,Codes,0))="Arbeit",INDEX(Arten,MATCH(Z34,Codes,0))="Arbeit"),IF(ROUND((1+INDEX(Beginne,MATCH(Z34,Codes,0))-INDEX(EndeRel,MATCH(Y34,Codes,0)))*1440,0)&lt;660,1,0),0),0))</f>
      </c>
      <c r="AA83" s="1">
        <f>IF(OR(AA$52=0,Z34="",AA34=""),0,IFERROR(IF(AND(INDEX(Arten,MATCH(Z34,Codes,0))="Arbeit",INDEX(Arten,MATCH(AA34,Codes,0))="Arbeit"),IF(ROUND((1+INDEX(Beginne,MATCH(AA34,Codes,0))-INDEX(EndeRel,MATCH(Z34,Codes,0)))*1440,0)&lt;660,1,0),0),0))</f>
      </c>
      <c r="AB83" s="1">
        <f>IF(OR(AB$52=0,AA34="",AB34=""),0,IFERROR(IF(AND(INDEX(Arten,MATCH(AA34,Codes,0))="Arbeit",INDEX(Arten,MATCH(AB34,Codes,0))="Arbeit"),IF(ROUND((1+INDEX(Beginne,MATCH(AB34,Codes,0))-INDEX(EndeRel,MATCH(AA34,Codes,0)))*1440,0)&lt;660,1,0),0),0))</f>
      </c>
      <c r="AC83" s="1">
        <f>IF(OR(AC$52=0,AB34="",AC34=""),0,IFERROR(IF(AND(INDEX(Arten,MATCH(AB34,Codes,0))="Arbeit",INDEX(Arten,MATCH(AC34,Codes,0))="Arbeit"),IF(ROUND((1+INDEX(Beginne,MATCH(AC34,Codes,0))-INDEX(EndeRel,MATCH(AB34,Codes,0)))*1440,0)&lt;660,1,0),0),0))</f>
      </c>
      <c r="AD83" s="1">
        <f>IF(OR(AD$52=0,AC34="",AD34=""),0,IFERROR(IF(AND(INDEX(Arten,MATCH(AC34,Codes,0))="Arbeit",INDEX(Arten,MATCH(AD34,Codes,0))="Arbeit"),IF(ROUND((1+INDEX(Beginne,MATCH(AD34,Codes,0))-INDEX(EndeRel,MATCH(AC34,Codes,0)))*1440,0)&lt;660,1,0),0),0))</f>
      </c>
      <c r="AE83" s="1">
        <f>IF(OR(AE$52=0,AD34="",AE34=""),0,IFERROR(IF(AND(INDEX(Arten,MATCH(AD34,Codes,0))="Arbeit",INDEX(Arten,MATCH(AE34,Codes,0))="Arbeit"),IF(ROUND((1+INDEX(Beginne,MATCH(AE34,Codes,0))-INDEX(EndeRel,MATCH(AD34,Codes,0)))*1440,0)&lt;660,1,0),0),0))</f>
      </c>
      <c r="AF83" s="1">
        <f>IF(OR(AF$52=0,AE34="",AF34=""),0,IFERROR(IF(AND(INDEX(Arten,MATCH(AE34,Codes,0))="Arbeit",INDEX(Arten,MATCH(AF34,Codes,0))="Arbeit"),IF(ROUND((1+INDEX(Beginne,MATCH(AF34,Codes,0))-INDEX(EndeRel,MATCH(AE34,Codes,0)))*1440,0)&lt;660,1,0),0),0))</f>
      </c>
    </row>
    <row r="84" hidden="1" spans="1:32" x14ac:dyDescent="0.25">
      <c r="A84" s="1"/>
      <c r="B84" s="1">
        <f>IF(OR(B$52=0,INDEX('Oktober'!$B$35:$AF$35,DAY(DATE(Jahr,11,0)))="",B35=""),0,IFERROR(IF(AND(INDEX(Arten,MATCH(INDEX('Oktober'!$B$35:$AF$35,DAY(DATE(Jahr,11,0))),Codes,0))="Arbeit",INDEX(Arten,MATCH(B35,Codes,0))="Arbeit"),IF(ROUND((1+INDEX(Beginne,MATCH(B35,Codes,0))-INDEX(EndeRel,MATCH(INDEX('Oktober'!$B$35:$AF$35,DAY(DATE(Jahr,11,0))),Codes,0)))*1440,0)&lt;660,1,0),0),0))</f>
      </c>
      <c r="C84" s="1">
        <f>IF(OR(C$52=0,B35="",C35=""),0,IFERROR(IF(AND(INDEX(Arten,MATCH(B35,Codes,0))="Arbeit",INDEX(Arten,MATCH(C35,Codes,0))="Arbeit"),IF(ROUND((1+INDEX(Beginne,MATCH(C35,Codes,0))-INDEX(EndeRel,MATCH(B35,Codes,0)))*1440,0)&lt;660,1,0),0),0))</f>
      </c>
      <c r="D84" s="1">
        <f>IF(OR(D$52=0,C35="",D35=""),0,IFERROR(IF(AND(INDEX(Arten,MATCH(C35,Codes,0))="Arbeit",INDEX(Arten,MATCH(D35,Codes,0))="Arbeit"),IF(ROUND((1+INDEX(Beginne,MATCH(D35,Codes,0))-INDEX(EndeRel,MATCH(C35,Codes,0)))*1440,0)&lt;660,1,0),0),0))</f>
      </c>
      <c r="E84" s="1">
        <f>IF(OR(E$52=0,D35="",E35=""),0,IFERROR(IF(AND(INDEX(Arten,MATCH(D35,Codes,0))="Arbeit",INDEX(Arten,MATCH(E35,Codes,0))="Arbeit"),IF(ROUND((1+INDEX(Beginne,MATCH(E35,Codes,0))-INDEX(EndeRel,MATCH(D35,Codes,0)))*1440,0)&lt;660,1,0),0),0))</f>
      </c>
      <c r="F84" s="1">
        <f>IF(OR(F$52=0,E35="",F35=""),0,IFERROR(IF(AND(INDEX(Arten,MATCH(E35,Codes,0))="Arbeit",INDEX(Arten,MATCH(F35,Codes,0))="Arbeit"),IF(ROUND((1+INDEX(Beginne,MATCH(F35,Codes,0))-INDEX(EndeRel,MATCH(E35,Codes,0)))*1440,0)&lt;660,1,0),0),0))</f>
      </c>
      <c r="G84" s="1">
        <f>IF(OR(G$52=0,F35="",G35=""),0,IFERROR(IF(AND(INDEX(Arten,MATCH(F35,Codes,0))="Arbeit",INDEX(Arten,MATCH(G35,Codes,0))="Arbeit"),IF(ROUND((1+INDEX(Beginne,MATCH(G35,Codes,0))-INDEX(EndeRel,MATCH(F35,Codes,0)))*1440,0)&lt;660,1,0),0),0))</f>
      </c>
      <c r="H84" s="1">
        <f>IF(OR(H$52=0,G35="",H35=""),0,IFERROR(IF(AND(INDEX(Arten,MATCH(G35,Codes,0))="Arbeit",INDEX(Arten,MATCH(H35,Codes,0))="Arbeit"),IF(ROUND((1+INDEX(Beginne,MATCH(H35,Codes,0))-INDEX(EndeRel,MATCH(G35,Codes,0)))*1440,0)&lt;660,1,0),0),0))</f>
      </c>
      <c r="I84" s="1">
        <f>IF(OR(I$52=0,H35="",I35=""),0,IFERROR(IF(AND(INDEX(Arten,MATCH(H35,Codes,0))="Arbeit",INDEX(Arten,MATCH(I35,Codes,0))="Arbeit"),IF(ROUND((1+INDEX(Beginne,MATCH(I35,Codes,0))-INDEX(EndeRel,MATCH(H35,Codes,0)))*1440,0)&lt;660,1,0),0),0))</f>
      </c>
      <c r="J84" s="1">
        <f>IF(OR(J$52=0,I35="",J35=""),0,IFERROR(IF(AND(INDEX(Arten,MATCH(I35,Codes,0))="Arbeit",INDEX(Arten,MATCH(J35,Codes,0))="Arbeit"),IF(ROUND((1+INDEX(Beginne,MATCH(J35,Codes,0))-INDEX(EndeRel,MATCH(I35,Codes,0)))*1440,0)&lt;660,1,0),0),0))</f>
      </c>
      <c r="K84" s="1">
        <f>IF(OR(K$52=0,J35="",K35=""),0,IFERROR(IF(AND(INDEX(Arten,MATCH(J35,Codes,0))="Arbeit",INDEX(Arten,MATCH(K35,Codes,0))="Arbeit"),IF(ROUND((1+INDEX(Beginne,MATCH(K35,Codes,0))-INDEX(EndeRel,MATCH(J35,Codes,0)))*1440,0)&lt;660,1,0),0),0))</f>
      </c>
      <c r="L84" s="1">
        <f>IF(OR(L$52=0,K35="",L35=""),0,IFERROR(IF(AND(INDEX(Arten,MATCH(K35,Codes,0))="Arbeit",INDEX(Arten,MATCH(L35,Codes,0))="Arbeit"),IF(ROUND((1+INDEX(Beginne,MATCH(L35,Codes,0))-INDEX(EndeRel,MATCH(K35,Codes,0)))*1440,0)&lt;660,1,0),0),0))</f>
      </c>
      <c r="M84" s="1">
        <f>IF(OR(M$52=0,L35="",M35=""),0,IFERROR(IF(AND(INDEX(Arten,MATCH(L35,Codes,0))="Arbeit",INDEX(Arten,MATCH(M35,Codes,0))="Arbeit"),IF(ROUND((1+INDEX(Beginne,MATCH(M35,Codes,0))-INDEX(EndeRel,MATCH(L35,Codes,0)))*1440,0)&lt;660,1,0),0),0))</f>
      </c>
      <c r="N84" s="1">
        <f>IF(OR(N$52=0,M35="",N35=""),0,IFERROR(IF(AND(INDEX(Arten,MATCH(M35,Codes,0))="Arbeit",INDEX(Arten,MATCH(N35,Codes,0))="Arbeit"),IF(ROUND((1+INDEX(Beginne,MATCH(N35,Codes,0))-INDEX(EndeRel,MATCH(M35,Codes,0)))*1440,0)&lt;660,1,0),0),0))</f>
      </c>
      <c r="O84" s="1">
        <f>IF(OR(O$52=0,N35="",O35=""),0,IFERROR(IF(AND(INDEX(Arten,MATCH(N35,Codes,0))="Arbeit",INDEX(Arten,MATCH(O35,Codes,0))="Arbeit"),IF(ROUND((1+INDEX(Beginne,MATCH(O35,Codes,0))-INDEX(EndeRel,MATCH(N35,Codes,0)))*1440,0)&lt;660,1,0),0),0))</f>
      </c>
      <c r="P84" s="1">
        <f>IF(OR(P$52=0,O35="",P35=""),0,IFERROR(IF(AND(INDEX(Arten,MATCH(O35,Codes,0))="Arbeit",INDEX(Arten,MATCH(P35,Codes,0))="Arbeit"),IF(ROUND((1+INDEX(Beginne,MATCH(P35,Codes,0))-INDEX(EndeRel,MATCH(O35,Codes,0)))*1440,0)&lt;660,1,0),0),0))</f>
      </c>
      <c r="Q84" s="1">
        <f>IF(OR(Q$52=0,P35="",Q35=""),0,IFERROR(IF(AND(INDEX(Arten,MATCH(P35,Codes,0))="Arbeit",INDEX(Arten,MATCH(Q35,Codes,0))="Arbeit"),IF(ROUND((1+INDEX(Beginne,MATCH(Q35,Codes,0))-INDEX(EndeRel,MATCH(P35,Codes,0)))*1440,0)&lt;660,1,0),0),0))</f>
      </c>
      <c r="R84" s="1">
        <f>IF(OR(R$52=0,Q35="",R35=""),0,IFERROR(IF(AND(INDEX(Arten,MATCH(Q35,Codes,0))="Arbeit",INDEX(Arten,MATCH(R35,Codes,0))="Arbeit"),IF(ROUND((1+INDEX(Beginne,MATCH(R35,Codes,0))-INDEX(EndeRel,MATCH(Q35,Codes,0)))*1440,0)&lt;660,1,0),0),0))</f>
      </c>
      <c r="S84" s="1">
        <f>IF(OR(S$52=0,R35="",S35=""),0,IFERROR(IF(AND(INDEX(Arten,MATCH(R35,Codes,0))="Arbeit",INDEX(Arten,MATCH(S35,Codes,0))="Arbeit"),IF(ROUND((1+INDEX(Beginne,MATCH(S35,Codes,0))-INDEX(EndeRel,MATCH(R35,Codes,0)))*1440,0)&lt;660,1,0),0),0))</f>
      </c>
      <c r="T84" s="1">
        <f>IF(OR(T$52=0,S35="",T35=""),0,IFERROR(IF(AND(INDEX(Arten,MATCH(S35,Codes,0))="Arbeit",INDEX(Arten,MATCH(T35,Codes,0))="Arbeit"),IF(ROUND((1+INDEX(Beginne,MATCH(T35,Codes,0))-INDEX(EndeRel,MATCH(S35,Codes,0)))*1440,0)&lt;660,1,0),0),0))</f>
      </c>
      <c r="U84" s="1">
        <f>IF(OR(U$52=0,T35="",U35=""),0,IFERROR(IF(AND(INDEX(Arten,MATCH(T35,Codes,0))="Arbeit",INDEX(Arten,MATCH(U35,Codes,0))="Arbeit"),IF(ROUND((1+INDEX(Beginne,MATCH(U35,Codes,0))-INDEX(EndeRel,MATCH(T35,Codes,0)))*1440,0)&lt;660,1,0),0),0))</f>
      </c>
      <c r="V84" s="1">
        <f>IF(OR(V$52=0,U35="",V35=""),0,IFERROR(IF(AND(INDEX(Arten,MATCH(U35,Codes,0))="Arbeit",INDEX(Arten,MATCH(V35,Codes,0))="Arbeit"),IF(ROUND((1+INDEX(Beginne,MATCH(V35,Codes,0))-INDEX(EndeRel,MATCH(U35,Codes,0)))*1440,0)&lt;660,1,0),0),0))</f>
      </c>
      <c r="W84" s="1">
        <f>IF(OR(W$52=0,V35="",W35=""),0,IFERROR(IF(AND(INDEX(Arten,MATCH(V35,Codes,0))="Arbeit",INDEX(Arten,MATCH(W35,Codes,0))="Arbeit"),IF(ROUND((1+INDEX(Beginne,MATCH(W35,Codes,0))-INDEX(EndeRel,MATCH(V35,Codes,0)))*1440,0)&lt;660,1,0),0),0))</f>
      </c>
      <c r="X84" s="1">
        <f>IF(OR(X$52=0,W35="",X35=""),0,IFERROR(IF(AND(INDEX(Arten,MATCH(W35,Codes,0))="Arbeit",INDEX(Arten,MATCH(X35,Codes,0))="Arbeit"),IF(ROUND((1+INDEX(Beginne,MATCH(X35,Codes,0))-INDEX(EndeRel,MATCH(W35,Codes,0)))*1440,0)&lt;660,1,0),0),0))</f>
      </c>
      <c r="Y84" s="1">
        <f>IF(OR(Y$52=0,X35="",Y35=""),0,IFERROR(IF(AND(INDEX(Arten,MATCH(X35,Codes,0))="Arbeit",INDEX(Arten,MATCH(Y35,Codes,0))="Arbeit"),IF(ROUND((1+INDEX(Beginne,MATCH(Y35,Codes,0))-INDEX(EndeRel,MATCH(X35,Codes,0)))*1440,0)&lt;660,1,0),0),0))</f>
      </c>
      <c r="Z84" s="1">
        <f>IF(OR(Z$52=0,Y35="",Z35=""),0,IFERROR(IF(AND(INDEX(Arten,MATCH(Y35,Codes,0))="Arbeit",INDEX(Arten,MATCH(Z35,Codes,0))="Arbeit"),IF(ROUND((1+INDEX(Beginne,MATCH(Z35,Codes,0))-INDEX(EndeRel,MATCH(Y35,Codes,0)))*1440,0)&lt;660,1,0),0),0))</f>
      </c>
      <c r="AA84" s="1">
        <f>IF(OR(AA$52=0,Z35="",AA35=""),0,IFERROR(IF(AND(INDEX(Arten,MATCH(Z35,Codes,0))="Arbeit",INDEX(Arten,MATCH(AA35,Codes,0))="Arbeit"),IF(ROUND((1+INDEX(Beginne,MATCH(AA35,Codes,0))-INDEX(EndeRel,MATCH(Z35,Codes,0)))*1440,0)&lt;660,1,0),0),0))</f>
      </c>
      <c r="AB84" s="1">
        <f>IF(OR(AB$52=0,AA35="",AB35=""),0,IFERROR(IF(AND(INDEX(Arten,MATCH(AA35,Codes,0))="Arbeit",INDEX(Arten,MATCH(AB35,Codes,0))="Arbeit"),IF(ROUND((1+INDEX(Beginne,MATCH(AB35,Codes,0))-INDEX(EndeRel,MATCH(AA35,Codes,0)))*1440,0)&lt;660,1,0),0),0))</f>
      </c>
      <c r="AC84" s="1">
        <f>IF(OR(AC$52=0,AB35="",AC35=""),0,IFERROR(IF(AND(INDEX(Arten,MATCH(AB35,Codes,0))="Arbeit",INDEX(Arten,MATCH(AC35,Codes,0))="Arbeit"),IF(ROUND((1+INDEX(Beginne,MATCH(AC35,Codes,0))-INDEX(EndeRel,MATCH(AB35,Codes,0)))*1440,0)&lt;660,1,0),0),0))</f>
      </c>
      <c r="AD84" s="1">
        <f>IF(OR(AD$52=0,AC35="",AD35=""),0,IFERROR(IF(AND(INDEX(Arten,MATCH(AC35,Codes,0))="Arbeit",INDEX(Arten,MATCH(AD35,Codes,0))="Arbeit"),IF(ROUND((1+INDEX(Beginne,MATCH(AD35,Codes,0))-INDEX(EndeRel,MATCH(AC35,Codes,0)))*1440,0)&lt;660,1,0),0),0))</f>
      </c>
      <c r="AE84" s="1">
        <f>IF(OR(AE$52=0,AD35="",AE35=""),0,IFERROR(IF(AND(INDEX(Arten,MATCH(AD35,Codes,0))="Arbeit",INDEX(Arten,MATCH(AE35,Codes,0))="Arbeit"),IF(ROUND((1+INDEX(Beginne,MATCH(AE35,Codes,0))-INDEX(EndeRel,MATCH(AD35,Codes,0)))*1440,0)&lt;660,1,0),0),0))</f>
      </c>
      <c r="AF84" s="1">
        <f>IF(OR(AF$52=0,AE35="",AF35=""),0,IFERROR(IF(AND(INDEX(Arten,MATCH(AE35,Codes,0))="Arbeit",INDEX(Arten,MATCH(AF35,Codes,0))="Arbeit"),IF(ROUND((1+INDEX(Beginne,MATCH(AF35,Codes,0))-INDEX(EndeRel,MATCH(AE35,Codes,0)))*1440,0)&lt;660,1,0),0),0))</f>
      </c>
    </row>
    <row r="86" hidden="1" spans="1:32" x14ac:dyDescent="0.25">
      <c r="A86" s="1"/>
      <c r="B86" s="1">
        <f>IF($AM38="","",IF(OR(B$51&gt;=6,B$50=1),N(INDEX(MinFrei,MATCH(1,ArbeitNr,0))),N(INDEX(MinWerktag,MATCH(1,ArbeitNr,0)))))</f>
      </c>
      <c r="C86" s="1">
        <f>IF($AM38="","",IF(OR(C$51&gt;=6,C$50=1),N(INDEX(MinFrei,MATCH(1,ArbeitNr,0))),N(INDEX(MinWerktag,MATCH(1,ArbeitNr,0)))))</f>
      </c>
      <c r="D86" s="1">
        <f>IF($AM38="","",IF(OR(D$51&gt;=6,D$50=1),N(INDEX(MinFrei,MATCH(1,ArbeitNr,0))),N(INDEX(MinWerktag,MATCH(1,ArbeitNr,0)))))</f>
      </c>
      <c r="E86" s="1">
        <f>IF($AM38="","",IF(OR(E$51&gt;=6,E$50=1),N(INDEX(MinFrei,MATCH(1,ArbeitNr,0))),N(INDEX(MinWerktag,MATCH(1,ArbeitNr,0)))))</f>
      </c>
      <c r="F86" s="1">
        <f>IF($AM38="","",IF(OR(F$51&gt;=6,F$50=1),N(INDEX(MinFrei,MATCH(1,ArbeitNr,0))),N(INDEX(MinWerktag,MATCH(1,ArbeitNr,0)))))</f>
      </c>
      <c r="G86" s="1">
        <f>IF($AM38="","",IF(OR(G$51&gt;=6,G$50=1),N(INDEX(MinFrei,MATCH(1,ArbeitNr,0))),N(INDEX(MinWerktag,MATCH(1,ArbeitNr,0)))))</f>
      </c>
      <c r="H86" s="1">
        <f>IF($AM38="","",IF(OR(H$51&gt;=6,H$50=1),N(INDEX(MinFrei,MATCH(1,ArbeitNr,0))),N(INDEX(MinWerktag,MATCH(1,ArbeitNr,0)))))</f>
      </c>
      <c r="I86" s="1">
        <f>IF($AM38="","",IF(OR(I$51&gt;=6,I$50=1),N(INDEX(MinFrei,MATCH(1,ArbeitNr,0))),N(INDEX(MinWerktag,MATCH(1,ArbeitNr,0)))))</f>
      </c>
      <c r="J86" s="1">
        <f>IF($AM38="","",IF(OR(J$51&gt;=6,J$50=1),N(INDEX(MinFrei,MATCH(1,ArbeitNr,0))),N(INDEX(MinWerktag,MATCH(1,ArbeitNr,0)))))</f>
      </c>
      <c r="K86" s="1">
        <f>IF($AM38="","",IF(OR(K$51&gt;=6,K$50=1),N(INDEX(MinFrei,MATCH(1,ArbeitNr,0))),N(INDEX(MinWerktag,MATCH(1,ArbeitNr,0)))))</f>
      </c>
      <c r="L86" s="1">
        <f>IF($AM38="","",IF(OR(L$51&gt;=6,L$50=1),N(INDEX(MinFrei,MATCH(1,ArbeitNr,0))),N(INDEX(MinWerktag,MATCH(1,ArbeitNr,0)))))</f>
      </c>
      <c r="M86" s="1">
        <f>IF($AM38="","",IF(OR(M$51&gt;=6,M$50=1),N(INDEX(MinFrei,MATCH(1,ArbeitNr,0))),N(INDEX(MinWerktag,MATCH(1,ArbeitNr,0)))))</f>
      </c>
      <c r="N86" s="1">
        <f>IF($AM38="","",IF(OR(N$51&gt;=6,N$50=1),N(INDEX(MinFrei,MATCH(1,ArbeitNr,0))),N(INDEX(MinWerktag,MATCH(1,ArbeitNr,0)))))</f>
      </c>
      <c r="O86" s="1">
        <f>IF($AM38="","",IF(OR(O$51&gt;=6,O$50=1),N(INDEX(MinFrei,MATCH(1,ArbeitNr,0))),N(INDEX(MinWerktag,MATCH(1,ArbeitNr,0)))))</f>
      </c>
      <c r="P86" s="1">
        <f>IF($AM38="","",IF(OR(P$51&gt;=6,P$50=1),N(INDEX(MinFrei,MATCH(1,ArbeitNr,0))),N(INDEX(MinWerktag,MATCH(1,ArbeitNr,0)))))</f>
      </c>
      <c r="Q86" s="1">
        <f>IF($AM38="","",IF(OR(Q$51&gt;=6,Q$50=1),N(INDEX(MinFrei,MATCH(1,ArbeitNr,0))),N(INDEX(MinWerktag,MATCH(1,ArbeitNr,0)))))</f>
      </c>
      <c r="R86" s="1">
        <f>IF($AM38="","",IF(OR(R$51&gt;=6,R$50=1),N(INDEX(MinFrei,MATCH(1,ArbeitNr,0))),N(INDEX(MinWerktag,MATCH(1,ArbeitNr,0)))))</f>
      </c>
      <c r="S86" s="1">
        <f>IF($AM38="","",IF(OR(S$51&gt;=6,S$50=1),N(INDEX(MinFrei,MATCH(1,ArbeitNr,0))),N(INDEX(MinWerktag,MATCH(1,ArbeitNr,0)))))</f>
      </c>
      <c r="T86" s="1">
        <f>IF($AM38="","",IF(OR(T$51&gt;=6,T$50=1),N(INDEX(MinFrei,MATCH(1,ArbeitNr,0))),N(INDEX(MinWerktag,MATCH(1,ArbeitNr,0)))))</f>
      </c>
      <c r="U86" s="1">
        <f>IF($AM38="","",IF(OR(U$51&gt;=6,U$50=1),N(INDEX(MinFrei,MATCH(1,ArbeitNr,0))),N(INDEX(MinWerktag,MATCH(1,ArbeitNr,0)))))</f>
      </c>
      <c r="V86" s="1">
        <f>IF($AM38="","",IF(OR(V$51&gt;=6,V$50=1),N(INDEX(MinFrei,MATCH(1,ArbeitNr,0))),N(INDEX(MinWerktag,MATCH(1,ArbeitNr,0)))))</f>
      </c>
      <c r="W86" s="1">
        <f>IF($AM38="","",IF(OR(W$51&gt;=6,W$50=1),N(INDEX(MinFrei,MATCH(1,ArbeitNr,0))),N(INDEX(MinWerktag,MATCH(1,ArbeitNr,0)))))</f>
      </c>
      <c r="X86" s="1">
        <f>IF($AM38="","",IF(OR(X$51&gt;=6,X$50=1),N(INDEX(MinFrei,MATCH(1,ArbeitNr,0))),N(INDEX(MinWerktag,MATCH(1,ArbeitNr,0)))))</f>
      </c>
      <c r="Y86" s="1">
        <f>IF($AM38="","",IF(OR(Y$51&gt;=6,Y$50=1),N(INDEX(MinFrei,MATCH(1,ArbeitNr,0))),N(INDEX(MinWerktag,MATCH(1,ArbeitNr,0)))))</f>
      </c>
      <c r="Z86" s="1">
        <f>IF($AM38="","",IF(OR(Z$51&gt;=6,Z$50=1),N(INDEX(MinFrei,MATCH(1,ArbeitNr,0))),N(INDEX(MinWerktag,MATCH(1,ArbeitNr,0)))))</f>
      </c>
      <c r="AA86" s="1">
        <f>IF($AM38="","",IF(OR(AA$51&gt;=6,AA$50=1),N(INDEX(MinFrei,MATCH(1,ArbeitNr,0))),N(INDEX(MinWerktag,MATCH(1,ArbeitNr,0)))))</f>
      </c>
      <c r="AB86" s="1">
        <f>IF($AM38="","",IF(OR(AB$51&gt;=6,AB$50=1),N(INDEX(MinFrei,MATCH(1,ArbeitNr,0))),N(INDEX(MinWerktag,MATCH(1,ArbeitNr,0)))))</f>
      </c>
      <c r="AC86" s="1">
        <f>IF($AM38="","",IF(OR(AC$51&gt;=6,AC$50=1),N(INDEX(MinFrei,MATCH(1,ArbeitNr,0))),N(INDEX(MinWerktag,MATCH(1,ArbeitNr,0)))))</f>
      </c>
      <c r="AD86" s="1">
        <f>IF($AM38="","",IF(OR(AD$51&gt;=6,AD$50=1),N(INDEX(MinFrei,MATCH(1,ArbeitNr,0))),N(INDEX(MinWerktag,MATCH(1,ArbeitNr,0)))))</f>
      </c>
      <c r="AE86" s="1">
        <f>IF($AM38="","",IF(OR(AE$51&gt;=6,AE$50=1),N(INDEX(MinFrei,MATCH(1,ArbeitNr,0))),N(INDEX(MinWerktag,MATCH(1,ArbeitNr,0)))))</f>
      </c>
      <c r="AF86" s="1">
        <f>IF($AM38="","",IF(OR(AF$51&gt;=6,AF$50=1),N(INDEX(MinFrei,MATCH(1,ArbeitNr,0))),N(INDEX(MinWerktag,MATCH(1,ArbeitNr,0)))))</f>
      </c>
    </row>
    <row r="87" hidden="1" spans="1:32" x14ac:dyDescent="0.25">
      <c r="A87" s="1"/>
      <c r="B87" s="1">
        <f>IF($AM39="","",IF(OR(B$51&gt;=6,B$50=1),N(INDEX(MinFrei,MATCH(2,ArbeitNr,0))),N(INDEX(MinWerktag,MATCH(2,ArbeitNr,0)))))</f>
      </c>
      <c r="C87" s="1">
        <f>IF($AM39="","",IF(OR(C$51&gt;=6,C$50=1),N(INDEX(MinFrei,MATCH(2,ArbeitNr,0))),N(INDEX(MinWerktag,MATCH(2,ArbeitNr,0)))))</f>
      </c>
      <c r="D87" s="1">
        <f>IF($AM39="","",IF(OR(D$51&gt;=6,D$50=1),N(INDEX(MinFrei,MATCH(2,ArbeitNr,0))),N(INDEX(MinWerktag,MATCH(2,ArbeitNr,0)))))</f>
      </c>
      <c r="E87" s="1">
        <f>IF($AM39="","",IF(OR(E$51&gt;=6,E$50=1),N(INDEX(MinFrei,MATCH(2,ArbeitNr,0))),N(INDEX(MinWerktag,MATCH(2,ArbeitNr,0)))))</f>
      </c>
      <c r="F87" s="1">
        <f>IF($AM39="","",IF(OR(F$51&gt;=6,F$50=1),N(INDEX(MinFrei,MATCH(2,ArbeitNr,0))),N(INDEX(MinWerktag,MATCH(2,ArbeitNr,0)))))</f>
      </c>
      <c r="G87" s="1">
        <f>IF($AM39="","",IF(OR(G$51&gt;=6,G$50=1),N(INDEX(MinFrei,MATCH(2,ArbeitNr,0))),N(INDEX(MinWerktag,MATCH(2,ArbeitNr,0)))))</f>
      </c>
      <c r="H87" s="1">
        <f>IF($AM39="","",IF(OR(H$51&gt;=6,H$50=1),N(INDEX(MinFrei,MATCH(2,ArbeitNr,0))),N(INDEX(MinWerktag,MATCH(2,ArbeitNr,0)))))</f>
      </c>
      <c r="I87" s="1">
        <f>IF($AM39="","",IF(OR(I$51&gt;=6,I$50=1),N(INDEX(MinFrei,MATCH(2,ArbeitNr,0))),N(INDEX(MinWerktag,MATCH(2,ArbeitNr,0)))))</f>
      </c>
      <c r="J87" s="1">
        <f>IF($AM39="","",IF(OR(J$51&gt;=6,J$50=1),N(INDEX(MinFrei,MATCH(2,ArbeitNr,0))),N(INDEX(MinWerktag,MATCH(2,ArbeitNr,0)))))</f>
      </c>
      <c r="K87" s="1">
        <f>IF($AM39="","",IF(OR(K$51&gt;=6,K$50=1),N(INDEX(MinFrei,MATCH(2,ArbeitNr,0))),N(INDEX(MinWerktag,MATCH(2,ArbeitNr,0)))))</f>
      </c>
      <c r="L87" s="1">
        <f>IF($AM39="","",IF(OR(L$51&gt;=6,L$50=1),N(INDEX(MinFrei,MATCH(2,ArbeitNr,0))),N(INDEX(MinWerktag,MATCH(2,ArbeitNr,0)))))</f>
      </c>
      <c r="M87" s="1">
        <f>IF($AM39="","",IF(OR(M$51&gt;=6,M$50=1),N(INDEX(MinFrei,MATCH(2,ArbeitNr,0))),N(INDEX(MinWerktag,MATCH(2,ArbeitNr,0)))))</f>
      </c>
      <c r="N87" s="1">
        <f>IF($AM39="","",IF(OR(N$51&gt;=6,N$50=1),N(INDEX(MinFrei,MATCH(2,ArbeitNr,0))),N(INDEX(MinWerktag,MATCH(2,ArbeitNr,0)))))</f>
      </c>
      <c r="O87" s="1">
        <f>IF($AM39="","",IF(OR(O$51&gt;=6,O$50=1),N(INDEX(MinFrei,MATCH(2,ArbeitNr,0))),N(INDEX(MinWerktag,MATCH(2,ArbeitNr,0)))))</f>
      </c>
      <c r="P87" s="1">
        <f>IF($AM39="","",IF(OR(P$51&gt;=6,P$50=1),N(INDEX(MinFrei,MATCH(2,ArbeitNr,0))),N(INDEX(MinWerktag,MATCH(2,ArbeitNr,0)))))</f>
      </c>
      <c r="Q87" s="1">
        <f>IF($AM39="","",IF(OR(Q$51&gt;=6,Q$50=1),N(INDEX(MinFrei,MATCH(2,ArbeitNr,0))),N(INDEX(MinWerktag,MATCH(2,ArbeitNr,0)))))</f>
      </c>
      <c r="R87" s="1">
        <f>IF($AM39="","",IF(OR(R$51&gt;=6,R$50=1),N(INDEX(MinFrei,MATCH(2,ArbeitNr,0))),N(INDEX(MinWerktag,MATCH(2,ArbeitNr,0)))))</f>
      </c>
      <c r="S87" s="1">
        <f>IF($AM39="","",IF(OR(S$51&gt;=6,S$50=1),N(INDEX(MinFrei,MATCH(2,ArbeitNr,0))),N(INDEX(MinWerktag,MATCH(2,ArbeitNr,0)))))</f>
      </c>
      <c r="T87" s="1">
        <f>IF($AM39="","",IF(OR(T$51&gt;=6,T$50=1),N(INDEX(MinFrei,MATCH(2,ArbeitNr,0))),N(INDEX(MinWerktag,MATCH(2,ArbeitNr,0)))))</f>
      </c>
      <c r="U87" s="1">
        <f>IF($AM39="","",IF(OR(U$51&gt;=6,U$50=1),N(INDEX(MinFrei,MATCH(2,ArbeitNr,0))),N(INDEX(MinWerktag,MATCH(2,ArbeitNr,0)))))</f>
      </c>
      <c r="V87" s="1">
        <f>IF($AM39="","",IF(OR(V$51&gt;=6,V$50=1),N(INDEX(MinFrei,MATCH(2,ArbeitNr,0))),N(INDEX(MinWerktag,MATCH(2,ArbeitNr,0)))))</f>
      </c>
      <c r="W87" s="1">
        <f>IF($AM39="","",IF(OR(W$51&gt;=6,W$50=1),N(INDEX(MinFrei,MATCH(2,ArbeitNr,0))),N(INDEX(MinWerktag,MATCH(2,ArbeitNr,0)))))</f>
      </c>
      <c r="X87" s="1">
        <f>IF($AM39="","",IF(OR(X$51&gt;=6,X$50=1),N(INDEX(MinFrei,MATCH(2,ArbeitNr,0))),N(INDEX(MinWerktag,MATCH(2,ArbeitNr,0)))))</f>
      </c>
      <c r="Y87" s="1">
        <f>IF($AM39="","",IF(OR(Y$51&gt;=6,Y$50=1),N(INDEX(MinFrei,MATCH(2,ArbeitNr,0))),N(INDEX(MinWerktag,MATCH(2,ArbeitNr,0)))))</f>
      </c>
      <c r="Z87" s="1">
        <f>IF($AM39="","",IF(OR(Z$51&gt;=6,Z$50=1),N(INDEX(MinFrei,MATCH(2,ArbeitNr,0))),N(INDEX(MinWerktag,MATCH(2,ArbeitNr,0)))))</f>
      </c>
      <c r="AA87" s="1">
        <f>IF($AM39="","",IF(OR(AA$51&gt;=6,AA$50=1),N(INDEX(MinFrei,MATCH(2,ArbeitNr,0))),N(INDEX(MinWerktag,MATCH(2,ArbeitNr,0)))))</f>
      </c>
      <c r="AB87" s="1">
        <f>IF($AM39="","",IF(OR(AB$51&gt;=6,AB$50=1),N(INDEX(MinFrei,MATCH(2,ArbeitNr,0))),N(INDEX(MinWerktag,MATCH(2,ArbeitNr,0)))))</f>
      </c>
      <c r="AC87" s="1">
        <f>IF($AM39="","",IF(OR(AC$51&gt;=6,AC$50=1),N(INDEX(MinFrei,MATCH(2,ArbeitNr,0))),N(INDEX(MinWerktag,MATCH(2,ArbeitNr,0)))))</f>
      </c>
      <c r="AD87" s="1">
        <f>IF($AM39="","",IF(OR(AD$51&gt;=6,AD$50=1),N(INDEX(MinFrei,MATCH(2,ArbeitNr,0))),N(INDEX(MinWerktag,MATCH(2,ArbeitNr,0)))))</f>
      </c>
      <c r="AE87" s="1">
        <f>IF($AM39="","",IF(OR(AE$51&gt;=6,AE$50=1),N(INDEX(MinFrei,MATCH(2,ArbeitNr,0))),N(INDEX(MinWerktag,MATCH(2,ArbeitNr,0)))))</f>
      </c>
      <c r="AF87" s="1">
        <f>IF($AM39="","",IF(OR(AF$51&gt;=6,AF$50=1),N(INDEX(MinFrei,MATCH(2,ArbeitNr,0))),N(INDEX(MinWerktag,MATCH(2,ArbeitNr,0)))))</f>
      </c>
    </row>
    <row r="88" hidden="1" spans="1:32" x14ac:dyDescent="0.25">
      <c r="A88" s="1"/>
      <c r="B88" s="1">
        <f>IF($AM40="","",IF(OR(B$51&gt;=6,B$50=1),N(INDEX(MinFrei,MATCH(3,ArbeitNr,0))),N(INDEX(MinWerktag,MATCH(3,ArbeitNr,0)))))</f>
      </c>
      <c r="C88" s="1">
        <f>IF($AM40="","",IF(OR(C$51&gt;=6,C$50=1),N(INDEX(MinFrei,MATCH(3,ArbeitNr,0))),N(INDEX(MinWerktag,MATCH(3,ArbeitNr,0)))))</f>
      </c>
      <c r="D88" s="1">
        <f>IF($AM40="","",IF(OR(D$51&gt;=6,D$50=1),N(INDEX(MinFrei,MATCH(3,ArbeitNr,0))),N(INDEX(MinWerktag,MATCH(3,ArbeitNr,0)))))</f>
      </c>
      <c r="E88" s="1">
        <f>IF($AM40="","",IF(OR(E$51&gt;=6,E$50=1),N(INDEX(MinFrei,MATCH(3,ArbeitNr,0))),N(INDEX(MinWerktag,MATCH(3,ArbeitNr,0)))))</f>
      </c>
      <c r="F88" s="1">
        <f>IF($AM40="","",IF(OR(F$51&gt;=6,F$50=1),N(INDEX(MinFrei,MATCH(3,ArbeitNr,0))),N(INDEX(MinWerktag,MATCH(3,ArbeitNr,0)))))</f>
      </c>
      <c r="G88" s="1">
        <f>IF($AM40="","",IF(OR(G$51&gt;=6,G$50=1),N(INDEX(MinFrei,MATCH(3,ArbeitNr,0))),N(INDEX(MinWerktag,MATCH(3,ArbeitNr,0)))))</f>
      </c>
      <c r="H88" s="1">
        <f>IF($AM40="","",IF(OR(H$51&gt;=6,H$50=1),N(INDEX(MinFrei,MATCH(3,ArbeitNr,0))),N(INDEX(MinWerktag,MATCH(3,ArbeitNr,0)))))</f>
      </c>
      <c r="I88" s="1">
        <f>IF($AM40="","",IF(OR(I$51&gt;=6,I$50=1),N(INDEX(MinFrei,MATCH(3,ArbeitNr,0))),N(INDEX(MinWerktag,MATCH(3,ArbeitNr,0)))))</f>
      </c>
      <c r="J88" s="1">
        <f>IF($AM40="","",IF(OR(J$51&gt;=6,J$50=1),N(INDEX(MinFrei,MATCH(3,ArbeitNr,0))),N(INDEX(MinWerktag,MATCH(3,ArbeitNr,0)))))</f>
      </c>
      <c r="K88" s="1">
        <f>IF($AM40="","",IF(OR(K$51&gt;=6,K$50=1),N(INDEX(MinFrei,MATCH(3,ArbeitNr,0))),N(INDEX(MinWerktag,MATCH(3,ArbeitNr,0)))))</f>
      </c>
      <c r="L88" s="1">
        <f>IF($AM40="","",IF(OR(L$51&gt;=6,L$50=1),N(INDEX(MinFrei,MATCH(3,ArbeitNr,0))),N(INDEX(MinWerktag,MATCH(3,ArbeitNr,0)))))</f>
      </c>
      <c r="M88" s="1">
        <f>IF($AM40="","",IF(OR(M$51&gt;=6,M$50=1),N(INDEX(MinFrei,MATCH(3,ArbeitNr,0))),N(INDEX(MinWerktag,MATCH(3,ArbeitNr,0)))))</f>
      </c>
      <c r="N88" s="1">
        <f>IF($AM40="","",IF(OR(N$51&gt;=6,N$50=1),N(INDEX(MinFrei,MATCH(3,ArbeitNr,0))),N(INDEX(MinWerktag,MATCH(3,ArbeitNr,0)))))</f>
      </c>
      <c r="O88" s="1">
        <f>IF($AM40="","",IF(OR(O$51&gt;=6,O$50=1),N(INDEX(MinFrei,MATCH(3,ArbeitNr,0))),N(INDEX(MinWerktag,MATCH(3,ArbeitNr,0)))))</f>
      </c>
      <c r="P88" s="1">
        <f>IF($AM40="","",IF(OR(P$51&gt;=6,P$50=1),N(INDEX(MinFrei,MATCH(3,ArbeitNr,0))),N(INDEX(MinWerktag,MATCH(3,ArbeitNr,0)))))</f>
      </c>
      <c r="Q88" s="1">
        <f>IF($AM40="","",IF(OR(Q$51&gt;=6,Q$50=1),N(INDEX(MinFrei,MATCH(3,ArbeitNr,0))),N(INDEX(MinWerktag,MATCH(3,ArbeitNr,0)))))</f>
      </c>
      <c r="R88" s="1">
        <f>IF($AM40="","",IF(OR(R$51&gt;=6,R$50=1),N(INDEX(MinFrei,MATCH(3,ArbeitNr,0))),N(INDEX(MinWerktag,MATCH(3,ArbeitNr,0)))))</f>
      </c>
      <c r="S88" s="1">
        <f>IF($AM40="","",IF(OR(S$51&gt;=6,S$50=1),N(INDEX(MinFrei,MATCH(3,ArbeitNr,0))),N(INDEX(MinWerktag,MATCH(3,ArbeitNr,0)))))</f>
      </c>
      <c r="T88" s="1">
        <f>IF($AM40="","",IF(OR(T$51&gt;=6,T$50=1),N(INDEX(MinFrei,MATCH(3,ArbeitNr,0))),N(INDEX(MinWerktag,MATCH(3,ArbeitNr,0)))))</f>
      </c>
      <c r="U88" s="1">
        <f>IF($AM40="","",IF(OR(U$51&gt;=6,U$50=1),N(INDEX(MinFrei,MATCH(3,ArbeitNr,0))),N(INDEX(MinWerktag,MATCH(3,ArbeitNr,0)))))</f>
      </c>
      <c r="V88" s="1">
        <f>IF($AM40="","",IF(OR(V$51&gt;=6,V$50=1),N(INDEX(MinFrei,MATCH(3,ArbeitNr,0))),N(INDEX(MinWerktag,MATCH(3,ArbeitNr,0)))))</f>
      </c>
      <c r="W88" s="1">
        <f>IF($AM40="","",IF(OR(W$51&gt;=6,W$50=1),N(INDEX(MinFrei,MATCH(3,ArbeitNr,0))),N(INDEX(MinWerktag,MATCH(3,ArbeitNr,0)))))</f>
      </c>
      <c r="X88" s="1">
        <f>IF($AM40="","",IF(OR(X$51&gt;=6,X$50=1),N(INDEX(MinFrei,MATCH(3,ArbeitNr,0))),N(INDEX(MinWerktag,MATCH(3,ArbeitNr,0)))))</f>
      </c>
      <c r="Y88" s="1">
        <f>IF($AM40="","",IF(OR(Y$51&gt;=6,Y$50=1),N(INDEX(MinFrei,MATCH(3,ArbeitNr,0))),N(INDEX(MinWerktag,MATCH(3,ArbeitNr,0)))))</f>
      </c>
      <c r="Z88" s="1">
        <f>IF($AM40="","",IF(OR(Z$51&gt;=6,Z$50=1),N(INDEX(MinFrei,MATCH(3,ArbeitNr,0))),N(INDEX(MinWerktag,MATCH(3,ArbeitNr,0)))))</f>
      </c>
      <c r="AA88" s="1">
        <f>IF($AM40="","",IF(OR(AA$51&gt;=6,AA$50=1),N(INDEX(MinFrei,MATCH(3,ArbeitNr,0))),N(INDEX(MinWerktag,MATCH(3,ArbeitNr,0)))))</f>
      </c>
      <c r="AB88" s="1">
        <f>IF($AM40="","",IF(OR(AB$51&gt;=6,AB$50=1),N(INDEX(MinFrei,MATCH(3,ArbeitNr,0))),N(INDEX(MinWerktag,MATCH(3,ArbeitNr,0)))))</f>
      </c>
      <c r="AC88" s="1">
        <f>IF($AM40="","",IF(OR(AC$51&gt;=6,AC$50=1),N(INDEX(MinFrei,MATCH(3,ArbeitNr,0))),N(INDEX(MinWerktag,MATCH(3,ArbeitNr,0)))))</f>
      </c>
      <c r="AD88" s="1">
        <f>IF($AM40="","",IF(OR(AD$51&gt;=6,AD$50=1),N(INDEX(MinFrei,MATCH(3,ArbeitNr,0))),N(INDEX(MinWerktag,MATCH(3,ArbeitNr,0)))))</f>
      </c>
      <c r="AE88" s="1">
        <f>IF($AM40="","",IF(OR(AE$51&gt;=6,AE$50=1),N(INDEX(MinFrei,MATCH(3,ArbeitNr,0))),N(INDEX(MinWerktag,MATCH(3,ArbeitNr,0)))))</f>
      </c>
      <c r="AF88" s="1">
        <f>IF($AM40="","",IF(OR(AF$51&gt;=6,AF$50=1),N(INDEX(MinFrei,MATCH(3,ArbeitNr,0))),N(INDEX(MinWerktag,MATCH(3,ArbeitNr,0)))))</f>
      </c>
    </row>
    <row r="89" hidden="1" spans="1:32" x14ac:dyDescent="0.25">
      <c r="A89" s="1"/>
      <c r="B89" s="1">
        <f>IF($AM41="","",IF(OR(B$51&gt;=6,B$50=1),N(INDEX(MinFrei,MATCH(4,ArbeitNr,0))),N(INDEX(MinWerktag,MATCH(4,ArbeitNr,0)))))</f>
      </c>
      <c r="C89" s="1">
        <f>IF($AM41="","",IF(OR(C$51&gt;=6,C$50=1),N(INDEX(MinFrei,MATCH(4,ArbeitNr,0))),N(INDEX(MinWerktag,MATCH(4,ArbeitNr,0)))))</f>
      </c>
      <c r="D89" s="1">
        <f>IF($AM41="","",IF(OR(D$51&gt;=6,D$50=1),N(INDEX(MinFrei,MATCH(4,ArbeitNr,0))),N(INDEX(MinWerktag,MATCH(4,ArbeitNr,0)))))</f>
      </c>
      <c r="E89" s="1">
        <f>IF($AM41="","",IF(OR(E$51&gt;=6,E$50=1),N(INDEX(MinFrei,MATCH(4,ArbeitNr,0))),N(INDEX(MinWerktag,MATCH(4,ArbeitNr,0)))))</f>
      </c>
      <c r="F89" s="1">
        <f>IF($AM41="","",IF(OR(F$51&gt;=6,F$50=1),N(INDEX(MinFrei,MATCH(4,ArbeitNr,0))),N(INDEX(MinWerktag,MATCH(4,ArbeitNr,0)))))</f>
      </c>
      <c r="G89" s="1">
        <f>IF($AM41="","",IF(OR(G$51&gt;=6,G$50=1),N(INDEX(MinFrei,MATCH(4,ArbeitNr,0))),N(INDEX(MinWerktag,MATCH(4,ArbeitNr,0)))))</f>
      </c>
      <c r="H89" s="1">
        <f>IF($AM41="","",IF(OR(H$51&gt;=6,H$50=1),N(INDEX(MinFrei,MATCH(4,ArbeitNr,0))),N(INDEX(MinWerktag,MATCH(4,ArbeitNr,0)))))</f>
      </c>
      <c r="I89" s="1">
        <f>IF($AM41="","",IF(OR(I$51&gt;=6,I$50=1),N(INDEX(MinFrei,MATCH(4,ArbeitNr,0))),N(INDEX(MinWerktag,MATCH(4,ArbeitNr,0)))))</f>
      </c>
      <c r="J89" s="1">
        <f>IF($AM41="","",IF(OR(J$51&gt;=6,J$50=1),N(INDEX(MinFrei,MATCH(4,ArbeitNr,0))),N(INDEX(MinWerktag,MATCH(4,ArbeitNr,0)))))</f>
      </c>
      <c r="K89" s="1">
        <f>IF($AM41="","",IF(OR(K$51&gt;=6,K$50=1),N(INDEX(MinFrei,MATCH(4,ArbeitNr,0))),N(INDEX(MinWerktag,MATCH(4,ArbeitNr,0)))))</f>
      </c>
      <c r="L89" s="1">
        <f>IF($AM41="","",IF(OR(L$51&gt;=6,L$50=1),N(INDEX(MinFrei,MATCH(4,ArbeitNr,0))),N(INDEX(MinWerktag,MATCH(4,ArbeitNr,0)))))</f>
      </c>
      <c r="M89" s="1">
        <f>IF($AM41="","",IF(OR(M$51&gt;=6,M$50=1),N(INDEX(MinFrei,MATCH(4,ArbeitNr,0))),N(INDEX(MinWerktag,MATCH(4,ArbeitNr,0)))))</f>
      </c>
      <c r="N89" s="1">
        <f>IF($AM41="","",IF(OR(N$51&gt;=6,N$50=1),N(INDEX(MinFrei,MATCH(4,ArbeitNr,0))),N(INDEX(MinWerktag,MATCH(4,ArbeitNr,0)))))</f>
      </c>
      <c r="O89" s="1">
        <f>IF($AM41="","",IF(OR(O$51&gt;=6,O$50=1),N(INDEX(MinFrei,MATCH(4,ArbeitNr,0))),N(INDEX(MinWerktag,MATCH(4,ArbeitNr,0)))))</f>
      </c>
      <c r="P89" s="1">
        <f>IF($AM41="","",IF(OR(P$51&gt;=6,P$50=1),N(INDEX(MinFrei,MATCH(4,ArbeitNr,0))),N(INDEX(MinWerktag,MATCH(4,ArbeitNr,0)))))</f>
      </c>
      <c r="Q89" s="1">
        <f>IF($AM41="","",IF(OR(Q$51&gt;=6,Q$50=1),N(INDEX(MinFrei,MATCH(4,ArbeitNr,0))),N(INDEX(MinWerktag,MATCH(4,ArbeitNr,0)))))</f>
      </c>
      <c r="R89" s="1">
        <f>IF($AM41="","",IF(OR(R$51&gt;=6,R$50=1),N(INDEX(MinFrei,MATCH(4,ArbeitNr,0))),N(INDEX(MinWerktag,MATCH(4,ArbeitNr,0)))))</f>
      </c>
      <c r="S89" s="1">
        <f>IF($AM41="","",IF(OR(S$51&gt;=6,S$50=1),N(INDEX(MinFrei,MATCH(4,ArbeitNr,0))),N(INDEX(MinWerktag,MATCH(4,ArbeitNr,0)))))</f>
      </c>
      <c r="T89" s="1">
        <f>IF($AM41="","",IF(OR(T$51&gt;=6,T$50=1),N(INDEX(MinFrei,MATCH(4,ArbeitNr,0))),N(INDEX(MinWerktag,MATCH(4,ArbeitNr,0)))))</f>
      </c>
      <c r="U89" s="1">
        <f>IF($AM41="","",IF(OR(U$51&gt;=6,U$50=1),N(INDEX(MinFrei,MATCH(4,ArbeitNr,0))),N(INDEX(MinWerktag,MATCH(4,ArbeitNr,0)))))</f>
      </c>
      <c r="V89" s="1">
        <f>IF($AM41="","",IF(OR(V$51&gt;=6,V$50=1),N(INDEX(MinFrei,MATCH(4,ArbeitNr,0))),N(INDEX(MinWerktag,MATCH(4,ArbeitNr,0)))))</f>
      </c>
      <c r="W89" s="1">
        <f>IF($AM41="","",IF(OR(W$51&gt;=6,W$50=1),N(INDEX(MinFrei,MATCH(4,ArbeitNr,0))),N(INDEX(MinWerktag,MATCH(4,ArbeitNr,0)))))</f>
      </c>
      <c r="X89" s="1">
        <f>IF($AM41="","",IF(OR(X$51&gt;=6,X$50=1),N(INDEX(MinFrei,MATCH(4,ArbeitNr,0))),N(INDEX(MinWerktag,MATCH(4,ArbeitNr,0)))))</f>
      </c>
      <c r="Y89" s="1">
        <f>IF($AM41="","",IF(OR(Y$51&gt;=6,Y$50=1),N(INDEX(MinFrei,MATCH(4,ArbeitNr,0))),N(INDEX(MinWerktag,MATCH(4,ArbeitNr,0)))))</f>
      </c>
      <c r="Z89" s="1">
        <f>IF($AM41="","",IF(OR(Z$51&gt;=6,Z$50=1),N(INDEX(MinFrei,MATCH(4,ArbeitNr,0))),N(INDEX(MinWerktag,MATCH(4,ArbeitNr,0)))))</f>
      </c>
      <c r="AA89" s="1">
        <f>IF($AM41="","",IF(OR(AA$51&gt;=6,AA$50=1),N(INDEX(MinFrei,MATCH(4,ArbeitNr,0))),N(INDEX(MinWerktag,MATCH(4,ArbeitNr,0)))))</f>
      </c>
      <c r="AB89" s="1">
        <f>IF($AM41="","",IF(OR(AB$51&gt;=6,AB$50=1),N(INDEX(MinFrei,MATCH(4,ArbeitNr,0))),N(INDEX(MinWerktag,MATCH(4,ArbeitNr,0)))))</f>
      </c>
      <c r="AC89" s="1">
        <f>IF($AM41="","",IF(OR(AC$51&gt;=6,AC$50=1),N(INDEX(MinFrei,MATCH(4,ArbeitNr,0))),N(INDEX(MinWerktag,MATCH(4,ArbeitNr,0)))))</f>
      </c>
      <c r="AD89" s="1">
        <f>IF($AM41="","",IF(OR(AD$51&gt;=6,AD$50=1),N(INDEX(MinFrei,MATCH(4,ArbeitNr,0))),N(INDEX(MinWerktag,MATCH(4,ArbeitNr,0)))))</f>
      </c>
      <c r="AE89" s="1">
        <f>IF($AM41="","",IF(OR(AE$51&gt;=6,AE$50=1),N(INDEX(MinFrei,MATCH(4,ArbeitNr,0))),N(INDEX(MinWerktag,MATCH(4,ArbeitNr,0)))))</f>
      </c>
      <c r="AF89" s="1">
        <f>IF($AM41="","",IF(OR(AF$51&gt;=6,AF$50=1),N(INDEX(MinFrei,MATCH(4,ArbeitNr,0))),N(INDEX(MinWerktag,MATCH(4,ArbeitNr,0)))))</f>
      </c>
    </row>
    <row r="90" hidden="1" spans="1:32" x14ac:dyDescent="0.25">
      <c r="A90" s="1"/>
      <c r="B90" s="1">
        <f>IF($AM42="","",IF(OR(B$51&gt;=6,B$50=1),N(INDEX(MinFrei,MATCH(5,ArbeitNr,0))),N(INDEX(MinWerktag,MATCH(5,ArbeitNr,0)))))</f>
      </c>
      <c r="C90" s="1">
        <f>IF($AM42="","",IF(OR(C$51&gt;=6,C$50=1),N(INDEX(MinFrei,MATCH(5,ArbeitNr,0))),N(INDEX(MinWerktag,MATCH(5,ArbeitNr,0)))))</f>
      </c>
      <c r="D90" s="1">
        <f>IF($AM42="","",IF(OR(D$51&gt;=6,D$50=1),N(INDEX(MinFrei,MATCH(5,ArbeitNr,0))),N(INDEX(MinWerktag,MATCH(5,ArbeitNr,0)))))</f>
      </c>
      <c r="E90" s="1">
        <f>IF($AM42="","",IF(OR(E$51&gt;=6,E$50=1),N(INDEX(MinFrei,MATCH(5,ArbeitNr,0))),N(INDEX(MinWerktag,MATCH(5,ArbeitNr,0)))))</f>
      </c>
      <c r="F90" s="1">
        <f>IF($AM42="","",IF(OR(F$51&gt;=6,F$50=1),N(INDEX(MinFrei,MATCH(5,ArbeitNr,0))),N(INDEX(MinWerktag,MATCH(5,ArbeitNr,0)))))</f>
      </c>
      <c r="G90" s="1">
        <f>IF($AM42="","",IF(OR(G$51&gt;=6,G$50=1),N(INDEX(MinFrei,MATCH(5,ArbeitNr,0))),N(INDEX(MinWerktag,MATCH(5,ArbeitNr,0)))))</f>
      </c>
      <c r="H90" s="1">
        <f>IF($AM42="","",IF(OR(H$51&gt;=6,H$50=1),N(INDEX(MinFrei,MATCH(5,ArbeitNr,0))),N(INDEX(MinWerktag,MATCH(5,ArbeitNr,0)))))</f>
      </c>
      <c r="I90" s="1">
        <f>IF($AM42="","",IF(OR(I$51&gt;=6,I$50=1),N(INDEX(MinFrei,MATCH(5,ArbeitNr,0))),N(INDEX(MinWerktag,MATCH(5,ArbeitNr,0)))))</f>
      </c>
      <c r="J90" s="1">
        <f>IF($AM42="","",IF(OR(J$51&gt;=6,J$50=1),N(INDEX(MinFrei,MATCH(5,ArbeitNr,0))),N(INDEX(MinWerktag,MATCH(5,ArbeitNr,0)))))</f>
      </c>
      <c r="K90" s="1">
        <f>IF($AM42="","",IF(OR(K$51&gt;=6,K$50=1),N(INDEX(MinFrei,MATCH(5,ArbeitNr,0))),N(INDEX(MinWerktag,MATCH(5,ArbeitNr,0)))))</f>
      </c>
      <c r="L90" s="1">
        <f>IF($AM42="","",IF(OR(L$51&gt;=6,L$50=1),N(INDEX(MinFrei,MATCH(5,ArbeitNr,0))),N(INDEX(MinWerktag,MATCH(5,ArbeitNr,0)))))</f>
      </c>
      <c r="M90" s="1">
        <f>IF($AM42="","",IF(OR(M$51&gt;=6,M$50=1),N(INDEX(MinFrei,MATCH(5,ArbeitNr,0))),N(INDEX(MinWerktag,MATCH(5,ArbeitNr,0)))))</f>
      </c>
      <c r="N90" s="1">
        <f>IF($AM42="","",IF(OR(N$51&gt;=6,N$50=1),N(INDEX(MinFrei,MATCH(5,ArbeitNr,0))),N(INDEX(MinWerktag,MATCH(5,ArbeitNr,0)))))</f>
      </c>
      <c r="O90" s="1">
        <f>IF($AM42="","",IF(OR(O$51&gt;=6,O$50=1),N(INDEX(MinFrei,MATCH(5,ArbeitNr,0))),N(INDEX(MinWerktag,MATCH(5,ArbeitNr,0)))))</f>
      </c>
      <c r="P90" s="1">
        <f>IF($AM42="","",IF(OR(P$51&gt;=6,P$50=1),N(INDEX(MinFrei,MATCH(5,ArbeitNr,0))),N(INDEX(MinWerktag,MATCH(5,ArbeitNr,0)))))</f>
      </c>
      <c r="Q90" s="1">
        <f>IF($AM42="","",IF(OR(Q$51&gt;=6,Q$50=1),N(INDEX(MinFrei,MATCH(5,ArbeitNr,0))),N(INDEX(MinWerktag,MATCH(5,ArbeitNr,0)))))</f>
      </c>
      <c r="R90" s="1">
        <f>IF($AM42="","",IF(OR(R$51&gt;=6,R$50=1),N(INDEX(MinFrei,MATCH(5,ArbeitNr,0))),N(INDEX(MinWerktag,MATCH(5,ArbeitNr,0)))))</f>
      </c>
      <c r="S90" s="1">
        <f>IF($AM42="","",IF(OR(S$51&gt;=6,S$50=1),N(INDEX(MinFrei,MATCH(5,ArbeitNr,0))),N(INDEX(MinWerktag,MATCH(5,ArbeitNr,0)))))</f>
      </c>
      <c r="T90" s="1">
        <f>IF($AM42="","",IF(OR(T$51&gt;=6,T$50=1),N(INDEX(MinFrei,MATCH(5,ArbeitNr,0))),N(INDEX(MinWerktag,MATCH(5,ArbeitNr,0)))))</f>
      </c>
      <c r="U90" s="1">
        <f>IF($AM42="","",IF(OR(U$51&gt;=6,U$50=1),N(INDEX(MinFrei,MATCH(5,ArbeitNr,0))),N(INDEX(MinWerktag,MATCH(5,ArbeitNr,0)))))</f>
      </c>
      <c r="V90" s="1">
        <f>IF($AM42="","",IF(OR(V$51&gt;=6,V$50=1),N(INDEX(MinFrei,MATCH(5,ArbeitNr,0))),N(INDEX(MinWerktag,MATCH(5,ArbeitNr,0)))))</f>
      </c>
      <c r="W90" s="1">
        <f>IF($AM42="","",IF(OR(W$51&gt;=6,W$50=1),N(INDEX(MinFrei,MATCH(5,ArbeitNr,0))),N(INDEX(MinWerktag,MATCH(5,ArbeitNr,0)))))</f>
      </c>
      <c r="X90" s="1">
        <f>IF($AM42="","",IF(OR(X$51&gt;=6,X$50=1),N(INDEX(MinFrei,MATCH(5,ArbeitNr,0))),N(INDEX(MinWerktag,MATCH(5,ArbeitNr,0)))))</f>
      </c>
      <c r="Y90" s="1">
        <f>IF($AM42="","",IF(OR(Y$51&gt;=6,Y$50=1),N(INDEX(MinFrei,MATCH(5,ArbeitNr,0))),N(INDEX(MinWerktag,MATCH(5,ArbeitNr,0)))))</f>
      </c>
      <c r="Z90" s="1">
        <f>IF($AM42="","",IF(OR(Z$51&gt;=6,Z$50=1),N(INDEX(MinFrei,MATCH(5,ArbeitNr,0))),N(INDEX(MinWerktag,MATCH(5,ArbeitNr,0)))))</f>
      </c>
      <c r="AA90" s="1">
        <f>IF($AM42="","",IF(OR(AA$51&gt;=6,AA$50=1),N(INDEX(MinFrei,MATCH(5,ArbeitNr,0))),N(INDEX(MinWerktag,MATCH(5,ArbeitNr,0)))))</f>
      </c>
      <c r="AB90" s="1">
        <f>IF($AM42="","",IF(OR(AB$51&gt;=6,AB$50=1),N(INDEX(MinFrei,MATCH(5,ArbeitNr,0))),N(INDEX(MinWerktag,MATCH(5,ArbeitNr,0)))))</f>
      </c>
      <c r="AC90" s="1">
        <f>IF($AM42="","",IF(OR(AC$51&gt;=6,AC$50=1),N(INDEX(MinFrei,MATCH(5,ArbeitNr,0))),N(INDEX(MinWerktag,MATCH(5,ArbeitNr,0)))))</f>
      </c>
      <c r="AD90" s="1">
        <f>IF($AM42="","",IF(OR(AD$51&gt;=6,AD$50=1),N(INDEX(MinFrei,MATCH(5,ArbeitNr,0))),N(INDEX(MinWerktag,MATCH(5,ArbeitNr,0)))))</f>
      </c>
      <c r="AE90" s="1">
        <f>IF($AM42="","",IF(OR(AE$51&gt;=6,AE$50=1),N(INDEX(MinFrei,MATCH(5,ArbeitNr,0))),N(INDEX(MinWerktag,MATCH(5,ArbeitNr,0)))))</f>
      </c>
      <c r="AF90" s="1">
        <f>IF($AM42="","",IF(OR(AF$51&gt;=6,AF$50=1),N(INDEX(MinFrei,MATCH(5,ArbeitNr,0))),N(INDEX(MinWerktag,MATCH(5,ArbeitNr,0)))))</f>
      </c>
    </row>
    <row r="91" hidden="1" spans="1:32" x14ac:dyDescent="0.25">
      <c r="A91" s="1"/>
      <c r="B91" s="1">
        <f>IF($AM43="","",IF(OR(B$51&gt;=6,B$50=1),N(INDEX(MinFrei,MATCH(6,ArbeitNr,0))),N(INDEX(MinWerktag,MATCH(6,ArbeitNr,0)))))</f>
      </c>
      <c r="C91" s="1">
        <f>IF($AM43="","",IF(OR(C$51&gt;=6,C$50=1),N(INDEX(MinFrei,MATCH(6,ArbeitNr,0))),N(INDEX(MinWerktag,MATCH(6,ArbeitNr,0)))))</f>
      </c>
      <c r="D91" s="1">
        <f>IF($AM43="","",IF(OR(D$51&gt;=6,D$50=1),N(INDEX(MinFrei,MATCH(6,ArbeitNr,0))),N(INDEX(MinWerktag,MATCH(6,ArbeitNr,0)))))</f>
      </c>
      <c r="E91" s="1">
        <f>IF($AM43="","",IF(OR(E$51&gt;=6,E$50=1),N(INDEX(MinFrei,MATCH(6,ArbeitNr,0))),N(INDEX(MinWerktag,MATCH(6,ArbeitNr,0)))))</f>
      </c>
      <c r="F91" s="1">
        <f>IF($AM43="","",IF(OR(F$51&gt;=6,F$50=1),N(INDEX(MinFrei,MATCH(6,ArbeitNr,0))),N(INDEX(MinWerktag,MATCH(6,ArbeitNr,0)))))</f>
      </c>
      <c r="G91" s="1">
        <f>IF($AM43="","",IF(OR(G$51&gt;=6,G$50=1),N(INDEX(MinFrei,MATCH(6,ArbeitNr,0))),N(INDEX(MinWerktag,MATCH(6,ArbeitNr,0)))))</f>
      </c>
      <c r="H91" s="1">
        <f>IF($AM43="","",IF(OR(H$51&gt;=6,H$50=1),N(INDEX(MinFrei,MATCH(6,ArbeitNr,0))),N(INDEX(MinWerktag,MATCH(6,ArbeitNr,0)))))</f>
      </c>
      <c r="I91" s="1">
        <f>IF($AM43="","",IF(OR(I$51&gt;=6,I$50=1),N(INDEX(MinFrei,MATCH(6,ArbeitNr,0))),N(INDEX(MinWerktag,MATCH(6,ArbeitNr,0)))))</f>
      </c>
      <c r="J91" s="1">
        <f>IF($AM43="","",IF(OR(J$51&gt;=6,J$50=1),N(INDEX(MinFrei,MATCH(6,ArbeitNr,0))),N(INDEX(MinWerktag,MATCH(6,ArbeitNr,0)))))</f>
      </c>
      <c r="K91" s="1">
        <f>IF($AM43="","",IF(OR(K$51&gt;=6,K$50=1),N(INDEX(MinFrei,MATCH(6,ArbeitNr,0))),N(INDEX(MinWerktag,MATCH(6,ArbeitNr,0)))))</f>
      </c>
      <c r="L91" s="1">
        <f>IF($AM43="","",IF(OR(L$51&gt;=6,L$50=1),N(INDEX(MinFrei,MATCH(6,ArbeitNr,0))),N(INDEX(MinWerktag,MATCH(6,ArbeitNr,0)))))</f>
      </c>
      <c r="M91" s="1">
        <f>IF($AM43="","",IF(OR(M$51&gt;=6,M$50=1),N(INDEX(MinFrei,MATCH(6,ArbeitNr,0))),N(INDEX(MinWerktag,MATCH(6,ArbeitNr,0)))))</f>
      </c>
      <c r="N91" s="1">
        <f>IF($AM43="","",IF(OR(N$51&gt;=6,N$50=1),N(INDEX(MinFrei,MATCH(6,ArbeitNr,0))),N(INDEX(MinWerktag,MATCH(6,ArbeitNr,0)))))</f>
      </c>
      <c r="O91" s="1">
        <f>IF($AM43="","",IF(OR(O$51&gt;=6,O$50=1),N(INDEX(MinFrei,MATCH(6,ArbeitNr,0))),N(INDEX(MinWerktag,MATCH(6,ArbeitNr,0)))))</f>
      </c>
      <c r="P91" s="1">
        <f>IF($AM43="","",IF(OR(P$51&gt;=6,P$50=1),N(INDEX(MinFrei,MATCH(6,ArbeitNr,0))),N(INDEX(MinWerktag,MATCH(6,ArbeitNr,0)))))</f>
      </c>
      <c r="Q91" s="1">
        <f>IF($AM43="","",IF(OR(Q$51&gt;=6,Q$50=1),N(INDEX(MinFrei,MATCH(6,ArbeitNr,0))),N(INDEX(MinWerktag,MATCH(6,ArbeitNr,0)))))</f>
      </c>
      <c r="R91" s="1">
        <f>IF($AM43="","",IF(OR(R$51&gt;=6,R$50=1),N(INDEX(MinFrei,MATCH(6,ArbeitNr,0))),N(INDEX(MinWerktag,MATCH(6,ArbeitNr,0)))))</f>
      </c>
      <c r="S91" s="1">
        <f>IF($AM43="","",IF(OR(S$51&gt;=6,S$50=1),N(INDEX(MinFrei,MATCH(6,ArbeitNr,0))),N(INDEX(MinWerktag,MATCH(6,ArbeitNr,0)))))</f>
      </c>
      <c r="T91" s="1">
        <f>IF($AM43="","",IF(OR(T$51&gt;=6,T$50=1),N(INDEX(MinFrei,MATCH(6,ArbeitNr,0))),N(INDEX(MinWerktag,MATCH(6,ArbeitNr,0)))))</f>
      </c>
      <c r="U91" s="1">
        <f>IF($AM43="","",IF(OR(U$51&gt;=6,U$50=1),N(INDEX(MinFrei,MATCH(6,ArbeitNr,0))),N(INDEX(MinWerktag,MATCH(6,ArbeitNr,0)))))</f>
      </c>
      <c r="V91" s="1">
        <f>IF($AM43="","",IF(OR(V$51&gt;=6,V$50=1),N(INDEX(MinFrei,MATCH(6,ArbeitNr,0))),N(INDEX(MinWerktag,MATCH(6,ArbeitNr,0)))))</f>
      </c>
      <c r="W91" s="1">
        <f>IF($AM43="","",IF(OR(W$51&gt;=6,W$50=1),N(INDEX(MinFrei,MATCH(6,ArbeitNr,0))),N(INDEX(MinWerktag,MATCH(6,ArbeitNr,0)))))</f>
      </c>
      <c r="X91" s="1">
        <f>IF($AM43="","",IF(OR(X$51&gt;=6,X$50=1),N(INDEX(MinFrei,MATCH(6,ArbeitNr,0))),N(INDEX(MinWerktag,MATCH(6,ArbeitNr,0)))))</f>
      </c>
      <c r="Y91" s="1">
        <f>IF($AM43="","",IF(OR(Y$51&gt;=6,Y$50=1),N(INDEX(MinFrei,MATCH(6,ArbeitNr,0))),N(INDEX(MinWerktag,MATCH(6,ArbeitNr,0)))))</f>
      </c>
      <c r="Z91" s="1">
        <f>IF($AM43="","",IF(OR(Z$51&gt;=6,Z$50=1),N(INDEX(MinFrei,MATCH(6,ArbeitNr,0))),N(INDEX(MinWerktag,MATCH(6,ArbeitNr,0)))))</f>
      </c>
      <c r="AA91" s="1">
        <f>IF($AM43="","",IF(OR(AA$51&gt;=6,AA$50=1),N(INDEX(MinFrei,MATCH(6,ArbeitNr,0))),N(INDEX(MinWerktag,MATCH(6,ArbeitNr,0)))))</f>
      </c>
      <c r="AB91" s="1">
        <f>IF($AM43="","",IF(OR(AB$51&gt;=6,AB$50=1),N(INDEX(MinFrei,MATCH(6,ArbeitNr,0))),N(INDEX(MinWerktag,MATCH(6,ArbeitNr,0)))))</f>
      </c>
      <c r="AC91" s="1">
        <f>IF($AM43="","",IF(OR(AC$51&gt;=6,AC$50=1),N(INDEX(MinFrei,MATCH(6,ArbeitNr,0))),N(INDEX(MinWerktag,MATCH(6,ArbeitNr,0)))))</f>
      </c>
      <c r="AD91" s="1">
        <f>IF($AM43="","",IF(OR(AD$51&gt;=6,AD$50=1),N(INDEX(MinFrei,MATCH(6,ArbeitNr,0))),N(INDEX(MinWerktag,MATCH(6,ArbeitNr,0)))))</f>
      </c>
      <c r="AE91" s="1">
        <f>IF($AM43="","",IF(OR(AE$51&gt;=6,AE$50=1),N(INDEX(MinFrei,MATCH(6,ArbeitNr,0))),N(INDEX(MinWerktag,MATCH(6,ArbeitNr,0)))))</f>
      </c>
      <c r="AF91" s="1">
        <f>IF($AM43="","",IF(OR(AF$51&gt;=6,AF$50=1),N(INDEX(MinFrei,MATCH(6,ArbeitNr,0))),N(INDEX(MinWerktag,MATCH(6,ArbeitNr,0)))))</f>
      </c>
    </row>
    <row r="92" hidden="1" spans="1:32" x14ac:dyDescent="0.25">
      <c r="A92" s="1"/>
      <c r="B92" s="1">
        <f>IF($AM44="","",IF(OR(B$51&gt;=6,B$50=1),N(INDEX(MinFrei,MATCH(7,ArbeitNr,0))),N(INDEX(MinWerktag,MATCH(7,ArbeitNr,0)))))</f>
      </c>
      <c r="C92" s="1">
        <f>IF($AM44="","",IF(OR(C$51&gt;=6,C$50=1),N(INDEX(MinFrei,MATCH(7,ArbeitNr,0))),N(INDEX(MinWerktag,MATCH(7,ArbeitNr,0)))))</f>
      </c>
      <c r="D92" s="1">
        <f>IF($AM44="","",IF(OR(D$51&gt;=6,D$50=1),N(INDEX(MinFrei,MATCH(7,ArbeitNr,0))),N(INDEX(MinWerktag,MATCH(7,ArbeitNr,0)))))</f>
      </c>
      <c r="E92" s="1">
        <f>IF($AM44="","",IF(OR(E$51&gt;=6,E$50=1),N(INDEX(MinFrei,MATCH(7,ArbeitNr,0))),N(INDEX(MinWerktag,MATCH(7,ArbeitNr,0)))))</f>
      </c>
      <c r="F92" s="1">
        <f>IF($AM44="","",IF(OR(F$51&gt;=6,F$50=1),N(INDEX(MinFrei,MATCH(7,ArbeitNr,0))),N(INDEX(MinWerktag,MATCH(7,ArbeitNr,0)))))</f>
      </c>
      <c r="G92" s="1">
        <f>IF($AM44="","",IF(OR(G$51&gt;=6,G$50=1),N(INDEX(MinFrei,MATCH(7,ArbeitNr,0))),N(INDEX(MinWerktag,MATCH(7,ArbeitNr,0)))))</f>
      </c>
      <c r="H92" s="1">
        <f>IF($AM44="","",IF(OR(H$51&gt;=6,H$50=1),N(INDEX(MinFrei,MATCH(7,ArbeitNr,0))),N(INDEX(MinWerktag,MATCH(7,ArbeitNr,0)))))</f>
      </c>
      <c r="I92" s="1">
        <f>IF($AM44="","",IF(OR(I$51&gt;=6,I$50=1),N(INDEX(MinFrei,MATCH(7,ArbeitNr,0))),N(INDEX(MinWerktag,MATCH(7,ArbeitNr,0)))))</f>
      </c>
      <c r="J92" s="1">
        <f>IF($AM44="","",IF(OR(J$51&gt;=6,J$50=1),N(INDEX(MinFrei,MATCH(7,ArbeitNr,0))),N(INDEX(MinWerktag,MATCH(7,ArbeitNr,0)))))</f>
      </c>
      <c r="K92" s="1">
        <f>IF($AM44="","",IF(OR(K$51&gt;=6,K$50=1),N(INDEX(MinFrei,MATCH(7,ArbeitNr,0))),N(INDEX(MinWerktag,MATCH(7,ArbeitNr,0)))))</f>
      </c>
      <c r="L92" s="1">
        <f>IF($AM44="","",IF(OR(L$51&gt;=6,L$50=1),N(INDEX(MinFrei,MATCH(7,ArbeitNr,0))),N(INDEX(MinWerktag,MATCH(7,ArbeitNr,0)))))</f>
      </c>
      <c r="M92" s="1">
        <f>IF($AM44="","",IF(OR(M$51&gt;=6,M$50=1),N(INDEX(MinFrei,MATCH(7,ArbeitNr,0))),N(INDEX(MinWerktag,MATCH(7,ArbeitNr,0)))))</f>
      </c>
      <c r="N92" s="1">
        <f>IF($AM44="","",IF(OR(N$51&gt;=6,N$50=1),N(INDEX(MinFrei,MATCH(7,ArbeitNr,0))),N(INDEX(MinWerktag,MATCH(7,ArbeitNr,0)))))</f>
      </c>
      <c r="O92" s="1">
        <f>IF($AM44="","",IF(OR(O$51&gt;=6,O$50=1),N(INDEX(MinFrei,MATCH(7,ArbeitNr,0))),N(INDEX(MinWerktag,MATCH(7,ArbeitNr,0)))))</f>
      </c>
      <c r="P92" s="1">
        <f>IF($AM44="","",IF(OR(P$51&gt;=6,P$50=1),N(INDEX(MinFrei,MATCH(7,ArbeitNr,0))),N(INDEX(MinWerktag,MATCH(7,ArbeitNr,0)))))</f>
      </c>
      <c r="Q92" s="1">
        <f>IF($AM44="","",IF(OR(Q$51&gt;=6,Q$50=1),N(INDEX(MinFrei,MATCH(7,ArbeitNr,0))),N(INDEX(MinWerktag,MATCH(7,ArbeitNr,0)))))</f>
      </c>
      <c r="R92" s="1">
        <f>IF($AM44="","",IF(OR(R$51&gt;=6,R$50=1),N(INDEX(MinFrei,MATCH(7,ArbeitNr,0))),N(INDEX(MinWerktag,MATCH(7,ArbeitNr,0)))))</f>
      </c>
      <c r="S92" s="1">
        <f>IF($AM44="","",IF(OR(S$51&gt;=6,S$50=1),N(INDEX(MinFrei,MATCH(7,ArbeitNr,0))),N(INDEX(MinWerktag,MATCH(7,ArbeitNr,0)))))</f>
      </c>
      <c r="T92" s="1">
        <f>IF($AM44="","",IF(OR(T$51&gt;=6,T$50=1),N(INDEX(MinFrei,MATCH(7,ArbeitNr,0))),N(INDEX(MinWerktag,MATCH(7,ArbeitNr,0)))))</f>
      </c>
      <c r="U92" s="1">
        <f>IF($AM44="","",IF(OR(U$51&gt;=6,U$50=1),N(INDEX(MinFrei,MATCH(7,ArbeitNr,0))),N(INDEX(MinWerktag,MATCH(7,ArbeitNr,0)))))</f>
      </c>
      <c r="V92" s="1">
        <f>IF($AM44="","",IF(OR(V$51&gt;=6,V$50=1),N(INDEX(MinFrei,MATCH(7,ArbeitNr,0))),N(INDEX(MinWerktag,MATCH(7,ArbeitNr,0)))))</f>
      </c>
      <c r="W92" s="1">
        <f>IF($AM44="","",IF(OR(W$51&gt;=6,W$50=1),N(INDEX(MinFrei,MATCH(7,ArbeitNr,0))),N(INDEX(MinWerktag,MATCH(7,ArbeitNr,0)))))</f>
      </c>
      <c r="X92" s="1">
        <f>IF($AM44="","",IF(OR(X$51&gt;=6,X$50=1),N(INDEX(MinFrei,MATCH(7,ArbeitNr,0))),N(INDEX(MinWerktag,MATCH(7,ArbeitNr,0)))))</f>
      </c>
      <c r="Y92" s="1">
        <f>IF($AM44="","",IF(OR(Y$51&gt;=6,Y$50=1),N(INDEX(MinFrei,MATCH(7,ArbeitNr,0))),N(INDEX(MinWerktag,MATCH(7,ArbeitNr,0)))))</f>
      </c>
      <c r="Z92" s="1">
        <f>IF($AM44="","",IF(OR(Z$51&gt;=6,Z$50=1),N(INDEX(MinFrei,MATCH(7,ArbeitNr,0))),N(INDEX(MinWerktag,MATCH(7,ArbeitNr,0)))))</f>
      </c>
      <c r="AA92" s="1">
        <f>IF($AM44="","",IF(OR(AA$51&gt;=6,AA$50=1),N(INDEX(MinFrei,MATCH(7,ArbeitNr,0))),N(INDEX(MinWerktag,MATCH(7,ArbeitNr,0)))))</f>
      </c>
      <c r="AB92" s="1">
        <f>IF($AM44="","",IF(OR(AB$51&gt;=6,AB$50=1),N(INDEX(MinFrei,MATCH(7,ArbeitNr,0))),N(INDEX(MinWerktag,MATCH(7,ArbeitNr,0)))))</f>
      </c>
      <c r="AC92" s="1">
        <f>IF($AM44="","",IF(OR(AC$51&gt;=6,AC$50=1),N(INDEX(MinFrei,MATCH(7,ArbeitNr,0))),N(INDEX(MinWerktag,MATCH(7,ArbeitNr,0)))))</f>
      </c>
      <c r="AD92" s="1">
        <f>IF($AM44="","",IF(OR(AD$51&gt;=6,AD$50=1),N(INDEX(MinFrei,MATCH(7,ArbeitNr,0))),N(INDEX(MinWerktag,MATCH(7,ArbeitNr,0)))))</f>
      </c>
      <c r="AE92" s="1">
        <f>IF($AM44="","",IF(OR(AE$51&gt;=6,AE$50=1),N(INDEX(MinFrei,MATCH(7,ArbeitNr,0))),N(INDEX(MinWerktag,MATCH(7,ArbeitNr,0)))))</f>
      </c>
      <c r="AF92" s="1">
        <f>IF($AM44="","",IF(OR(AF$51&gt;=6,AF$50=1),N(INDEX(MinFrei,MATCH(7,ArbeitNr,0))),N(INDEX(MinWerktag,MATCH(7,ArbeitNr,0)))))</f>
      </c>
    </row>
    <row r="93" hidden="1" spans="1:32" x14ac:dyDescent="0.25">
      <c r="A93" s="1"/>
      <c r="B93" s="1">
        <f>IF($AM45="","",IF(OR(B$51&gt;=6,B$50=1),N(INDEX(MinFrei,MATCH(8,ArbeitNr,0))),N(INDEX(MinWerktag,MATCH(8,ArbeitNr,0)))))</f>
      </c>
      <c r="C93" s="1">
        <f>IF($AM45="","",IF(OR(C$51&gt;=6,C$50=1),N(INDEX(MinFrei,MATCH(8,ArbeitNr,0))),N(INDEX(MinWerktag,MATCH(8,ArbeitNr,0)))))</f>
      </c>
      <c r="D93" s="1">
        <f>IF($AM45="","",IF(OR(D$51&gt;=6,D$50=1),N(INDEX(MinFrei,MATCH(8,ArbeitNr,0))),N(INDEX(MinWerktag,MATCH(8,ArbeitNr,0)))))</f>
      </c>
      <c r="E93" s="1">
        <f>IF($AM45="","",IF(OR(E$51&gt;=6,E$50=1),N(INDEX(MinFrei,MATCH(8,ArbeitNr,0))),N(INDEX(MinWerktag,MATCH(8,ArbeitNr,0)))))</f>
      </c>
      <c r="F93" s="1">
        <f>IF($AM45="","",IF(OR(F$51&gt;=6,F$50=1),N(INDEX(MinFrei,MATCH(8,ArbeitNr,0))),N(INDEX(MinWerktag,MATCH(8,ArbeitNr,0)))))</f>
      </c>
      <c r="G93" s="1">
        <f>IF($AM45="","",IF(OR(G$51&gt;=6,G$50=1),N(INDEX(MinFrei,MATCH(8,ArbeitNr,0))),N(INDEX(MinWerktag,MATCH(8,ArbeitNr,0)))))</f>
      </c>
      <c r="H93" s="1">
        <f>IF($AM45="","",IF(OR(H$51&gt;=6,H$50=1),N(INDEX(MinFrei,MATCH(8,ArbeitNr,0))),N(INDEX(MinWerktag,MATCH(8,ArbeitNr,0)))))</f>
      </c>
      <c r="I93" s="1">
        <f>IF($AM45="","",IF(OR(I$51&gt;=6,I$50=1),N(INDEX(MinFrei,MATCH(8,ArbeitNr,0))),N(INDEX(MinWerktag,MATCH(8,ArbeitNr,0)))))</f>
      </c>
      <c r="J93" s="1">
        <f>IF($AM45="","",IF(OR(J$51&gt;=6,J$50=1),N(INDEX(MinFrei,MATCH(8,ArbeitNr,0))),N(INDEX(MinWerktag,MATCH(8,ArbeitNr,0)))))</f>
      </c>
      <c r="K93" s="1">
        <f>IF($AM45="","",IF(OR(K$51&gt;=6,K$50=1),N(INDEX(MinFrei,MATCH(8,ArbeitNr,0))),N(INDEX(MinWerktag,MATCH(8,ArbeitNr,0)))))</f>
      </c>
      <c r="L93" s="1">
        <f>IF($AM45="","",IF(OR(L$51&gt;=6,L$50=1),N(INDEX(MinFrei,MATCH(8,ArbeitNr,0))),N(INDEX(MinWerktag,MATCH(8,ArbeitNr,0)))))</f>
      </c>
      <c r="M93" s="1">
        <f>IF($AM45="","",IF(OR(M$51&gt;=6,M$50=1),N(INDEX(MinFrei,MATCH(8,ArbeitNr,0))),N(INDEX(MinWerktag,MATCH(8,ArbeitNr,0)))))</f>
      </c>
      <c r="N93" s="1">
        <f>IF($AM45="","",IF(OR(N$51&gt;=6,N$50=1),N(INDEX(MinFrei,MATCH(8,ArbeitNr,0))),N(INDEX(MinWerktag,MATCH(8,ArbeitNr,0)))))</f>
      </c>
      <c r="O93" s="1">
        <f>IF($AM45="","",IF(OR(O$51&gt;=6,O$50=1),N(INDEX(MinFrei,MATCH(8,ArbeitNr,0))),N(INDEX(MinWerktag,MATCH(8,ArbeitNr,0)))))</f>
      </c>
      <c r="P93" s="1">
        <f>IF($AM45="","",IF(OR(P$51&gt;=6,P$50=1),N(INDEX(MinFrei,MATCH(8,ArbeitNr,0))),N(INDEX(MinWerktag,MATCH(8,ArbeitNr,0)))))</f>
      </c>
      <c r="Q93" s="1">
        <f>IF($AM45="","",IF(OR(Q$51&gt;=6,Q$50=1),N(INDEX(MinFrei,MATCH(8,ArbeitNr,0))),N(INDEX(MinWerktag,MATCH(8,ArbeitNr,0)))))</f>
      </c>
      <c r="R93" s="1">
        <f>IF($AM45="","",IF(OR(R$51&gt;=6,R$50=1),N(INDEX(MinFrei,MATCH(8,ArbeitNr,0))),N(INDEX(MinWerktag,MATCH(8,ArbeitNr,0)))))</f>
      </c>
      <c r="S93" s="1">
        <f>IF($AM45="","",IF(OR(S$51&gt;=6,S$50=1),N(INDEX(MinFrei,MATCH(8,ArbeitNr,0))),N(INDEX(MinWerktag,MATCH(8,ArbeitNr,0)))))</f>
      </c>
      <c r="T93" s="1">
        <f>IF($AM45="","",IF(OR(T$51&gt;=6,T$50=1),N(INDEX(MinFrei,MATCH(8,ArbeitNr,0))),N(INDEX(MinWerktag,MATCH(8,ArbeitNr,0)))))</f>
      </c>
      <c r="U93" s="1">
        <f>IF($AM45="","",IF(OR(U$51&gt;=6,U$50=1),N(INDEX(MinFrei,MATCH(8,ArbeitNr,0))),N(INDEX(MinWerktag,MATCH(8,ArbeitNr,0)))))</f>
      </c>
      <c r="V93" s="1">
        <f>IF($AM45="","",IF(OR(V$51&gt;=6,V$50=1),N(INDEX(MinFrei,MATCH(8,ArbeitNr,0))),N(INDEX(MinWerktag,MATCH(8,ArbeitNr,0)))))</f>
      </c>
      <c r="W93" s="1">
        <f>IF($AM45="","",IF(OR(W$51&gt;=6,W$50=1),N(INDEX(MinFrei,MATCH(8,ArbeitNr,0))),N(INDEX(MinWerktag,MATCH(8,ArbeitNr,0)))))</f>
      </c>
      <c r="X93" s="1">
        <f>IF($AM45="","",IF(OR(X$51&gt;=6,X$50=1),N(INDEX(MinFrei,MATCH(8,ArbeitNr,0))),N(INDEX(MinWerktag,MATCH(8,ArbeitNr,0)))))</f>
      </c>
      <c r="Y93" s="1">
        <f>IF($AM45="","",IF(OR(Y$51&gt;=6,Y$50=1),N(INDEX(MinFrei,MATCH(8,ArbeitNr,0))),N(INDEX(MinWerktag,MATCH(8,ArbeitNr,0)))))</f>
      </c>
      <c r="Z93" s="1">
        <f>IF($AM45="","",IF(OR(Z$51&gt;=6,Z$50=1),N(INDEX(MinFrei,MATCH(8,ArbeitNr,0))),N(INDEX(MinWerktag,MATCH(8,ArbeitNr,0)))))</f>
      </c>
      <c r="AA93" s="1">
        <f>IF($AM45="","",IF(OR(AA$51&gt;=6,AA$50=1),N(INDEX(MinFrei,MATCH(8,ArbeitNr,0))),N(INDEX(MinWerktag,MATCH(8,ArbeitNr,0)))))</f>
      </c>
      <c r="AB93" s="1">
        <f>IF($AM45="","",IF(OR(AB$51&gt;=6,AB$50=1),N(INDEX(MinFrei,MATCH(8,ArbeitNr,0))),N(INDEX(MinWerktag,MATCH(8,ArbeitNr,0)))))</f>
      </c>
      <c r="AC93" s="1">
        <f>IF($AM45="","",IF(OR(AC$51&gt;=6,AC$50=1),N(INDEX(MinFrei,MATCH(8,ArbeitNr,0))),N(INDEX(MinWerktag,MATCH(8,ArbeitNr,0)))))</f>
      </c>
      <c r="AD93" s="1">
        <f>IF($AM45="","",IF(OR(AD$51&gt;=6,AD$50=1),N(INDEX(MinFrei,MATCH(8,ArbeitNr,0))),N(INDEX(MinWerktag,MATCH(8,ArbeitNr,0)))))</f>
      </c>
      <c r="AE93" s="1">
        <f>IF($AM45="","",IF(OR(AE$51&gt;=6,AE$50=1),N(INDEX(MinFrei,MATCH(8,ArbeitNr,0))),N(INDEX(MinWerktag,MATCH(8,ArbeitNr,0)))))</f>
      </c>
      <c r="AF93" s="1">
        <f>IF($AM45="","",IF(OR(AF$51&gt;=6,AF$50=1),N(INDEX(MinFrei,MATCH(8,ArbeitNr,0))),N(INDEX(MinWerktag,MATCH(8,ArbeitNr,0)))))</f>
      </c>
    </row>
  </sheetData>
  <sheetProtection sheet="1" formatCells="0" formatColumns="0" formatRows="0"/>
  <mergeCells count="1">
    <mergeCell ref="B48:U48"/>
  </mergeCells>
  <conditionalFormatting sqref="B6:AF35">
    <cfRule type="expression" dxfId="200" priority="1">
      <formula>B$52=0</formula>
    </cfRule>
    <cfRule type="expression" dxfId="201" priority="2">
      <formula>B55=1</formula>
    </cfRule>
    <cfRule type="expression" dxfId="202" priority="3">
      <formula>AND(B6&lt;&gt;"",UPPER(B6)=UPPER(Einstellungen!$A$9))</formula>
    </cfRule>
    <cfRule type="expression" dxfId="203" priority="4">
      <formula>AND(B6&lt;&gt;"",UPPER(B6)=UPPER(Einstellungen!$A$10))</formula>
    </cfRule>
    <cfRule type="expression" dxfId="204" priority="5">
      <formula>AND(B6&lt;&gt;"",UPPER(B6)=UPPER(Einstellungen!$A$11))</formula>
    </cfRule>
    <cfRule type="expression" dxfId="205" priority="6">
      <formula>AND(B6&lt;&gt;"",UPPER(B6)=UPPER(Einstellungen!$A$12))</formula>
    </cfRule>
    <cfRule type="expression" dxfId="206" priority="7">
      <formula>AND(B6&lt;&gt;"",UPPER(B6)=UPPER(Einstellungen!$A$13))</formula>
    </cfRule>
    <cfRule type="expression" dxfId="207" priority="8">
      <formula>AND(B6&lt;&gt;"",UPPER(B6)=UPPER(Einstellungen!$A$14))</formula>
    </cfRule>
    <cfRule type="expression" dxfId="208" priority="9">
      <formula>AND(B6&lt;&gt;"",UPPER(B6)=UPPER(Einstellungen!$A$15))</formula>
    </cfRule>
    <cfRule type="expression" dxfId="209" priority="10">
      <formula>AND(B6&lt;&gt;"",UPPER(B6)=UPPER(Einstellungen!$A$16))</formula>
    </cfRule>
    <cfRule type="expression" dxfId="210" priority="11">
      <formula>AND(B6&lt;&gt;"",UPPER(B6)=UPPER(Einstellungen!$A$17))</formula>
    </cfRule>
    <cfRule type="expression" dxfId="211" priority="12">
      <formula>AND(B6&lt;&gt;"",UPPER(B6)=UPPER(Einstellungen!$A$18))</formula>
    </cfRule>
    <cfRule type="expression" dxfId="212" priority="13">
      <formula>AND(B6&lt;&gt;"",UPPER(B6)=UPPER(Einstellungen!$A$19))</formula>
    </cfRule>
    <cfRule type="expression" dxfId="213" priority="14">
      <formula>AND(B6&lt;&gt;"",UPPER(B6)=UPPER(Einstellungen!$A$20))</formula>
    </cfRule>
    <cfRule type="expression" dxfId="214" priority="20">
      <formula>B$50=1</formula>
    </cfRule>
    <cfRule type="expression" dxfId="215" priority="21">
      <formula>B$51&gt;=6</formula>
    </cfRule>
  </conditionalFormatting>
  <conditionalFormatting sqref="B4:AF5">
    <cfRule type="expression" dxfId="216" priority="22">
      <formula>B$52=0</formula>
    </cfRule>
    <cfRule type="expression" dxfId="217" priority="23">
      <formula>B$50=1</formula>
    </cfRule>
    <cfRule type="expression" dxfId="218" priority="24">
      <formula>B$51&gt;=6</formula>
    </cfRule>
  </conditionalFormatting>
  <conditionalFormatting sqref="B38:AF45">
    <cfRule type="expression" dxfId="219" priority="25">
      <formula>AND(B38&lt;&gt;"",N(B38)&lt;N(B86))</formula>
    </cfRule>
  </conditionalFormatting>
  <dataValidations count="4">
    <dataValidation type="list" allowBlank="1" showErrorMessage="1" errorTitle="Schicht" error="Bitte ein Kürzel aus den Einstellungen wählen (z. B. F, S, N, U, K)." sqref="AA10:AF35">
      <formula1>Codes</formula1>
    </dataValidation>
    <dataValidation type="list" allowBlank="1" showErrorMessage="1" errorTitle="Schicht" error="Bitte ein Kürzel aus den Einstellungen wählen (z. B. F, S, N, U, K)." sqref="AA6:AF35">
      <formula1>Codes</formula1>
    </dataValidation>
    <dataValidation type="list" allowBlank="1" showErrorMessage="1" errorTitle="Schicht" error="Bitte ein Kürzel aus den Einstellungen wählen (z. B. F, S, N, U, K)." sqref="B10:AF35">
      <formula1>Codes</formula1>
    </dataValidation>
    <dataValidation type="list" allowBlank="1" showErrorMessage="1" errorTitle="Schicht" error="Bitte ein Kürzel aus den Einstellungen wählen (z. B. F, S, N, U, K)." sqref="B6:AF35">
      <formula1>Codes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93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32" width="4.2" customWidth="1"/>
    <col min="36" max="37" width="7" customWidth="1"/>
    <col min="38" max="38" width="30" customWidth="1"/>
    <col min="39" max="39" width="9" hidden="1" customWidth="1"/>
  </cols>
  <sheetData>
    <row r="1" spans="1:1" x14ac:dyDescent="0.25">
      <c r="A1" s="5">
        <f>"Dienstplan Dezember "&amp;Jahr&amp;IF(Team="",""," · "&amp;Team)</f>
      </c>
    </row>
    <row r="2" spans="1:1" x14ac:dyDescent="0.25">
      <c r="A2" s="7">
        <f>IF(Bundesland="","Bitte in den Einstellungen das Bundesland wählen, damit die Feiertage stimmen.","Feiertage: "&amp;Bundesland)</f>
      </c>
    </row>
    <row r="3" spans="1:1" x14ac:dyDescent="0.25">
      <c r="A3" s="30">
        <f>Legende</f>
      </c>
    </row>
    <row r="4" spans="1:32" x14ac:dyDescent="0.25">
      <c r="A4" s="1"/>
      <c r="B4" s="31">
        <f>IF(B$5="","",CHOOSE(WEEKDAY(B$5,2),"Mo","Di","Mi","Do","Fr","Sa","So"))</f>
      </c>
      <c r="C4" s="31">
        <f>IF(C$5="","",CHOOSE(WEEKDAY(C$5,2),"Mo","Di","Mi","Do","Fr","Sa","So"))</f>
      </c>
      <c r="D4" s="31">
        <f>IF(D$5="","",CHOOSE(WEEKDAY(D$5,2),"Mo","Di","Mi","Do","Fr","Sa","So"))</f>
      </c>
      <c r="E4" s="31">
        <f>IF(E$5="","",CHOOSE(WEEKDAY(E$5,2),"Mo","Di","Mi","Do","Fr","Sa","So"))</f>
      </c>
      <c r="F4" s="31">
        <f>IF(F$5="","",CHOOSE(WEEKDAY(F$5,2),"Mo","Di","Mi","Do","Fr","Sa","So"))</f>
      </c>
      <c r="G4" s="31">
        <f>IF(G$5="","",CHOOSE(WEEKDAY(G$5,2),"Mo","Di","Mi","Do","Fr","Sa","So"))</f>
      </c>
      <c r="H4" s="31">
        <f>IF(H$5="","",CHOOSE(WEEKDAY(H$5,2),"Mo","Di","Mi","Do","Fr","Sa","So"))</f>
      </c>
      <c r="I4" s="31">
        <f>IF(I$5="","",CHOOSE(WEEKDAY(I$5,2),"Mo","Di","Mi","Do","Fr","Sa","So"))</f>
      </c>
      <c r="J4" s="31">
        <f>IF(J$5="","",CHOOSE(WEEKDAY(J$5,2),"Mo","Di","Mi","Do","Fr","Sa","So"))</f>
      </c>
      <c r="K4" s="31">
        <f>IF(K$5="","",CHOOSE(WEEKDAY(K$5,2),"Mo","Di","Mi","Do","Fr","Sa","So"))</f>
      </c>
      <c r="L4" s="31">
        <f>IF(L$5="","",CHOOSE(WEEKDAY(L$5,2),"Mo","Di","Mi","Do","Fr","Sa","So"))</f>
      </c>
      <c r="M4" s="31">
        <f>IF(M$5="","",CHOOSE(WEEKDAY(M$5,2),"Mo","Di","Mi","Do","Fr","Sa","So"))</f>
      </c>
      <c r="N4" s="31">
        <f>IF(N$5="","",CHOOSE(WEEKDAY(N$5,2),"Mo","Di","Mi","Do","Fr","Sa","So"))</f>
      </c>
      <c r="O4" s="31">
        <f>IF(O$5="","",CHOOSE(WEEKDAY(O$5,2),"Mo","Di","Mi","Do","Fr","Sa","So"))</f>
      </c>
      <c r="P4" s="31">
        <f>IF(P$5="","",CHOOSE(WEEKDAY(P$5,2),"Mo","Di","Mi","Do","Fr","Sa","So"))</f>
      </c>
      <c r="Q4" s="31">
        <f>IF(Q$5="","",CHOOSE(WEEKDAY(Q$5,2),"Mo","Di","Mi","Do","Fr","Sa","So"))</f>
      </c>
      <c r="R4" s="31">
        <f>IF(R$5="","",CHOOSE(WEEKDAY(R$5,2),"Mo","Di","Mi","Do","Fr","Sa","So"))</f>
      </c>
      <c r="S4" s="31">
        <f>IF(S$5="","",CHOOSE(WEEKDAY(S$5,2),"Mo","Di","Mi","Do","Fr","Sa","So"))</f>
      </c>
      <c r="T4" s="31">
        <f>IF(T$5="","",CHOOSE(WEEKDAY(T$5,2),"Mo","Di","Mi","Do","Fr","Sa","So"))</f>
      </c>
      <c r="U4" s="31">
        <f>IF(U$5="","",CHOOSE(WEEKDAY(U$5,2),"Mo","Di","Mi","Do","Fr","Sa","So"))</f>
      </c>
      <c r="V4" s="31">
        <f>IF(V$5="","",CHOOSE(WEEKDAY(V$5,2),"Mo","Di","Mi","Do","Fr","Sa","So"))</f>
      </c>
      <c r="W4" s="31">
        <f>IF(W$5="","",CHOOSE(WEEKDAY(W$5,2),"Mo","Di","Mi","Do","Fr","Sa","So"))</f>
      </c>
      <c r="X4" s="31">
        <f>IF(X$5="","",CHOOSE(WEEKDAY(X$5,2),"Mo","Di","Mi","Do","Fr","Sa","So"))</f>
      </c>
      <c r="Y4" s="31">
        <f>IF(Y$5="","",CHOOSE(WEEKDAY(Y$5,2),"Mo","Di","Mi","Do","Fr","Sa","So"))</f>
      </c>
      <c r="Z4" s="31">
        <f>IF(Z$5="","",CHOOSE(WEEKDAY(Z$5,2),"Mo","Di","Mi","Do","Fr","Sa","So"))</f>
      </c>
      <c r="AA4" s="31">
        <f>IF(AA$5="","",CHOOSE(WEEKDAY(AA$5,2),"Mo","Di","Mi","Do","Fr","Sa","So"))</f>
      </c>
      <c r="AB4" s="31">
        <f>IF(AB$5="","",CHOOSE(WEEKDAY(AB$5,2),"Mo","Di","Mi","Do","Fr","Sa","So"))</f>
      </c>
      <c r="AC4" s="31">
        <f>IF(AC$5="","",CHOOSE(WEEKDAY(AC$5,2),"Mo","Di","Mi","Do","Fr","Sa","So"))</f>
      </c>
      <c r="AD4" s="31">
        <f>IF(AD$5="","",CHOOSE(WEEKDAY(AD$5,2),"Mo","Di","Mi","Do","Fr","Sa","So"))</f>
      </c>
      <c r="AE4" s="31">
        <f>IF(AE$5="","",CHOOSE(WEEKDAY(AE$5,2),"Mo","Di","Mi","Do","Fr","Sa","So"))</f>
      </c>
      <c r="AF4" s="31">
        <f>IF(AF$5="","",CHOOSE(WEEKDAY(AF$5,2),"Mo","Di","Mi","Do","Fr","Sa","So"))</f>
      </c>
    </row>
    <row r="5" ht="18" customHeight="1" spans="1:38" x14ac:dyDescent="0.25">
      <c r="A5" s="10" t="s">
        <v>52</v>
      </c>
      <c r="B5" s="32">
        <f>IF(MONTH(DATE(Jahr,12,1))=12,DATE(Jahr,12,1),"")</f>
      </c>
      <c r="C5" s="32">
        <f>IF(MONTH(DATE(Jahr,12,2))=12,DATE(Jahr,12,2),"")</f>
      </c>
      <c r="D5" s="32">
        <f>IF(MONTH(DATE(Jahr,12,3))=12,DATE(Jahr,12,3),"")</f>
      </c>
      <c r="E5" s="32">
        <f>IF(MONTH(DATE(Jahr,12,4))=12,DATE(Jahr,12,4),"")</f>
      </c>
      <c r="F5" s="32">
        <f>IF(MONTH(DATE(Jahr,12,5))=12,DATE(Jahr,12,5),"")</f>
      </c>
      <c r="G5" s="32">
        <f>IF(MONTH(DATE(Jahr,12,6))=12,DATE(Jahr,12,6),"")</f>
      </c>
      <c r="H5" s="32">
        <f>IF(MONTH(DATE(Jahr,12,7))=12,DATE(Jahr,12,7),"")</f>
      </c>
      <c r="I5" s="32">
        <f>IF(MONTH(DATE(Jahr,12,8))=12,DATE(Jahr,12,8),"")</f>
      </c>
      <c r="J5" s="32">
        <f>IF(MONTH(DATE(Jahr,12,9))=12,DATE(Jahr,12,9),"")</f>
      </c>
      <c r="K5" s="32">
        <f>IF(MONTH(DATE(Jahr,12,10))=12,DATE(Jahr,12,10),"")</f>
      </c>
      <c r="L5" s="32">
        <f>IF(MONTH(DATE(Jahr,12,11))=12,DATE(Jahr,12,11),"")</f>
      </c>
      <c r="M5" s="32">
        <f>IF(MONTH(DATE(Jahr,12,12))=12,DATE(Jahr,12,12),"")</f>
      </c>
      <c r="N5" s="32">
        <f>IF(MONTH(DATE(Jahr,12,13))=12,DATE(Jahr,12,13),"")</f>
      </c>
      <c r="O5" s="32">
        <f>IF(MONTH(DATE(Jahr,12,14))=12,DATE(Jahr,12,14),"")</f>
      </c>
      <c r="P5" s="32">
        <f>IF(MONTH(DATE(Jahr,12,15))=12,DATE(Jahr,12,15),"")</f>
      </c>
      <c r="Q5" s="32">
        <f>IF(MONTH(DATE(Jahr,12,16))=12,DATE(Jahr,12,16),"")</f>
      </c>
      <c r="R5" s="32">
        <f>IF(MONTH(DATE(Jahr,12,17))=12,DATE(Jahr,12,17),"")</f>
      </c>
      <c r="S5" s="32">
        <f>IF(MONTH(DATE(Jahr,12,18))=12,DATE(Jahr,12,18),"")</f>
      </c>
      <c r="T5" s="32">
        <f>IF(MONTH(DATE(Jahr,12,19))=12,DATE(Jahr,12,19),"")</f>
      </c>
      <c r="U5" s="32">
        <f>IF(MONTH(DATE(Jahr,12,20))=12,DATE(Jahr,12,20),"")</f>
      </c>
      <c r="V5" s="32">
        <f>IF(MONTH(DATE(Jahr,12,21))=12,DATE(Jahr,12,21),"")</f>
      </c>
      <c r="W5" s="32">
        <f>IF(MONTH(DATE(Jahr,12,22))=12,DATE(Jahr,12,22),"")</f>
      </c>
      <c r="X5" s="32">
        <f>IF(MONTH(DATE(Jahr,12,23))=12,DATE(Jahr,12,23),"")</f>
      </c>
      <c r="Y5" s="32">
        <f>IF(MONTH(DATE(Jahr,12,24))=12,DATE(Jahr,12,24),"")</f>
      </c>
      <c r="Z5" s="32">
        <f>IF(MONTH(DATE(Jahr,12,25))=12,DATE(Jahr,12,25),"")</f>
      </c>
      <c r="AA5" s="32">
        <f>IF(MONTH(DATE(Jahr,12,26))=12,DATE(Jahr,12,26),"")</f>
      </c>
      <c r="AB5" s="32">
        <f>IF(MONTH(DATE(Jahr,12,27))=12,DATE(Jahr,12,27),"")</f>
      </c>
      <c r="AC5" s="32">
        <f>IF(MONTH(DATE(Jahr,12,28))=12,DATE(Jahr,12,28),"")</f>
      </c>
      <c r="AD5" s="32">
        <f>IF(MONTH(DATE(Jahr,12,29))=12,DATE(Jahr,12,29),"")</f>
      </c>
      <c r="AE5" s="32">
        <f>IF(MONTH(DATE(Jahr,12,30))=12,DATE(Jahr,12,30),"")</f>
      </c>
      <c r="AF5" s="32">
        <f>IF(MONTH(DATE(Jahr,12,31))=12,DATE(Jahr,12,31),"")</f>
      </c>
      <c r="AG5" s="10" t="s">
        <v>60</v>
      </c>
      <c r="AH5" s="10" t="s">
        <v>61</v>
      </c>
      <c r="AI5" s="10" t="s">
        <v>62</v>
      </c>
      <c r="AJ5" s="10" t="s">
        <v>44</v>
      </c>
      <c r="AK5" s="10" t="s">
        <v>46</v>
      </c>
      <c r="AL5" s="10" t="s">
        <v>33</v>
      </c>
    </row>
    <row r="6" spans="1:38" x14ac:dyDescent="0.25">
      <c r="A6" s="33">
        <f>Mitarbeiter!$A$5&amp;""</f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5">
        <f>IF($A6="","",SUMPRODUCT(COUNTIFS(B6:AF6,Codes,$B$52:$AF$52,1)*(Arten="Arbeit")*Erste*NettoTage)+SUMPRODUCT(COUNTIFS(B6:AF6,Codes,$B$53:$AF$53,1)*((Arten="Urlaub")+(Arten="Krank")+(Arten="Bezahlt abwesend"))*Erste)*N(Mitarbeiter!$B$5)/5/24)</f>
      </c>
      <c r="AH6" s="35">
        <f>IF($A6="","",N(Mitarbeiter!$B$5)/5/24*SUM($B$53:$AF$53))</f>
      </c>
      <c r="AI6" s="36">
        <f>IF($A6="","",IF((AG6-AH6)&lt;0,"-","+")&amp;TEXT(ABS((AG6-AH6)),"[h]:mm"))</f>
      </c>
      <c r="AJ6" s="37">
        <f>IF($A6="","",SUMPRODUCT(COUNTIFS(B6:AF6,Codes,$B$53:$AF$53,1)*(Arten="Urlaub")*Erste))</f>
      </c>
      <c r="AK6" s="37">
        <f>IF($A6="","",SUMPRODUCT(COUNTIFS(B6:AF6,Codes,$B$53:$AF$53,1)*(Arten="Krank")*Erste))</f>
      </c>
      <c r="AL6" s="38">
        <f>IF($A6="","",IF(COUNTIF(B55:AF55,1)&gt;0,COUNTIF(B55:AF55,1)&amp;"× Ruhezeit unter 11 Std. (§ 5)","")&amp;IF((COUNTIFS(B6:AF6,"?*",$B$52:$AF$52,1)-SUMPRODUCT(COUNTIFS(B6:AF6,Codes,$B$52:$AF$52,1)*(Codes&lt;&gt;"")*Erste))&gt;0,IF(COUNTIF(B55:AF55,1)&gt;0,"; ","")&amp;(COUNTIFS(B6:AF6,"?*",$B$52:$AF$52,1)-SUMPRODUCT(COUNTIFS(B6:AF6,Codes,$B$52:$AF$52,1)*(Codes&lt;&gt;"")*Erste))&amp;"× unbekanntes Kürzel",""))</f>
      </c>
    </row>
    <row r="7" spans="1:38" x14ac:dyDescent="0.25">
      <c r="A7" s="33">
        <f>Mitarbeiter!$A$6&amp;""</f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5">
        <f>IF($A7="","",SUMPRODUCT(COUNTIFS(B7:AF7,Codes,$B$52:$AF$52,1)*(Arten="Arbeit")*Erste*NettoTage)+SUMPRODUCT(COUNTIFS(B7:AF7,Codes,$B$53:$AF$53,1)*((Arten="Urlaub")+(Arten="Krank")+(Arten="Bezahlt abwesend"))*Erste)*N(Mitarbeiter!$B$6)/5/24)</f>
      </c>
      <c r="AH7" s="35">
        <f>IF($A7="","",N(Mitarbeiter!$B$6)/5/24*SUM($B$53:$AF$53))</f>
      </c>
      <c r="AI7" s="36">
        <f>IF($A7="","",IF((AG7-AH7)&lt;0,"-","+")&amp;TEXT(ABS((AG7-AH7)),"[h]:mm"))</f>
      </c>
      <c r="AJ7" s="37">
        <f>IF($A7="","",SUMPRODUCT(COUNTIFS(B7:AF7,Codes,$B$53:$AF$53,1)*(Arten="Urlaub")*Erste))</f>
      </c>
      <c r="AK7" s="37">
        <f>IF($A7="","",SUMPRODUCT(COUNTIFS(B7:AF7,Codes,$B$53:$AF$53,1)*(Arten="Krank")*Erste))</f>
      </c>
      <c r="AL7" s="38">
        <f>IF($A7="","",IF(COUNTIF(B56:AF56,1)&gt;0,COUNTIF(B56:AF56,1)&amp;"× Ruhezeit unter 11 Std. (§ 5)","")&amp;IF((COUNTIFS(B7:AF7,"?*",$B$52:$AF$52,1)-SUMPRODUCT(COUNTIFS(B7:AF7,Codes,$B$52:$AF$52,1)*(Codes&lt;&gt;"")*Erste))&gt;0,IF(COUNTIF(B56:AF56,1)&gt;0,"; ","")&amp;(COUNTIFS(B7:AF7,"?*",$B$52:$AF$52,1)-SUMPRODUCT(COUNTIFS(B7:AF7,Codes,$B$52:$AF$52,1)*(Codes&lt;&gt;"")*Erste))&amp;"× unbekanntes Kürzel",""))</f>
      </c>
    </row>
    <row r="8" spans="1:38" x14ac:dyDescent="0.25">
      <c r="A8" s="33">
        <f>Mitarbeiter!$A$7&amp;""</f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5">
        <f>IF($A8="","",SUMPRODUCT(COUNTIFS(B8:AF8,Codes,$B$52:$AF$52,1)*(Arten="Arbeit")*Erste*NettoTage)+SUMPRODUCT(COUNTIFS(B8:AF8,Codes,$B$53:$AF$53,1)*((Arten="Urlaub")+(Arten="Krank")+(Arten="Bezahlt abwesend"))*Erste)*N(Mitarbeiter!$B$7)/5/24)</f>
      </c>
      <c r="AH8" s="35">
        <f>IF($A8="","",N(Mitarbeiter!$B$7)/5/24*SUM($B$53:$AF$53))</f>
      </c>
      <c r="AI8" s="36">
        <f>IF($A8="","",IF((AG8-AH8)&lt;0,"-","+")&amp;TEXT(ABS((AG8-AH8)),"[h]:mm"))</f>
      </c>
      <c r="AJ8" s="37">
        <f>IF($A8="","",SUMPRODUCT(COUNTIFS(B8:AF8,Codes,$B$53:$AF$53,1)*(Arten="Urlaub")*Erste))</f>
      </c>
      <c r="AK8" s="37">
        <f>IF($A8="","",SUMPRODUCT(COUNTIFS(B8:AF8,Codes,$B$53:$AF$53,1)*(Arten="Krank")*Erste))</f>
      </c>
      <c r="AL8" s="38">
        <f>IF($A8="","",IF(COUNTIF(B57:AF57,1)&gt;0,COUNTIF(B57:AF57,1)&amp;"× Ruhezeit unter 11 Std. (§ 5)","")&amp;IF((COUNTIFS(B8:AF8,"?*",$B$52:$AF$52,1)-SUMPRODUCT(COUNTIFS(B8:AF8,Codes,$B$52:$AF$52,1)*(Codes&lt;&gt;"")*Erste))&gt;0,IF(COUNTIF(B57:AF57,1)&gt;0,"; ","")&amp;(COUNTIFS(B8:AF8,"?*",$B$52:$AF$52,1)-SUMPRODUCT(COUNTIFS(B8:AF8,Codes,$B$52:$AF$52,1)*(Codes&lt;&gt;"")*Erste))&amp;"× unbekanntes Kürzel",""))</f>
      </c>
    </row>
    <row r="9" spans="1:38" x14ac:dyDescent="0.25">
      <c r="A9" s="33">
        <f>Mitarbeiter!$A$8&amp;""</f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5">
        <f>IF($A9="","",SUMPRODUCT(COUNTIFS(B9:AF9,Codes,$B$52:$AF$52,1)*(Arten="Arbeit")*Erste*NettoTage)+SUMPRODUCT(COUNTIFS(B9:AF9,Codes,$B$53:$AF$53,1)*((Arten="Urlaub")+(Arten="Krank")+(Arten="Bezahlt abwesend"))*Erste)*N(Mitarbeiter!$B$8)/5/24)</f>
      </c>
      <c r="AH9" s="35">
        <f>IF($A9="","",N(Mitarbeiter!$B$8)/5/24*SUM($B$53:$AF$53))</f>
      </c>
      <c r="AI9" s="36">
        <f>IF($A9="","",IF((AG9-AH9)&lt;0,"-","+")&amp;TEXT(ABS((AG9-AH9)),"[h]:mm"))</f>
      </c>
      <c r="AJ9" s="37">
        <f>IF($A9="","",SUMPRODUCT(COUNTIFS(B9:AF9,Codes,$B$53:$AF$53,1)*(Arten="Urlaub")*Erste))</f>
      </c>
      <c r="AK9" s="37">
        <f>IF($A9="","",SUMPRODUCT(COUNTIFS(B9:AF9,Codes,$B$53:$AF$53,1)*(Arten="Krank")*Erste))</f>
      </c>
      <c r="AL9" s="38">
        <f>IF($A9="","",IF(COUNTIF(B58:AF58,1)&gt;0,COUNTIF(B58:AF58,1)&amp;"× Ruhezeit unter 11 Std. (§ 5)","")&amp;IF((COUNTIFS(B9:AF9,"?*",$B$52:$AF$52,1)-SUMPRODUCT(COUNTIFS(B9:AF9,Codes,$B$52:$AF$52,1)*(Codes&lt;&gt;"")*Erste))&gt;0,IF(COUNTIF(B58:AF58,1)&gt;0,"; ","")&amp;(COUNTIFS(B9:AF9,"?*",$B$52:$AF$52,1)-SUMPRODUCT(COUNTIFS(B9:AF9,Codes,$B$52:$AF$52,1)*(Codes&lt;&gt;"")*Erste))&amp;"× unbekanntes Kürzel",""))</f>
      </c>
    </row>
    <row r="10" spans="1:38" x14ac:dyDescent="0.25">
      <c r="A10" s="33">
        <f>Mitarbeiter!$A$9&amp;""</f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5">
        <f>IF($A10="","",SUMPRODUCT(COUNTIFS(B10:AF10,Codes,$B$52:$AF$52,1)*(Arten="Arbeit")*Erste*NettoTage)+SUMPRODUCT(COUNTIFS(B10:AF10,Codes,$B$53:$AF$53,1)*((Arten="Urlaub")+(Arten="Krank")+(Arten="Bezahlt abwesend"))*Erste)*N(Mitarbeiter!$B$9)/5/24)</f>
      </c>
      <c r="AH10" s="35">
        <f>IF($A10="","",N(Mitarbeiter!$B$9)/5/24*SUM($B$53:$AF$53))</f>
      </c>
      <c r="AI10" s="36">
        <f>IF($A10="","",IF((AG10-AH10)&lt;0,"-","+")&amp;TEXT(ABS((AG10-AH10)),"[h]:mm"))</f>
      </c>
      <c r="AJ10" s="37">
        <f>IF($A10="","",SUMPRODUCT(COUNTIFS(B10:AF10,Codes,$B$53:$AF$53,1)*(Arten="Urlaub")*Erste))</f>
      </c>
      <c r="AK10" s="37">
        <f>IF($A10="","",SUMPRODUCT(COUNTIFS(B10:AF10,Codes,$B$53:$AF$53,1)*(Arten="Krank")*Erste))</f>
      </c>
      <c r="AL10" s="38">
        <f>IF($A10="","",IF(COUNTIF(B59:AF59,1)&gt;0,COUNTIF(B59:AF59,1)&amp;"× Ruhezeit unter 11 Std. (§ 5)","")&amp;IF((COUNTIFS(B10:AF10,"?*",$B$52:$AF$52,1)-SUMPRODUCT(COUNTIFS(B10:AF10,Codes,$B$52:$AF$52,1)*(Codes&lt;&gt;"")*Erste))&gt;0,IF(COUNTIF(B59:AF59,1)&gt;0,"; ","")&amp;(COUNTIFS(B10:AF10,"?*",$B$52:$AF$52,1)-SUMPRODUCT(COUNTIFS(B10:AF10,Codes,$B$52:$AF$52,1)*(Codes&lt;&gt;"")*Erste))&amp;"× unbekanntes Kürzel",""))</f>
      </c>
    </row>
    <row r="11" spans="1:38" x14ac:dyDescent="0.25">
      <c r="A11" s="33">
        <f>Mitarbeiter!$A$10&amp;""</f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5">
        <f>IF($A11="","",SUMPRODUCT(COUNTIFS(B11:AF11,Codes,$B$52:$AF$52,1)*(Arten="Arbeit")*Erste*NettoTage)+SUMPRODUCT(COUNTIFS(B11:AF11,Codes,$B$53:$AF$53,1)*((Arten="Urlaub")+(Arten="Krank")+(Arten="Bezahlt abwesend"))*Erste)*N(Mitarbeiter!$B$10)/5/24)</f>
      </c>
      <c r="AH11" s="35">
        <f>IF($A11="","",N(Mitarbeiter!$B$10)/5/24*SUM($B$53:$AF$53))</f>
      </c>
      <c r="AI11" s="36">
        <f>IF($A11="","",IF((AG11-AH11)&lt;0,"-","+")&amp;TEXT(ABS((AG11-AH11)),"[h]:mm"))</f>
      </c>
      <c r="AJ11" s="37">
        <f>IF($A11="","",SUMPRODUCT(COUNTIFS(B11:AF11,Codes,$B$53:$AF$53,1)*(Arten="Urlaub")*Erste))</f>
      </c>
      <c r="AK11" s="37">
        <f>IF($A11="","",SUMPRODUCT(COUNTIFS(B11:AF11,Codes,$B$53:$AF$53,1)*(Arten="Krank")*Erste))</f>
      </c>
      <c r="AL11" s="38">
        <f>IF($A11="","",IF(COUNTIF(B60:AF60,1)&gt;0,COUNTIF(B60:AF60,1)&amp;"× Ruhezeit unter 11 Std. (§ 5)","")&amp;IF((COUNTIFS(B11:AF11,"?*",$B$52:$AF$52,1)-SUMPRODUCT(COUNTIFS(B11:AF11,Codes,$B$52:$AF$52,1)*(Codes&lt;&gt;"")*Erste))&gt;0,IF(COUNTIF(B60:AF60,1)&gt;0,"; ","")&amp;(COUNTIFS(B11:AF11,"?*",$B$52:$AF$52,1)-SUMPRODUCT(COUNTIFS(B11:AF11,Codes,$B$52:$AF$52,1)*(Codes&lt;&gt;"")*Erste))&amp;"× unbekanntes Kürzel",""))</f>
      </c>
    </row>
    <row r="12" spans="1:38" x14ac:dyDescent="0.25">
      <c r="A12" s="33">
        <f>Mitarbeiter!$A$11&amp;""</f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5">
        <f>IF($A12="","",SUMPRODUCT(COUNTIFS(B12:AF12,Codes,$B$52:$AF$52,1)*(Arten="Arbeit")*Erste*NettoTage)+SUMPRODUCT(COUNTIFS(B12:AF12,Codes,$B$53:$AF$53,1)*((Arten="Urlaub")+(Arten="Krank")+(Arten="Bezahlt abwesend"))*Erste)*N(Mitarbeiter!$B$11)/5/24)</f>
      </c>
      <c r="AH12" s="35">
        <f>IF($A12="","",N(Mitarbeiter!$B$11)/5/24*SUM($B$53:$AF$53))</f>
      </c>
      <c r="AI12" s="36">
        <f>IF($A12="","",IF((AG12-AH12)&lt;0,"-","+")&amp;TEXT(ABS((AG12-AH12)),"[h]:mm"))</f>
      </c>
      <c r="AJ12" s="37">
        <f>IF($A12="","",SUMPRODUCT(COUNTIFS(B12:AF12,Codes,$B$53:$AF$53,1)*(Arten="Urlaub")*Erste))</f>
      </c>
      <c r="AK12" s="37">
        <f>IF($A12="","",SUMPRODUCT(COUNTIFS(B12:AF12,Codes,$B$53:$AF$53,1)*(Arten="Krank")*Erste))</f>
      </c>
      <c r="AL12" s="38">
        <f>IF($A12="","",IF(COUNTIF(B61:AF61,1)&gt;0,COUNTIF(B61:AF61,1)&amp;"× Ruhezeit unter 11 Std. (§ 5)","")&amp;IF((COUNTIFS(B12:AF12,"?*",$B$52:$AF$52,1)-SUMPRODUCT(COUNTIFS(B12:AF12,Codes,$B$52:$AF$52,1)*(Codes&lt;&gt;"")*Erste))&gt;0,IF(COUNTIF(B61:AF61,1)&gt;0,"; ","")&amp;(COUNTIFS(B12:AF12,"?*",$B$52:$AF$52,1)-SUMPRODUCT(COUNTIFS(B12:AF12,Codes,$B$52:$AF$52,1)*(Codes&lt;&gt;"")*Erste))&amp;"× unbekanntes Kürzel",""))</f>
      </c>
    </row>
    <row r="13" spans="1:38" x14ac:dyDescent="0.25">
      <c r="A13" s="33">
        <f>Mitarbeiter!$A$12&amp;""</f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5">
        <f>IF($A13="","",SUMPRODUCT(COUNTIFS(B13:AF13,Codes,$B$52:$AF$52,1)*(Arten="Arbeit")*Erste*NettoTage)+SUMPRODUCT(COUNTIFS(B13:AF13,Codes,$B$53:$AF$53,1)*((Arten="Urlaub")+(Arten="Krank")+(Arten="Bezahlt abwesend"))*Erste)*N(Mitarbeiter!$B$12)/5/24)</f>
      </c>
      <c r="AH13" s="35">
        <f>IF($A13="","",N(Mitarbeiter!$B$12)/5/24*SUM($B$53:$AF$53))</f>
      </c>
      <c r="AI13" s="36">
        <f>IF($A13="","",IF((AG13-AH13)&lt;0,"-","+")&amp;TEXT(ABS((AG13-AH13)),"[h]:mm"))</f>
      </c>
      <c r="AJ13" s="37">
        <f>IF($A13="","",SUMPRODUCT(COUNTIFS(B13:AF13,Codes,$B$53:$AF$53,1)*(Arten="Urlaub")*Erste))</f>
      </c>
      <c r="AK13" s="37">
        <f>IF($A13="","",SUMPRODUCT(COUNTIFS(B13:AF13,Codes,$B$53:$AF$53,1)*(Arten="Krank")*Erste))</f>
      </c>
      <c r="AL13" s="38">
        <f>IF($A13="","",IF(COUNTIF(B62:AF62,1)&gt;0,COUNTIF(B62:AF62,1)&amp;"× Ruhezeit unter 11 Std. (§ 5)","")&amp;IF((COUNTIFS(B13:AF13,"?*",$B$52:$AF$52,1)-SUMPRODUCT(COUNTIFS(B13:AF13,Codes,$B$52:$AF$52,1)*(Codes&lt;&gt;"")*Erste))&gt;0,IF(COUNTIF(B62:AF62,1)&gt;0,"; ","")&amp;(COUNTIFS(B13:AF13,"?*",$B$52:$AF$52,1)-SUMPRODUCT(COUNTIFS(B13:AF13,Codes,$B$52:$AF$52,1)*(Codes&lt;&gt;"")*Erste))&amp;"× unbekanntes Kürzel",""))</f>
      </c>
    </row>
    <row r="14" spans="1:38" x14ac:dyDescent="0.25">
      <c r="A14" s="33">
        <f>Mitarbeiter!$A$13&amp;""</f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5">
        <f>IF($A14="","",SUMPRODUCT(COUNTIFS(B14:AF14,Codes,$B$52:$AF$52,1)*(Arten="Arbeit")*Erste*NettoTage)+SUMPRODUCT(COUNTIFS(B14:AF14,Codes,$B$53:$AF$53,1)*((Arten="Urlaub")+(Arten="Krank")+(Arten="Bezahlt abwesend"))*Erste)*N(Mitarbeiter!$B$13)/5/24)</f>
      </c>
      <c r="AH14" s="35">
        <f>IF($A14="","",N(Mitarbeiter!$B$13)/5/24*SUM($B$53:$AF$53))</f>
      </c>
      <c r="AI14" s="36">
        <f>IF($A14="","",IF((AG14-AH14)&lt;0,"-","+")&amp;TEXT(ABS((AG14-AH14)),"[h]:mm"))</f>
      </c>
      <c r="AJ14" s="37">
        <f>IF($A14="","",SUMPRODUCT(COUNTIFS(B14:AF14,Codes,$B$53:$AF$53,1)*(Arten="Urlaub")*Erste))</f>
      </c>
      <c r="AK14" s="37">
        <f>IF($A14="","",SUMPRODUCT(COUNTIFS(B14:AF14,Codes,$B$53:$AF$53,1)*(Arten="Krank")*Erste))</f>
      </c>
      <c r="AL14" s="38">
        <f>IF($A14="","",IF(COUNTIF(B63:AF63,1)&gt;0,COUNTIF(B63:AF63,1)&amp;"× Ruhezeit unter 11 Std. (§ 5)","")&amp;IF((COUNTIFS(B14:AF14,"?*",$B$52:$AF$52,1)-SUMPRODUCT(COUNTIFS(B14:AF14,Codes,$B$52:$AF$52,1)*(Codes&lt;&gt;"")*Erste))&gt;0,IF(COUNTIF(B63:AF63,1)&gt;0,"; ","")&amp;(COUNTIFS(B14:AF14,"?*",$B$52:$AF$52,1)-SUMPRODUCT(COUNTIFS(B14:AF14,Codes,$B$52:$AF$52,1)*(Codes&lt;&gt;"")*Erste))&amp;"× unbekanntes Kürzel",""))</f>
      </c>
    </row>
    <row r="15" spans="1:38" x14ac:dyDescent="0.25">
      <c r="A15" s="33">
        <f>Mitarbeiter!$A$14&amp;""</f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5">
        <f>IF($A15="","",SUMPRODUCT(COUNTIFS(B15:AF15,Codes,$B$52:$AF$52,1)*(Arten="Arbeit")*Erste*NettoTage)+SUMPRODUCT(COUNTIFS(B15:AF15,Codes,$B$53:$AF$53,1)*((Arten="Urlaub")+(Arten="Krank")+(Arten="Bezahlt abwesend"))*Erste)*N(Mitarbeiter!$B$14)/5/24)</f>
      </c>
      <c r="AH15" s="35">
        <f>IF($A15="","",N(Mitarbeiter!$B$14)/5/24*SUM($B$53:$AF$53))</f>
      </c>
      <c r="AI15" s="36">
        <f>IF($A15="","",IF((AG15-AH15)&lt;0,"-","+")&amp;TEXT(ABS((AG15-AH15)),"[h]:mm"))</f>
      </c>
      <c r="AJ15" s="37">
        <f>IF($A15="","",SUMPRODUCT(COUNTIFS(B15:AF15,Codes,$B$53:$AF$53,1)*(Arten="Urlaub")*Erste))</f>
      </c>
      <c r="AK15" s="37">
        <f>IF($A15="","",SUMPRODUCT(COUNTIFS(B15:AF15,Codes,$B$53:$AF$53,1)*(Arten="Krank")*Erste))</f>
      </c>
      <c r="AL15" s="38">
        <f>IF($A15="","",IF(COUNTIF(B64:AF64,1)&gt;0,COUNTIF(B64:AF64,1)&amp;"× Ruhezeit unter 11 Std. (§ 5)","")&amp;IF((COUNTIFS(B15:AF15,"?*",$B$52:$AF$52,1)-SUMPRODUCT(COUNTIFS(B15:AF15,Codes,$B$52:$AF$52,1)*(Codes&lt;&gt;"")*Erste))&gt;0,IF(COUNTIF(B64:AF64,1)&gt;0,"; ","")&amp;(COUNTIFS(B15:AF15,"?*",$B$52:$AF$52,1)-SUMPRODUCT(COUNTIFS(B15:AF15,Codes,$B$52:$AF$52,1)*(Codes&lt;&gt;"")*Erste))&amp;"× unbekanntes Kürzel",""))</f>
      </c>
    </row>
    <row r="16" spans="1:38" x14ac:dyDescent="0.25">
      <c r="A16" s="33">
        <f>Mitarbeiter!$A$15&amp;""</f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5">
        <f>IF($A16="","",SUMPRODUCT(COUNTIFS(B16:AF16,Codes,$B$52:$AF$52,1)*(Arten="Arbeit")*Erste*NettoTage)+SUMPRODUCT(COUNTIFS(B16:AF16,Codes,$B$53:$AF$53,1)*((Arten="Urlaub")+(Arten="Krank")+(Arten="Bezahlt abwesend"))*Erste)*N(Mitarbeiter!$B$15)/5/24)</f>
      </c>
      <c r="AH16" s="35">
        <f>IF($A16="","",N(Mitarbeiter!$B$15)/5/24*SUM($B$53:$AF$53))</f>
      </c>
      <c r="AI16" s="36">
        <f>IF($A16="","",IF((AG16-AH16)&lt;0,"-","+")&amp;TEXT(ABS((AG16-AH16)),"[h]:mm"))</f>
      </c>
      <c r="AJ16" s="37">
        <f>IF($A16="","",SUMPRODUCT(COUNTIFS(B16:AF16,Codes,$B$53:$AF$53,1)*(Arten="Urlaub")*Erste))</f>
      </c>
      <c r="AK16" s="37">
        <f>IF($A16="","",SUMPRODUCT(COUNTIFS(B16:AF16,Codes,$B$53:$AF$53,1)*(Arten="Krank")*Erste))</f>
      </c>
      <c r="AL16" s="38">
        <f>IF($A16="","",IF(COUNTIF(B65:AF65,1)&gt;0,COUNTIF(B65:AF65,1)&amp;"× Ruhezeit unter 11 Std. (§ 5)","")&amp;IF((COUNTIFS(B16:AF16,"?*",$B$52:$AF$52,1)-SUMPRODUCT(COUNTIFS(B16:AF16,Codes,$B$52:$AF$52,1)*(Codes&lt;&gt;"")*Erste))&gt;0,IF(COUNTIF(B65:AF65,1)&gt;0,"; ","")&amp;(COUNTIFS(B16:AF16,"?*",$B$52:$AF$52,1)-SUMPRODUCT(COUNTIFS(B16:AF16,Codes,$B$52:$AF$52,1)*(Codes&lt;&gt;"")*Erste))&amp;"× unbekanntes Kürzel",""))</f>
      </c>
    </row>
    <row r="17" spans="1:38" x14ac:dyDescent="0.25">
      <c r="A17" s="33">
        <f>Mitarbeiter!$A$16&amp;""</f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5">
        <f>IF($A17="","",SUMPRODUCT(COUNTIFS(B17:AF17,Codes,$B$52:$AF$52,1)*(Arten="Arbeit")*Erste*NettoTage)+SUMPRODUCT(COUNTIFS(B17:AF17,Codes,$B$53:$AF$53,1)*((Arten="Urlaub")+(Arten="Krank")+(Arten="Bezahlt abwesend"))*Erste)*N(Mitarbeiter!$B$16)/5/24)</f>
      </c>
      <c r="AH17" s="35">
        <f>IF($A17="","",N(Mitarbeiter!$B$16)/5/24*SUM($B$53:$AF$53))</f>
      </c>
      <c r="AI17" s="36">
        <f>IF($A17="","",IF((AG17-AH17)&lt;0,"-","+")&amp;TEXT(ABS((AG17-AH17)),"[h]:mm"))</f>
      </c>
      <c r="AJ17" s="37">
        <f>IF($A17="","",SUMPRODUCT(COUNTIFS(B17:AF17,Codes,$B$53:$AF$53,1)*(Arten="Urlaub")*Erste))</f>
      </c>
      <c r="AK17" s="37">
        <f>IF($A17="","",SUMPRODUCT(COUNTIFS(B17:AF17,Codes,$B$53:$AF$53,1)*(Arten="Krank")*Erste))</f>
      </c>
      <c r="AL17" s="38">
        <f>IF($A17="","",IF(COUNTIF(B66:AF66,1)&gt;0,COUNTIF(B66:AF66,1)&amp;"× Ruhezeit unter 11 Std. (§ 5)","")&amp;IF((COUNTIFS(B17:AF17,"?*",$B$52:$AF$52,1)-SUMPRODUCT(COUNTIFS(B17:AF17,Codes,$B$52:$AF$52,1)*(Codes&lt;&gt;"")*Erste))&gt;0,IF(COUNTIF(B66:AF66,1)&gt;0,"; ","")&amp;(COUNTIFS(B17:AF17,"?*",$B$52:$AF$52,1)-SUMPRODUCT(COUNTIFS(B17:AF17,Codes,$B$52:$AF$52,1)*(Codes&lt;&gt;"")*Erste))&amp;"× unbekanntes Kürzel",""))</f>
      </c>
    </row>
    <row r="18" spans="1:38" x14ac:dyDescent="0.25">
      <c r="A18" s="33">
        <f>Mitarbeiter!$A$17&amp;""</f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5">
        <f>IF($A18="","",SUMPRODUCT(COUNTIFS(B18:AF18,Codes,$B$52:$AF$52,1)*(Arten="Arbeit")*Erste*NettoTage)+SUMPRODUCT(COUNTIFS(B18:AF18,Codes,$B$53:$AF$53,1)*((Arten="Urlaub")+(Arten="Krank")+(Arten="Bezahlt abwesend"))*Erste)*N(Mitarbeiter!$B$17)/5/24)</f>
      </c>
      <c r="AH18" s="35">
        <f>IF($A18="","",N(Mitarbeiter!$B$17)/5/24*SUM($B$53:$AF$53))</f>
      </c>
      <c r="AI18" s="36">
        <f>IF($A18="","",IF((AG18-AH18)&lt;0,"-","+")&amp;TEXT(ABS((AG18-AH18)),"[h]:mm"))</f>
      </c>
      <c r="AJ18" s="37">
        <f>IF($A18="","",SUMPRODUCT(COUNTIFS(B18:AF18,Codes,$B$53:$AF$53,1)*(Arten="Urlaub")*Erste))</f>
      </c>
      <c r="AK18" s="37">
        <f>IF($A18="","",SUMPRODUCT(COUNTIFS(B18:AF18,Codes,$B$53:$AF$53,1)*(Arten="Krank")*Erste))</f>
      </c>
      <c r="AL18" s="38">
        <f>IF($A18="","",IF(COUNTIF(B67:AF67,1)&gt;0,COUNTIF(B67:AF67,1)&amp;"× Ruhezeit unter 11 Std. (§ 5)","")&amp;IF((COUNTIFS(B18:AF18,"?*",$B$52:$AF$52,1)-SUMPRODUCT(COUNTIFS(B18:AF18,Codes,$B$52:$AF$52,1)*(Codes&lt;&gt;"")*Erste))&gt;0,IF(COUNTIF(B67:AF67,1)&gt;0,"; ","")&amp;(COUNTIFS(B18:AF18,"?*",$B$52:$AF$52,1)-SUMPRODUCT(COUNTIFS(B18:AF18,Codes,$B$52:$AF$52,1)*(Codes&lt;&gt;"")*Erste))&amp;"× unbekanntes Kürzel",""))</f>
      </c>
    </row>
    <row r="19" spans="1:38" x14ac:dyDescent="0.25">
      <c r="A19" s="33">
        <f>Mitarbeiter!$A$18&amp;""</f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5">
        <f>IF($A19="","",SUMPRODUCT(COUNTIFS(B19:AF19,Codes,$B$52:$AF$52,1)*(Arten="Arbeit")*Erste*NettoTage)+SUMPRODUCT(COUNTIFS(B19:AF19,Codes,$B$53:$AF$53,1)*((Arten="Urlaub")+(Arten="Krank")+(Arten="Bezahlt abwesend"))*Erste)*N(Mitarbeiter!$B$18)/5/24)</f>
      </c>
      <c r="AH19" s="35">
        <f>IF($A19="","",N(Mitarbeiter!$B$18)/5/24*SUM($B$53:$AF$53))</f>
      </c>
      <c r="AI19" s="36">
        <f>IF($A19="","",IF((AG19-AH19)&lt;0,"-","+")&amp;TEXT(ABS((AG19-AH19)),"[h]:mm"))</f>
      </c>
      <c r="AJ19" s="37">
        <f>IF($A19="","",SUMPRODUCT(COUNTIFS(B19:AF19,Codes,$B$53:$AF$53,1)*(Arten="Urlaub")*Erste))</f>
      </c>
      <c r="AK19" s="37">
        <f>IF($A19="","",SUMPRODUCT(COUNTIFS(B19:AF19,Codes,$B$53:$AF$53,1)*(Arten="Krank")*Erste))</f>
      </c>
      <c r="AL19" s="38">
        <f>IF($A19="","",IF(COUNTIF(B68:AF68,1)&gt;0,COUNTIF(B68:AF68,1)&amp;"× Ruhezeit unter 11 Std. (§ 5)","")&amp;IF((COUNTIFS(B19:AF19,"?*",$B$52:$AF$52,1)-SUMPRODUCT(COUNTIFS(B19:AF19,Codes,$B$52:$AF$52,1)*(Codes&lt;&gt;"")*Erste))&gt;0,IF(COUNTIF(B68:AF68,1)&gt;0,"; ","")&amp;(COUNTIFS(B19:AF19,"?*",$B$52:$AF$52,1)-SUMPRODUCT(COUNTIFS(B19:AF19,Codes,$B$52:$AF$52,1)*(Codes&lt;&gt;"")*Erste))&amp;"× unbekanntes Kürzel",""))</f>
      </c>
    </row>
    <row r="20" spans="1:38" x14ac:dyDescent="0.25">
      <c r="A20" s="33">
        <f>Mitarbeiter!$A$19&amp;""</f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5">
        <f>IF($A20="","",SUMPRODUCT(COUNTIFS(B20:AF20,Codes,$B$52:$AF$52,1)*(Arten="Arbeit")*Erste*NettoTage)+SUMPRODUCT(COUNTIFS(B20:AF20,Codes,$B$53:$AF$53,1)*((Arten="Urlaub")+(Arten="Krank")+(Arten="Bezahlt abwesend"))*Erste)*N(Mitarbeiter!$B$19)/5/24)</f>
      </c>
      <c r="AH20" s="35">
        <f>IF($A20="","",N(Mitarbeiter!$B$19)/5/24*SUM($B$53:$AF$53))</f>
      </c>
      <c r="AI20" s="36">
        <f>IF($A20="","",IF((AG20-AH20)&lt;0,"-","+")&amp;TEXT(ABS((AG20-AH20)),"[h]:mm"))</f>
      </c>
      <c r="AJ20" s="37">
        <f>IF($A20="","",SUMPRODUCT(COUNTIFS(B20:AF20,Codes,$B$53:$AF$53,1)*(Arten="Urlaub")*Erste))</f>
      </c>
      <c r="AK20" s="37">
        <f>IF($A20="","",SUMPRODUCT(COUNTIFS(B20:AF20,Codes,$B$53:$AF$53,1)*(Arten="Krank")*Erste))</f>
      </c>
      <c r="AL20" s="38">
        <f>IF($A20="","",IF(COUNTIF(B69:AF69,1)&gt;0,COUNTIF(B69:AF69,1)&amp;"× Ruhezeit unter 11 Std. (§ 5)","")&amp;IF((COUNTIFS(B20:AF20,"?*",$B$52:$AF$52,1)-SUMPRODUCT(COUNTIFS(B20:AF20,Codes,$B$52:$AF$52,1)*(Codes&lt;&gt;"")*Erste))&gt;0,IF(COUNTIF(B69:AF69,1)&gt;0,"; ","")&amp;(COUNTIFS(B20:AF20,"?*",$B$52:$AF$52,1)-SUMPRODUCT(COUNTIFS(B20:AF20,Codes,$B$52:$AF$52,1)*(Codes&lt;&gt;"")*Erste))&amp;"× unbekanntes Kürzel",""))</f>
      </c>
    </row>
    <row r="21" spans="1:38" x14ac:dyDescent="0.25">
      <c r="A21" s="33">
        <f>Mitarbeiter!$A$20&amp;""</f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5">
        <f>IF($A21="","",SUMPRODUCT(COUNTIFS(B21:AF21,Codes,$B$52:$AF$52,1)*(Arten="Arbeit")*Erste*NettoTage)+SUMPRODUCT(COUNTIFS(B21:AF21,Codes,$B$53:$AF$53,1)*((Arten="Urlaub")+(Arten="Krank")+(Arten="Bezahlt abwesend"))*Erste)*N(Mitarbeiter!$B$20)/5/24)</f>
      </c>
      <c r="AH21" s="35">
        <f>IF($A21="","",N(Mitarbeiter!$B$20)/5/24*SUM($B$53:$AF$53))</f>
      </c>
      <c r="AI21" s="36">
        <f>IF($A21="","",IF((AG21-AH21)&lt;0,"-","+")&amp;TEXT(ABS((AG21-AH21)),"[h]:mm"))</f>
      </c>
      <c r="AJ21" s="37">
        <f>IF($A21="","",SUMPRODUCT(COUNTIFS(B21:AF21,Codes,$B$53:$AF$53,1)*(Arten="Urlaub")*Erste))</f>
      </c>
      <c r="AK21" s="37">
        <f>IF($A21="","",SUMPRODUCT(COUNTIFS(B21:AF21,Codes,$B$53:$AF$53,1)*(Arten="Krank")*Erste))</f>
      </c>
      <c r="AL21" s="38">
        <f>IF($A21="","",IF(COUNTIF(B70:AF70,1)&gt;0,COUNTIF(B70:AF70,1)&amp;"× Ruhezeit unter 11 Std. (§ 5)","")&amp;IF((COUNTIFS(B21:AF21,"?*",$B$52:$AF$52,1)-SUMPRODUCT(COUNTIFS(B21:AF21,Codes,$B$52:$AF$52,1)*(Codes&lt;&gt;"")*Erste))&gt;0,IF(COUNTIF(B70:AF70,1)&gt;0,"; ","")&amp;(COUNTIFS(B21:AF21,"?*",$B$52:$AF$52,1)-SUMPRODUCT(COUNTIFS(B21:AF21,Codes,$B$52:$AF$52,1)*(Codes&lt;&gt;"")*Erste))&amp;"× unbekanntes Kürzel",""))</f>
      </c>
    </row>
    <row r="22" spans="1:38" x14ac:dyDescent="0.25">
      <c r="A22" s="33">
        <f>Mitarbeiter!$A$21&amp;""</f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5">
        <f>IF($A22="","",SUMPRODUCT(COUNTIFS(B22:AF22,Codes,$B$52:$AF$52,1)*(Arten="Arbeit")*Erste*NettoTage)+SUMPRODUCT(COUNTIFS(B22:AF22,Codes,$B$53:$AF$53,1)*((Arten="Urlaub")+(Arten="Krank")+(Arten="Bezahlt abwesend"))*Erste)*N(Mitarbeiter!$B$21)/5/24)</f>
      </c>
      <c r="AH22" s="35">
        <f>IF($A22="","",N(Mitarbeiter!$B$21)/5/24*SUM($B$53:$AF$53))</f>
      </c>
      <c r="AI22" s="36">
        <f>IF($A22="","",IF((AG22-AH22)&lt;0,"-","+")&amp;TEXT(ABS((AG22-AH22)),"[h]:mm"))</f>
      </c>
      <c r="AJ22" s="37">
        <f>IF($A22="","",SUMPRODUCT(COUNTIFS(B22:AF22,Codes,$B$53:$AF$53,1)*(Arten="Urlaub")*Erste))</f>
      </c>
      <c r="AK22" s="37">
        <f>IF($A22="","",SUMPRODUCT(COUNTIFS(B22:AF22,Codes,$B$53:$AF$53,1)*(Arten="Krank")*Erste))</f>
      </c>
      <c r="AL22" s="38">
        <f>IF($A22="","",IF(COUNTIF(B71:AF71,1)&gt;0,COUNTIF(B71:AF71,1)&amp;"× Ruhezeit unter 11 Std. (§ 5)","")&amp;IF((COUNTIFS(B22:AF22,"?*",$B$52:$AF$52,1)-SUMPRODUCT(COUNTIFS(B22:AF22,Codes,$B$52:$AF$52,1)*(Codes&lt;&gt;"")*Erste))&gt;0,IF(COUNTIF(B71:AF71,1)&gt;0,"; ","")&amp;(COUNTIFS(B22:AF22,"?*",$B$52:$AF$52,1)-SUMPRODUCT(COUNTIFS(B22:AF22,Codes,$B$52:$AF$52,1)*(Codes&lt;&gt;"")*Erste))&amp;"× unbekanntes Kürzel",""))</f>
      </c>
    </row>
    <row r="23" spans="1:38" x14ac:dyDescent="0.25">
      <c r="A23" s="33">
        <f>Mitarbeiter!$A$22&amp;""</f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5">
        <f>IF($A23="","",SUMPRODUCT(COUNTIFS(B23:AF23,Codes,$B$52:$AF$52,1)*(Arten="Arbeit")*Erste*NettoTage)+SUMPRODUCT(COUNTIFS(B23:AF23,Codes,$B$53:$AF$53,1)*((Arten="Urlaub")+(Arten="Krank")+(Arten="Bezahlt abwesend"))*Erste)*N(Mitarbeiter!$B$22)/5/24)</f>
      </c>
      <c r="AH23" s="35">
        <f>IF($A23="","",N(Mitarbeiter!$B$22)/5/24*SUM($B$53:$AF$53))</f>
      </c>
      <c r="AI23" s="36">
        <f>IF($A23="","",IF((AG23-AH23)&lt;0,"-","+")&amp;TEXT(ABS((AG23-AH23)),"[h]:mm"))</f>
      </c>
      <c r="AJ23" s="37">
        <f>IF($A23="","",SUMPRODUCT(COUNTIFS(B23:AF23,Codes,$B$53:$AF$53,1)*(Arten="Urlaub")*Erste))</f>
      </c>
      <c r="AK23" s="37">
        <f>IF($A23="","",SUMPRODUCT(COUNTIFS(B23:AF23,Codes,$B$53:$AF$53,1)*(Arten="Krank")*Erste))</f>
      </c>
      <c r="AL23" s="38">
        <f>IF($A23="","",IF(COUNTIF(B72:AF72,1)&gt;0,COUNTIF(B72:AF72,1)&amp;"× Ruhezeit unter 11 Std. (§ 5)","")&amp;IF((COUNTIFS(B23:AF23,"?*",$B$52:$AF$52,1)-SUMPRODUCT(COUNTIFS(B23:AF23,Codes,$B$52:$AF$52,1)*(Codes&lt;&gt;"")*Erste))&gt;0,IF(COUNTIF(B72:AF72,1)&gt;0,"; ","")&amp;(COUNTIFS(B23:AF23,"?*",$B$52:$AF$52,1)-SUMPRODUCT(COUNTIFS(B23:AF23,Codes,$B$52:$AF$52,1)*(Codes&lt;&gt;"")*Erste))&amp;"× unbekanntes Kürzel",""))</f>
      </c>
    </row>
    <row r="24" spans="1:38" x14ac:dyDescent="0.25">
      <c r="A24" s="33">
        <f>Mitarbeiter!$A$23&amp;""</f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5">
        <f>IF($A24="","",SUMPRODUCT(COUNTIFS(B24:AF24,Codes,$B$52:$AF$52,1)*(Arten="Arbeit")*Erste*NettoTage)+SUMPRODUCT(COUNTIFS(B24:AF24,Codes,$B$53:$AF$53,1)*((Arten="Urlaub")+(Arten="Krank")+(Arten="Bezahlt abwesend"))*Erste)*N(Mitarbeiter!$B$23)/5/24)</f>
      </c>
      <c r="AH24" s="35">
        <f>IF($A24="","",N(Mitarbeiter!$B$23)/5/24*SUM($B$53:$AF$53))</f>
      </c>
      <c r="AI24" s="36">
        <f>IF($A24="","",IF((AG24-AH24)&lt;0,"-","+")&amp;TEXT(ABS((AG24-AH24)),"[h]:mm"))</f>
      </c>
      <c r="AJ24" s="37">
        <f>IF($A24="","",SUMPRODUCT(COUNTIFS(B24:AF24,Codes,$B$53:$AF$53,1)*(Arten="Urlaub")*Erste))</f>
      </c>
      <c r="AK24" s="37">
        <f>IF($A24="","",SUMPRODUCT(COUNTIFS(B24:AF24,Codes,$B$53:$AF$53,1)*(Arten="Krank")*Erste))</f>
      </c>
      <c r="AL24" s="38">
        <f>IF($A24="","",IF(COUNTIF(B73:AF73,1)&gt;0,COUNTIF(B73:AF73,1)&amp;"× Ruhezeit unter 11 Std. (§ 5)","")&amp;IF((COUNTIFS(B24:AF24,"?*",$B$52:$AF$52,1)-SUMPRODUCT(COUNTIFS(B24:AF24,Codes,$B$52:$AF$52,1)*(Codes&lt;&gt;"")*Erste))&gt;0,IF(COUNTIF(B73:AF73,1)&gt;0,"; ","")&amp;(COUNTIFS(B24:AF24,"?*",$B$52:$AF$52,1)-SUMPRODUCT(COUNTIFS(B24:AF24,Codes,$B$52:$AF$52,1)*(Codes&lt;&gt;"")*Erste))&amp;"× unbekanntes Kürzel",""))</f>
      </c>
    </row>
    <row r="25" spans="1:38" x14ac:dyDescent="0.25">
      <c r="A25" s="33">
        <f>Mitarbeiter!$A$24&amp;""</f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5">
        <f>IF($A25="","",SUMPRODUCT(COUNTIFS(B25:AF25,Codes,$B$52:$AF$52,1)*(Arten="Arbeit")*Erste*NettoTage)+SUMPRODUCT(COUNTIFS(B25:AF25,Codes,$B$53:$AF$53,1)*((Arten="Urlaub")+(Arten="Krank")+(Arten="Bezahlt abwesend"))*Erste)*N(Mitarbeiter!$B$24)/5/24)</f>
      </c>
      <c r="AH25" s="35">
        <f>IF($A25="","",N(Mitarbeiter!$B$24)/5/24*SUM($B$53:$AF$53))</f>
      </c>
      <c r="AI25" s="36">
        <f>IF($A25="","",IF((AG25-AH25)&lt;0,"-","+")&amp;TEXT(ABS((AG25-AH25)),"[h]:mm"))</f>
      </c>
      <c r="AJ25" s="37">
        <f>IF($A25="","",SUMPRODUCT(COUNTIFS(B25:AF25,Codes,$B$53:$AF$53,1)*(Arten="Urlaub")*Erste))</f>
      </c>
      <c r="AK25" s="37">
        <f>IF($A25="","",SUMPRODUCT(COUNTIFS(B25:AF25,Codes,$B$53:$AF$53,1)*(Arten="Krank")*Erste))</f>
      </c>
      <c r="AL25" s="38">
        <f>IF($A25="","",IF(COUNTIF(B74:AF74,1)&gt;0,COUNTIF(B74:AF74,1)&amp;"× Ruhezeit unter 11 Std. (§ 5)","")&amp;IF((COUNTIFS(B25:AF25,"?*",$B$52:$AF$52,1)-SUMPRODUCT(COUNTIFS(B25:AF25,Codes,$B$52:$AF$52,1)*(Codes&lt;&gt;"")*Erste))&gt;0,IF(COUNTIF(B74:AF74,1)&gt;0,"; ","")&amp;(COUNTIFS(B25:AF25,"?*",$B$52:$AF$52,1)-SUMPRODUCT(COUNTIFS(B25:AF25,Codes,$B$52:$AF$52,1)*(Codes&lt;&gt;"")*Erste))&amp;"× unbekanntes Kürzel",""))</f>
      </c>
    </row>
    <row r="26" spans="1:38" x14ac:dyDescent="0.25">
      <c r="A26" s="33">
        <f>Mitarbeiter!$A$25&amp;""</f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5">
        <f>IF($A26="","",SUMPRODUCT(COUNTIFS(B26:AF26,Codes,$B$52:$AF$52,1)*(Arten="Arbeit")*Erste*NettoTage)+SUMPRODUCT(COUNTIFS(B26:AF26,Codes,$B$53:$AF$53,1)*((Arten="Urlaub")+(Arten="Krank")+(Arten="Bezahlt abwesend"))*Erste)*N(Mitarbeiter!$B$25)/5/24)</f>
      </c>
      <c r="AH26" s="35">
        <f>IF($A26="","",N(Mitarbeiter!$B$25)/5/24*SUM($B$53:$AF$53))</f>
      </c>
      <c r="AI26" s="36">
        <f>IF($A26="","",IF((AG26-AH26)&lt;0,"-","+")&amp;TEXT(ABS((AG26-AH26)),"[h]:mm"))</f>
      </c>
      <c r="AJ26" s="37">
        <f>IF($A26="","",SUMPRODUCT(COUNTIFS(B26:AF26,Codes,$B$53:$AF$53,1)*(Arten="Urlaub")*Erste))</f>
      </c>
      <c r="AK26" s="37">
        <f>IF($A26="","",SUMPRODUCT(COUNTIFS(B26:AF26,Codes,$B$53:$AF$53,1)*(Arten="Krank")*Erste))</f>
      </c>
      <c r="AL26" s="38">
        <f>IF($A26="","",IF(COUNTIF(B75:AF75,1)&gt;0,COUNTIF(B75:AF75,1)&amp;"× Ruhezeit unter 11 Std. (§ 5)","")&amp;IF((COUNTIFS(B26:AF26,"?*",$B$52:$AF$52,1)-SUMPRODUCT(COUNTIFS(B26:AF26,Codes,$B$52:$AF$52,1)*(Codes&lt;&gt;"")*Erste))&gt;0,IF(COUNTIF(B75:AF75,1)&gt;0,"; ","")&amp;(COUNTIFS(B26:AF26,"?*",$B$52:$AF$52,1)-SUMPRODUCT(COUNTIFS(B26:AF26,Codes,$B$52:$AF$52,1)*(Codes&lt;&gt;"")*Erste))&amp;"× unbekanntes Kürzel",""))</f>
      </c>
    </row>
    <row r="27" spans="1:38" x14ac:dyDescent="0.25">
      <c r="A27" s="33">
        <f>Mitarbeiter!$A$26&amp;""</f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5">
        <f>IF($A27="","",SUMPRODUCT(COUNTIFS(B27:AF27,Codes,$B$52:$AF$52,1)*(Arten="Arbeit")*Erste*NettoTage)+SUMPRODUCT(COUNTIFS(B27:AF27,Codes,$B$53:$AF$53,1)*((Arten="Urlaub")+(Arten="Krank")+(Arten="Bezahlt abwesend"))*Erste)*N(Mitarbeiter!$B$26)/5/24)</f>
      </c>
      <c r="AH27" s="35">
        <f>IF($A27="","",N(Mitarbeiter!$B$26)/5/24*SUM($B$53:$AF$53))</f>
      </c>
      <c r="AI27" s="36">
        <f>IF($A27="","",IF((AG27-AH27)&lt;0,"-","+")&amp;TEXT(ABS((AG27-AH27)),"[h]:mm"))</f>
      </c>
      <c r="AJ27" s="37">
        <f>IF($A27="","",SUMPRODUCT(COUNTIFS(B27:AF27,Codes,$B$53:$AF$53,1)*(Arten="Urlaub")*Erste))</f>
      </c>
      <c r="AK27" s="37">
        <f>IF($A27="","",SUMPRODUCT(COUNTIFS(B27:AF27,Codes,$B$53:$AF$53,1)*(Arten="Krank")*Erste))</f>
      </c>
      <c r="AL27" s="38">
        <f>IF($A27="","",IF(COUNTIF(B76:AF76,1)&gt;0,COUNTIF(B76:AF76,1)&amp;"× Ruhezeit unter 11 Std. (§ 5)","")&amp;IF((COUNTIFS(B27:AF27,"?*",$B$52:$AF$52,1)-SUMPRODUCT(COUNTIFS(B27:AF27,Codes,$B$52:$AF$52,1)*(Codes&lt;&gt;"")*Erste))&gt;0,IF(COUNTIF(B76:AF76,1)&gt;0,"; ","")&amp;(COUNTIFS(B27:AF27,"?*",$B$52:$AF$52,1)-SUMPRODUCT(COUNTIFS(B27:AF27,Codes,$B$52:$AF$52,1)*(Codes&lt;&gt;"")*Erste))&amp;"× unbekanntes Kürzel",""))</f>
      </c>
    </row>
    <row r="28" spans="1:38" x14ac:dyDescent="0.25">
      <c r="A28" s="33">
        <f>Mitarbeiter!$A$27&amp;""</f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5">
        <f>IF($A28="","",SUMPRODUCT(COUNTIFS(B28:AF28,Codes,$B$52:$AF$52,1)*(Arten="Arbeit")*Erste*NettoTage)+SUMPRODUCT(COUNTIFS(B28:AF28,Codes,$B$53:$AF$53,1)*((Arten="Urlaub")+(Arten="Krank")+(Arten="Bezahlt abwesend"))*Erste)*N(Mitarbeiter!$B$27)/5/24)</f>
      </c>
      <c r="AH28" s="35">
        <f>IF($A28="","",N(Mitarbeiter!$B$27)/5/24*SUM($B$53:$AF$53))</f>
      </c>
      <c r="AI28" s="36">
        <f>IF($A28="","",IF((AG28-AH28)&lt;0,"-","+")&amp;TEXT(ABS((AG28-AH28)),"[h]:mm"))</f>
      </c>
      <c r="AJ28" s="37">
        <f>IF($A28="","",SUMPRODUCT(COUNTIFS(B28:AF28,Codes,$B$53:$AF$53,1)*(Arten="Urlaub")*Erste))</f>
      </c>
      <c r="AK28" s="37">
        <f>IF($A28="","",SUMPRODUCT(COUNTIFS(B28:AF28,Codes,$B$53:$AF$53,1)*(Arten="Krank")*Erste))</f>
      </c>
      <c r="AL28" s="38">
        <f>IF($A28="","",IF(COUNTIF(B77:AF77,1)&gt;0,COUNTIF(B77:AF77,1)&amp;"× Ruhezeit unter 11 Std. (§ 5)","")&amp;IF((COUNTIFS(B28:AF28,"?*",$B$52:$AF$52,1)-SUMPRODUCT(COUNTIFS(B28:AF28,Codes,$B$52:$AF$52,1)*(Codes&lt;&gt;"")*Erste))&gt;0,IF(COUNTIF(B77:AF77,1)&gt;0,"; ","")&amp;(COUNTIFS(B28:AF28,"?*",$B$52:$AF$52,1)-SUMPRODUCT(COUNTIFS(B28:AF28,Codes,$B$52:$AF$52,1)*(Codes&lt;&gt;"")*Erste))&amp;"× unbekanntes Kürzel",""))</f>
      </c>
    </row>
    <row r="29" spans="1:38" x14ac:dyDescent="0.25">
      <c r="A29" s="33">
        <f>Mitarbeiter!$A$28&amp;""</f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5">
        <f>IF($A29="","",SUMPRODUCT(COUNTIFS(B29:AF29,Codes,$B$52:$AF$52,1)*(Arten="Arbeit")*Erste*NettoTage)+SUMPRODUCT(COUNTIFS(B29:AF29,Codes,$B$53:$AF$53,1)*((Arten="Urlaub")+(Arten="Krank")+(Arten="Bezahlt abwesend"))*Erste)*N(Mitarbeiter!$B$28)/5/24)</f>
      </c>
      <c r="AH29" s="35">
        <f>IF($A29="","",N(Mitarbeiter!$B$28)/5/24*SUM($B$53:$AF$53))</f>
      </c>
      <c r="AI29" s="36">
        <f>IF($A29="","",IF((AG29-AH29)&lt;0,"-","+")&amp;TEXT(ABS((AG29-AH29)),"[h]:mm"))</f>
      </c>
      <c r="AJ29" s="37">
        <f>IF($A29="","",SUMPRODUCT(COUNTIFS(B29:AF29,Codes,$B$53:$AF$53,1)*(Arten="Urlaub")*Erste))</f>
      </c>
      <c r="AK29" s="37">
        <f>IF($A29="","",SUMPRODUCT(COUNTIFS(B29:AF29,Codes,$B$53:$AF$53,1)*(Arten="Krank")*Erste))</f>
      </c>
      <c r="AL29" s="38">
        <f>IF($A29="","",IF(COUNTIF(B78:AF78,1)&gt;0,COUNTIF(B78:AF78,1)&amp;"× Ruhezeit unter 11 Std. (§ 5)","")&amp;IF((COUNTIFS(B29:AF29,"?*",$B$52:$AF$52,1)-SUMPRODUCT(COUNTIFS(B29:AF29,Codes,$B$52:$AF$52,1)*(Codes&lt;&gt;"")*Erste))&gt;0,IF(COUNTIF(B78:AF78,1)&gt;0,"; ","")&amp;(COUNTIFS(B29:AF29,"?*",$B$52:$AF$52,1)-SUMPRODUCT(COUNTIFS(B29:AF29,Codes,$B$52:$AF$52,1)*(Codes&lt;&gt;"")*Erste))&amp;"× unbekanntes Kürzel",""))</f>
      </c>
    </row>
    <row r="30" spans="1:38" x14ac:dyDescent="0.25">
      <c r="A30" s="33">
        <f>Mitarbeiter!$A$29&amp;""</f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5">
        <f>IF($A30="","",SUMPRODUCT(COUNTIFS(B30:AF30,Codes,$B$52:$AF$52,1)*(Arten="Arbeit")*Erste*NettoTage)+SUMPRODUCT(COUNTIFS(B30:AF30,Codes,$B$53:$AF$53,1)*((Arten="Urlaub")+(Arten="Krank")+(Arten="Bezahlt abwesend"))*Erste)*N(Mitarbeiter!$B$29)/5/24)</f>
      </c>
      <c r="AH30" s="35">
        <f>IF($A30="","",N(Mitarbeiter!$B$29)/5/24*SUM($B$53:$AF$53))</f>
      </c>
      <c r="AI30" s="36">
        <f>IF($A30="","",IF((AG30-AH30)&lt;0,"-","+")&amp;TEXT(ABS((AG30-AH30)),"[h]:mm"))</f>
      </c>
      <c r="AJ30" s="37">
        <f>IF($A30="","",SUMPRODUCT(COUNTIFS(B30:AF30,Codes,$B$53:$AF$53,1)*(Arten="Urlaub")*Erste))</f>
      </c>
      <c r="AK30" s="37">
        <f>IF($A30="","",SUMPRODUCT(COUNTIFS(B30:AF30,Codes,$B$53:$AF$53,1)*(Arten="Krank")*Erste))</f>
      </c>
      <c r="AL30" s="38">
        <f>IF($A30="","",IF(COUNTIF(B79:AF79,1)&gt;0,COUNTIF(B79:AF79,1)&amp;"× Ruhezeit unter 11 Std. (§ 5)","")&amp;IF((COUNTIFS(B30:AF30,"?*",$B$52:$AF$52,1)-SUMPRODUCT(COUNTIFS(B30:AF30,Codes,$B$52:$AF$52,1)*(Codes&lt;&gt;"")*Erste))&gt;0,IF(COUNTIF(B79:AF79,1)&gt;0,"; ","")&amp;(COUNTIFS(B30:AF30,"?*",$B$52:$AF$52,1)-SUMPRODUCT(COUNTIFS(B30:AF30,Codes,$B$52:$AF$52,1)*(Codes&lt;&gt;"")*Erste))&amp;"× unbekanntes Kürzel",""))</f>
      </c>
    </row>
    <row r="31" spans="1:38" x14ac:dyDescent="0.25">
      <c r="A31" s="33">
        <f>Mitarbeiter!$A$30&amp;""</f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5">
        <f>IF($A31="","",SUMPRODUCT(COUNTIFS(B31:AF31,Codes,$B$52:$AF$52,1)*(Arten="Arbeit")*Erste*NettoTage)+SUMPRODUCT(COUNTIFS(B31:AF31,Codes,$B$53:$AF$53,1)*((Arten="Urlaub")+(Arten="Krank")+(Arten="Bezahlt abwesend"))*Erste)*N(Mitarbeiter!$B$30)/5/24)</f>
      </c>
      <c r="AH31" s="35">
        <f>IF($A31="","",N(Mitarbeiter!$B$30)/5/24*SUM($B$53:$AF$53))</f>
      </c>
      <c r="AI31" s="36">
        <f>IF($A31="","",IF((AG31-AH31)&lt;0,"-","+")&amp;TEXT(ABS((AG31-AH31)),"[h]:mm"))</f>
      </c>
      <c r="AJ31" s="37">
        <f>IF($A31="","",SUMPRODUCT(COUNTIFS(B31:AF31,Codes,$B$53:$AF$53,1)*(Arten="Urlaub")*Erste))</f>
      </c>
      <c r="AK31" s="37">
        <f>IF($A31="","",SUMPRODUCT(COUNTIFS(B31:AF31,Codes,$B$53:$AF$53,1)*(Arten="Krank")*Erste))</f>
      </c>
      <c r="AL31" s="38">
        <f>IF($A31="","",IF(COUNTIF(B80:AF80,1)&gt;0,COUNTIF(B80:AF80,1)&amp;"× Ruhezeit unter 11 Std. (§ 5)","")&amp;IF((COUNTIFS(B31:AF31,"?*",$B$52:$AF$52,1)-SUMPRODUCT(COUNTIFS(B31:AF31,Codes,$B$52:$AF$52,1)*(Codes&lt;&gt;"")*Erste))&gt;0,IF(COUNTIF(B80:AF80,1)&gt;0,"; ","")&amp;(COUNTIFS(B31:AF31,"?*",$B$52:$AF$52,1)-SUMPRODUCT(COUNTIFS(B31:AF31,Codes,$B$52:$AF$52,1)*(Codes&lt;&gt;"")*Erste))&amp;"× unbekanntes Kürzel",""))</f>
      </c>
    </row>
    <row r="32" spans="1:38" x14ac:dyDescent="0.25">
      <c r="A32" s="33">
        <f>Mitarbeiter!$A$31&amp;""</f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5">
        <f>IF($A32="","",SUMPRODUCT(COUNTIFS(B32:AF32,Codes,$B$52:$AF$52,1)*(Arten="Arbeit")*Erste*NettoTage)+SUMPRODUCT(COUNTIFS(B32:AF32,Codes,$B$53:$AF$53,1)*((Arten="Urlaub")+(Arten="Krank")+(Arten="Bezahlt abwesend"))*Erste)*N(Mitarbeiter!$B$31)/5/24)</f>
      </c>
      <c r="AH32" s="35">
        <f>IF($A32="","",N(Mitarbeiter!$B$31)/5/24*SUM($B$53:$AF$53))</f>
      </c>
      <c r="AI32" s="36">
        <f>IF($A32="","",IF((AG32-AH32)&lt;0,"-","+")&amp;TEXT(ABS((AG32-AH32)),"[h]:mm"))</f>
      </c>
      <c r="AJ32" s="37">
        <f>IF($A32="","",SUMPRODUCT(COUNTIFS(B32:AF32,Codes,$B$53:$AF$53,1)*(Arten="Urlaub")*Erste))</f>
      </c>
      <c r="AK32" s="37">
        <f>IF($A32="","",SUMPRODUCT(COUNTIFS(B32:AF32,Codes,$B$53:$AF$53,1)*(Arten="Krank")*Erste))</f>
      </c>
      <c r="AL32" s="38">
        <f>IF($A32="","",IF(COUNTIF(B81:AF81,1)&gt;0,COUNTIF(B81:AF81,1)&amp;"× Ruhezeit unter 11 Std. (§ 5)","")&amp;IF((COUNTIFS(B32:AF32,"?*",$B$52:$AF$52,1)-SUMPRODUCT(COUNTIFS(B32:AF32,Codes,$B$52:$AF$52,1)*(Codes&lt;&gt;"")*Erste))&gt;0,IF(COUNTIF(B81:AF81,1)&gt;0,"; ","")&amp;(COUNTIFS(B32:AF32,"?*",$B$52:$AF$52,1)-SUMPRODUCT(COUNTIFS(B32:AF32,Codes,$B$52:$AF$52,1)*(Codes&lt;&gt;"")*Erste))&amp;"× unbekanntes Kürzel",""))</f>
      </c>
    </row>
    <row r="33" spans="1:38" x14ac:dyDescent="0.25">
      <c r="A33" s="33">
        <f>Mitarbeiter!$A$32&amp;""</f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5">
        <f>IF($A33="","",SUMPRODUCT(COUNTIFS(B33:AF33,Codes,$B$52:$AF$52,1)*(Arten="Arbeit")*Erste*NettoTage)+SUMPRODUCT(COUNTIFS(B33:AF33,Codes,$B$53:$AF$53,1)*((Arten="Urlaub")+(Arten="Krank")+(Arten="Bezahlt abwesend"))*Erste)*N(Mitarbeiter!$B$32)/5/24)</f>
      </c>
      <c r="AH33" s="35">
        <f>IF($A33="","",N(Mitarbeiter!$B$32)/5/24*SUM($B$53:$AF$53))</f>
      </c>
      <c r="AI33" s="36">
        <f>IF($A33="","",IF((AG33-AH33)&lt;0,"-","+")&amp;TEXT(ABS((AG33-AH33)),"[h]:mm"))</f>
      </c>
      <c r="AJ33" s="37">
        <f>IF($A33="","",SUMPRODUCT(COUNTIFS(B33:AF33,Codes,$B$53:$AF$53,1)*(Arten="Urlaub")*Erste))</f>
      </c>
      <c r="AK33" s="37">
        <f>IF($A33="","",SUMPRODUCT(COUNTIFS(B33:AF33,Codes,$B$53:$AF$53,1)*(Arten="Krank")*Erste))</f>
      </c>
      <c r="AL33" s="38">
        <f>IF($A33="","",IF(COUNTIF(B82:AF82,1)&gt;0,COUNTIF(B82:AF82,1)&amp;"× Ruhezeit unter 11 Std. (§ 5)","")&amp;IF((COUNTIFS(B33:AF33,"?*",$B$52:$AF$52,1)-SUMPRODUCT(COUNTIFS(B33:AF33,Codes,$B$52:$AF$52,1)*(Codes&lt;&gt;"")*Erste))&gt;0,IF(COUNTIF(B82:AF82,1)&gt;0,"; ","")&amp;(COUNTIFS(B33:AF33,"?*",$B$52:$AF$52,1)-SUMPRODUCT(COUNTIFS(B33:AF33,Codes,$B$52:$AF$52,1)*(Codes&lt;&gt;"")*Erste))&amp;"× unbekanntes Kürzel",""))</f>
      </c>
    </row>
    <row r="34" spans="1:38" x14ac:dyDescent="0.25">
      <c r="A34" s="33">
        <f>Mitarbeiter!$A$33&amp;""</f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5">
        <f>IF($A34="","",SUMPRODUCT(COUNTIFS(B34:AF34,Codes,$B$52:$AF$52,1)*(Arten="Arbeit")*Erste*NettoTage)+SUMPRODUCT(COUNTIFS(B34:AF34,Codes,$B$53:$AF$53,1)*((Arten="Urlaub")+(Arten="Krank")+(Arten="Bezahlt abwesend"))*Erste)*N(Mitarbeiter!$B$33)/5/24)</f>
      </c>
      <c r="AH34" s="35">
        <f>IF($A34="","",N(Mitarbeiter!$B$33)/5/24*SUM($B$53:$AF$53))</f>
      </c>
      <c r="AI34" s="36">
        <f>IF($A34="","",IF((AG34-AH34)&lt;0,"-","+")&amp;TEXT(ABS((AG34-AH34)),"[h]:mm"))</f>
      </c>
      <c r="AJ34" s="37">
        <f>IF($A34="","",SUMPRODUCT(COUNTIFS(B34:AF34,Codes,$B$53:$AF$53,1)*(Arten="Urlaub")*Erste))</f>
      </c>
      <c r="AK34" s="37">
        <f>IF($A34="","",SUMPRODUCT(COUNTIFS(B34:AF34,Codes,$B$53:$AF$53,1)*(Arten="Krank")*Erste))</f>
      </c>
      <c r="AL34" s="38">
        <f>IF($A34="","",IF(COUNTIF(B83:AF83,1)&gt;0,COUNTIF(B83:AF83,1)&amp;"× Ruhezeit unter 11 Std. (§ 5)","")&amp;IF((COUNTIFS(B34:AF34,"?*",$B$52:$AF$52,1)-SUMPRODUCT(COUNTIFS(B34:AF34,Codes,$B$52:$AF$52,1)*(Codes&lt;&gt;"")*Erste))&gt;0,IF(COUNTIF(B83:AF83,1)&gt;0,"; ","")&amp;(COUNTIFS(B34:AF34,"?*",$B$52:$AF$52,1)-SUMPRODUCT(COUNTIFS(B34:AF34,Codes,$B$52:$AF$52,1)*(Codes&lt;&gt;"")*Erste))&amp;"× unbekanntes Kürzel",""))</f>
      </c>
    </row>
    <row r="35" spans="1:38" x14ac:dyDescent="0.25">
      <c r="A35" s="33">
        <f>Mitarbeiter!$A$34&amp;""</f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5">
        <f>IF($A35="","",SUMPRODUCT(COUNTIFS(B35:AF35,Codes,$B$52:$AF$52,1)*(Arten="Arbeit")*Erste*NettoTage)+SUMPRODUCT(COUNTIFS(B35:AF35,Codes,$B$53:$AF$53,1)*((Arten="Urlaub")+(Arten="Krank")+(Arten="Bezahlt abwesend"))*Erste)*N(Mitarbeiter!$B$34)/5/24)</f>
      </c>
      <c r="AH35" s="35">
        <f>IF($A35="","",N(Mitarbeiter!$B$34)/5/24*SUM($B$53:$AF$53))</f>
      </c>
      <c r="AI35" s="36">
        <f>IF($A35="","",IF((AG35-AH35)&lt;0,"-","+")&amp;TEXT(ABS((AG35-AH35)),"[h]:mm"))</f>
      </c>
      <c r="AJ35" s="37">
        <f>IF($A35="","",SUMPRODUCT(COUNTIFS(B35:AF35,Codes,$B$53:$AF$53,1)*(Arten="Urlaub")*Erste))</f>
      </c>
      <c r="AK35" s="37">
        <f>IF($A35="","",SUMPRODUCT(COUNTIFS(B35:AF35,Codes,$B$53:$AF$53,1)*(Arten="Krank")*Erste))</f>
      </c>
      <c r="AL35" s="38">
        <f>IF($A35="","",IF(COUNTIF(B84:AF84,1)&gt;0,COUNTIF(B84:AF84,1)&amp;"× Ruhezeit unter 11 Std. (§ 5)","")&amp;IF((COUNTIFS(B35:AF35,"?*",$B$52:$AF$52,1)-SUMPRODUCT(COUNTIFS(B35:AF35,Codes,$B$52:$AF$52,1)*(Codes&lt;&gt;"")*Erste))&gt;0,IF(COUNTIF(B84:AF84,1)&gt;0,"; ","")&amp;(COUNTIFS(B35:AF35,"?*",$B$52:$AF$52,1)-SUMPRODUCT(COUNTIFS(B35:AF35,Codes,$B$52:$AF$52,1)*(Codes&lt;&gt;"")*Erste))&amp;"× unbekanntes Kürzel",""))</f>
      </c>
    </row>
    <row r="37" spans="1:1" x14ac:dyDescent="0.25">
      <c r="A37" s="39" t="s">
        <v>63</v>
      </c>
    </row>
    <row r="38" spans="1:39" x14ac:dyDescent="0.25">
      <c r="A38" s="40">
        <f>IFERROR(INDEX(Codes,MATCH(1,ArbeitNr,0))&amp;" "&amp;INDEX(Bezeichnungen,MATCH(1,ArbeitNr,0)),"")</f>
      </c>
      <c r="B38" s="41">
        <f>IF(OR($AM38="",B$52=0),"",COUNTIF(B$6:B$35,$AM38))</f>
      </c>
      <c r="C38" s="41">
        <f>IF(OR($AM38="",C$52=0),"",COUNTIF(C$6:C$35,$AM38))</f>
      </c>
      <c r="D38" s="41">
        <f>IF(OR($AM38="",D$52=0),"",COUNTIF(D$6:D$35,$AM38))</f>
      </c>
      <c r="E38" s="41">
        <f>IF(OR($AM38="",E$52=0),"",COUNTIF(E$6:E$35,$AM38))</f>
      </c>
      <c r="F38" s="41">
        <f>IF(OR($AM38="",F$52=0),"",COUNTIF(F$6:F$35,$AM38))</f>
      </c>
      <c r="G38" s="41">
        <f>IF(OR($AM38="",G$52=0),"",COUNTIF(G$6:G$35,$AM38))</f>
      </c>
      <c r="H38" s="41">
        <f>IF(OR($AM38="",H$52=0),"",COUNTIF(H$6:H$35,$AM38))</f>
      </c>
      <c r="I38" s="41">
        <f>IF(OR($AM38="",I$52=0),"",COUNTIF(I$6:I$35,$AM38))</f>
      </c>
      <c r="J38" s="41">
        <f>IF(OR($AM38="",J$52=0),"",COUNTIF(J$6:J$35,$AM38))</f>
      </c>
      <c r="K38" s="41">
        <f>IF(OR($AM38="",K$52=0),"",COUNTIF(K$6:K$35,$AM38))</f>
      </c>
      <c r="L38" s="41">
        <f>IF(OR($AM38="",L$52=0),"",COUNTIF(L$6:L$35,$AM38))</f>
      </c>
      <c r="M38" s="41">
        <f>IF(OR($AM38="",M$52=0),"",COUNTIF(M$6:M$35,$AM38))</f>
      </c>
      <c r="N38" s="41">
        <f>IF(OR($AM38="",N$52=0),"",COUNTIF(N$6:N$35,$AM38))</f>
      </c>
      <c r="O38" s="41">
        <f>IF(OR($AM38="",O$52=0),"",COUNTIF(O$6:O$35,$AM38))</f>
      </c>
      <c r="P38" s="41">
        <f>IF(OR($AM38="",P$52=0),"",COUNTIF(P$6:P$35,$AM38))</f>
      </c>
      <c r="Q38" s="41">
        <f>IF(OR($AM38="",Q$52=0),"",COUNTIF(Q$6:Q$35,$AM38))</f>
      </c>
      <c r="R38" s="41">
        <f>IF(OR($AM38="",R$52=0),"",COUNTIF(R$6:R$35,$AM38))</f>
      </c>
      <c r="S38" s="41">
        <f>IF(OR($AM38="",S$52=0),"",COUNTIF(S$6:S$35,$AM38))</f>
      </c>
      <c r="T38" s="41">
        <f>IF(OR($AM38="",T$52=0),"",COUNTIF(T$6:T$35,$AM38))</f>
      </c>
      <c r="U38" s="41">
        <f>IF(OR($AM38="",U$52=0),"",COUNTIF(U$6:U$35,$AM38))</f>
      </c>
      <c r="V38" s="41">
        <f>IF(OR($AM38="",V$52=0),"",COUNTIF(V$6:V$35,$AM38))</f>
      </c>
      <c r="W38" s="41">
        <f>IF(OR($AM38="",W$52=0),"",COUNTIF(W$6:W$35,$AM38))</f>
      </c>
      <c r="X38" s="41">
        <f>IF(OR($AM38="",X$52=0),"",COUNTIF(X$6:X$35,$AM38))</f>
      </c>
      <c r="Y38" s="41">
        <f>IF(OR($AM38="",Y$52=0),"",COUNTIF(Y$6:Y$35,$AM38))</f>
      </c>
      <c r="Z38" s="41">
        <f>IF(OR($AM38="",Z$52=0),"",COUNTIF(Z$6:Z$35,$AM38))</f>
      </c>
      <c r="AA38" s="41">
        <f>IF(OR($AM38="",AA$52=0),"",COUNTIF(AA$6:AA$35,$AM38))</f>
      </c>
      <c r="AB38" s="41">
        <f>IF(OR($AM38="",AB$52=0),"",COUNTIF(AB$6:AB$35,$AM38))</f>
      </c>
      <c r="AC38" s="41">
        <f>IF(OR($AM38="",AC$52=0),"",COUNTIF(AC$6:AC$35,$AM38))</f>
      </c>
      <c r="AD38" s="41">
        <f>IF(OR($AM38="",AD$52=0),"",COUNTIF(AD$6:AD$35,$AM38))</f>
      </c>
      <c r="AE38" s="41">
        <f>IF(OR($AM38="",AE$52=0),"",COUNTIF(AE$6:AE$35,$AM38))</f>
      </c>
      <c r="AF38" s="41">
        <f>IF(OR($AM38="",AF$52=0),"",COUNTIF(AF$6:AF$35,$AM38))</f>
      </c>
      <c r="AG38" s="1"/>
      <c r="AH38" s="1"/>
      <c r="AI38" s="1"/>
      <c r="AJ38" s="1"/>
      <c r="AK38" s="1"/>
      <c r="AL38" s="1"/>
      <c r="AM38" s="1">
        <f>IFERROR(INDEX(Codes,MATCH(1,ArbeitNr,0)),"")</f>
      </c>
    </row>
    <row r="39" spans="1:39" x14ac:dyDescent="0.25">
      <c r="A39" s="40">
        <f>IFERROR(INDEX(Codes,MATCH(2,ArbeitNr,0))&amp;" "&amp;INDEX(Bezeichnungen,MATCH(2,ArbeitNr,0)),"")</f>
      </c>
      <c r="B39" s="41">
        <f>IF(OR($AM39="",B$52=0),"",COUNTIF(B$6:B$35,$AM39))</f>
      </c>
      <c r="C39" s="41">
        <f>IF(OR($AM39="",C$52=0),"",COUNTIF(C$6:C$35,$AM39))</f>
      </c>
      <c r="D39" s="41">
        <f>IF(OR($AM39="",D$52=0),"",COUNTIF(D$6:D$35,$AM39))</f>
      </c>
      <c r="E39" s="41">
        <f>IF(OR($AM39="",E$52=0),"",COUNTIF(E$6:E$35,$AM39))</f>
      </c>
      <c r="F39" s="41">
        <f>IF(OR($AM39="",F$52=0),"",COUNTIF(F$6:F$35,$AM39))</f>
      </c>
      <c r="G39" s="41">
        <f>IF(OR($AM39="",G$52=0),"",COUNTIF(G$6:G$35,$AM39))</f>
      </c>
      <c r="H39" s="41">
        <f>IF(OR($AM39="",H$52=0),"",COUNTIF(H$6:H$35,$AM39))</f>
      </c>
      <c r="I39" s="41">
        <f>IF(OR($AM39="",I$52=0),"",COUNTIF(I$6:I$35,$AM39))</f>
      </c>
      <c r="J39" s="41">
        <f>IF(OR($AM39="",J$52=0),"",COUNTIF(J$6:J$35,$AM39))</f>
      </c>
      <c r="K39" s="41">
        <f>IF(OR($AM39="",K$52=0),"",COUNTIF(K$6:K$35,$AM39))</f>
      </c>
      <c r="L39" s="41">
        <f>IF(OR($AM39="",L$52=0),"",COUNTIF(L$6:L$35,$AM39))</f>
      </c>
      <c r="M39" s="41">
        <f>IF(OR($AM39="",M$52=0),"",COUNTIF(M$6:M$35,$AM39))</f>
      </c>
      <c r="N39" s="41">
        <f>IF(OR($AM39="",N$52=0),"",COUNTIF(N$6:N$35,$AM39))</f>
      </c>
      <c r="O39" s="41">
        <f>IF(OR($AM39="",O$52=0),"",COUNTIF(O$6:O$35,$AM39))</f>
      </c>
      <c r="P39" s="41">
        <f>IF(OR($AM39="",P$52=0),"",COUNTIF(P$6:P$35,$AM39))</f>
      </c>
      <c r="Q39" s="41">
        <f>IF(OR($AM39="",Q$52=0),"",COUNTIF(Q$6:Q$35,$AM39))</f>
      </c>
      <c r="R39" s="41">
        <f>IF(OR($AM39="",R$52=0),"",COUNTIF(R$6:R$35,$AM39))</f>
      </c>
      <c r="S39" s="41">
        <f>IF(OR($AM39="",S$52=0),"",COUNTIF(S$6:S$35,$AM39))</f>
      </c>
      <c r="T39" s="41">
        <f>IF(OR($AM39="",T$52=0),"",COUNTIF(T$6:T$35,$AM39))</f>
      </c>
      <c r="U39" s="41">
        <f>IF(OR($AM39="",U$52=0),"",COUNTIF(U$6:U$35,$AM39))</f>
      </c>
      <c r="V39" s="41">
        <f>IF(OR($AM39="",V$52=0),"",COUNTIF(V$6:V$35,$AM39))</f>
      </c>
      <c r="W39" s="41">
        <f>IF(OR($AM39="",W$52=0),"",COUNTIF(W$6:W$35,$AM39))</f>
      </c>
      <c r="X39" s="41">
        <f>IF(OR($AM39="",X$52=0),"",COUNTIF(X$6:X$35,$AM39))</f>
      </c>
      <c r="Y39" s="41">
        <f>IF(OR($AM39="",Y$52=0),"",COUNTIF(Y$6:Y$35,$AM39))</f>
      </c>
      <c r="Z39" s="41">
        <f>IF(OR($AM39="",Z$52=0),"",COUNTIF(Z$6:Z$35,$AM39))</f>
      </c>
      <c r="AA39" s="41">
        <f>IF(OR($AM39="",AA$52=0),"",COUNTIF(AA$6:AA$35,$AM39))</f>
      </c>
      <c r="AB39" s="41">
        <f>IF(OR($AM39="",AB$52=0),"",COUNTIF(AB$6:AB$35,$AM39))</f>
      </c>
      <c r="AC39" s="41">
        <f>IF(OR($AM39="",AC$52=0),"",COUNTIF(AC$6:AC$35,$AM39))</f>
      </c>
      <c r="AD39" s="41">
        <f>IF(OR($AM39="",AD$52=0),"",COUNTIF(AD$6:AD$35,$AM39))</f>
      </c>
      <c r="AE39" s="41">
        <f>IF(OR($AM39="",AE$52=0),"",COUNTIF(AE$6:AE$35,$AM39))</f>
      </c>
      <c r="AF39" s="41">
        <f>IF(OR($AM39="",AF$52=0),"",COUNTIF(AF$6:AF$35,$AM39))</f>
      </c>
      <c r="AG39" s="1"/>
      <c r="AH39" s="1"/>
      <c r="AI39" s="1"/>
      <c r="AJ39" s="1"/>
      <c r="AK39" s="1"/>
      <c r="AL39" s="1"/>
      <c r="AM39" s="1">
        <f>IFERROR(INDEX(Codes,MATCH(2,ArbeitNr,0)),"")</f>
      </c>
    </row>
    <row r="40" spans="1:39" x14ac:dyDescent="0.25">
      <c r="A40" s="40">
        <f>IFERROR(INDEX(Codes,MATCH(3,ArbeitNr,0))&amp;" "&amp;INDEX(Bezeichnungen,MATCH(3,ArbeitNr,0)),"")</f>
      </c>
      <c r="B40" s="41">
        <f>IF(OR($AM40="",B$52=0),"",COUNTIF(B$6:B$35,$AM40))</f>
      </c>
      <c r="C40" s="41">
        <f>IF(OR($AM40="",C$52=0),"",COUNTIF(C$6:C$35,$AM40))</f>
      </c>
      <c r="D40" s="41">
        <f>IF(OR($AM40="",D$52=0),"",COUNTIF(D$6:D$35,$AM40))</f>
      </c>
      <c r="E40" s="41">
        <f>IF(OR($AM40="",E$52=0),"",COUNTIF(E$6:E$35,$AM40))</f>
      </c>
      <c r="F40" s="41">
        <f>IF(OR($AM40="",F$52=0),"",COUNTIF(F$6:F$35,$AM40))</f>
      </c>
      <c r="G40" s="41">
        <f>IF(OR($AM40="",G$52=0),"",COUNTIF(G$6:G$35,$AM40))</f>
      </c>
      <c r="H40" s="41">
        <f>IF(OR($AM40="",H$52=0),"",COUNTIF(H$6:H$35,$AM40))</f>
      </c>
      <c r="I40" s="41">
        <f>IF(OR($AM40="",I$52=0),"",COUNTIF(I$6:I$35,$AM40))</f>
      </c>
      <c r="J40" s="41">
        <f>IF(OR($AM40="",J$52=0),"",COUNTIF(J$6:J$35,$AM40))</f>
      </c>
      <c r="K40" s="41">
        <f>IF(OR($AM40="",K$52=0),"",COUNTIF(K$6:K$35,$AM40))</f>
      </c>
      <c r="L40" s="41">
        <f>IF(OR($AM40="",L$52=0),"",COUNTIF(L$6:L$35,$AM40))</f>
      </c>
      <c r="M40" s="41">
        <f>IF(OR($AM40="",M$52=0),"",COUNTIF(M$6:M$35,$AM40))</f>
      </c>
      <c r="N40" s="41">
        <f>IF(OR($AM40="",N$52=0),"",COUNTIF(N$6:N$35,$AM40))</f>
      </c>
      <c r="O40" s="41">
        <f>IF(OR($AM40="",O$52=0),"",COUNTIF(O$6:O$35,$AM40))</f>
      </c>
      <c r="P40" s="41">
        <f>IF(OR($AM40="",P$52=0),"",COUNTIF(P$6:P$35,$AM40))</f>
      </c>
      <c r="Q40" s="41">
        <f>IF(OR($AM40="",Q$52=0),"",COUNTIF(Q$6:Q$35,$AM40))</f>
      </c>
      <c r="R40" s="41">
        <f>IF(OR($AM40="",R$52=0),"",COUNTIF(R$6:R$35,$AM40))</f>
      </c>
      <c r="S40" s="41">
        <f>IF(OR($AM40="",S$52=0),"",COUNTIF(S$6:S$35,$AM40))</f>
      </c>
      <c r="T40" s="41">
        <f>IF(OR($AM40="",T$52=0),"",COUNTIF(T$6:T$35,$AM40))</f>
      </c>
      <c r="U40" s="41">
        <f>IF(OR($AM40="",U$52=0),"",COUNTIF(U$6:U$35,$AM40))</f>
      </c>
      <c r="V40" s="41">
        <f>IF(OR($AM40="",V$52=0),"",COUNTIF(V$6:V$35,$AM40))</f>
      </c>
      <c r="W40" s="41">
        <f>IF(OR($AM40="",W$52=0),"",COUNTIF(W$6:W$35,$AM40))</f>
      </c>
      <c r="X40" s="41">
        <f>IF(OR($AM40="",X$52=0),"",COUNTIF(X$6:X$35,$AM40))</f>
      </c>
      <c r="Y40" s="41">
        <f>IF(OR($AM40="",Y$52=0),"",COUNTIF(Y$6:Y$35,$AM40))</f>
      </c>
      <c r="Z40" s="41">
        <f>IF(OR($AM40="",Z$52=0),"",COUNTIF(Z$6:Z$35,$AM40))</f>
      </c>
      <c r="AA40" s="41">
        <f>IF(OR($AM40="",AA$52=0),"",COUNTIF(AA$6:AA$35,$AM40))</f>
      </c>
      <c r="AB40" s="41">
        <f>IF(OR($AM40="",AB$52=0),"",COUNTIF(AB$6:AB$35,$AM40))</f>
      </c>
      <c r="AC40" s="41">
        <f>IF(OR($AM40="",AC$52=0),"",COUNTIF(AC$6:AC$35,$AM40))</f>
      </c>
      <c r="AD40" s="41">
        <f>IF(OR($AM40="",AD$52=0),"",COUNTIF(AD$6:AD$35,$AM40))</f>
      </c>
      <c r="AE40" s="41">
        <f>IF(OR($AM40="",AE$52=0),"",COUNTIF(AE$6:AE$35,$AM40))</f>
      </c>
      <c r="AF40" s="41">
        <f>IF(OR($AM40="",AF$52=0),"",COUNTIF(AF$6:AF$35,$AM40))</f>
      </c>
      <c r="AG40" s="1"/>
      <c r="AH40" s="1"/>
      <c r="AI40" s="1"/>
      <c r="AJ40" s="1"/>
      <c r="AK40" s="1"/>
      <c r="AL40" s="1"/>
      <c r="AM40" s="1">
        <f>IFERROR(INDEX(Codes,MATCH(3,ArbeitNr,0)),"")</f>
      </c>
    </row>
    <row r="41" spans="1:39" x14ac:dyDescent="0.25">
      <c r="A41" s="40">
        <f>IFERROR(INDEX(Codes,MATCH(4,ArbeitNr,0))&amp;" "&amp;INDEX(Bezeichnungen,MATCH(4,ArbeitNr,0)),"")</f>
      </c>
      <c r="B41" s="41">
        <f>IF(OR($AM41="",B$52=0),"",COUNTIF(B$6:B$35,$AM41))</f>
      </c>
      <c r="C41" s="41">
        <f>IF(OR($AM41="",C$52=0),"",COUNTIF(C$6:C$35,$AM41))</f>
      </c>
      <c r="D41" s="41">
        <f>IF(OR($AM41="",D$52=0),"",COUNTIF(D$6:D$35,$AM41))</f>
      </c>
      <c r="E41" s="41">
        <f>IF(OR($AM41="",E$52=0),"",COUNTIF(E$6:E$35,$AM41))</f>
      </c>
      <c r="F41" s="41">
        <f>IF(OR($AM41="",F$52=0),"",COUNTIF(F$6:F$35,$AM41))</f>
      </c>
      <c r="G41" s="41">
        <f>IF(OR($AM41="",G$52=0),"",COUNTIF(G$6:G$35,$AM41))</f>
      </c>
      <c r="H41" s="41">
        <f>IF(OR($AM41="",H$52=0),"",COUNTIF(H$6:H$35,$AM41))</f>
      </c>
      <c r="I41" s="41">
        <f>IF(OR($AM41="",I$52=0),"",COUNTIF(I$6:I$35,$AM41))</f>
      </c>
      <c r="J41" s="41">
        <f>IF(OR($AM41="",J$52=0),"",COUNTIF(J$6:J$35,$AM41))</f>
      </c>
      <c r="K41" s="41">
        <f>IF(OR($AM41="",K$52=0),"",COUNTIF(K$6:K$35,$AM41))</f>
      </c>
      <c r="L41" s="41">
        <f>IF(OR($AM41="",L$52=0),"",COUNTIF(L$6:L$35,$AM41))</f>
      </c>
      <c r="M41" s="41">
        <f>IF(OR($AM41="",M$52=0),"",COUNTIF(M$6:M$35,$AM41))</f>
      </c>
      <c r="N41" s="41">
        <f>IF(OR($AM41="",N$52=0),"",COUNTIF(N$6:N$35,$AM41))</f>
      </c>
      <c r="O41" s="41">
        <f>IF(OR($AM41="",O$52=0),"",COUNTIF(O$6:O$35,$AM41))</f>
      </c>
      <c r="P41" s="41">
        <f>IF(OR($AM41="",P$52=0),"",COUNTIF(P$6:P$35,$AM41))</f>
      </c>
      <c r="Q41" s="41">
        <f>IF(OR($AM41="",Q$52=0),"",COUNTIF(Q$6:Q$35,$AM41))</f>
      </c>
      <c r="R41" s="41">
        <f>IF(OR($AM41="",R$52=0),"",COUNTIF(R$6:R$35,$AM41))</f>
      </c>
      <c r="S41" s="41">
        <f>IF(OR($AM41="",S$52=0),"",COUNTIF(S$6:S$35,$AM41))</f>
      </c>
      <c r="T41" s="41">
        <f>IF(OR($AM41="",T$52=0),"",COUNTIF(T$6:T$35,$AM41))</f>
      </c>
      <c r="U41" s="41">
        <f>IF(OR($AM41="",U$52=0),"",COUNTIF(U$6:U$35,$AM41))</f>
      </c>
      <c r="V41" s="41">
        <f>IF(OR($AM41="",V$52=0),"",COUNTIF(V$6:V$35,$AM41))</f>
      </c>
      <c r="W41" s="41">
        <f>IF(OR($AM41="",W$52=0),"",COUNTIF(W$6:W$35,$AM41))</f>
      </c>
      <c r="X41" s="41">
        <f>IF(OR($AM41="",X$52=0),"",COUNTIF(X$6:X$35,$AM41))</f>
      </c>
      <c r="Y41" s="41">
        <f>IF(OR($AM41="",Y$52=0),"",COUNTIF(Y$6:Y$35,$AM41))</f>
      </c>
      <c r="Z41" s="41">
        <f>IF(OR($AM41="",Z$52=0),"",COUNTIF(Z$6:Z$35,$AM41))</f>
      </c>
      <c r="AA41" s="41">
        <f>IF(OR($AM41="",AA$52=0),"",COUNTIF(AA$6:AA$35,$AM41))</f>
      </c>
      <c r="AB41" s="41">
        <f>IF(OR($AM41="",AB$52=0),"",COUNTIF(AB$6:AB$35,$AM41))</f>
      </c>
      <c r="AC41" s="41">
        <f>IF(OR($AM41="",AC$52=0),"",COUNTIF(AC$6:AC$35,$AM41))</f>
      </c>
      <c r="AD41" s="41">
        <f>IF(OR($AM41="",AD$52=0),"",COUNTIF(AD$6:AD$35,$AM41))</f>
      </c>
      <c r="AE41" s="41">
        <f>IF(OR($AM41="",AE$52=0),"",COUNTIF(AE$6:AE$35,$AM41))</f>
      </c>
      <c r="AF41" s="41">
        <f>IF(OR($AM41="",AF$52=0),"",COUNTIF(AF$6:AF$35,$AM41))</f>
      </c>
      <c r="AG41" s="1"/>
      <c r="AH41" s="1"/>
      <c r="AI41" s="1"/>
      <c r="AJ41" s="1"/>
      <c r="AK41" s="1"/>
      <c r="AL41" s="1"/>
      <c r="AM41" s="1">
        <f>IFERROR(INDEX(Codes,MATCH(4,ArbeitNr,0)),"")</f>
      </c>
    </row>
    <row r="42" spans="1:39" x14ac:dyDescent="0.25">
      <c r="A42" s="40">
        <f>IFERROR(INDEX(Codes,MATCH(5,ArbeitNr,0))&amp;" "&amp;INDEX(Bezeichnungen,MATCH(5,ArbeitNr,0)),"")</f>
      </c>
      <c r="B42" s="41">
        <f>IF(OR($AM42="",B$52=0),"",COUNTIF(B$6:B$35,$AM42))</f>
      </c>
      <c r="C42" s="41">
        <f>IF(OR($AM42="",C$52=0),"",COUNTIF(C$6:C$35,$AM42))</f>
      </c>
      <c r="D42" s="41">
        <f>IF(OR($AM42="",D$52=0),"",COUNTIF(D$6:D$35,$AM42))</f>
      </c>
      <c r="E42" s="41">
        <f>IF(OR($AM42="",E$52=0),"",COUNTIF(E$6:E$35,$AM42))</f>
      </c>
      <c r="F42" s="41">
        <f>IF(OR($AM42="",F$52=0),"",COUNTIF(F$6:F$35,$AM42))</f>
      </c>
      <c r="G42" s="41">
        <f>IF(OR($AM42="",G$52=0),"",COUNTIF(G$6:G$35,$AM42))</f>
      </c>
      <c r="H42" s="41">
        <f>IF(OR($AM42="",H$52=0),"",COUNTIF(H$6:H$35,$AM42))</f>
      </c>
      <c r="I42" s="41">
        <f>IF(OR($AM42="",I$52=0),"",COUNTIF(I$6:I$35,$AM42))</f>
      </c>
      <c r="J42" s="41">
        <f>IF(OR($AM42="",J$52=0),"",COUNTIF(J$6:J$35,$AM42))</f>
      </c>
      <c r="K42" s="41">
        <f>IF(OR($AM42="",K$52=0),"",COUNTIF(K$6:K$35,$AM42))</f>
      </c>
      <c r="L42" s="41">
        <f>IF(OR($AM42="",L$52=0),"",COUNTIF(L$6:L$35,$AM42))</f>
      </c>
      <c r="M42" s="41">
        <f>IF(OR($AM42="",M$52=0),"",COUNTIF(M$6:M$35,$AM42))</f>
      </c>
      <c r="N42" s="41">
        <f>IF(OR($AM42="",N$52=0),"",COUNTIF(N$6:N$35,$AM42))</f>
      </c>
      <c r="O42" s="41">
        <f>IF(OR($AM42="",O$52=0),"",COUNTIF(O$6:O$35,$AM42))</f>
      </c>
      <c r="P42" s="41">
        <f>IF(OR($AM42="",P$52=0),"",COUNTIF(P$6:P$35,$AM42))</f>
      </c>
      <c r="Q42" s="41">
        <f>IF(OR($AM42="",Q$52=0),"",COUNTIF(Q$6:Q$35,$AM42))</f>
      </c>
      <c r="R42" s="41">
        <f>IF(OR($AM42="",R$52=0),"",COUNTIF(R$6:R$35,$AM42))</f>
      </c>
      <c r="S42" s="41">
        <f>IF(OR($AM42="",S$52=0),"",COUNTIF(S$6:S$35,$AM42))</f>
      </c>
      <c r="T42" s="41">
        <f>IF(OR($AM42="",T$52=0),"",COUNTIF(T$6:T$35,$AM42))</f>
      </c>
      <c r="U42" s="41">
        <f>IF(OR($AM42="",U$52=0),"",COUNTIF(U$6:U$35,$AM42))</f>
      </c>
      <c r="V42" s="41">
        <f>IF(OR($AM42="",V$52=0),"",COUNTIF(V$6:V$35,$AM42))</f>
      </c>
      <c r="W42" s="41">
        <f>IF(OR($AM42="",W$52=0),"",COUNTIF(W$6:W$35,$AM42))</f>
      </c>
      <c r="X42" s="41">
        <f>IF(OR($AM42="",X$52=0),"",COUNTIF(X$6:X$35,$AM42))</f>
      </c>
      <c r="Y42" s="41">
        <f>IF(OR($AM42="",Y$52=0),"",COUNTIF(Y$6:Y$35,$AM42))</f>
      </c>
      <c r="Z42" s="41">
        <f>IF(OR($AM42="",Z$52=0),"",COUNTIF(Z$6:Z$35,$AM42))</f>
      </c>
      <c r="AA42" s="41">
        <f>IF(OR($AM42="",AA$52=0),"",COUNTIF(AA$6:AA$35,$AM42))</f>
      </c>
      <c r="AB42" s="41">
        <f>IF(OR($AM42="",AB$52=0),"",COUNTIF(AB$6:AB$35,$AM42))</f>
      </c>
      <c r="AC42" s="41">
        <f>IF(OR($AM42="",AC$52=0),"",COUNTIF(AC$6:AC$35,$AM42))</f>
      </c>
      <c r="AD42" s="41">
        <f>IF(OR($AM42="",AD$52=0),"",COUNTIF(AD$6:AD$35,$AM42))</f>
      </c>
      <c r="AE42" s="41">
        <f>IF(OR($AM42="",AE$52=0),"",COUNTIF(AE$6:AE$35,$AM42))</f>
      </c>
      <c r="AF42" s="41">
        <f>IF(OR($AM42="",AF$52=0),"",COUNTIF(AF$6:AF$35,$AM42))</f>
      </c>
      <c r="AG42" s="1"/>
      <c r="AH42" s="1"/>
      <c r="AI42" s="1"/>
      <c r="AJ42" s="1"/>
      <c r="AK42" s="1"/>
      <c r="AL42" s="1"/>
      <c r="AM42" s="1">
        <f>IFERROR(INDEX(Codes,MATCH(5,ArbeitNr,0)),"")</f>
      </c>
    </row>
    <row r="43" spans="1:39" x14ac:dyDescent="0.25">
      <c r="A43" s="40">
        <f>IFERROR(INDEX(Codes,MATCH(6,ArbeitNr,0))&amp;" "&amp;INDEX(Bezeichnungen,MATCH(6,ArbeitNr,0)),"")</f>
      </c>
      <c r="B43" s="41">
        <f>IF(OR($AM43="",B$52=0),"",COUNTIF(B$6:B$35,$AM43))</f>
      </c>
      <c r="C43" s="41">
        <f>IF(OR($AM43="",C$52=0),"",COUNTIF(C$6:C$35,$AM43))</f>
      </c>
      <c r="D43" s="41">
        <f>IF(OR($AM43="",D$52=0),"",COUNTIF(D$6:D$35,$AM43))</f>
      </c>
      <c r="E43" s="41">
        <f>IF(OR($AM43="",E$52=0),"",COUNTIF(E$6:E$35,$AM43))</f>
      </c>
      <c r="F43" s="41">
        <f>IF(OR($AM43="",F$52=0),"",COUNTIF(F$6:F$35,$AM43))</f>
      </c>
      <c r="G43" s="41">
        <f>IF(OR($AM43="",G$52=0),"",COUNTIF(G$6:G$35,$AM43))</f>
      </c>
      <c r="H43" s="41">
        <f>IF(OR($AM43="",H$52=0),"",COUNTIF(H$6:H$35,$AM43))</f>
      </c>
      <c r="I43" s="41">
        <f>IF(OR($AM43="",I$52=0),"",COUNTIF(I$6:I$35,$AM43))</f>
      </c>
      <c r="J43" s="41">
        <f>IF(OR($AM43="",J$52=0),"",COUNTIF(J$6:J$35,$AM43))</f>
      </c>
      <c r="K43" s="41">
        <f>IF(OR($AM43="",K$52=0),"",COUNTIF(K$6:K$35,$AM43))</f>
      </c>
      <c r="L43" s="41">
        <f>IF(OR($AM43="",L$52=0),"",COUNTIF(L$6:L$35,$AM43))</f>
      </c>
      <c r="M43" s="41">
        <f>IF(OR($AM43="",M$52=0),"",COUNTIF(M$6:M$35,$AM43))</f>
      </c>
      <c r="N43" s="41">
        <f>IF(OR($AM43="",N$52=0),"",COUNTIF(N$6:N$35,$AM43))</f>
      </c>
      <c r="O43" s="41">
        <f>IF(OR($AM43="",O$52=0),"",COUNTIF(O$6:O$35,$AM43))</f>
      </c>
      <c r="P43" s="41">
        <f>IF(OR($AM43="",P$52=0),"",COUNTIF(P$6:P$35,$AM43))</f>
      </c>
      <c r="Q43" s="41">
        <f>IF(OR($AM43="",Q$52=0),"",COUNTIF(Q$6:Q$35,$AM43))</f>
      </c>
      <c r="R43" s="41">
        <f>IF(OR($AM43="",R$52=0),"",COUNTIF(R$6:R$35,$AM43))</f>
      </c>
      <c r="S43" s="41">
        <f>IF(OR($AM43="",S$52=0),"",COUNTIF(S$6:S$35,$AM43))</f>
      </c>
      <c r="T43" s="41">
        <f>IF(OR($AM43="",T$52=0),"",COUNTIF(T$6:T$35,$AM43))</f>
      </c>
      <c r="U43" s="41">
        <f>IF(OR($AM43="",U$52=0),"",COUNTIF(U$6:U$35,$AM43))</f>
      </c>
      <c r="V43" s="41">
        <f>IF(OR($AM43="",V$52=0),"",COUNTIF(V$6:V$35,$AM43))</f>
      </c>
      <c r="W43" s="41">
        <f>IF(OR($AM43="",W$52=0),"",COUNTIF(W$6:W$35,$AM43))</f>
      </c>
      <c r="X43" s="41">
        <f>IF(OR($AM43="",X$52=0),"",COUNTIF(X$6:X$35,$AM43))</f>
      </c>
      <c r="Y43" s="41">
        <f>IF(OR($AM43="",Y$52=0),"",COUNTIF(Y$6:Y$35,$AM43))</f>
      </c>
      <c r="Z43" s="41">
        <f>IF(OR($AM43="",Z$52=0),"",COUNTIF(Z$6:Z$35,$AM43))</f>
      </c>
      <c r="AA43" s="41">
        <f>IF(OR($AM43="",AA$52=0),"",COUNTIF(AA$6:AA$35,$AM43))</f>
      </c>
      <c r="AB43" s="41">
        <f>IF(OR($AM43="",AB$52=0),"",COUNTIF(AB$6:AB$35,$AM43))</f>
      </c>
      <c r="AC43" s="41">
        <f>IF(OR($AM43="",AC$52=0),"",COUNTIF(AC$6:AC$35,$AM43))</f>
      </c>
      <c r="AD43" s="41">
        <f>IF(OR($AM43="",AD$52=0),"",COUNTIF(AD$6:AD$35,$AM43))</f>
      </c>
      <c r="AE43" s="41">
        <f>IF(OR($AM43="",AE$52=0),"",COUNTIF(AE$6:AE$35,$AM43))</f>
      </c>
      <c r="AF43" s="41">
        <f>IF(OR($AM43="",AF$52=0),"",COUNTIF(AF$6:AF$35,$AM43))</f>
      </c>
      <c r="AG43" s="1"/>
      <c r="AH43" s="1"/>
      <c r="AI43" s="1"/>
      <c r="AJ43" s="1"/>
      <c r="AK43" s="1"/>
      <c r="AL43" s="1"/>
      <c r="AM43" s="1">
        <f>IFERROR(INDEX(Codes,MATCH(6,ArbeitNr,0)),"")</f>
      </c>
    </row>
    <row r="44" spans="1:39" x14ac:dyDescent="0.25">
      <c r="A44" s="40">
        <f>IFERROR(INDEX(Codes,MATCH(7,ArbeitNr,0))&amp;" "&amp;INDEX(Bezeichnungen,MATCH(7,ArbeitNr,0)),"")</f>
      </c>
      <c r="B44" s="41">
        <f>IF(OR($AM44="",B$52=0),"",COUNTIF(B$6:B$35,$AM44))</f>
      </c>
      <c r="C44" s="41">
        <f>IF(OR($AM44="",C$52=0),"",COUNTIF(C$6:C$35,$AM44))</f>
      </c>
      <c r="D44" s="41">
        <f>IF(OR($AM44="",D$52=0),"",COUNTIF(D$6:D$35,$AM44))</f>
      </c>
      <c r="E44" s="41">
        <f>IF(OR($AM44="",E$52=0),"",COUNTIF(E$6:E$35,$AM44))</f>
      </c>
      <c r="F44" s="41">
        <f>IF(OR($AM44="",F$52=0),"",COUNTIF(F$6:F$35,$AM44))</f>
      </c>
      <c r="G44" s="41">
        <f>IF(OR($AM44="",G$52=0),"",COUNTIF(G$6:G$35,$AM44))</f>
      </c>
      <c r="H44" s="41">
        <f>IF(OR($AM44="",H$52=0),"",COUNTIF(H$6:H$35,$AM44))</f>
      </c>
      <c r="I44" s="41">
        <f>IF(OR($AM44="",I$52=0),"",COUNTIF(I$6:I$35,$AM44))</f>
      </c>
      <c r="J44" s="41">
        <f>IF(OR($AM44="",J$52=0),"",COUNTIF(J$6:J$35,$AM44))</f>
      </c>
      <c r="K44" s="41">
        <f>IF(OR($AM44="",K$52=0),"",COUNTIF(K$6:K$35,$AM44))</f>
      </c>
      <c r="L44" s="41">
        <f>IF(OR($AM44="",L$52=0),"",COUNTIF(L$6:L$35,$AM44))</f>
      </c>
      <c r="M44" s="41">
        <f>IF(OR($AM44="",M$52=0),"",COUNTIF(M$6:M$35,$AM44))</f>
      </c>
      <c r="N44" s="41">
        <f>IF(OR($AM44="",N$52=0),"",COUNTIF(N$6:N$35,$AM44))</f>
      </c>
      <c r="O44" s="41">
        <f>IF(OR($AM44="",O$52=0),"",COUNTIF(O$6:O$35,$AM44))</f>
      </c>
      <c r="P44" s="41">
        <f>IF(OR($AM44="",P$52=0),"",COUNTIF(P$6:P$35,$AM44))</f>
      </c>
      <c r="Q44" s="41">
        <f>IF(OR($AM44="",Q$52=0),"",COUNTIF(Q$6:Q$35,$AM44))</f>
      </c>
      <c r="R44" s="41">
        <f>IF(OR($AM44="",R$52=0),"",COUNTIF(R$6:R$35,$AM44))</f>
      </c>
      <c r="S44" s="41">
        <f>IF(OR($AM44="",S$52=0),"",COUNTIF(S$6:S$35,$AM44))</f>
      </c>
      <c r="T44" s="41">
        <f>IF(OR($AM44="",T$52=0),"",COUNTIF(T$6:T$35,$AM44))</f>
      </c>
      <c r="U44" s="41">
        <f>IF(OR($AM44="",U$52=0),"",COUNTIF(U$6:U$35,$AM44))</f>
      </c>
      <c r="V44" s="41">
        <f>IF(OR($AM44="",V$52=0),"",COUNTIF(V$6:V$35,$AM44))</f>
      </c>
      <c r="W44" s="41">
        <f>IF(OR($AM44="",W$52=0),"",COUNTIF(W$6:W$35,$AM44))</f>
      </c>
      <c r="X44" s="41">
        <f>IF(OR($AM44="",X$52=0),"",COUNTIF(X$6:X$35,$AM44))</f>
      </c>
      <c r="Y44" s="41">
        <f>IF(OR($AM44="",Y$52=0),"",COUNTIF(Y$6:Y$35,$AM44))</f>
      </c>
      <c r="Z44" s="41">
        <f>IF(OR($AM44="",Z$52=0),"",COUNTIF(Z$6:Z$35,$AM44))</f>
      </c>
      <c r="AA44" s="41">
        <f>IF(OR($AM44="",AA$52=0),"",COUNTIF(AA$6:AA$35,$AM44))</f>
      </c>
      <c r="AB44" s="41">
        <f>IF(OR($AM44="",AB$52=0),"",COUNTIF(AB$6:AB$35,$AM44))</f>
      </c>
      <c r="AC44" s="41">
        <f>IF(OR($AM44="",AC$52=0),"",COUNTIF(AC$6:AC$35,$AM44))</f>
      </c>
      <c r="AD44" s="41">
        <f>IF(OR($AM44="",AD$52=0),"",COUNTIF(AD$6:AD$35,$AM44))</f>
      </c>
      <c r="AE44" s="41">
        <f>IF(OR($AM44="",AE$52=0),"",COUNTIF(AE$6:AE$35,$AM44))</f>
      </c>
      <c r="AF44" s="41">
        <f>IF(OR($AM44="",AF$52=0),"",COUNTIF(AF$6:AF$35,$AM44))</f>
      </c>
      <c r="AG44" s="1"/>
      <c r="AH44" s="1"/>
      <c r="AI44" s="1"/>
      <c r="AJ44" s="1"/>
      <c r="AK44" s="1"/>
      <c r="AL44" s="1"/>
      <c r="AM44" s="1">
        <f>IFERROR(INDEX(Codes,MATCH(7,ArbeitNr,0)),"")</f>
      </c>
    </row>
    <row r="45" spans="1:39" x14ac:dyDescent="0.25">
      <c r="A45" s="40">
        <f>IFERROR(INDEX(Codes,MATCH(8,ArbeitNr,0))&amp;" "&amp;INDEX(Bezeichnungen,MATCH(8,ArbeitNr,0)),"")</f>
      </c>
      <c r="B45" s="41">
        <f>IF(OR($AM45="",B$52=0),"",COUNTIF(B$6:B$35,$AM45))</f>
      </c>
      <c r="C45" s="41">
        <f>IF(OR($AM45="",C$52=0),"",COUNTIF(C$6:C$35,$AM45))</f>
      </c>
      <c r="D45" s="41">
        <f>IF(OR($AM45="",D$52=0),"",COUNTIF(D$6:D$35,$AM45))</f>
      </c>
      <c r="E45" s="41">
        <f>IF(OR($AM45="",E$52=0),"",COUNTIF(E$6:E$35,$AM45))</f>
      </c>
      <c r="F45" s="41">
        <f>IF(OR($AM45="",F$52=0),"",COUNTIF(F$6:F$35,$AM45))</f>
      </c>
      <c r="G45" s="41">
        <f>IF(OR($AM45="",G$52=0),"",COUNTIF(G$6:G$35,$AM45))</f>
      </c>
      <c r="H45" s="41">
        <f>IF(OR($AM45="",H$52=0),"",COUNTIF(H$6:H$35,$AM45))</f>
      </c>
      <c r="I45" s="41">
        <f>IF(OR($AM45="",I$52=0),"",COUNTIF(I$6:I$35,$AM45))</f>
      </c>
      <c r="J45" s="41">
        <f>IF(OR($AM45="",J$52=0),"",COUNTIF(J$6:J$35,$AM45))</f>
      </c>
      <c r="K45" s="41">
        <f>IF(OR($AM45="",K$52=0),"",COUNTIF(K$6:K$35,$AM45))</f>
      </c>
      <c r="L45" s="41">
        <f>IF(OR($AM45="",L$52=0),"",COUNTIF(L$6:L$35,$AM45))</f>
      </c>
      <c r="M45" s="41">
        <f>IF(OR($AM45="",M$52=0),"",COUNTIF(M$6:M$35,$AM45))</f>
      </c>
      <c r="N45" s="41">
        <f>IF(OR($AM45="",N$52=0),"",COUNTIF(N$6:N$35,$AM45))</f>
      </c>
      <c r="O45" s="41">
        <f>IF(OR($AM45="",O$52=0),"",COUNTIF(O$6:O$35,$AM45))</f>
      </c>
      <c r="P45" s="41">
        <f>IF(OR($AM45="",P$52=0),"",COUNTIF(P$6:P$35,$AM45))</f>
      </c>
      <c r="Q45" s="41">
        <f>IF(OR($AM45="",Q$52=0),"",COUNTIF(Q$6:Q$35,$AM45))</f>
      </c>
      <c r="R45" s="41">
        <f>IF(OR($AM45="",R$52=0),"",COUNTIF(R$6:R$35,$AM45))</f>
      </c>
      <c r="S45" s="41">
        <f>IF(OR($AM45="",S$52=0),"",COUNTIF(S$6:S$35,$AM45))</f>
      </c>
      <c r="T45" s="41">
        <f>IF(OR($AM45="",T$52=0),"",COUNTIF(T$6:T$35,$AM45))</f>
      </c>
      <c r="U45" s="41">
        <f>IF(OR($AM45="",U$52=0),"",COUNTIF(U$6:U$35,$AM45))</f>
      </c>
      <c r="V45" s="41">
        <f>IF(OR($AM45="",V$52=0),"",COUNTIF(V$6:V$35,$AM45))</f>
      </c>
      <c r="W45" s="41">
        <f>IF(OR($AM45="",W$52=0),"",COUNTIF(W$6:W$35,$AM45))</f>
      </c>
      <c r="X45" s="41">
        <f>IF(OR($AM45="",X$52=0),"",COUNTIF(X$6:X$35,$AM45))</f>
      </c>
      <c r="Y45" s="41">
        <f>IF(OR($AM45="",Y$52=0),"",COUNTIF(Y$6:Y$35,$AM45))</f>
      </c>
      <c r="Z45" s="41">
        <f>IF(OR($AM45="",Z$52=0),"",COUNTIF(Z$6:Z$35,$AM45))</f>
      </c>
      <c r="AA45" s="41">
        <f>IF(OR($AM45="",AA$52=0),"",COUNTIF(AA$6:AA$35,$AM45))</f>
      </c>
      <c r="AB45" s="41">
        <f>IF(OR($AM45="",AB$52=0),"",COUNTIF(AB$6:AB$35,$AM45))</f>
      </c>
      <c r="AC45" s="41">
        <f>IF(OR($AM45="",AC$52=0),"",COUNTIF(AC$6:AC$35,$AM45))</f>
      </c>
      <c r="AD45" s="41">
        <f>IF(OR($AM45="",AD$52=0),"",COUNTIF(AD$6:AD$35,$AM45))</f>
      </c>
      <c r="AE45" s="41">
        <f>IF(OR($AM45="",AE$52=0),"",COUNTIF(AE$6:AE$35,$AM45))</f>
      </c>
      <c r="AF45" s="41">
        <f>IF(OR($AM45="",AF$52=0),"",COUNTIF(AF$6:AF$35,$AM45))</f>
      </c>
      <c r="AG45" s="1"/>
      <c r="AH45" s="1"/>
      <c r="AI45" s="1"/>
      <c r="AJ45" s="1"/>
      <c r="AK45" s="1"/>
      <c r="AL45" s="1"/>
      <c r="AM45" s="1">
        <f>IFERROR(INDEX(Codes,MATCH(8,ArbeitNr,0)),"")</f>
      </c>
    </row>
    <row r="46" ht="22" customHeight="1" spans="1:32" x14ac:dyDescent="0.25">
      <c r="A46" s="42" t="s">
        <v>64</v>
      </c>
      <c r="B46" s="43">
        <f>TRIM(IF(AND(B38&lt;&gt;"",N(B38)&lt;N(B86)),$AM38&amp;" ","")&amp;IF(AND(B39&lt;&gt;"",N(B39)&lt;N(B87)),$AM39&amp;" ","")&amp;IF(AND(B40&lt;&gt;"",N(B40)&lt;N(B88)),$AM40&amp;" ","")&amp;IF(AND(B41&lt;&gt;"",N(B41)&lt;N(B89)),$AM41&amp;" ","")&amp;IF(AND(B42&lt;&gt;"",N(B42)&lt;N(B90)),$AM42&amp;" ","")&amp;IF(AND(B43&lt;&gt;"",N(B43)&lt;N(B91)),$AM43&amp;" ","")&amp;IF(AND(B44&lt;&gt;"",N(B44)&lt;N(B92)),$AM44&amp;" ","")&amp;IF(AND(B45&lt;&gt;"",N(B45)&lt;N(B93)),$AM45&amp;" ",""))</f>
      </c>
      <c r="C46" s="43">
        <f>TRIM(IF(AND(C38&lt;&gt;"",N(C38)&lt;N(C86)),$AM38&amp;" ","")&amp;IF(AND(C39&lt;&gt;"",N(C39)&lt;N(C87)),$AM39&amp;" ","")&amp;IF(AND(C40&lt;&gt;"",N(C40)&lt;N(C88)),$AM40&amp;" ","")&amp;IF(AND(C41&lt;&gt;"",N(C41)&lt;N(C89)),$AM41&amp;" ","")&amp;IF(AND(C42&lt;&gt;"",N(C42)&lt;N(C90)),$AM42&amp;" ","")&amp;IF(AND(C43&lt;&gt;"",N(C43)&lt;N(C91)),$AM43&amp;" ","")&amp;IF(AND(C44&lt;&gt;"",N(C44)&lt;N(C92)),$AM44&amp;" ","")&amp;IF(AND(C45&lt;&gt;"",N(C45)&lt;N(C93)),$AM45&amp;" ",""))</f>
      </c>
      <c r="D46" s="43">
        <f>TRIM(IF(AND(D38&lt;&gt;"",N(D38)&lt;N(D86)),$AM38&amp;" ","")&amp;IF(AND(D39&lt;&gt;"",N(D39)&lt;N(D87)),$AM39&amp;" ","")&amp;IF(AND(D40&lt;&gt;"",N(D40)&lt;N(D88)),$AM40&amp;" ","")&amp;IF(AND(D41&lt;&gt;"",N(D41)&lt;N(D89)),$AM41&amp;" ","")&amp;IF(AND(D42&lt;&gt;"",N(D42)&lt;N(D90)),$AM42&amp;" ","")&amp;IF(AND(D43&lt;&gt;"",N(D43)&lt;N(D91)),$AM43&amp;" ","")&amp;IF(AND(D44&lt;&gt;"",N(D44)&lt;N(D92)),$AM44&amp;" ","")&amp;IF(AND(D45&lt;&gt;"",N(D45)&lt;N(D93)),$AM45&amp;" ",""))</f>
      </c>
      <c r="E46" s="43">
        <f>TRIM(IF(AND(E38&lt;&gt;"",N(E38)&lt;N(E86)),$AM38&amp;" ","")&amp;IF(AND(E39&lt;&gt;"",N(E39)&lt;N(E87)),$AM39&amp;" ","")&amp;IF(AND(E40&lt;&gt;"",N(E40)&lt;N(E88)),$AM40&amp;" ","")&amp;IF(AND(E41&lt;&gt;"",N(E41)&lt;N(E89)),$AM41&amp;" ","")&amp;IF(AND(E42&lt;&gt;"",N(E42)&lt;N(E90)),$AM42&amp;" ","")&amp;IF(AND(E43&lt;&gt;"",N(E43)&lt;N(E91)),$AM43&amp;" ","")&amp;IF(AND(E44&lt;&gt;"",N(E44)&lt;N(E92)),$AM44&amp;" ","")&amp;IF(AND(E45&lt;&gt;"",N(E45)&lt;N(E93)),$AM45&amp;" ",""))</f>
      </c>
      <c r="F46" s="43">
        <f>TRIM(IF(AND(F38&lt;&gt;"",N(F38)&lt;N(F86)),$AM38&amp;" ","")&amp;IF(AND(F39&lt;&gt;"",N(F39)&lt;N(F87)),$AM39&amp;" ","")&amp;IF(AND(F40&lt;&gt;"",N(F40)&lt;N(F88)),$AM40&amp;" ","")&amp;IF(AND(F41&lt;&gt;"",N(F41)&lt;N(F89)),$AM41&amp;" ","")&amp;IF(AND(F42&lt;&gt;"",N(F42)&lt;N(F90)),$AM42&amp;" ","")&amp;IF(AND(F43&lt;&gt;"",N(F43)&lt;N(F91)),$AM43&amp;" ","")&amp;IF(AND(F44&lt;&gt;"",N(F44)&lt;N(F92)),$AM44&amp;" ","")&amp;IF(AND(F45&lt;&gt;"",N(F45)&lt;N(F93)),$AM45&amp;" ",""))</f>
      </c>
      <c r="G46" s="43">
        <f>TRIM(IF(AND(G38&lt;&gt;"",N(G38)&lt;N(G86)),$AM38&amp;" ","")&amp;IF(AND(G39&lt;&gt;"",N(G39)&lt;N(G87)),$AM39&amp;" ","")&amp;IF(AND(G40&lt;&gt;"",N(G40)&lt;N(G88)),$AM40&amp;" ","")&amp;IF(AND(G41&lt;&gt;"",N(G41)&lt;N(G89)),$AM41&amp;" ","")&amp;IF(AND(G42&lt;&gt;"",N(G42)&lt;N(G90)),$AM42&amp;" ","")&amp;IF(AND(G43&lt;&gt;"",N(G43)&lt;N(G91)),$AM43&amp;" ","")&amp;IF(AND(G44&lt;&gt;"",N(G44)&lt;N(G92)),$AM44&amp;" ","")&amp;IF(AND(G45&lt;&gt;"",N(G45)&lt;N(G93)),$AM45&amp;" ",""))</f>
      </c>
      <c r="H46" s="43">
        <f>TRIM(IF(AND(H38&lt;&gt;"",N(H38)&lt;N(H86)),$AM38&amp;" ","")&amp;IF(AND(H39&lt;&gt;"",N(H39)&lt;N(H87)),$AM39&amp;" ","")&amp;IF(AND(H40&lt;&gt;"",N(H40)&lt;N(H88)),$AM40&amp;" ","")&amp;IF(AND(H41&lt;&gt;"",N(H41)&lt;N(H89)),$AM41&amp;" ","")&amp;IF(AND(H42&lt;&gt;"",N(H42)&lt;N(H90)),$AM42&amp;" ","")&amp;IF(AND(H43&lt;&gt;"",N(H43)&lt;N(H91)),$AM43&amp;" ","")&amp;IF(AND(H44&lt;&gt;"",N(H44)&lt;N(H92)),$AM44&amp;" ","")&amp;IF(AND(H45&lt;&gt;"",N(H45)&lt;N(H93)),$AM45&amp;" ",""))</f>
      </c>
      <c r="I46" s="43">
        <f>TRIM(IF(AND(I38&lt;&gt;"",N(I38)&lt;N(I86)),$AM38&amp;" ","")&amp;IF(AND(I39&lt;&gt;"",N(I39)&lt;N(I87)),$AM39&amp;" ","")&amp;IF(AND(I40&lt;&gt;"",N(I40)&lt;N(I88)),$AM40&amp;" ","")&amp;IF(AND(I41&lt;&gt;"",N(I41)&lt;N(I89)),$AM41&amp;" ","")&amp;IF(AND(I42&lt;&gt;"",N(I42)&lt;N(I90)),$AM42&amp;" ","")&amp;IF(AND(I43&lt;&gt;"",N(I43)&lt;N(I91)),$AM43&amp;" ","")&amp;IF(AND(I44&lt;&gt;"",N(I44)&lt;N(I92)),$AM44&amp;" ","")&amp;IF(AND(I45&lt;&gt;"",N(I45)&lt;N(I93)),$AM45&amp;" ",""))</f>
      </c>
      <c r="J46" s="43">
        <f>TRIM(IF(AND(J38&lt;&gt;"",N(J38)&lt;N(J86)),$AM38&amp;" ","")&amp;IF(AND(J39&lt;&gt;"",N(J39)&lt;N(J87)),$AM39&amp;" ","")&amp;IF(AND(J40&lt;&gt;"",N(J40)&lt;N(J88)),$AM40&amp;" ","")&amp;IF(AND(J41&lt;&gt;"",N(J41)&lt;N(J89)),$AM41&amp;" ","")&amp;IF(AND(J42&lt;&gt;"",N(J42)&lt;N(J90)),$AM42&amp;" ","")&amp;IF(AND(J43&lt;&gt;"",N(J43)&lt;N(J91)),$AM43&amp;" ","")&amp;IF(AND(J44&lt;&gt;"",N(J44)&lt;N(J92)),$AM44&amp;" ","")&amp;IF(AND(J45&lt;&gt;"",N(J45)&lt;N(J93)),$AM45&amp;" ",""))</f>
      </c>
      <c r="K46" s="43">
        <f>TRIM(IF(AND(K38&lt;&gt;"",N(K38)&lt;N(K86)),$AM38&amp;" ","")&amp;IF(AND(K39&lt;&gt;"",N(K39)&lt;N(K87)),$AM39&amp;" ","")&amp;IF(AND(K40&lt;&gt;"",N(K40)&lt;N(K88)),$AM40&amp;" ","")&amp;IF(AND(K41&lt;&gt;"",N(K41)&lt;N(K89)),$AM41&amp;" ","")&amp;IF(AND(K42&lt;&gt;"",N(K42)&lt;N(K90)),$AM42&amp;" ","")&amp;IF(AND(K43&lt;&gt;"",N(K43)&lt;N(K91)),$AM43&amp;" ","")&amp;IF(AND(K44&lt;&gt;"",N(K44)&lt;N(K92)),$AM44&amp;" ","")&amp;IF(AND(K45&lt;&gt;"",N(K45)&lt;N(K93)),$AM45&amp;" ",""))</f>
      </c>
      <c r="L46" s="43">
        <f>TRIM(IF(AND(L38&lt;&gt;"",N(L38)&lt;N(L86)),$AM38&amp;" ","")&amp;IF(AND(L39&lt;&gt;"",N(L39)&lt;N(L87)),$AM39&amp;" ","")&amp;IF(AND(L40&lt;&gt;"",N(L40)&lt;N(L88)),$AM40&amp;" ","")&amp;IF(AND(L41&lt;&gt;"",N(L41)&lt;N(L89)),$AM41&amp;" ","")&amp;IF(AND(L42&lt;&gt;"",N(L42)&lt;N(L90)),$AM42&amp;" ","")&amp;IF(AND(L43&lt;&gt;"",N(L43)&lt;N(L91)),$AM43&amp;" ","")&amp;IF(AND(L44&lt;&gt;"",N(L44)&lt;N(L92)),$AM44&amp;" ","")&amp;IF(AND(L45&lt;&gt;"",N(L45)&lt;N(L93)),$AM45&amp;" ",""))</f>
      </c>
      <c r="M46" s="43">
        <f>TRIM(IF(AND(M38&lt;&gt;"",N(M38)&lt;N(M86)),$AM38&amp;" ","")&amp;IF(AND(M39&lt;&gt;"",N(M39)&lt;N(M87)),$AM39&amp;" ","")&amp;IF(AND(M40&lt;&gt;"",N(M40)&lt;N(M88)),$AM40&amp;" ","")&amp;IF(AND(M41&lt;&gt;"",N(M41)&lt;N(M89)),$AM41&amp;" ","")&amp;IF(AND(M42&lt;&gt;"",N(M42)&lt;N(M90)),$AM42&amp;" ","")&amp;IF(AND(M43&lt;&gt;"",N(M43)&lt;N(M91)),$AM43&amp;" ","")&amp;IF(AND(M44&lt;&gt;"",N(M44)&lt;N(M92)),$AM44&amp;" ","")&amp;IF(AND(M45&lt;&gt;"",N(M45)&lt;N(M93)),$AM45&amp;" ",""))</f>
      </c>
      <c r="N46" s="43">
        <f>TRIM(IF(AND(N38&lt;&gt;"",N(N38)&lt;N(N86)),$AM38&amp;" ","")&amp;IF(AND(N39&lt;&gt;"",N(N39)&lt;N(N87)),$AM39&amp;" ","")&amp;IF(AND(N40&lt;&gt;"",N(N40)&lt;N(N88)),$AM40&amp;" ","")&amp;IF(AND(N41&lt;&gt;"",N(N41)&lt;N(N89)),$AM41&amp;" ","")&amp;IF(AND(N42&lt;&gt;"",N(N42)&lt;N(N90)),$AM42&amp;" ","")&amp;IF(AND(N43&lt;&gt;"",N(N43)&lt;N(N91)),$AM43&amp;" ","")&amp;IF(AND(N44&lt;&gt;"",N(N44)&lt;N(N92)),$AM44&amp;" ","")&amp;IF(AND(N45&lt;&gt;"",N(N45)&lt;N(N93)),$AM45&amp;" ",""))</f>
      </c>
      <c r="O46" s="43">
        <f>TRIM(IF(AND(O38&lt;&gt;"",N(O38)&lt;N(O86)),$AM38&amp;" ","")&amp;IF(AND(O39&lt;&gt;"",N(O39)&lt;N(O87)),$AM39&amp;" ","")&amp;IF(AND(O40&lt;&gt;"",N(O40)&lt;N(O88)),$AM40&amp;" ","")&amp;IF(AND(O41&lt;&gt;"",N(O41)&lt;N(O89)),$AM41&amp;" ","")&amp;IF(AND(O42&lt;&gt;"",N(O42)&lt;N(O90)),$AM42&amp;" ","")&amp;IF(AND(O43&lt;&gt;"",N(O43)&lt;N(O91)),$AM43&amp;" ","")&amp;IF(AND(O44&lt;&gt;"",N(O44)&lt;N(O92)),$AM44&amp;" ","")&amp;IF(AND(O45&lt;&gt;"",N(O45)&lt;N(O93)),$AM45&amp;" ",""))</f>
      </c>
      <c r="P46" s="43">
        <f>TRIM(IF(AND(P38&lt;&gt;"",N(P38)&lt;N(P86)),$AM38&amp;" ","")&amp;IF(AND(P39&lt;&gt;"",N(P39)&lt;N(P87)),$AM39&amp;" ","")&amp;IF(AND(P40&lt;&gt;"",N(P40)&lt;N(P88)),$AM40&amp;" ","")&amp;IF(AND(P41&lt;&gt;"",N(P41)&lt;N(P89)),$AM41&amp;" ","")&amp;IF(AND(P42&lt;&gt;"",N(P42)&lt;N(P90)),$AM42&amp;" ","")&amp;IF(AND(P43&lt;&gt;"",N(P43)&lt;N(P91)),$AM43&amp;" ","")&amp;IF(AND(P44&lt;&gt;"",N(P44)&lt;N(P92)),$AM44&amp;" ","")&amp;IF(AND(P45&lt;&gt;"",N(P45)&lt;N(P93)),$AM45&amp;" ",""))</f>
      </c>
      <c r="Q46" s="43">
        <f>TRIM(IF(AND(Q38&lt;&gt;"",N(Q38)&lt;N(Q86)),$AM38&amp;" ","")&amp;IF(AND(Q39&lt;&gt;"",N(Q39)&lt;N(Q87)),$AM39&amp;" ","")&amp;IF(AND(Q40&lt;&gt;"",N(Q40)&lt;N(Q88)),$AM40&amp;" ","")&amp;IF(AND(Q41&lt;&gt;"",N(Q41)&lt;N(Q89)),$AM41&amp;" ","")&amp;IF(AND(Q42&lt;&gt;"",N(Q42)&lt;N(Q90)),$AM42&amp;" ","")&amp;IF(AND(Q43&lt;&gt;"",N(Q43)&lt;N(Q91)),$AM43&amp;" ","")&amp;IF(AND(Q44&lt;&gt;"",N(Q44)&lt;N(Q92)),$AM44&amp;" ","")&amp;IF(AND(Q45&lt;&gt;"",N(Q45)&lt;N(Q93)),$AM45&amp;" ",""))</f>
      </c>
      <c r="R46" s="43">
        <f>TRIM(IF(AND(R38&lt;&gt;"",N(R38)&lt;N(R86)),$AM38&amp;" ","")&amp;IF(AND(R39&lt;&gt;"",N(R39)&lt;N(R87)),$AM39&amp;" ","")&amp;IF(AND(R40&lt;&gt;"",N(R40)&lt;N(R88)),$AM40&amp;" ","")&amp;IF(AND(R41&lt;&gt;"",N(R41)&lt;N(R89)),$AM41&amp;" ","")&amp;IF(AND(R42&lt;&gt;"",N(R42)&lt;N(R90)),$AM42&amp;" ","")&amp;IF(AND(R43&lt;&gt;"",N(R43)&lt;N(R91)),$AM43&amp;" ","")&amp;IF(AND(R44&lt;&gt;"",N(R44)&lt;N(R92)),$AM44&amp;" ","")&amp;IF(AND(R45&lt;&gt;"",N(R45)&lt;N(R93)),$AM45&amp;" ",""))</f>
      </c>
      <c r="S46" s="43">
        <f>TRIM(IF(AND(S38&lt;&gt;"",N(S38)&lt;N(S86)),$AM38&amp;" ","")&amp;IF(AND(S39&lt;&gt;"",N(S39)&lt;N(S87)),$AM39&amp;" ","")&amp;IF(AND(S40&lt;&gt;"",N(S40)&lt;N(S88)),$AM40&amp;" ","")&amp;IF(AND(S41&lt;&gt;"",N(S41)&lt;N(S89)),$AM41&amp;" ","")&amp;IF(AND(S42&lt;&gt;"",N(S42)&lt;N(S90)),$AM42&amp;" ","")&amp;IF(AND(S43&lt;&gt;"",N(S43)&lt;N(S91)),$AM43&amp;" ","")&amp;IF(AND(S44&lt;&gt;"",N(S44)&lt;N(S92)),$AM44&amp;" ","")&amp;IF(AND(S45&lt;&gt;"",N(S45)&lt;N(S93)),$AM45&amp;" ",""))</f>
      </c>
      <c r="T46" s="43">
        <f>TRIM(IF(AND(T38&lt;&gt;"",N(T38)&lt;N(T86)),$AM38&amp;" ","")&amp;IF(AND(T39&lt;&gt;"",N(T39)&lt;N(T87)),$AM39&amp;" ","")&amp;IF(AND(T40&lt;&gt;"",N(T40)&lt;N(T88)),$AM40&amp;" ","")&amp;IF(AND(T41&lt;&gt;"",N(T41)&lt;N(T89)),$AM41&amp;" ","")&amp;IF(AND(T42&lt;&gt;"",N(T42)&lt;N(T90)),$AM42&amp;" ","")&amp;IF(AND(T43&lt;&gt;"",N(T43)&lt;N(T91)),$AM43&amp;" ","")&amp;IF(AND(T44&lt;&gt;"",N(T44)&lt;N(T92)),$AM44&amp;" ","")&amp;IF(AND(T45&lt;&gt;"",N(T45)&lt;N(T93)),$AM45&amp;" ",""))</f>
      </c>
      <c r="U46" s="43">
        <f>TRIM(IF(AND(U38&lt;&gt;"",N(U38)&lt;N(U86)),$AM38&amp;" ","")&amp;IF(AND(U39&lt;&gt;"",N(U39)&lt;N(U87)),$AM39&amp;" ","")&amp;IF(AND(U40&lt;&gt;"",N(U40)&lt;N(U88)),$AM40&amp;" ","")&amp;IF(AND(U41&lt;&gt;"",N(U41)&lt;N(U89)),$AM41&amp;" ","")&amp;IF(AND(U42&lt;&gt;"",N(U42)&lt;N(U90)),$AM42&amp;" ","")&amp;IF(AND(U43&lt;&gt;"",N(U43)&lt;N(U91)),$AM43&amp;" ","")&amp;IF(AND(U44&lt;&gt;"",N(U44)&lt;N(U92)),$AM44&amp;" ","")&amp;IF(AND(U45&lt;&gt;"",N(U45)&lt;N(U93)),$AM45&amp;" ",""))</f>
      </c>
      <c r="V46" s="43">
        <f>TRIM(IF(AND(V38&lt;&gt;"",N(V38)&lt;N(V86)),$AM38&amp;" ","")&amp;IF(AND(V39&lt;&gt;"",N(V39)&lt;N(V87)),$AM39&amp;" ","")&amp;IF(AND(V40&lt;&gt;"",N(V40)&lt;N(V88)),$AM40&amp;" ","")&amp;IF(AND(V41&lt;&gt;"",N(V41)&lt;N(V89)),$AM41&amp;" ","")&amp;IF(AND(V42&lt;&gt;"",N(V42)&lt;N(V90)),$AM42&amp;" ","")&amp;IF(AND(V43&lt;&gt;"",N(V43)&lt;N(V91)),$AM43&amp;" ","")&amp;IF(AND(V44&lt;&gt;"",N(V44)&lt;N(V92)),$AM44&amp;" ","")&amp;IF(AND(V45&lt;&gt;"",N(V45)&lt;N(V93)),$AM45&amp;" ",""))</f>
      </c>
      <c r="W46" s="43">
        <f>TRIM(IF(AND(W38&lt;&gt;"",N(W38)&lt;N(W86)),$AM38&amp;" ","")&amp;IF(AND(W39&lt;&gt;"",N(W39)&lt;N(W87)),$AM39&amp;" ","")&amp;IF(AND(W40&lt;&gt;"",N(W40)&lt;N(W88)),$AM40&amp;" ","")&amp;IF(AND(W41&lt;&gt;"",N(W41)&lt;N(W89)),$AM41&amp;" ","")&amp;IF(AND(W42&lt;&gt;"",N(W42)&lt;N(W90)),$AM42&amp;" ","")&amp;IF(AND(W43&lt;&gt;"",N(W43)&lt;N(W91)),$AM43&amp;" ","")&amp;IF(AND(W44&lt;&gt;"",N(W44)&lt;N(W92)),$AM44&amp;" ","")&amp;IF(AND(W45&lt;&gt;"",N(W45)&lt;N(W93)),$AM45&amp;" ",""))</f>
      </c>
      <c r="X46" s="43">
        <f>TRIM(IF(AND(X38&lt;&gt;"",N(X38)&lt;N(X86)),$AM38&amp;" ","")&amp;IF(AND(X39&lt;&gt;"",N(X39)&lt;N(X87)),$AM39&amp;" ","")&amp;IF(AND(X40&lt;&gt;"",N(X40)&lt;N(X88)),$AM40&amp;" ","")&amp;IF(AND(X41&lt;&gt;"",N(X41)&lt;N(X89)),$AM41&amp;" ","")&amp;IF(AND(X42&lt;&gt;"",N(X42)&lt;N(X90)),$AM42&amp;" ","")&amp;IF(AND(X43&lt;&gt;"",N(X43)&lt;N(X91)),$AM43&amp;" ","")&amp;IF(AND(X44&lt;&gt;"",N(X44)&lt;N(X92)),$AM44&amp;" ","")&amp;IF(AND(X45&lt;&gt;"",N(X45)&lt;N(X93)),$AM45&amp;" ",""))</f>
      </c>
      <c r="Y46" s="43">
        <f>TRIM(IF(AND(Y38&lt;&gt;"",N(Y38)&lt;N(Y86)),$AM38&amp;" ","")&amp;IF(AND(Y39&lt;&gt;"",N(Y39)&lt;N(Y87)),$AM39&amp;" ","")&amp;IF(AND(Y40&lt;&gt;"",N(Y40)&lt;N(Y88)),$AM40&amp;" ","")&amp;IF(AND(Y41&lt;&gt;"",N(Y41)&lt;N(Y89)),$AM41&amp;" ","")&amp;IF(AND(Y42&lt;&gt;"",N(Y42)&lt;N(Y90)),$AM42&amp;" ","")&amp;IF(AND(Y43&lt;&gt;"",N(Y43)&lt;N(Y91)),$AM43&amp;" ","")&amp;IF(AND(Y44&lt;&gt;"",N(Y44)&lt;N(Y92)),$AM44&amp;" ","")&amp;IF(AND(Y45&lt;&gt;"",N(Y45)&lt;N(Y93)),$AM45&amp;" ",""))</f>
      </c>
      <c r="Z46" s="43">
        <f>TRIM(IF(AND(Z38&lt;&gt;"",N(Z38)&lt;N(Z86)),$AM38&amp;" ","")&amp;IF(AND(Z39&lt;&gt;"",N(Z39)&lt;N(Z87)),$AM39&amp;" ","")&amp;IF(AND(Z40&lt;&gt;"",N(Z40)&lt;N(Z88)),$AM40&amp;" ","")&amp;IF(AND(Z41&lt;&gt;"",N(Z41)&lt;N(Z89)),$AM41&amp;" ","")&amp;IF(AND(Z42&lt;&gt;"",N(Z42)&lt;N(Z90)),$AM42&amp;" ","")&amp;IF(AND(Z43&lt;&gt;"",N(Z43)&lt;N(Z91)),$AM43&amp;" ","")&amp;IF(AND(Z44&lt;&gt;"",N(Z44)&lt;N(Z92)),$AM44&amp;" ","")&amp;IF(AND(Z45&lt;&gt;"",N(Z45)&lt;N(Z93)),$AM45&amp;" ",""))</f>
      </c>
      <c r="AA46" s="43">
        <f>TRIM(IF(AND(AA38&lt;&gt;"",N(AA38)&lt;N(AA86)),$AM38&amp;" ","")&amp;IF(AND(AA39&lt;&gt;"",N(AA39)&lt;N(AA87)),$AM39&amp;" ","")&amp;IF(AND(AA40&lt;&gt;"",N(AA40)&lt;N(AA88)),$AM40&amp;" ","")&amp;IF(AND(AA41&lt;&gt;"",N(AA41)&lt;N(AA89)),$AM41&amp;" ","")&amp;IF(AND(AA42&lt;&gt;"",N(AA42)&lt;N(AA90)),$AM42&amp;" ","")&amp;IF(AND(AA43&lt;&gt;"",N(AA43)&lt;N(AA91)),$AM43&amp;" ","")&amp;IF(AND(AA44&lt;&gt;"",N(AA44)&lt;N(AA92)),$AM44&amp;" ","")&amp;IF(AND(AA45&lt;&gt;"",N(AA45)&lt;N(AA93)),$AM45&amp;" ",""))</f>
      </c>
      <c r="AB46" s="43">
        <f>TRIM(IF(AND(AB38&lt;&gt;"",N(AB38)&lt;N(AB86)),$AM38&amp;" ","")&amp;IF(AND(AB39&lt;&gt;"",N(AB39)&lt;N(AB87)),$AM39&amp;" ","")&amp;IF(AND(AB40&lt;&gt;"",N(AB40)&lt;N(AB88)),$AM40&amp;" ","")&amp;IF(AND(AB41&lt;&gt;"",N(AB41)&lt;N(AB89)),$AM41&amp;" ","")&amp;IF(AND(AB42&lt;&gt;"",N(AB42)&lt;N(AB90)),$AM42&amp;" ","")&amp;IF(AND(AB43&lt;&gt;"",N(AB43)&lt;N(AB91)),$AM43&amp;" ","")&amp;IF(AND(AB44&lt;&gt;"",N(AB44)&lt;N(AB92)),$AM44&amp;" ","")&amp;IF(AND(AB45&lt;&gt;"",N(AB45)&lt;N(AB93)),$AM45&amp;" ",""))</f>
      </c>
      <c r="AC46" s="43">
        <f>TRIM(IF(AND(AC38&lt;&gt;"",N(AC38)&lt;N(AC86)),$AM38&amp;" ","")&amp;IF(AND(AC39&lt;&gt;"",N(AC39)&lt;N(AC87)),$AM39&amp;" ","")&amp;IF(AND(AC40&lt;&gt;"",N(AC40)&lt;N(AC88)),$AM40&amp;" ","")&amp;IF(AND(AC41&lt;&gt;"",N(AC41)&lt;N(AC89)),$AM41&amp;" ","")&amp;IF(AND(AC42&lt;&gt;"",N(AC42)&lt;N(AC90)),$AM42&amp;" ","")&amp;IF(AND(AC43&lt;&gt;"",N(AC43)&lt;N(AC91)),$AM43&amp;" ","")&amp;IF(AND(AC44&lt;&gt;"",N(AC44)&lt;N(AC92)),$AM44&amp;" ","")&amp;IF(AND(AC45&lt;&gt;"",N(AC45)&lt;N(AC93)),$AM45&amp;" ",""))</f>
      </c>
      <c r="AD46" s="43">
        <f>TRIM(IF(AND(AD38&lt;&gt;"",N(AD38)&lt;N(AD86)),$AM38&amp;" ","")&amp;IF(AND(AD39&lt;&gt;"",N(AD39)&lt;N(AD87)),$AM39&amp;" ","")&amp;IF(AND(AD40&lt;&gt;"",N(AD40)&lt;N(AD88)),$AM40&amp;" ","")&amp;IF(AND(AD41&lt;&gt;"",N(AD41)&lt;N(AD89)),$AM41&amp;" ","")&amp;IF(AND(AD42&lt;&gt;"",N(AD42)&lt;N(AD90)),$AM42&amp;" ","")&amp;IF(AND(AD43&lt;&gt;"",N(AD43)&lt;N(AD91)),$AM43&amp;" ","")&amp;IF(AND(AD44&lt;&gt;"",N(AD44)&lt;N(AD92)),$AM44&amp;" ","")&amp;IF(AND(AD45&lt;&gt;"",N(AD45)&lt;N(AD93)),$AM45&amp;" ",""))</f>
      </c>
      <c r="AE46" s="43">
        <f>TRIM(IF(AND(AE38&lt;&gt;"",N(AE38)&lt;N(AE86)),$AM38&amp;" ","")&amp;IF(AND(AE39&lt;&gt;"",N(AE39)&lt;N(AE87)),$AM39&amp;" ","")&amp;IF(AND(AE40&lt;&gt;"",N(AE40)&lt;N(AE88)),$AM40&amp;" ","")&amp;IF(AND(AE41&lt;&gt;"",N(AE41)&lt;N(AE89)),$AM41&amp;" ","")&amp;IF(AND(AE42&lt;&gt;"",N(AE42)&lt;N(AE90)),$AM42&amp;" ","")&amp;IF(AND(AE43&lt;&gt;"",N(AE43)&lt;N(AE91)),$AM43&amp;" ","")&amp;IF(AND(AE44&lt;&gt;"",N(AE44)&lt;N(AE92)),$AM44&amp;" ","")&amp;IF(AND(AE45&lt;&gt;"",N(AE45)&lt;N(AE93)),$AM45&amp;" ",""))</f>
      </c>
      <c r="AF46" s="43">
        <f>TRIM(IF(AND(AF38&lt;&gt;"",N(AF38)&lt;N(AF86)),$AM38&amp;" ","")&amp;IF(AND(AF39&lt;&gt;"",N(AF39)&lt;N(AF87)),$AM39&amp;" ","")&amp;IF(AND(AF40&lt;&gt;"",N(AF40)&lt;N(AF88)),$AM40&amp;" ","")&amp;IF(AND(AF41&lt;&gt;"",N(AF41)&lt;N(AF89)),$AM41&amp;" ","")&amp;IF(AND(AF42&lt;&gt;"",N(AF42)&lt;N(AF90)),$AM42&amp;" ","")&amp;IF(AND(AF43&lt;&gt;"",N(AF43)&lt;N(AF91)),$AM43&amp;" ","")&amp;IF(AND(AF44&lt;&gt;"",N(AF44)&lt;N(AF92)),$AM44&amp;" ","")&amp;IF(AND(AF45&lt;&gt;"",N(AF45)&lt;N(AF93)),$AM45&amp;" ",""))</f>
      </c>
    </row>
    <row r="48" spans="1:38" x14ac:dyDescent="0.25">
      <c r="A48" s="7" t="s">
        <v>65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1"/>
      <c r="W48" s="1"/>
      <c r="X48" s="7" t="s">
        <v>66</v>
      </c>
      <c r="Y48" s="1"/>
      <c r="Z48" s="1"/>
      <c r="AA48" s="1"/>
      <c r="AB48" s="1"/>
      <c r="AC48" s="1"/>
      <c r="AD48" s="1"/>
      <c r="AE48" s="1"/>
      <c r="AF48" s="1"/>
      <c r="AG48" s="44"/>
      <c r="AH48" s="44"/>
      <c r="AI48" s="44"/>
      <c r="AJ48" s="44"/>
      <c r="AK48" s="44"/>
      <c r="AL48" s="44"/>
    </row>
    <row r="50" hidden="1" spans="1:32" x14ac:dyDescent="0.25">
      <c r="A50" s="1"/>
      <c r="B50" s="1">
        <f>IF(B$5="",0,IF(ISNUMBER(MATCH(B$5,FeiertagDaten,0)),1,0))</f>
      </c>
      <c r="C50" s="1">
        <f>IF(C$5="",0,IF(ISNUMBER(MATCH(C$5,FeiertagDaten,0)),1,0))</f>
      </c>
      <c r="D50" s="1">
        <f>IF(D$5="",0,IF(ISNUMBER(MATCH(D$5,FeiertagDaten,0)),1,0))</f>
      </c>
      <c r="E50" s="1">
        <f>IF(E$5="",0,IF(ISNUMBER(MATCH(E$5,FeiertagDaten,0)),1,0))</f>
      </c>
      <c r="F50" s="1">
        <f>IF(F$5="",0,IF(ISNUMBER(MATCH(F$5,FeiertagDaten,0)),1,0))</f>
      </c>
      <c r="G50" s="1">
        <f>IF(G$5="",0,IF(ISNUMBER(MATCH(G$5,FeiertagDaten,0)),1,0))</f>
      </c>
      <c r="H50" s="1">
        <f>IF(H$5="",0,IF(ISNUMBER(MATCH(H$5,FeiertagDaten,0)),1,0))</f>
      </c>
      <c r="I50" s="1">
        <f>IF(I$5="",0,IF(ISNUMBER(MATCH(I$5,FeiertagDaten,0)),1,0))</f>
      </c>
      <c r="J50" s="1">
        <f>IF(J$5="",0,IF(ISNUMBER(MATCH(J$5,FeiertagDaten,0)),1,0))</f>
      </c>
      <c r="K50" s="1">
        <f>IF(K$5="",0,IF(ISNUMBER(MATCH(K$5,FeiertagDaten,0)),1,0))</f>
      </c>
      <c r="L50" s="1">
        <f>IF(L$5="",0,IF(ISNUMBER(MATCH(L$5,FeiertagDaten,0)),1,0))</f>
      </c>
      <c r="M50" s="1">
        <f>IF(M$5="",0,IF(ISNUMBER(MATCH(M$5,FeiertagDaten,0)),1,0))</f>
      </c>
      <c r="N50" s="1">
        <f>IF(N$5="",0,IF(ISNUMBER(MATCH(N$5,FeiertagDaten,0)),1,0))</f>
      </c>
      <c r="O50" s="1">
        <f>IF(O$5="",0,IF(ISNUMBER(MATCH(O$5,FeiertagDaten,0)),1,0))</f>
      </c>
      <c r="P50" s="1">
        <f>IF(P$5="",0,IF(ISNUMBER(MATCH(P$5,FeiertagDaten,0)),1,0))</f>
      </c>
      <c r="Q50" s="1">
        <f>IF(Q$5="",0,IF(ISNUMBER(MATCH(Q$5,FeiertagDaten,0)),1,0))</f>
      </c>
      <c r="R50" s="1">
        <f>IF(R$5="",0,IF(ISNUMBER(MATCH(R$5,FeiertagDaten,0)),1,0))</f>
      </c>
      <c r="S50" s="1">
        <f>IF(S$5="",0,IF(ISNUMBER(MATCH(S$5,FeiertagDaten,0)),1,0))</f>
      </c>
      <c r="T50" s="1">
        <f>IF(T$5="",0,IF(ISNUMBER(MATCH(T$5,FeiertagDaten,0)),1,0))</f>
      </c>
      <c r="U50" s="1">
        <f>IF(U$5="",0,IF(ISNUMBER(MATCH(U$5,FeiertagDaten,0)),1,0))</f>
      </c>
      <c r="V50" s="1">
        <f>IF(V$5="",0,IF(ISNUMBER(MATCH(V$5,FeiertagDaten,0)),1,0))</f>
      </c>
      <c r="W50" s="1">
        <f>IF(W$5="",0,IF(ISNUMBER(MATCH(W$5,FeiertagDaten,0)),1,0))</f>
      </c>
      <c r="X50" s="1">
        <f>IF(X$5="",0,IF(ISNUMBER(MATCH(X$5,FeiertagDaten,0)),1,0))</f>
      </c>
      <c r="Y50" s="1">
        <f>IF(Y$5="",0,IF(ISNUMBER(MATCH(Y$5,FeiertagDaten,0)),1,0))</f>
      </c>
      <c r="Z50" s="1">
        <f>IF(Z$5="",0,IF(ISNUMBER(MATCH(Z$5,FeiertagDaten,0)),1,0))</f>
      </c>
      <c r="AA50" s="1">
        <f>IF(AA$5="",0,IF(ISNUMBER(MATCH(AA$5,FeiertagDaten,0)),1,0))</f>
      </c>
      <c r="AB50" s="1">
        <f>IF(AB$5="",0,IF(ISNUMBER(MATCH(AB$5,FeiertagDaten,0)),1,0))</f>
      </c>
      <c r="AC50" s="1">
        <f>IF(AC$5="",0,IF(ISNUMBER(MATCH(AC$5,FeiertagDaten,0)),1,0))</f>
      </c>
      <c r="AD50" s="1">
        <f>IF(AD$5="",0,IF(ISNUMBER(MATCH(AD$5,FeiertagDaten,0)),1,0))</f>
      </c>
      <c r="AE50" s="1">
        <f>IF(AE$5="",0,IF(ISNUMBER(MATCH(AE$5,FeiertagDaten,0)),1,0))</f>
      </c>
      <c r="AF50" s="1">
        <f>IF(AF$5="",0,IF(ISNUMBER(MATCH(AF$5,FeiertagDaten,0)),1,0))</f>
      </c>
    </row>
    <row r="51" hidden="1" spans="1:32" x14ac:dyDescent="0.25">
      <c r="A51" s="1"/>
      <c r="B51" s="1">
        <f>IF(B$5="",0,WEEKDAY(B$5,2))</f>
      </c>
      <c r="C51" s="1">
        <f>IF(C$5="",0,WEEKDAY(C$5,2))</f>
      </c>
      <c r="D51" s="1">
        <f>IF(D$5="",0,WEEKDAY(D$5,2))</f>
      </c>
      <c r="E51" s="1">
        <f>IF(E$5="",0,WEEKDAY(E$5,2))</f>
      </c>
      <c r="F51" s="1">
        <f>IF(F$5="",0,WEEKDAY(F$5,2))</f>
      </c>
      <c r="G51" s="1">
        <f>IF(G$5="",0,WEEKDAY(G$5,2))</f>
      </c>
      <c r="H51" s="1">
        <f>IF(H$5="",0,WEEKDAY(H$5,2))</f>
      </c>
      <c r="I51" s="1">
        <f>IF(I$5="",0,WEEKDAY(I$5,2))</f>
      </c>
      <c r="J51" s="1">
        <f>IF(J$5="",0,WEEKDAY(J$5,2))</f>
      </c>
      <c r="K51" s="1">
        <f>IF(K$5="",0,WEEKDAY(K$5,2))</f>
      </c>
      <c r="L51" s="1">
        <f>IF(L$5="",0,WEEKDAY(L$5,2))</f>
      </c>
      <c r="M51" s="1">
        <f>IF(M$5="",0,WEEKDAY(M$5,2))</f>
      </c>
      <c r="N51" s="1">
        <f>IF(N$5="",0,WEEKDAY(N$5,2))</f>
      </c>
      <c r="O51" s="1">
        <f>IF(O$5="",0,WEEKDAY(O$5,2))</f>
      </c>
      <c r="P51" s="1">
        <f>IF(P$5="",0,WEEKDAY(P$5,2))</f>
      </c>
      <c r="Q51" s="1">
        <f>IF(Q$5="",0,WEEKDAY(Q$5,2))</f>
      </c>
      <c r="R51" s="1">
        <f>IF(R$5="",0,WEEKDAY(R$5,2))</f>
      </c>
      <c r="S51" s="1">
        <f>IF(S$5="",0,WEEKDAY(S$5,2))</f>
      </c>
      <c r="T51" s="1">
        <f>IF(T$5="",0,WEEKDAY(T$5,2))</f>
      </c>
      <c r="U51" s="1">
        <f>IF(U$5="",0,WEEKDAY(U$5,2))</f>
      </c>
      <c r="V51" s="1">
        <f>IF(V$5="",0,WEEKDAY(V$5,2))</f>
      </c>
      <c r="W51" s="1">
        <f>IF(W$5="",0,WEEKDAY(W$5,2))</f>
      </c>
      <c r="X51" s="1">
        <f>IF(X$5="",0,WEEKDAY(X$5,2))</f>
      </c>
      <c r="Y51" s="1">
        <f>IF(Y$5="",0,WEEKDAY(Y$5,2))</f>
      </c>
      <c r="Z51" s="1">
        <f>IF(Z$5="",0,WEEKDAY(Z$5,2))</f>
      </c>
      <c r="AA51" s="1">
        <f>IF(AA$5="",0,WEEKDAY(AA$5,2))</f>
      </c>
      <c r="AB51" s="1">
        <f>IF(AB$5="",0,WEEKDAY(AB$5,2))</f>
      </c>
      <c r="AC51" s="1">
        <f>IF(AC$5="",0,WEEKDAY(AC$5,2))</f>
      </c>
      <c r="AD51" s="1">
        <f>IF(AD$5="",0,WEEKDAY(AD$5,2))</f>
      </c>
      <c r="AE51" s="1">
        <f>IF(AE$5="",0,WEEKDAY(AE$5,2))</f>
      </c>
      <c r="AF51" s="1">
        <f>IF(AF$5="",0,WEEKDAY(AF$5,2))</f>
      </c>
    </row>
    <row r="52" hidden="1" spans="1:32" x14ac:dyDescent="0.25">
      <c r="A52" s="1"/>
      <c r="B52" s="1">
        <f>IF(B$5="",0,1)</f>
      </c>
      <c r="C52" s="1">
        <f>IF(C$5="",0,1)</f>
      </c>
      <c r="D52" s="1">
        <f>IF(D$5="",0,1)</f>
      </c>
      <c r="E52" s="1">
        <f>IF(E$5="",0,1)</f>
      </c>
      <c r="F52" s="1">
        <f>IF(F$5="",0,1)</f>
      </c>
      <c r="G52" s="1">
        <f>IF(G$5="",0,1)</f>
      </c>
      <c r="H52" s="1">
        <f>IF(H$5="",0,1)</f>
      </c>
      <c r="I52" s="1">
        <f>IF(I$5="",0,1)</f>
      </c>
      <c r="J52" s="1">
        <f>IF(J$5="",0,1)</f>
      </c>
      <c r="K52" s="1">
        <f>IF(K$5="",0,1)</f>
      </c>
      <c r="L52" s="1">
        <f>IF(L$5="",0,1)</f>
      </c>
      <c r="M52" s="1">
        <f>IF(M$5="",0,1)</f>
      </c>
      <c r="N52" s="1">
        <f>IF(N$5="",0,1)</f>
      </c>
      <c r="O52" s="1">
        <f>IF(O$5="",0,1)</f>
      </c>
      <c r="P52" s="1">
        <f>IF(P$5="",0,1)</f>
      </c>
      <c r="Q52" s="1">
        <f>IF(Q$5="",0,1)</f>
      </c>
      <c r="R52" s="1">
        <f>IF(R$5="",0,1)</f>
      </c>
      <c r="S52" s="1">
        <f>IF(S$5="",0,1)</f>
      </c>
      <c r="T52" s="1">
        <f>IF(T$5="",0,1)</f>
      </c>
      <c r="U52" s="1">
        <f>IF(U$5="",0,1)</f>
      </c>
      <c r="V52" s="1">
        <f>IF(V$5="",0,1)</f>
      </c>
      <c r="W52" s="1">
        <f>IF(W$5="",0,1)</f>
      </c>
      <c r="X52" s="1">
        <f>IF(X$5="",0,1)</f>
      </c>
      <c r="Y52" s="1">
        <f>IF(Y$5="",0,1)</f>
      </c>
      <c r="Z52" s="1">
        <f>IF(Z$5="",0,1)</f>
      </c>
      <c r="AA52" s="1">
        <f>IF(AA$5="",0,1)</f>
      </c>
      <c r="AB52" s="1">
        <f>IF(AB$5="",0,1)</f>
      </c>
      <c r="AC52" s="1">
        <f>IF(AC$5="",0,1)</f>
      </c>
      <c r="AD52" s="1">
        <f>IF(AD$5="",0,1)</f>
      </c>
      <c r="AE52" s="1">
        <f>IF(AE$5="",0,1)</f>
      </c>
      <c r="AF52" s="1">
        <f>IF(AF$5="",0,1)</f>
      </c>
    </row>
    <row r="53" hidden="1" spans="1:32" x14ac:dyDescent="0.25">
      <c r="A53" s="1"/>
      <c r="B53" s="1">
        <f>IF(AND(B51&gt;=1,B51&lt;=5,B50=0),1,0)</f>
      </c>
      <c r="C53" s="1">
        <f>IF(AND(C51&gt;=1,C51&lt;=5,C50=0),1,0)</f>
      </c>
      <c r="D53" s="1">
        <f>IF(AND(D51&gt;=1,D51&lt;=5,D50=0),1,0)</f>
      </c>
      <c r="E53" s="1">
        <f>IF(AND(E51&gt;=1,E51&lt;=5,E50=0),1,0)</f>
      </c>
      <c r="F53" s="1">
        <f>IF(AND(F51&gt;=1,F51&lt;=5,F50=0),1,0)</f>
      </c>
      <c r="G53" s="1">
        <f>IF(AND(G51&gt;=1,G51&lt;=5,G50=0),1,0)</f>
      </c>
      <c r="H53" s="1">
        <f>IF(AND(H51&gt;=1,H51&lt;=5,H50=0),1,0)</f>
      </c>
      <c r="I53" s="1">
        <f>IF(AND(I51&gt;=1,I51&lt;=5,I50=0),1,0)</f>
      </c>
      <c r="J53" s="1">
        <f>IF(AND(J51&gt;=1,J51&lt;=5,J50=0),1,0)</f>
      </c>
      <c r="K53" s="1">
        <f>IF(AND(K51&gt;=1,K51&lt;=5,K50=0),1,0)</f>
      </c>
      <c r="L53" s="1">
        <f>IF(AND(L51&gt;=1,L51&lt;=5,L50=0),1,0)</f>
      </c>
      <c r="M53" s="1">
        <f>IF(AND(M51&gt;=1,M51&lt;=5,M50=0),1,0)</f>
      </c>
      <c r="N53" s="1">
        <f>IF(AND(N51&gt;=1,N51&lt;=5,N50=0),1,0)</f>
      </c>
      <c r="O53" s="1">
        <f>IF(AND(O51&gt;=1,O51&lt;=5,O50=0),1,0)</f>
      </c>
      <c r="P53" s="1">
        <f>IF(AND(P51&gt;=1,P51&lt;=5,P50=0),1,0)</f>
      </c>
      <c r="Q53" s="1">
        <f>IF(AND(Q51&gt;=1,Q51&lt;=5,Q50=0),1,0)</f>
      </c>
      <c r="R53" s="1">
        <f>IF(AND(R51&gt;=1,R51&lt;=5,R50=0),1,0)</f>
      </c>
      <c r="S53" s="1">
        <f>IF(AND(S51&gt;=1,S51&lt;=5,S50=0),1,0)</f>
      </c>
      <c r="T53" s="1">
        <f>IF(AND(T51&gt;=1,T51&lt;=5,T50=0),1,0)</f>
      </c>
      <c r="U53" s="1">
        <f>IF(AND(U51&gt;=1,U51&lt;=5,U50=0),1,0)</f>
      </c>
      <c r="V53" s="1">
        <f>IF(AND(V51&gt;=1,V51&lt;=5,V50=0),1,0)</f>
      </c>
      <c r="W53" s="1">
        <f>IF(AND(W51&gt;=1,W51&lt;=5,W50=0),1,0)</f>
      </c>
      <c r="X53" s="1">
        <f>IF(AND(X51&gt;=1,X51&lt;=5,X50=0),1,0)</f>
      </c>
      <c r="Y53" s="1">
        <f>IF(AND(Y51&gt;=1,Y51&lt;=5,Y50=0),1,0)</f>
      </c>
      <c r="Z53" s="1">
        <f>IF(AND(Z51&gt;=1,Z51&lt;=5,Z50=0),1,0)</f>
      </c>
      <c r="AA53" s="1">
        <f>IF(AND(AA51&gt;=1,AA51&lt;=5,AA50=0),1,0)</f>
      </c>
      <c r="AB53" s="1">
        <f>IF(AND(AB51&gt;=1,AB51&lt;=5,AB50=0),1,0)</f>
      </c>
      <c r="AC53" s="1">
        <f>IF(AND(AC51&gt;=1,AC51&lt;=5,AC50=0),1,0)</f>
      </c>
      <c r="AD53" s="1">
        <f>IF(AND(AD51&gt;=1,AD51&lt;=5,AD50=0),1,0)</f>
      </c>
      <c r="AE53" s="1">
        <f>IF(AND(AE51&gt;=1,AE51&lt;=5,AE50=0),1,0)</f>
      </c>
      <c r="AF53" s="1">
        <f>IF(AND(AF51&gt;=1,AF51&lt;=5,AF50=0),1,0)</f>
      </c>
    </row>
    <row r="55" hidden="1" spans="1:32" x14ac:dyDescent="0.25">
      <c r="A55" s="1"/>
      <c r="B55" s="1">
        <f>IF(OR(B$52=0,INDEX('November'!$B$6:$AF$6,DAY(DATE(Jahr,12,0)))="",B6=""),0,IFERROR(IF(AND(INDEX(Arten,MATCH(INDEX('November'!$B$6:$AF$6,DAY(DATE(Jahr,12,0))),Codes,0))="Arbeit",INDEX(Arten,MATCH(B6,Codes,0))="Arbeit"),IF(ROUND((1+INDEX(Beginne,MATCH(B6,Codes,0))-INDEX(EndeRel,MATCH(INDEX('November'!$B$6:$AF$6,DAY(DATE(Jahr,12,0))),Codes,0)))*1440,0)&lt;660,1,0),0),0))</f>
      </c>
      <c r="C55" s="1">
        <f>IF(OR(C$52=0,B6="",C6=""),0,IFERROR(IF(AND(INDEX(Arten,MATCH(B6,Codes,0))="Arbeit",INDEX(Arten,MATCH(C6,Codes,0))="Arbeit"),IF(ROUND((1+INDEX(Beginne,MATCH(C6,Codes,0))-INDEX(EndeRel,MATCH(B6,Codes,0)))*1440,0)&lt;660,1,0),0),0))</f>
      </c>
      <c r="D55" s="1">
        <f>IF(OR(D$52=0,C6="",D6=""),0,IFERROR(IF(AND(INDEX(Arten,MATCH(C6,Codes,0))="Arbeit",INDEX(Arten,MATCH(D6,Codes,0))="Arbeit"),IF(ROUND((1+INDEX(Beginne,MATCH(D6,Codes,0))-INDEX(EndeRel,MATCH(C6,Codes,0)))*1440,0)&lt;660,1,0),0),0))</f>
      </c>
      <c r="E55" s="1">
        <f>IF(OR(E$52=0,D6="",E6=""),0,IFERROR(IF(AND(INDEX(Arten,MATCH(D6,Codes,0))="Arbeit",INDEX(Arten,MATCH(E6,Codes,0))="Arbeit"),IF(ROUND((1+INDEX(Beginne,MATCH(E6,Codes,0))-INDEX(EndeRel,MATCH(D6,Codes,0)))*1440,0)&lt;660,1,0),0),0))</f>
      </c>
      <c r="F55" s="1">
        <f>IF(OR(F$52=0,E6="",F6=""),0,IFERROR(IF(AND(INDEX(Arten,MATCH(E6,Codes,0))="Arbeit",INDEX(Arten,MATCH(F6,Codes,0))="Arbeit"),IF(ROUND((1+INDEX(Beginne,MATCH(F6,Codes,0))-INDEX(EndeRel,MATCH(E6,Codes,0)))*1440,0)&lt;660,1,0),0),0))</f>
      </c>
      <c r="G55" s="1">
        <f>IF(OR(G$52=0,F6="",G6=""),0,IFERROR(IF(AND(INDEX(Arten,MATCH(F6,Codes,0))="Arbeit",INDEX(Arten,MATCH(G6,Codes,0))="Arbeit"),IF(ROUND((1+INDEX(Beginne,MATCH(G6,Codes,0))-INDEX(EndeRel,MATCH(F6,Codes,0)))*1440,0)&lt;660,1,0),0),0))</f>
      </c>
      <c r="H55" s="1">
        <f>IF(OR(H$52=0,G6="",H6=""),0,IFERROR(IF(AND(INDEX(Arten,MATCH(G6,Codes,0))="Arbeit",INDEX(Arten,MATCH(H6,Codes,0))="Arbeit"),IF(ROUND((1+INDEX(Beginne,MATCH(H6,Codes,0))-INDEX(EndeRel,MATCH(G6,Codes,0)))*1440,0)&lt;660,1,0),0),0))</f>
      </c>
      <c r="I55" s="1">
        <f>IF(OR(I$52=0,H6="",I6=""),0,IFERROR(IF(AND(INDEX(Arten,MATCH(H6,Codes,0))="Arbeit",INDEX(Arten,MATCH(I6,Codes,0))="Arbeit"),IF(ROUND((1+INDEX(Beginne,MATCH(I6,Codes,0))-INDEX(EndeRel,MATCH(H6,Codes,0)))*1440,0)&lt;660,1,0),0),0))</f>
      </c>
      <c r="J55" s="1">
        <f>IF(OR(J$52=0,I6="",J6=""),0,IFERROR(IF(AND(INDEX(Arten,MATCH(I6,Codes,0))="Arbeit",INDEX(Arten,MATCH(J6,Codes,0))="Arbeit"),IF(ROUND((1+INDEX(Beginne,MATCH(J6,Codes,0))-INDEX(EndeRel,MATCH(I6,Codes,0)))*1440,0)&lt;660,1,0),0),0))</f>
      </c>
      <c r="K55" s="1">
        <f>IF(OR(K$52=0,J6="",K6=""),0,IFERROR(IF(AND(INDEX(Arten,MATCH(J6,Codes,0))="Arbeit",INDEX(Arten,MATCH(K6,Codes,0))="Arbeit"),IF(ROUND((1+INDEX(Beginne,MATCH(K6,Codes,0))-INDEX(EndeRel,MATCH(J6,Codes,0)))*1440,0)&lt;660,1,0),0),0))</f>
      </c>
      <c r="L55" s="1">
        <f>IF(OR(L$52=0,K6="",L6=""),0,IFERROR(IF(AND(INDEX(Arten,MATCH(K6,Codes,0))="Arbeit",INDEX(Arten,MATCH(L6,Codes,0))="Arbeit"),IF(ROUND((1+INDEX(Beginne,MATCH(L6,Codes,0))-INDEX(EndeRel,MATCH(K6,Codes,0)))*1440,0)&lt;660,1,0),0),0))</f>
      </c>
      <c r="M55" s="1">
        <f>IF(OR(M$52=0,L6="",M6=""),0,IFERROR(IF(AND(INDEX(Arten,MATCH(L6,Codes,0))="Arbeit",INDEX(Arten,MATCH(M6,Codes,0))="Arbeit"),IF(ROUND((1+INDEX(Beginne,MATCH(M6,Codes,0))-INDEX(EndeRel,MATCH(L6,Codes,0)))*1440,0)&lt;660,1,0),0),0))</f>
      </c>
      <c r="N55" s="1">
        <f>IF(OR(N$52=0,M6="",N6=""),0,IFERROR(IF(AND(INDEX(Arten,MATCH(M6,Codes,0))="Arbeit",INDEX(Arten,MATCH(N6,Codes,0))="Arbeit"),IF(ROUND((1+INDEX(Beginne,MATCH(N6,Codes,0))-INDEX(EndeRel,MATCH(M6,Codes,0)))*1440,0)&lt;660,1,0),0),0))</f>
      </c>
      <c r="O55" s="1">
        <f>IF(OR(O$52=0,N6="",O6=""),0,IFERROR(IF(AND(INDEX(Arten,MATCH(N6,Codes,0))="Arbeit",INDEX(Arten,MATCH(O6,Codes,0))="Arbeit"),IF(ROUND((1+INDEX(Beginne,MATCH(O6,Codes,0))-INDEX(EndeRel,MATCH(N6,Codes,0)))*1440,0)&lt;660,1,0),0),0))</f>
      </c>
      <c r="P55" s="1">
        <f>IF(OR(P$52=0,O6="",P6=""),0,IFERROR(IF(AND(INDEX(Arten,MATCH(O6,Codes,0))="Arbeit",INDEX(Arten,MATCH(P6,Codes,0))="Arbeit"),IF(ROUND((1+INDEX(Beginne,MATCH(P6,Codes,0))-INDEX(EndeRel,MATCH(O6,Codes,0)))*1440,0)&lt;660,1,0),0),0))</f>
      </c>
      <c r="Q55" s="1">
        <f>IF(OR(Q$52=0,P6="",Q6=""),0,IFERROR(IF(AND(INDEX(Arten,MATCH(P6,Codes,0))="Arbeit",INDEX(Arten,MATCH(Q6,Codes,0))="Arbeit"),IF(ROUND((1+INDEX(Beginne,MATCH(Q6,Codes,0))-INDEX(EndeRel,MATCH(P6,Codes,0)))*1440,0)&lt;660,1,0),0),0))</f>
      </c>
      <c r="R55" s="1">
        <f>IF(OR(R$52=0,Q6="",R6=""),0,IFERROR(IF(AND(INDEX(Arten,MATCH(Q6,Codes,0))="Arbeit",INDEX(Arten,MATCH(R6,Codes,0))="Arbeit"),IF(ROUND((1+INDEX(Beginne,MATCH(R6,Codes,0))-INDEX(EndeRel,MATCH(Q6,Codes,0)))*1440,0)&lt;660,1,0),0),0))</f>
      </c>
      <c r="S55" s="1">
        <f>IF(OR(S$52=0,R6="",S6=""),0,IFERROR(IF(AND(INDEX(Arten,MATCH(R6,Codes,0))="Arbeit",INDEX(Arten,MATCH(S6,Codes,0))="Arbeit"),IF(ROUND((1+INDEX(Beginne,MATCH(S6,Codes,0))-INDEX(EndeRel,MATCH(R6,Codes,0)))*1440,0)&lt;660,1,0),0),0))</f>
      </c>
      <c r="T55" s="1">
        <f>IF(OR(T$52=0,S6="",T6=""),0,IFERROR(IF(AND(INDEX(Arten,MATCH(S6,Codes,0))="Arbeit",INDEX(Arten,MATCH(T6,Codes,0))="Arbeit"),IF(ROUND((1+INDEX(Beginne,MATCH(T6,Codes,0))-INDEX(EndeRel,MATCH(S6,Codes,0)))*1440,0)&lt;660,1,0),0),0))</f>
      </c>
      <c r="U55" s="1">
        <f>IF(OR(U$52=0,T6="",U6=""),0,IFERROR(IF(AND(INDEX(Arten,MATCH(T6,Codes,0))="Arbeit",INDEX(Arten,MATCH(U6,Codes,0))="Arbeit"),IF(ROUND((1+INDEX(Beginne,MATCH(U6,Codes,0))-INDEX(EndeRel,MATCH(T6,Codes,0)))*1440,0)&lt;660,1,0),0),0))</f>
      </c>
      <c r="V55" s="1">
        <f>IF(OR(V$52=0,U6="",V6=""),0,IFERROR(IF(AND(INDEX(Arten,MATCH(U6,Codes,0))="Arbeit",INDEX(Arten,MATCH(V6,Codes,0))="Arbeit"),IF(ROUND((1+INDEX(Beginne,MATCH(V6,Codes,0))-INDEX(EndeRel,MATCH(U6,Codes,0)))*1440,0)&lt;660,1,0),0),0))</f>
      </c>
      <c r="W55" s="1">
        <f>IF(OR(W$52=0,V6="",W6=""),0,IFERROR(IF(AND(INDEX(Arten,MATCH(V6,Codes,0))="Arbeit",INDEX(Arten,MATCH(W6,Codes,0))="Arbeit"),IF(ROUND((1+INDEX(Beginne,MATCH(W6,Codes,0))-INDEX(EndeRel,MATCH(V6,Codes,0)))*1440,0)&lt;660,1,0),0),0))</f>
      </c>
      <c r="X55" s="1">
        <f>IF(OR(X$52=0,W6="",X6=""),0,IFERROR(IF(AND(INDEX(Arten,MATCH(W6,Codes,0))="Arbeit",INDEX(Arten,MATCH(X6,Codes,0))="Arbeit"),IF(ROUND((1+INDEX(Beginne,MATCH(X6,Codes,0))-INDEX(EndeRel,MATCH(W6,Codes,0)))*1440,0)&lt;660,1,0),0),0))</f>
      </c>
      <c r="Y55" s="1">
        <f>IF(OR(Y$52=0,X6="",Y6=""),0,IFERROR(IF(AND(INDEX(Arten,MATCH(X6,Codes,0))="Arbeit",INDEX(Arten,MATCH(Y6,Codes,0))="Arbeit"),IF(ROUND((1+INDEX(Beginne,MATCH(Y6,Codes,0))-INDEX(EndeRel,MATCH(X6,Codes,0)))*1440,0)&lt;660,1,0),0),0))</f>
      </c>
      <c r="Z55" s="1">
        <f>IF(OR(Z$52=0,Y6="",Z6=""),0,IFERROR(IF(AND(INDEX(Arten,MATCH(Y6,Codes,0))="Arbeit",INDEX(Arten,MATCH(Z6,Codes,0))="Arbeit"),IF(ROUND((1+INDEX(Beginne,MATCH(Z6,Codes,0))-INDEX(EndeRel,MATCH(Y6,Codes,0)))*1440,0)&lt;660,1,0),0),0))</f>
      </c>
      <c r="AA55" s="1">
        <f>IF(OR(AA$52=0,Z6="",AA6=""),0,IFERROR(IF(AND(INDEX(Arten,MATCH(Z6,Codes,0))="Arbeit",INDEX(Arten,MATCH(AA6,Codes,0))="Arbeit"),IF(ROUND((1+INDEX(Beginne,MATCH(AA6,Codes,0))-INDEX(EndeRel,MATCH(Z6,Codes,0)))*1440,0)&lt;660,1,0),0),0))</f>
      </c>
      <c r="AB55" s="1">
        <f>IF(OR(AB$52=0,AA6="",AB6=""),0,IFERROR(IF(AND(INDEX(Arten,MATCH(AA6,Codes,0))="Arbeit",INDEX(Arten,MATCH(AB6,Codes,0))="Arbeit"),IF(ROUND((1+INDEX(Beginne,MATCH(AB6,Codes,0))-INDEX(EndeRel,MATCH(AA6,Codes,0)))*1440,0)&lt;660,1,0),0),0))</f>
      </c>
      <c r="AC55" s="1">
        <f>IF(OR(AC$52=0,AB6="",AC6=""),0,IFERROR(IF(AND(INDEX(Arten,MATCH(AB6,Codes,0))="Arbeit",INDEX(Arten,MATCH(AC6,Codes,0))="Arbeit"),IF(ROUND((1+INDEX(Beginne,MATCH(AC6,Codes,0))-INDEX(EndeRel,MATCH(AB6,Codes,0)))*1440,0)&lt;660,1,0),0),0))</f>
      </c>
      <c r="AD55" s="1">
        <f>IF(OR(AD$52=0,AC6="",AD6=""),0,IFERROR(IF(AND(INDEX(Arten,MATCH(AC6,Codes,0))="Arbeit",INDEX(Arten,MATCH(AD6,Codes,0))="Arbeit"),IF(ROUND((1+INDEX(Beginne,MATCH(AD6,Codes,0))-INDEX(EndeRel,MATCH(AC6,Codes,0)))*1440,0)&lt;660,1,0),0),0))</f>
      </c>
      <c r="AE55" s="1">
        <f>IF(OR(AE$52=0,AD6="",AE6=""),0,IFERROR(IF(AND(INDEX(Arten,MATCH(AD6,Codes,0))="Arbeit",INDEX(Arten,MATCH(AE6,Codes,0))="Arbeit"),IF(ROUND((1+INDEX(Beginne,MATCH(AE6,Codes,0))-INDEX(EndeRel,MATCH(AD6,Codes,0)))*1440,0)&lt;660,1,0),0),0))</f>
      </c>
      <c r="AF55" s="1">
        <f>IF(OR(AF$52=0,AE6="",AF6=""),0,IFERROR(IF(AND(INDEX(Arten,MATCH(AE6,Codes,0))="Arbeit",INDEX(Arten,MATCH(AF6,Codes,0))="Arbeit"),IF(ROUND((1+INDEX(Beginne,MATCH(AF6,Codes,0))-INDEX(EndeRel,MATCH(AE6,Codes,0)))*1440,0)&lt;660,1,0),0),0))</f>
      </c>
    </row>
    <row r="56" hidden="1" spans="1:32" x14ac:dyDescent="0.25">
      <c r="A56" s="1"/>
      <c r="B56" s="1">
        <f>IF(OR(B$52=0,INDEX('November'!$B$7:$AF$7,DAY(DATE(Jahr,12,0)))="",B7=""),0,IFERROR(IF(AND(INDEX(Arten,MATCH(INDEX('November'!$B$7:$AF$7,DAY(DATE(Jahr,12,0))),Codes,0))="Arbeit",INDEX(Arten,MATCH(B7,Codes,0))="Arbeit"),IF(ROUND((1+INDEX(Beginne,MATCH(B7,Codes,0))-INDEX(EndeRel,MATCH(INDEX('November'!$B$7:$AF$7,DAY(DATE(Jahr,12,0))),Codes,0)))*1440,0)&lt;660,1,0),0),0))</f>
      </c>
      <c r="C56" s="1">
        <f>IF(OR(C$52=0,B7="",C7=""),0,IFERROR(IF(AND(INDEX(Arten,MATCH(B7,Codes,0))="Arbeit",INDEX(Arten,MATCH(C7,Codes,0))="Arbeit"),IF(ROUND((1+INDEX(Beginne,MATCH(C7,Codes,0))-INDEX(EndeRel,MATCH(B7,Codes,0)))*1440,0)&lt;660,1,0),0),0))</f>
      </c>
      <c r="D56" s="1">
        <f>IF(OR(D$52=0,C7="",D7=""),0,IFERROR(IF(AND(INDEX(Arten,MATCH(C7,Codes,0))="Arbeit",INDEX(Arten,MATCH(D7,Codes,0))="Arbeit"),IF(ROUND((1+INDEX(Beginne,MATCH(D7,Codes,0))-INDEX(EndeRel,MATCH(C7,Codes,0)))*1440,0)&lt;660,1,0),0),0))</f>
      </c>
      <c r="E56" s="1">
        <f>IF(OR(E$52=0,D7="",E7=""),0,IFERROR(IF(AND(INDEX(Arten,MATCH(D7,Codes,0))="Arbeit",INDEX(Arten,MATCH(E7,Codes,0))="Arbeit"),IF(ROUND((1+INDEX(Beginne,MATCH(E7,Codes,0))-INDEX(EndeRel,MATCH(D7,Codes,0)))*1440,0)&lt;660,1,0),0),0))</f>
      </c>
      <c r="F56" s="1">
        <f>IF(OR(F$52=0,E7="",F7=""),0,IFERROR(IF(AND(INDEX(Arten,MATCH(E7,Codes,0))="Arbeit",INDEX(Arten,MATCH(F7,Codes,0))="Arbeit"),IF(ROUND((1+INDEX(Beginne,MATCH(F7,Codes,0))-INDEX(EndeRel,MATCH(E7,Codes,0)))*1440,0)&lt;660,1,0),0),0))</f>
      </c>
      <c r="G56" s="1">
        <f>IF(OR(G$52=0,F7="",G7=""),0,IFERROR(IF(AND(INDEX(Arten,MATCH(F7,Codes,0))="Arbeit",INDEX(Arten,MATCH(G7,Codes,0))="Arbeit"),IF(ROUND((1+INDEX(Beginne,MATCH(G7,Codes,0))-INDEX(EndeRel,MATCH(F7,Codes,0)))*1440,0)&lt;660,1,0),0),0))</f>
      </c>
      <c r="H56" s="1">
        <f>IF(OR(H$52=0,G7="",H7=""),0,IFERROR(IF(AND(INDEX(Arten,MATCH(G7,Codes,0))="Arbeit",INDEX(Arten,MATCH(H7,Codes,0))="Arbeit"),IF(ROUND((1+INDEX(Beginne,MATCH(H7,Codes,0))-INDEX(EndeRel,MATCH(G7,Codes,0)))*1440,0)&lt;660,1,0),0),0))</f>
      </c>
      <c r="I56" s="1">
        <f>IF(OR(I$52=0,H7="",I7=""),0,IFERROR(IF(AND(INDEX(Arten,MATCH(H7,Codes,0))="Arbeit",INDEX(Arten,MATCH(I7,Codes,0))="Arbeit"),IF(ROUND((1+INDEX(Beginne,MATCH(I7,Codes,0))-INDEX(EndeRel,MATCH(H7,Codes,0)))*1440,0)&lt;660,1,0),0),0))</f>
      </c>
      <c r="J56" s="1">
        <f>IF(OR(J$52=0,I7="",J7=""),0,IFERROR(IF(AND(INDEX(Arten,MATCH(I7,Codes,0))="Arbeit",INDEX(Arten,MATCH(J7,Codes,0))="Arbeit"),IF(ROUND((1+INDEX(Beginne,MATCH(J7,Codes,0))-INDEX(EndeRel,MATCH(I7,Codes,0)))*1440,0)&lt;660,1,0),0),0))</f>
      </c>
      <c r="K56" s="1">
        <f>IF(OR(K$52=0,J7="",K7=""),0,IFERROR(IF(AND(INDEX(Arten,MATCH(J7,Codes,0))="Arbeit",INDEX(Arten,MATCH(K7,Codes,0))="Arbeit"),IF(ROUND((1+INDEX(Beginne,MATCH(K7,Codes,0))-INDEX(EndeRel,MATCH(J7,Codes,0)))*1440,0)&lt;660,1,0),0),0))</f>
      </c>
      <c r="L56" s="1">
        <f>IF(OR(L$52=0,K7="",L7=""),0,IFERROR(IF(AND(INDEX(Arten,MATCH(K7,Codes,0))="Arbeit",INDEX(Arten,MATCH(L7,Codes,0))="Arbeit"),IF(ROUND((1+INDEX(Beginne,MATCH(L7,Codes,0))-INDEX(EndeRel,MATCH(K7,Codes,0)))*1440,0)&lt;660,1,0),0),0))</f>
      </c>
      <c r="M56" s="1">
        <f>IF(OR(M$52=0,L7="",M7=""),0,IFERROR(IF(AND(INDEX(Arten,MATCH(L7,Codes,0))="Arbeit",INDEX(Arten,MATCH(M7,Codes,0))="Arbeit"),IF(ROUND((1+INDEX(Beginne,MATCH(M7,Codes,0))-INDEX(EndeRel,MATCH(L7,Codes,0)))*1440,0)&lt;660,1,0),0),0))</f>
      </c>
      <c r="N56" s="1">
        <f>IF(OR(N$52=0,M7="",N7=""),0,IFERROR(IF(AND(INDEX(Arten,MATCH(M7,Codes,0))="Arbeit",INDEX(Arten,MATCH(N7,Codes,0))="Arbeit"),IF(ROUND((1+INDEX(Beginne,MATCH(N7,Codes,0))-INDEX(EndeRel,MATCH(M7,Codes,0)))*1440,0)&lt;660,1,0),0),0))</f>
      </c>
      <c r="O56" s="1">
        <f>IF(OR(O$52=0,N7="",O7=""),0,IFERROR(IF(AND(INDEX(Arten,MATCH(N7,Codes,0))="Arbeit",INDEX(Arten,MATCH(O7,Codes,0))="Arbeit"),IF(ROUND((1+INDEX(Beginne,MATCH(O7,Codes,0))-INDEX(EndeRel,MATCH(N7,Codes,0)))*1440,0)&lt;660,1,0),0),0))</f>
      </c>
      <c r="P56" s="1">
        <f>IF(OR(P$52=0,O7="",P7=""),0,IFERROR(IF(AND(INDEX(Arten,MATCH(O7,Codes,0))="Arbeit",INDEX(Arten,MATCH(P7,Codes,0))="Arbeit"),IF(ROUND((1+INDEX(Beginne,MATCH(P7,Codes,0))-INDEX(EndeRel,MATCH(O7,Codes,0)))*1440,0)&lt;660,1,0),0),0))</f>
      </c>
      <c r="Q56" s="1">
        <f>IF(OR(Q$52=0,P7="",Q7=""),0,IFERROR(IF(AND(INDEX(Arten,MATCH(P7,Codes,0))="Arbeit",INDEX(Arten,MATCH(Q7,Codes,0))="Arbeit"),IF(ROUND((1+INDEX(Beginne,MATCH(Q7,Codes,0))-INDEX(EndeRel,MATCH(P7,Codes,0)))*1440,0)&lt;660,1,0),0),0))</f>
      </c>
      <c r="R56" s="1">
        <f>IF(OR(R$52=0,Q7="",R7=""),0,IFERROR(IF(AND(INDEX(Arten,MATCH(Q7,Codes,0))="Arbeit",INDEX(Arten,MATCH(R7,Codes,0))="Arbeit"),IF(ROUND((1+INDEX(Beginne,MATCH(R7,Codes,0))-INDEX(EndeRel,MATCH(Q7,Codes,0)))*1440,0)&lt;660,1,0),0),0))</f>
      </c>
      <c r="S56" s="1">
        <f>IF(OR(S$52=0,R7="",S7=""),0,IFERROR(IF(AND(INDEX(Arten,MATCH(R7,Codes,0))="Arbeit",INDEX(Arten,MATCH(S7,Codes,0))="Arbeit"),IF(ROUND((1+INDEX(Beginne,MATCH(S7,Codes,0))-INDEX(EndeRel,MATCH(R7,Codes,0)))*1440,0)&lt;660,1,0),0),0))</f>
      </c>
      <c r="T56" s="1">
        <f>IF(OR(T$52=0,S7="",T7=""),0,IFERROR(IF(AND(INDEX(Arten,MATCH(S7,Codes,0))="Arbeit",INDEX(Arten,MATCH(T7,Codes,0))="Arbeit"),IF(ROUND((1+INDEX(Beginne,MATCH(T7,Codes,0))-INDEX(EndeRel,MATCH(S7,Codes,0)))*1440,0)&lt;660,1,0),0),0))</f>
      </c>
      <c r="U56" s="1">
        <f>IF(OR(U$52=0,T7="",U7=""),0,IFERROR(IF(AND(INDEX(Arten,MATCH(T7,Codes,0))="Arbeit",INDEX(Arten,MATCH(U7,Codes,0))="Arbeit"),IF(ROUND((1+INDEX(Beginne,MATCH(U7,Codes,0))-INDEX(EndeRel,MATCH(T7,Codes,0)))*1440,0)&lt;660,1,0),0),0))</f>
      </c>
      <c r="V56" s="1">
        <f>IF(OR(V$52=0,U7="",V7=""),0,IFERROR(IF(AND(INDEX(Arten,MATCH(U7,Codes,0))="Arbeit",INDEX(Arten,MATCH(V7,Codes,0))="Arbeit"),IF(ROUND((1+INDEX(Beginne,MATCH(V7,Codes,0))-INDEX(EndeRel,MATCH(U7,Codes,0)))*1440,0)&lt;660,1,0),0),0))</f>
      </c>
      <c r="W56" s="1">
        <f>IF(OR(W$52=0,V7="",W7=""),0,IFERROR(IF(AND(INDEX(Arten,MATCH(V7,Codes,0))="Arbeit",INDEX(Arten,MATCH(W7,Codes,0))="Arbeit"),IF(ROUND((1+INDEX(Beginne,MATCH(W7,Codes,0))-INDEX(EndeRel,MATCH(V7,Codes,0)))*1440,0)&lt;660,1,0),0),0))</f>
      </c>
      <c r="X56" s="1">
        <f>IF(OR(X$52=0,W7="",X7=""),0,IFERROR(IF(AND(INDEX(Arten,MATCH(W7,Codes,0))="Arbeit",INDEX(Arten,MATCH(X7,Codes,0))="Arbeit"),IF(ROUND((1+INDEX(Beginne,MATCH(X7,Codes,0))-INDEX(EndeRel,MATCH(W7,Codes,0)))*1440,0)&lt;660,1,0),0),0))</f>
      </c>
      <c r="Y56" s="1">
        <f>IF(OR(Y$52=0,X7="",Y7=""),0,IFERROR(IF(AND(INDEX(Arten,MATCH(X7,Codes,0))="Arbeit",INDEX(Arten,MATCH(Y7,Codes,0))="Arbeit"),IF(ROUND((1+INDEX(Beginne,MATCH(Y7,Codes,0))-INDEX(EndeRel,MATCH(X7,Codes,0)))*1440,0)&lt;660,1,0),0),0))</f>
      </c>
      <c r="Z56" s="1">
        <f>IF(OR(Z$52=0,Y7="",Z7=""),0,IFERROR(IF(AND(INDEX(Arten,MATCH(Y7,Codes,0))="Arbeit",INDEX(Arten,MATCH(Z7,Codes,0))="Arbeit"),IF(ROUND((1+INDEX(Beginne,MATCH(Z7,Codes,0))-INDEX(EndeRel,MATCH(Y7,Codes,0)))*1440,0)&lt;660,1,0),0),0))</f>
      </c>
      <c r="AA56" s="1">
        <f>IF(OR(AA$52=0,Z7="",AA7=""),0,IFERROR(IF(AND(INDEX(Arten,MATCH(Z7,Codes,0))="Arbeit",INDEX(Arten,MATCH(AA7,Codes,0))="Arbeit"),IF(ROUND((1+INDEX(Beginne,MATCH(AA7,Codes,0))-INDEX(EndeRel,MATCH(Z7,Codes,0)))*1440,0)&lt;660,1,0),0),0))</f>
      </c>
      <c r="AB56" s="1">
        <f>IF(OR(AB$52=0,AA7="",AB7=""),0,IFERROR(IF(AND(INDEX(Arten,MATCH(AA7,Codes,0))="Arbeit",INDEX(Arten,MATCH(AB7,Codes,0))="Arbeit"),IF(ROUND((1+INDEX(Beginne,MATCH(AB7,Codes,0))-INDEX(EndeRel,MATCH(AA7,Codes,0)))*1440,0)&lt;660,1,0),0),0))</f>
      </c>
      <c r="AC56" s="1">
        <f>IF(OR(AC$52=0,AB7="",AC7=""),0,IFERROR(IF(AND(INDEX(Arten,MATCH(AB7,Codes,0))="Arbeit",INDEX(Arten,MATCH(AC7,Codes,0))="Arbeit"),IF(ROUND((1+INDEX(Beginne,MATCH(AC7,Codes,0))-INDEX(EndeRel,MATCH(AB7,Codes,0)))*1440,0)&lt;660,1,0),0),0))</f>
      </c>
      <c r="AD56" s="1">
        <f>IF(OR(AD$52=0,AC7="",AD7=""),0,IFERROR(IF(AND(INDEX(Arten,MATCH(AC7,Codes,0))="Arbeit",INDEX(Arten,MATCH(AD7,Codes,0))="Arbeit"),IF(ROUND((1+INDEX(Beginne,MATCH(AD7,Codes,0))-INDEX(EndeRel,MATCH(AC7,Codes,0)))*1440,0)&lt;660,1,0),0),0))</f>
      </c>
      <c r="AE56" s="1">
        <f>IF(OR(AE$52=0,AD7="",AE7=""),0,IFERROR(IF(AND(INDEX(Arten,MATCH(AD7,Codes,0))="Arbeit",INDEX(Arten,MATCH(AE7,Codes,0))="Arbeit"),IF(ROUND((1+INDEX(Beginne,MATCH(AE7,Codes,0))-INDEX(EndeRel,MATCH(AD7,Codes,0)))*1440,0)&lt;660,1,0),0),0))</f>
      </c>
      <c r="AF56" s="1">
        <f>IF(OR(AF$52=0,AE7="",AF7=""),0,IFERROR(IF(AND(INDEX(Arten,MATCH(AE7,Codes,0))="Arbeit",INDEX(Arten,MATCH(AF7,Codes,0))="Arbeit"),IF(ROUND((1+INDEX(Beginne,MATCH(AF7,Codes,0))-INDEX(EndeRel,MATCH(AE7,Codes,0)))*1440,0)&lt;660,1,0),0),0))</f>
      </c>
    </row>
    <row r="57" hidden="1" spans="1:32" x14ac:dyDescent="0.25">
      <c r="A57" s="1"/>
      <c r="B57" s="1">
        <f>IF(OR(B$52=0,INDEX('November'!$B$8:$AF$8,DAY(DATE(Jahr,12,0)))="",B8=""),0,IFERROR(IF(AND(INDEX(Arten,MATCH(INDEX('November'!$B$8:$AF$8,DAY(DATE(Jahr,12,0))),Codes,0))="Arbeit",INDEX(Arten,MATCH(B8,Codes,0))="Arbeit"),IF(ROUND((1+INDEX(Beginne,MATCH(B8,Codes,0))-INDEX(EndeRel,MATCH(INDEX('November'!$B$8:$AF$8,DAY(DATE(Jahr,12,0))),Codes,0)))*1440,0)&lt;660,1,0),0),0))</f>
      </c>
      <c r="C57" s="1">
        <f>IF(OR(C$52=0,B8="",C8=""),0,IFERROR(IF(AND(INDEX(Arten,MATCH(B8,Codes,0))="Arbeit",INDEX(Arten,MATCH(C8,Codes,0))="Arbeit"),IF(ROUND((1+INDEX(Beginne,MATCH(C8,Codes,0))-INDEX(EndeRel,MATCH(B8,Codes,0)))*1440,0)&lt;660,1,0),0),0))</f>
      </c>
      <c r="D57" s="1">
        <f>IF(OR(D$52=0,C8="",D8=""),0,IFERROR(IF(AND(INDEX(Arten,MATCH(C8,Codes,0))="Arbeit",INDEX(Arten,MATCH(D8,Codes,0))="Arbeit"),IF(ROUND((1+INDEX(Beginne,MATCH(D8,Codes,0))-INDEX(EndeRel,MATCH(C8,Codes,0)))*1440,0)&lt;660,1,0),0),0))</f>
      </c>
      <c r="E57" s="1">
        <f>IF(OR(E$52=0,D8="",E8=""),0,IFERROR(IF(AND(INDEX(Arten,MATCH(D8,Codes,0))="Arbeit",INDEX(Arten,MATCH(E8,Codes,0))="Arbeit"),IF(ROUND((1+INDEX(Beginne,MATCH(E8,Codes,0))-INDEX(EndeRel,MATCH(D8,Codes,0)))*1440,0)&lt;660,1,0),0),0))</f>
      </c>
      <c r="F57" s="1">
        <f>IF(OR(F$52=0,E8="",F8=""),0,IFERROR(IF(AND(INDEX(Arten,MATCH(E8,Codes,0))="Arbeit",INDEX(Arten,MATCH(F8,Codes,0))="Arbeit"),IF(ROUND((1+INDEX(Beginne,MATCH(F8,Codes,0))-INDEX(EndeRel,MATCH(E8,Codes,0)))*1440,0)&lt;660,1,0),0),0))</f>
      </c>
      <c r="G57" s="1">
        <f>IF(OR(G$52=0,F8="",G8=""),0,IFERROR(IF(AND(INDEX(Arten,MATCH(F8,Codes,0))="Arbeit",INDEX(Arten,MATCH(G8,Codes,0))="Arbeit"),IF(ROUND((1+INDEX(Beginne,MATCH(G8,Codes,0))-INDEX(EndeRel,MATCH(F8,Codes,0)))*1440,0)&lt;660,1,0),0),0))</f>
      </c>
      <c r="H57" s="1">
        <f>IF(OR(H$52=0,G8="",H8=""),0,IFERROR(IF(AND(INDEX(Arten,MATCH(G8,Codes,0))="Arbeit",INDEX(Arten,MATCH(H8,Codes,0))="Arbeit"),IF(ROUND((1+INDEX(Beginne,MATCH(H8,Codes,0))-INDEX(EndeRel,MATCH(G8,Codes,0)))*1440,0)&lt;660,1,0),0),0))</f>
      </c>
      <c r="I57" s="1">
        <f>IF(OR(I$52=0,H8="",I8=""),0,IFERROR(IF(AND(INDEX(Arten,MATCH(H8,Codes,0))="Arbeit",INDEX(Arten,MATCH(I8,Codes,0))="Arbeit"),IF(ROUND((1+INDEX(Beginne,MATCH(I8,Codes,0))-INDEX(EndeRel,MATCH(H8,Codes,0)))*1440,0)&lt;660,1,0),0),0))</f>
      </c>
      <c r="J57" s="1">
        <f>IF(OR(J$52=0,I8="",J8=""),0,IFERROR(IF(AND(INDEX(Arten,MATCH(I8,Codes,0))="Arbeit",INDEX(Arten,MATCH(J8,Codes,0))="Arbeit"),IF(ROUND((1+INDEX(Beginne,MATCH(J8,Codes,0))-INDEX(EndeRel,MATCH(I8,Codes,0)))*1440,0)&lt;660,1,0),0),0))</f>
      </c>
      <c r="K57" s="1">
        <f>IF(OR(K$52=0,J8="",K8=""),0,IFERROR(IF(AND(INDEX(Arten,MATCH(J8,Codes,0))="Arbeit",INDEX(Arten,MATCH(K8,Codes,0))="Arbeit"),IF(ROUND((1+INDEX(Beginne,MATCH(K8,Codes,0))-INDEX(EndeRel,MATCH(J8,Codes,0)))*1440,0)&lt;660,1,0),0),0))</f>
      </c>
      <c r="L57" s="1">
        <f>IF(OR(L$52=0,K8="",L8=""),0,IFERROR(IF(AND(INDEX(Arten,MATCH(K8,Codes,0))="Arbeit",INDEX(Arten,MATCH(L8,Codes,0))="Arbeit"),IF(ROUND((1+INDEX(Beginne,MATCH(L8,Codes,0))-INDEX(EndeRel,MATCH(K8,Codes,0)))*1440,0)&lt;660,1,0),0),0))</f>
      </c>
      <c r="M57" s="1">
        <f>IF(OR(M$52=0,L8="",M8=""),0,IFERROR(IF(AND(INDEX(Arten,MATCH(L8,Codes,0))="Arbeit",INDEX(Arten,MATCH(M8,Codes,0))="Arbeit"),IF(ROUND((1+INDEX(Beginne,MATCH(M8,Codes,0))-INDEX(EndeRel,MATCH(L8,Codes,0)))*1440,0)&lt;660,1,0),0),0))</f>
      </c>
      <c r="N57" s="1">
        <f>IF(OR(N$52=0,M8="",N8=""),0,IFERROR(IF(AND(INDEX(Arten,MATCH(M8,Codes,0))="Arbeit",INDEX(Arten,MATCH(N8,Codes,0))="Arbeit"),IF(ROUND((1+INDEX(Beginne,MATCH(N8,Codes,0))-INDEX(EndeRel,MATCH(M8,Codes,0)))*1440,0)&lt;660,1,0),0),0))</f>
      </c>
      <c r="O57" s="1">
        <f>IF(OR(O$52=0,N8="",O8=""),0,IFERROR(IF(AND(INDEX(Arten,MATCH(N8,Codes,0))="Arbeit",INDEX(Arten,MATCH(O8,Codes,0))="Arbeit"),IF(ROUND((1+INDEX(Beginne,MATCH(O8,Codes,0))-INDEX(EndeRel,MATCH(N8,Codes,0)))*1440,0)&lt;660,1,0),0),0))</f>
      </c>
      <c r="P57" s="1">
        <f>IF(OR(P$52=0,O8="",P8=""),0,IFERROR(IF(AND(INDEX(Arten,MATCH(O8,Codes,0))="Arbeit",INDEX(Arten,MATCH(P8,Codes,0))="Arbeit"),IF(ROUND((1+INDEX(Beginne,MATCH(P8,Codes,0))-INDEX(EndeRel,MATCH(O8,Codes,0)))*1440,0)&lt;660,1,0),0),0))</f>
      </c>
      <c r="Q57" s="1">
        <f>IF(OR(Q$52=0,P8="",Q8=""),0,IFERROR(IF(AND(INDEX(Arten,MATCH(P8,Codes,0))="Arbeit",INDEX(Arten,MATCH(Q8,Codes,0))="Arbeit"),IF(ROUND((1+INDEX(Beginne,MATCH(Q8,Codes,0))-INDEX(EndeRel,MATCH(P8,Codes,0)))*1440,0)&lt;660,1,0),0),0))</f>
      </c>
      <c r="R57" s="1">
        <f>IF(OR(R$52=0,Q8="",R8=""),0,IFERROR(IF(AND(INDEX(Arten,MATCH(Q8,Codes,0))="Arbeit",INDEX(Arten,MATCH(R8,Codes,0))="Arbeit"),IF(ROUND((1+INDEX(Beginne,MATCH(R8,Codes,0))-INDEX(EndeRel,MATCH(Q8,Codes,0)))*1440,0)&lt;660,1,0),0),0))</f>
      </c>
      <c r="S57" s="1">
        <f>IF(OR(S$52=0,R8="",S8=""),0,IFERROR(IF(AND(INDEX(Arten,MATCH(R8,Codes,0))="Arbeit",INDEX(Arten,MATCH(S8,Codes,0))="Arbeit"),IF(ROUND((1+INDEX(Beginne,MATCH(S8,Codes,0))-INDEX(EndeRel,MATCH(R8,Codes,0)))*1440,0)&lt;660,1,0),0),0))</f>
      </c>
      <c r="T57" s="1">
        <f>IF(OR(T$52=0,S8="",T8=""),0,IFERROR(IF(AND(INDEX(Arten,MATCH(S8,Codes,0))="Arbeit",INDEX(Arten,MATCH(T8,Codes,0))="Arbeit"),IF(ROUND((1+INDEX(Beginne,MATCH(T8,Codes,0))-INDEX(EndeRel,MATCH(S8,Codes,0)))*1440,0)&lt;660,1,0),0),0))</f>
      </c>
      <c r="U57" s="1">
        <f>IF(OR(U$52=0,T8="",U8=""),0,IFERROR(IF(AND(INDEX(Arten,MATCH(T8,Codes,0))="Arbeit",INDEX(Arten,MATCH(U8,Codes,0))="Arbeit"),IF(ROUND((1+INDEX(Beginne,MATCH(U8,Codes,0))-INDEX(EndeRel,MATCH(T8,Codes,0)))*1440,0)&lt;660,1,0),0),0))</f>
      </c>
      <c r="V57" s="1">
        <f>IF(OR(V$52=0,U8="",V8=""),0,IFERROR(IF(AND(INDEX(Arten,MATCH(U8,Codes,0))="Arbeit",INDEX(Arten,MATCH(V8,Codes,0))="Arbeit"),IF(ROUND((1+INDEX(Beginne,MATCH(V8,Codes,0))-INDEX(EndeRel,MATCH(U8,Codes,0)))*1440,0)&lt;660,1,0),0),0))</f>
      </c>
      <c r="W57" s="1">
        <f>IF(OR(W$52=0,V8="",W8=""),0,IFERROR(IF(AND(INDEX(Arten,MATCH(V8,Codes,0))="Arbeit",INDEX(Arten,MATCH(W8,Codes,0))="Arbeit"),IF(ROUND((1+INDEX(Beginne,MATCH(W8,Codes,0))-INDEX(EndeRel,MATCH(V8,Codes,0)))*1440,0)&lt;660,1,0),0),0))</f>
      </c>
      <c r="X57" s="1">
        <f>IF(OR(X$52=0,W8="",X8=""),0,IFERROR(IF(AND(INDEX(Arten,MATCH(W8,Codes,0))="Arbeit",INDEX(Arten,MATCH(X8,Codes,0))="Arbeit"),IF(ROUND((1+INDEX(Beginne,MATCH(X8,Codes,0))-INDEX(EndeRel,MATCH(W8,Codes,0)))*1440,0)&lt;660,1,0),0),0))</f>
      </c>
      <c r="Y57" s="1">
        <f>IF(OR(Y$52=0,X8="",Y8=""),0,IFERROR(IF(AND(INDEX(Arten,MATCH(X8,Codes,0))="Arbeit",INDEX(Arten,MATCH(Y8,Codes,0))="Arbeit"),IF(ROUND((1+INDEX(Beginne,MATCH(Y8,Codes,0))-INDEX(EndeRel,MATCH(X8,Codes,0)))*1440,0)&lt;660,1,0),0),0))</f>
      </c>
      <c r="Z57" s="1">
        <f>IF(OR(Z$52=0,Y8="",Z8=""),0,IFERROR(IF(AND(INDEX(Arten,MATCH(Y8,Codes,0))="Arbeit",INDEX(Arten,MATCH(Z8,Codes,0))="Arbeit"),IF(ROUND((1+INDEX(Beginne,MATCH(Z8,Codes,0))-INDEX(EndeRel,MATCH(Y8,Codes,0)))*1440,0)&lt;660,1,0),0),0))</f>
      </c>
      <c r="AA57" s="1">
        <f>IF(OR(AA$52=0,Z8="",AA8=""),0,IFERROR(IF(AND(INDEX(Arten,MATCH(Z8,Codes,0))="Arbeit",INDEX(Arten,MATCH(AA8,Codes,0))="Arbeit"),IF(ROUND((1+INDEX(Beginne,MATCH(AA8,Codes,0))-INDEX(EndeRel,MATCH(Z8,Codes,0)))*1440,0)&lt;660,1,0),0),0))</f>
      </c>
      <c r="AB57" s="1">
        <f>IF(OR(AB$52=0,AA8="",AB8=""),0,IFERROR(IF(AND(INDEX(Arten,MATCH(AA8,Codes,0))="Arbeit",INDEX(Arten,MATCH(AB8,Codes,0))="Arbeit"),IF(ROUND((1+INDEX(Beginne,MATCH(AB8,Codes,0))-INDEX(EndeRel,MATCH(AA8,Codes,0)))*1440,0)&lt;660,1,0),0),0))</f>
      </c>
      <c r="AC57" s="1">
        <f>IF(OR(AC$52=0,AB8="",AC8=""),0,IFERROR(IF(AND(INDEX(Arten,MATCH(AB8,Codes,0))="Arbeit",INDEX(Arten,MATCH(AC8,Codes,0))="Arbeit"),IF(ROUND((1+INDEX(Beginne,MATCH(AC8,Codes,0))-INDEX(EndeRel,MATCH(AB8,Codes,0)))*1440,0)&lt;660,1,0),0),0))</f>
      </c>
      <c r="AD57" s="1">
        <f>IF(OR(AD$52=0,AC8="",AD8=""),0,IFERROR(IF(AND(INDEX(Arten,MATCH(AC8,Codes,0))="Arbeit",INDEX(Arten,MATCH(AD8,Codes,0))="Arbeit"),IF(ROUND((1+INDEX(Beginne,MATCH(AD8,Codes,0))-INDEX(EndeRel,MATCH(AC8,Codes,0)))*1440,0)&lt;660,1,0),0),0))</f>
      </c>
      <c r="AE57" s="1">
        <f>IF(OR(AE$52=0,AD8="",AE8=""),0,IFERROR(IF(AND(INDEX(Arten,MATCH(AD8,Codes,0))="Arbeit",INDEX(Arten,MATCH(AE8,Codes,0))="Arbeit"),IF(ROUND((1+INDEX(Beginne,MATCH(AE8,Codes,0))-INDEX(EndeRel,MATCH(AD8,Codes,0)))*1440,0)&lt;660,1,0),0),0))</f>
      </c>
      <c r="AF57" s="1">
        <f>IF(OR(AF$52=0,AE8="",AF8=""),0,IFERROR(IF(AND(INDEX(Arten,MATCH(AE8,Codes,0))="Arbeit",INDEX(Arten,MATCH(AF8,Codes,0))="Arbeit"),IF(ROUND((1+INDEX(Beginne,MATCH(AF8,Codes,0))-INDEX(EndeRel,MATCH(AE8,Codes,0)))*1440,0)&lt;660,1,0),0),0))</f>
      </c>
    </row>
    <row r="58" hidden="1" spans="1:32" x14ac:dyDescent="0.25">
      <c r="A58" s="1"/>
      <c r="B58" s="1">
        <f>IF(OR(B$52=0,INDEX('November'!$B$9:$AF$9,DAY(DATE(Jahr,12,0)))="",B9=""),0,IFERROR(IF(AND(INDEX(Arten,MATCH(INDEX('November'!$B$9:$AF$9,DAY(DATE(Jahr,12,0))),Codes,0))="Arbeit",INDEX(Arten,MATCH(B9,Codes,0))="Arbeit"),IF(ROUND((1+INDEX(Beginne,MATCH(B9,Codes,0))-INDEX(EndeRel,MATCH(INDEX('November'!$B$9:$AF$9,DAY(DATE(Jahr,12,0))),Codes,0)))*1440,0)&lt;660,1,0),0),0))</f>
      </c>
      <c r="C58" s="1">
        <f>IF(OR(C$52=0,B9="",C9=""),0,IFERROR(IF(AND(INDEX(Arten,MATCH(B9,Codes,0))="Arbeit",INDEX(Arten,MATCH(C9,Codes,0))="Arbeit"),IF(ROUND((1+INDEX(Beginne,MATCH(C9,Codes,0))-INDEX(EndeRel,MATCH(B9,Codes,0)))*1440,0)&lt;660,1,0),0),0))</f>
      </c>
      <c r="D58" s="1">
        <f>IF(OR(D$52=0,C9="",D9=""),0,IFERROR(IF(AND(INDEX(Arten,MATCH(C9,Codes,0))="Arbeit",INDEX(Arten,MATCH(D9,Codes,0))="Arbeit"),IF(ROUND((1+INDEX(Beginne,MATCH(D9,Codes,0))-INDEX(EndeRel,MATCH(C9,Codes,0)))*1440,0)&lt;660,1,0),0),0))</f>
      </c>
      <c r="E58" s="1">
        <f>IF(OR(E$52=0,D9="",E9=""),0,IFERROR(IF(AND(INDEX(Arten,MATCH(D9,Codes,0))="Arbeit",INDEX(Arten,MATCH(E9,Codes,0))="Arbeit"),IF(ROUND((1+INDEX(Beginne,MATCH(E9,Codes,0))-INDEX(EndeRel,MATCH(D9,Codes,0)))*1440,0)&lt;660,1,0),0),0))</f>
      </c>
      <c r="F58" s="1">
        <f>IF(OR(F$52=0,E9="",F9=""),0,IFERROR(IF(AND(INDEX(Arten,MATCH(E9,Codes,0))="Arbeit",INDEX(Arten,MATCH(F9,Codes,0))="Arbeit"),IF(ROUND((1+INDEX(Beginne,MATCH(F9,Codes,0))-INDEX(EndeRel,MATCH(E9,Codes,0)))*1440,0)&lt;660,1,0),0),0))</f>
      </c>
      <c r="G58" s="1">
        <f>IF(OR(G$52=0,F9="",G9=""),0,IFERROR(IF(AND(INDEX(Arten,MATCH(F9,Codes,0))="Arbeit",INDEX(Arten,MATCH(G9,Codes,0))="Arbeit"),IF(ROUND((1+INDEX(Beginne,MATCH(G9,Codes,0))-INDEX(EndeRel,MATCH(F9,Codes,0)))*1440,0)&lt;660,1,0),0),0))</f>
      </c>
      <c r="H58" s="1">
        <f>IF(OR(H$52=0,G9="",H9=""),0,IFERROR(IF(AND(INDEX(Arten,MATCH(G9,Codes,0))="Arbeit",INDEX(Arten,MATCH(H9,Codes,0))="Arbeit"),IF(ROUND((1+INDEX(Beginne,MATCH(H9,Codes,0))-INDEX(EndeRel,MATCH(G9,Codes,0)))*1440,0)&lt;660,1,0),0),0))</f>
      </c>
      <c r="I58" s="1">
        <f>IF(OR(I$52=0,H9="",I9=""),0,IFERROR(IF(AND(INDEX(Arten,MATCH(H9,Codes,0))="Arbeit",INDEX(Arten,MATCH(I9,Codes,0))="Arbeit"),IF(ROUND((1+INDEX(Beginne,MATCH(I9,Codes,0))-INDEX(EndeRel,MATCH(H9,Codes,0)))*1440,0)&lt;660,1,0),0),0))</f>
      </c>
      <c r="J58" s="1">
        <f>IF(OR(J$52=0,I9="",J9=""),0,IFERROR(IF(AND(INDEX(Arten,MATCH(I9,Codes,0))="Arbeit",INDEX(Arten,MATCH(J9,Codes,0))="Arbeit"),IF(ROUND((1+INDEX(Beginne,MATCH(J9,Codes,0))-INDEX(EndeRel,MATCH(I9,Codes,0)))*1440,0)&lt;660,1,0),0),0))</f>
      </c>
      <c r="K58" s="1">
        <f>IF(OR(K$52=0,J9="",K9=""),0,IFERROR(IF(AND(INDEX(Arten,MATCH(J9,Codes,0))="Arbeit",INDEX(Arten,MATCH(K9,Codes,0))="Arbeit"),IF(ROUND((1+INDEX(Beginne,MATCH(K9,Codes,0))-INDEX(EndeRel,MATCH(J9,Codes,0)))*1440,0)&lt;660,1,0),0),0))</f>
      </c>
      <c r="L58" s="1">
        <f>IF(OR(L$52=0,K9="",L9=""),0,IFERROR(IF(AND(INDEX(Arten,MATCH(K9,Codes,0))="Arbeit",INDEX(Arten,MATCH(L9,Codes,0))="Arbeit"),IF(ROUND((1+INDEX(Beginne,MATCH(L9,Codes,0))-INDEX(EndeRel,MATCH(K9,Codes,0)))*1440,0)&lt;660,1,0),0),0))</f>
      </c>
      <c r="M58" s="1">
        <f>IF(OR(M$52=0,L9="",M9=""),0,IFERROR(IF(AND(INDEX(Arten,MATCH(L9,Codes,0))="Arbeit",INDEX(Arten,MATCH(M9,Codes,0))="Arbeit"),IF(ROUND((1+INDEX(Beginne,MATCH(M9,Codes,0))-INDEX(EndeRel,MATCH(L9,Codes,0)))*1440,0)&lt;660,1,0),0),0))</f>
      </c>
      <c r="N58" s="1">
        <f>IF(OR(N$52=0,M9="",N9=""),0,IFERROR(IF(AND(INDEX(Arten,MATCH(M9,Codes,0))="Arbeit",INDEX(Arten,MATCH(N9,Codes,0))="Arbeit"),IF(ROUND((1+INDEX(Beginne,MATCH(N9,Codes,0))-INDEX(EndeRel,MATCH(M9,Codes,0)))*1440,0)&lt;660,1,0),0),0))</f>
      </c>
      <c r="O58" s="1">
        <f>IF(OR(O$52=0,N9="",O9=""),0,IFERROR(IF(AND(INDEX(Arten,MATCH(N9,Codes,0))="Arbeit",INDEX(Arten,MATCH(O9,Codes,0))="Arbeit"),IF(ROUND((1+INDEX(Beginne,MATCH(O9,Codes,0))-INDEX(EndeRel,MATCH(N9,Codes,0)))*1440,0)&lt;660,1,0),0),0))</f>
      </c>
      <c r="P58" s="1">
        <f>IF(OR(P$52=0,O9="",P9=""),0,IFERROR(IF(AND(INDEX(Arten,MATCH(O9,Codes,0))="Arbeit",INDEX(Arten,MATCH(P9,Codes,0))="Arbeit"),IF(ROUND((1+INDEX(Beginne,MATCH(P9,Codes,0))-INDEX(EndeRel,MATCH(O9,Codes,0)))*1440,0)&lt;660,1,0),0),0))</f>
      </c>
      <c r="Q58" s="1">
        <f>IF(OR(Q$52=0,P9="",Q9=""),0,IFERROR(IF(AND(INDEX(Arten,MATCH(P9,Codes,0))="Arbeit",INDEX(Arten,MATCH(Q9,Codes,0))="Arbeit"),IF(ROUND((1+INDEX(Beginne,MATCH(Q9,Codes,0))-INDEX(EndeRel,MATCH(P9,Codes,0)))*1440,0)&lt;660,1,0),0),0))</f>
      </c>
      <c r="R58" s="1">
        <f>IF(OR(R$52=0,Q9="",R9=""),0,IFERROR(IF(AND(INDEX(Arten,MATCH(Q9,Codes,0))="Arbeit",INDEX(Arten,MATCH(R9,Codes,0))="Arbeit"),IF(ROUND((1+INDEX(Beginne,MATCH(R9,Codes,0))-INDEX(EndeRel,MATCH(Q9,Codes,0)))*1440,0)&lt;660,1,0),0),0))</f>
      </c>
      <c r="S58" s="1">
        <f>IF(OR(S$52=0,R9="",S9=""),0,IFERROR(IF(AND(INDEX(Arten,MATCH(R9,Codes,0))="Arbeit",INDEX(Arten,MATCH(S9,Codes,0))="Arbeit"),IF(ROUND((1+INDEX(Beginne,MATCH(S9,Codes,0))-INDEX(EndeRel,MATCH(R9,Codes,0)))*1440,0)&lt;660,1,0),0),0))</f>
      </c>
      <c r="T58" s="1">
        <f>IF(OR(T$52=0,S9="",T9=""),0,IFERROR(IF(AND(INDEX(Arten,MATCH(S9,Codes,0))="Arbeit",INDEX(Arten,MATCH(T9,Codes,0))="Arbeit"),IF(ROUND((1+INDEX(Beginne,MATCH(T9,Codes,0))-INDEX(EndeRel,MATCH(S9,Codes,0)))*1440,0)&lt;660,1,0),0),0))</f>
      </c>
      <c r="U58" s="1">
        <f>IF(OR(U$52=0,T9="",U9=""),0,IFERROR(IF(AND(INDEX(Arten,MATCH(T9,Codes,0))="Arbeit",INDEX(Arten,MATCH(U9,Codes,0))="Arbeit"),IF(ROUND((1+INDEX(Beginne,MATCH(U9,Codes,0))-INDEX(EndeRel,MATCH(T9,Codes,0)))*1440,0)&lt;660,1,0),0),0))</f>
      </c>
      <c r="V58" s="1">
        <f>IF(OR(V$52=0,U9="",V9=""),0,IFERROR(IF(AND(INDEX(Arten,MATCH(U9,Codes,0))="Arbeit",INDEX(Arten,MATCH(V9,Codes,0))="Arbeit"),IF(ROUND((1+INDEX(Beginne,MATCH(V9,Codes,0))-INDEX(EndeRel,MATCH(U9,Codes,0)))*1440,0)&lt;660,1,0),0),0))</f>
      </c>
      <c r="W58" s="1">
        <f>IF(OR(W$52=0,V9="",W9=""),0,IFERROR(IF(AND(INDEX(Arten,MATCH(V9,Codes,0))="Arbeit",INDEX(Arten,MATCH(W9,Codes,0))="Arbeit"),IF(ROUND((1+INDEX(Beginne,MATCH(W9,Codes,0))-INDEX(EndeRel,MATCH(V9,Codes,0)))*1440,0)&lt;660,1,0),0),0))</f>
      </c>
      <c r="X58" s="1">
        <f>IF(OR(X$52=0,W9="",X9=""),0,IFERROR(IF(AND(INDEX(Arten,MATCH(W9,Codes,0))="Arbeit",INDEX(Arten,MATCH(X9,Codes,0))="Arbeit"),IF(ROUND((1+INDEX(Beginne,MATCH(X9,Codes,0))-INDEX(EndeRel,MATCH(W9,Codes,0)))*1440,0)&lt;660,1,0),0),0))</f>
      </c>
      <c r="Y58" s="1">
        <f>IF(OR(Y$52=0,X9="",Y9=""),0,IFERROR(IF(AND(INDEX(Arten,MATCH(X9,Codes,0))="Arbeit",INDEX(Arten,MATCH(Y9,Codes,0))="Arbeit"),IF(ROUND((1+INDEX(Beginne,MATCH(Y9,Codes,0))-INDEX(EndeRel,MATCH(X9,Codes,0)))*1440,0)&lt;660,1,0),0),0))</f>
      </c>
      <c r="Z58" s="1">
        <f>IF(OR(Z$52=0,Y9="",Z9=""),0,IFERROR(IF(AND(INDEX(Arten,MATCH(Y9,Codes,0))="Arbeit",INDEX(Arten,MATCH(Z9,Codes,0))="Arbeit"),IF(ROUND((1+INDEX(Beginne,MATCH(Z9,Codes,0))-INDEX(EndeRel,MATCH(Y9,Codes,0)))*1440,0)&lt;660,1,0),0),0))</f>
      </c>
      <c r="AA58" s="1">
        <f>IF(OR(AA$52=0,Z9="",AA9=""),0,IFERROR(IF(AND(INDEX(Arten,MATCH(Z9,Codes,0))="Arbeit",INDEX(Arten,MATCH(AA9,Codes,0))="Arbeit"),IF(ROUND((1+INDEX(Beginne,MATCH(AA9,Codes,0))-INDEX(EndeRel,MATCH(Z9,Codes,0)))*1440,0)&lt;660,1,0),0),0))</f>
      </c>
      <c r="AB58" s="1">
        <f>IF(OR(AB$52=0,AA9="",AB9=""),0,IFERROR(IF(AND(INDEX(Arten,MATCH(AA9,Codes,0))="Arbeit",INDEX(Arten,MATCH(AB9,Codes,0))="Arbeit"),IF(ROUND((1+INDEX(Beginne,MATCH(AB9,Codes,0))-INDEX(EndeRel,MATCH(AA9,Codes,0)))*1440,0)&lt;660,1,0),0),0))</f>
      </c>
      <c r="AC58" s="1">
        <f>IF(OR(AC$52=0,AB9="",AC9=""),0,IFERROR(IF(AND(INDEX(Arten,MATCH(AB9,Codes,0))="Arbeit",INDEX(Arten,MATCH(AC9,Codes,0))="Arbeit"),IF(ROUND((1+INDEX(Beginne,MATCH(AC9,Codes,0))-INDEX(EndeRel,MATCH(AB9,Codes,0)))*1440,0)&lt;660,1,0),0),0))</f>
      </c>
      <c r="AD58" s="1">
        <f>IF(OR(AD$52=0,AC9="",AD9=""),0,IFERROR(IF(AND(INDEX(Arten,MATCH(AC9,Codes,0))="Arbeit",INDEX(Arten,MATCH(AD9,Codes,0))="Arbeit"),IF(ROUND((1+INDEX(Beginne,MATCH(AD9,Codes,0))-INDEX(EndeRel,MATCH(AC9,Codes,0)))*1440,0)&lt;660,1,0),0),0))</f>
      </c>
      <c r="AE58" s="1">
        <f>IF(OR(AE$52=0,AD9="",AE9=""),0,IFERROR(IF(AND(INDEX(Arten,MATCH(AD9,Codes,0))="Arbeit",INDEX(Arten,MATCH(AE9,Codes,0))="Arbeit"),IF(ROUND((1+INDEX(Beginne,MATCH(AE9,Codes,0))-INDEX(EndeRel,MATCH(AD9,Codes,0)))*1440,0)&lt;660,1,0),0),0))</f>
      </c>
      <c r="AF58" s="1">
        <f>IF(OR(AF$52=0,AE9="",AF9=""),0,IFERROR(IF(AND(INDEX(Arten,MATCH(AE9,Codes,0))="Arbeit",INDEX(Arten,MATCH(AF9,Codes,0))="Arbeit"),IF(ROUND((1+INDEX(Beginne,MATCH(AF9,Codes,0))-INDEX(EndeRel,MATCH(AE9,Codes,0)))*1440,0)&lt;660,1,0),0),0))</f>
      </c>
    </row>
    <row r="59" hidden="1" spans="1:32" x14ac:dyDescent="0.25">
      <c r="A59" s="1"/>
      <c r="B59" s="1">
        <f>IF(OR(B$52=0,INDEX('November'!$B$10:$AF$10,DAY(DATE(Jahr,12,0)))="",B10=""),0,IFERROR(IF(AND(INDEX(Arten,MATCH(INDEX('November'!$B$10:$AF$10,DAY(DATE(Jahr,12,0))),Codes,0))="Arbeit",INDEX(Arten,MATCH(B10,Codes,0))="Arbeit"),IF(ROUND((1+INDEX(Beginne,MATCH(B10,Codes,0))-INDEX(EndeRel,MATCH(INDEX('November'!$B$10:$AF$10,DAY(DATE(Jahr,12,0))),Codes,0)))*1440,0)&lt;660,1,0),0),0))</f>
      </c>
      <c r="C59" s="1">
        <f>IF(OR(C$52=0,B10="",C10=""),0,IFERROR(IF(AND(INDEX(Arten,MATCH(B10,Codes,0))="Arbeit",INDEX(Arten,MATCH(C10,Codes,0))="Arbeit"),IF(ROUND((1+INDEX(Beginne,MATCH(C10,Codes,0))-INDEX(EndeRel,MATCH(B10,Codes,0)))*1440,0)&lt;660,1,0),0),0))</f>
      </c>
      <c r="D59" s="1">
        <f>IF(OR(D$52=0,C10="",D10=""),0,IFERROR(IF(AND(INDEX(Arten,MATCH(C10,Codes,0))="Arbeit",INDEX(Arten,MATCH(D10,Codes,0))="Arbeit"),IF(ROUND((1+INDEX(Beginne,MATCH(D10,Codes,0))-INDEX(EndeRel,MATCH(C10,Codes,0)))*1440,0)&lt;660,1,0),0),0))</f>
      </c>
      <c r="E59" s="1">
        <f>IF(OR(E$52=0,D10="",E10=""),0,IFERROR(IF(AND(INDEX(Arten,MATCH(D10,Codes,0))="Arbeit",INDEX(Arten,MATCH(E10,Codes,0))="Arbeit"),IF(ROUND((1+INDEX(Beginne,MATCH(E10,Codes,0))-INDEX(EndeRel,MATCH(D10,Codes,0)))*1440,0)&lt;660,1,0),0),0))</f>
      </c>
      <c r="F59" s="1">
        <f>IF(OR(F$52=0,E10="",F10=""),0,IFERROR(IF(AND(INDEX(Arten,MATCH(E10,Codes,0))="Arbeit",INDEX(Arten,MATCH(F10,Codes,0))="Arbeit"),IF(ROUND((1+INDEX(Beginne,MATCH(F10,Codes,0))-INDEX(EndeRel,MATCH(E10,Codes,0)))*1440,0)&lt;660,1,0),0),0))</f>
      </c>
      <c r="G59" s="1">
        <f>IF(OR(G$52=0,F10="",G10=""),0,IFERROR(IF(AND(INDEX(Arten,MATCH(F10,Codes,0))="Arbeit",INDEX(Arten,MATCH(G10,Codes,0))="Arbeit"),IF(ROUND((1+INDEX(Beginne,MATCH(G10,Codes,0))-INDEX(EndeRel,MATCH(F10,Codes,0)))*1440,0)&lt;660,1,0),0),0))</f>
      </c>
      <c r="H59" s="1">
        <f>IF(OR(H$52=0,G10="",H10=""),0,IFERROR(IF(AND(INDEX(Arten,MATCH(G10,Codes,0))="Arbeit",INDEX(Arten,MATCH(H10,Codes,0))="Arbeit"),IF(ROUND((1+INDEX(Beginne,MATCH(H10,Codes,0))-INDEX(EndeRel,MATCH(G10,Codes,0)))*1440,0)&lt;660,1,0),0),0))</f>
      </c>
      <c r="I59" s="1">
        <f>IF(OR(I$52=0,H10="",I10=""),0,IFERROR(IF(AND(INDEX(Arten,MATCH(H10,Codes,0))="Arbeit",INDEX(Arten,MATCH(I10,Codes,0))="Arbeit"),IF(ROUND((1+INDEX(Beginne,MATCH(I10,Codes,0))-INDEX(EndeRel,MATCH(H10,Codes,0)))*1440,0)&lt;660,1,0),0),0))</f>
      </c>
      <c r="J59" s="1">
        <f>IF(OR(J$52=0,I10="",J10=""),0,IFERROR(IF(AND(INDEX(Arten,MATCH(I10,Codes,0))="Arbeit",INDEX(Arten,MATCH(J10,Codes,0))="Arbeit"),IF(ROUND((1+INDEX(Beginne,MATCH(J10,Codes,0))-INDEX(EndeRel,MATCH(I10,Codes,0)))*1440,0)&lt;660,1,0),0),0))</f>
      </c>
      <c r="K59" s="1">
        <f>IF(OR(K$52=0,J10="",K10=""),0,IFERROR(IF(AND(INDEX(Arten,MATCH(J10,Codes,0))="Arbeit",INDEX(Arten,MATCH(K10,Codes,0))="Arbeit"),IF(ROUND((1+INDEX(Beginne,MATCH(K10,Codes,0))-INDEX(EndeRel,MATCH(J10,Codes,0)))*1440,0)&lt;660,1,0),0),0))</f>
      </c>
      <c r="L59" s="1">
        <f>IF(OR(L$52=0,K10="",L10=""),0,IFERROR(IF(AND(INDEX(Arten,MATCH(K10,Codes,0))="Arbeit",INDEX(Arten,MATCH(L10,Codes,0))="Arbeit"),IF(ROUND((1+INDEX(Beginne,MATCH(L10,Codes,0))-INDEX(EndeRel,MATCH(K10,Codes,0)))*1440,0)&lt;660,1,0),0),0))</f>
      </c>
      <c r="M59" s="1">
        <f>IF(OR(M$52=0,L10="",M10=""),0,IFERROR(IF(AND(INDEX(Arten,MATCH(L10,Codes,0))="Arbeit",INDEX(Arten,MATCH(M10,Codes,0))="Arbeit"),IF(ROUND((1+INDEX(Beginne,MATCH(M10,Codes,0))-INDEX(EndeRel,MATCH(L10,Codes,0)))*1440,0)&lt;660,1,0),0),0))</f>
      </c>
      <c r="N59" s="1">
        <f>IF(OR(N$52=0,M10="",N10=""),0,IFERROR(IF(AND(INDEX(Arten,MATCH(M10,Codes,0))="Arbeit",INDEX(Arten,MATCH(N10,Codes,0))="Arbeit"),IF(ROUND((1+INDEX(Beginne,MATCH(N10,Codes,0))-INDEX(EndeRel,MATCH(M10,Codes,0)))*1440,0)&lt;660,1,0),0),0))</f>
      </c>
      <c r="O59" s="1">
        <f>IF(OR(O$52=0,N10="",O10=""),0,IFERROR(IF(AND(INDEX(Arten,MATCH(N10,Codes,0))="Arbeit",INDEX(Arten,MATCH(O10,Codes,0))="Arbeit"),IF(ROUND((1+INDEX(Beginne,MATCH(O10,Codes,0))-INDEX(EndeRel,MATCH(N10,Codes,0)))*1440,0)&lt;660,1,0),0),0))</f>
      </c>
      <c r="P59" s="1">
        <f>IF(OR(P$52=0,O10="",P10=""),0,IFERROR(IF(AND(INDEX(Arten,MATCH(O10,Codes,0))="Arbeit",INDEX(Arten,MATCH(P10,Codes,0))="Arbeit"),IF(ROUND((1+INDEX(Beginne,MATCH(P10,Codes,0))-INDEX(EndeRel,MATCH(O10,Codes,0)))*1440,0)&lt;660,1,0),0),0))</f>
      </c>
      <c r="Q59" s="1">
        <f>IF(OR(Q$52=0,P10="",Q10=""),0,IFERROR(IF(AND(INDEX(Arten,MATCH(P10,Codes,0))="Arbeit",INDEX(Arten,MATCH(Q10,Codes,0))="Arbeit"),IF(ROUND((1+INDEX(Beginne,MATCH(Q10,Codes,0))-INDEX(EndeRel,MATCH(P10,Codes,0)))*1440,0)&lt;660,1,0),0),0))</f>
      </c>
      <c r="R59" s="1">
        <f>IF(OR(R$52=0,Q10="",R10=""),0,IFERROR(IF(AND(INDEX(Arten,MATCH(Q10,Codes,0))="Arbeit",INDEX(Arten,MATCH(R10,Codes,0))="Arbeit"),IF(ROUND((1+INDEX(Beginne,MATCH(R10,Codes,0))-INDEX(EndeRel,MATCH(Q10,Codes,0)))*1440,0)&lt;660,1,0),0),0))</f>
      </c>
      <c r="S59" s="1">
        <f>IF(OR(S$52=0,R10="",S10=""),0,IFERROR(IF(AND(INDEX(Arten,MATCH(R10,Codes,0))="Arbeit",INDEX(Arten,MATCH(S10,Codes,0))="Arbeit"),IF(ROUND((1+INDEX(Beginne,MATCH(S10,Codes,0))-INDEX(EndeRel,MATCH(R10,Codes,0)))*1440,0)&lt;660,1,0),0),0))</f>
      </c>
      <c r="T59" s="1">
        <f>IF(OR(T$52=0,S10="",T10=""),0,IFERROR(IF(AND(INDEX(Arten,MATCH(S10,Codes,0))="Arbeit",INDEX(Arten,MATCH(T10,Codes,0))="Arbeit"),IF(ROUND((1+INDEX(Beginne,MATCH(T10,Codes,0))-INDEX(EndeRel,MATCH(S10,Codes,0)))*1440,0)&lt;660,1,0),0),0))</f>
      </c>
      <c r="U59" s="1">
        <f>IF(OR(U$52=0,T10="",U10=""),0,IFERROR(IF(AND(INDEX(Arten,MATCH(T10,Codes,0))="Arbeit",INDEX(Arten,MATCH(U10,Codes,0))="Arbeit"),IF(ROUND((1+INDEX(Beginne,MATCH(U10,Codes,0))-INDEX(EndeRel,MATCH(T10,Codes,0)))*1440,0)&lt;660,1,0),0),0))</f>
      </c>
      <c r="V59" s="1">
        <f>IF(OR(V$52=0,U10="",V10=""),0,IFERROR(IF(AND(INDEX(Arten,MATCH(U10,Codes,0))="Arbeit",INDEX(Arten,MATCH(V10,Codes,0))="Arbeit"),IF(ROUND((1+INDEX(Beginne,MATCH(V10,Codes,0))-INDEX(EndeRel,MATCH(U10,Codes,0)))*1440,0)&lt;660,1,0),0),0))</f>
      </c>
      <c r="W59" s="1">
        <f>IF(OR(W$52=0,V10="",W10=""),0,IFERROR(IF(AND(INDEX(Arten,MATCH(V10,Codes,0))="Arbeit",INDEX(Arten,MATCH(W10,Codes,0))="Arbeit"),IF(ROUND((1+INDEX(Beginne,MATCH(W10,Codes,0))-INDEX(EndeRel,MATCH(V10,Codes,0)))*1440,0)&lt;660,1,0),0),0))</f>
      </c>
      <c r="X59" s="1">
        <f>IF(OR(X$52=0,W10="",X10=""),0,IFERROR(IF(AND(INDEX(Arten,MATCH(W10,Codes,0))="Arbeit",INDEX(Arten,MATCH(X10,Codes,0))="Arbeit"),IF(ROUND((1+INDEX(Beginne,MATCH(X10,Codes,0))-INDEX(EndeRel,MATCH(W10,Codes,0)))*1440,0)&lt;660,1,0),0),0))</f>
      </c>
      <c r="Y59" s="1">
        <f>IF(OR(Y$52=0,X10="",Y10=""),0,IFERROR(IF(AND(INDEX(Arten,MATCH(X10,Codes,0))="Arbeit",INDEX(Arten,MATCH(Y10,Codes,0))="Arbeit"),IF(ROUND((1+INDEX(Beginne,MATCH(Y10,Codes,0))-INDEX(EndeRel,MATCH(X10,Codes,0)))*1440,0)&lt;660,1,0),0),0))</f>
      </c>
      <c r="Z59" s="1">
        <f>IF(OR(Z$52=0,Y10="",Z10=""),0,IFERROR(IF(AND(INDEX(Arten,MATCH(Y10,Codes,0))="Arbeit",INDEX(Arten,MATCH(Z10,Codes,0))="Arbeit"),IF(ROUND((1+INDEX(Beginne,MATCH(Z10,Codes,0))-INDEX(EndeRel,MATCH(Y10,Codes,0)))*1440,0)&lt;660,1,0),0),0))</f>
      </c>
      <c r="AA59" s="1">
        <f>IF(OR(AA$52=0,Z10="",AA10=""),0,IFERROR(IF(AND(INDEX(Arten,MATCH(Z10,Codes,0))="Arbeit",INDEX(Arten,MATCH(AA10,Codes,0))="Arbeit"),IF(ROUND((1+INDEX(Beginne,MATCH(AA10,Codes,0))-INDEX(EndeRel,MATCH(Z10,Codes,0)))*1440,0)&lt;660,1,0),0),0))</f>
      </c>
      <c r="AB59" s="1">
        <f>IF(OR(AB$52=0,AA10="",AB10=""),0,IFERROR(IF(AND(INDEX(Arten,MATCH(AA10,Codes,0))="Arbeit",INDEX(Arten,MATCH(AB10,Codes,0))="Arbeit"),IF(ROUND((1+INDEX(Beginne,MATCH(AB10,Codes,0))-INDEX(EndeRel,MATCH(AA10,Codes,0)))*1440,0)&lt;660,1,0),0),0))</f>
      </c>
      <c r="AC59" s="1">
        <f>IF(OR(AC$52=0,AB10="",AC10=""),0,IFERROR(IF(AND(INDEX(Arten,MATCH(AB10,Codes,0))="Arbeit",INDEX(Arten,MATCH(AC10,Codes,0))="Arbeit"),IF(ROUND((1+INDEX(Beginne,MATCH(AC10,Codes,0))-INDEX(EndeRel,MATCH(AB10,Codes,0)))*1440,0)&lt;660,1,0),0),0))</f>
      </c>
      <c r="AD59" s="1">
        <f>IF(OR(AD$52=0,AC10="",AD10=""),0,IFERROR(IF(AND(INDEX(Arten,MATCH(AC10,Codes,0))="Arbeit",INDEX(Arten,MATCH(AD10,Codes,0))="Arbeit"),IF(ROUND((1+INDEX(Beginne,MATCH(AD10,Codes,0))-INDEX(EndeRel,MATCH(AC10,Codes,0)))*1440,0)&lt;660,1,0),0),0))</f>
      </c>
      <c r="AE59" s="1">
        <f>IF(OR(AE$52=0,AD10="",AE10=""),0,IFERROR(IF(AND(INDEX(Arten,MATCH(AD10,Codes,0))="Arbeit",INDEX(Arten,MATCH(AE10,Codes,0))="Arbeit"),IF(ROUND((1+INDEX(Beginne,MATCH(AE10,Codes,0))-INDEX(EndeRel,MATCH(AD10,Codes,0)))*1440,0)&lt;660,1,0),0),0))</f>
      </c>
      <c r="AF59" s="1">
        <f>IF(OR(AF$52=0,AE10="",AF10=""),0,IFERROR(IF(AND(INDEX(Arten,MATCH(AE10,Codes,0))="Arbeit",INDEX(Arten,MATCH(AF10,Codes,0))="Arbeit"),IF(ROUND((1+INDEX(Beginne,MATCH(AF10,Codes,0))-INDEX(EndeRel,MATCH(AE10,Codes,0)))*1440,0)&lt;660,1,0),0),0))</f>
      </c>
    </row>
    <row r="60" hidden="1" spans="1:32" x14ac:dyDescent="0.25">
      <c r="A60" s="1"/>
      <c r="B60" s="1">
        <f>IF(OR(B$52=0,INDEX('November'!$B$11:$AF$11,DAY(DATE(Jahr,12,0)))="",B11=""),0,IFERROR(IF(AND(INDEX(Arten,MATCH(INDEX('November'!$B$11:$AF$11,DAY(DATE(Jahr,12,0))),Codes,0))="Arbeit",INDEX(Arten,MATCH(B11,Codes,0))="Arbeit"),IF(ROUND((1+INDEX(Beginne,MATCH(B11,Codes,0))-INDEX(EndeRel,MATCH(INDEX('November'!$B$11:$AF$11,DAY(DATE(Jahr,12,0))),Codes,0)))*1440,0)&lt;660,1,0),0),0))</f>
      </c>
      <c r="C60" s="1">
        <f>IF(OR(C$52=0,B11="",C11=""),0,IFERROR(IF(AND(INDEX(Arten,MATCH(B11,Codes,0))="Arbeit",INDEX(Arten,MATCH(C11,Codes,0))="Arbeit"),IF(ROUND((1+INDEX(Beginne,MATCH(C11,Codes,0))-INDEX(EndeRel,MATCH(B11,Codes,0)))*1440,0)&lt;660,1,0),0),0))</f>
      </c>
      <c r="D60" s="1">
        <f>IF(OR(D$52=0,C11="",D11=""),0,IFERROR(IF(AND(INDEX(Arten,MATCH(C11,Codes,0))="Arbeit",INDEX(Arten,MATCH(D11,Codes,0))="Arbeit"),IF(ROUND((1+INDEX(Beginne,MATCH(D11,Codes,0))-INDEX(EndeRel,MATCH(C11,Codes,0)))*1440,0)&lt;660,1,0),0),0))</f>
      </c>
      <c r="E60" s="1">
        <f>IF(OR(E$52=0,D11="",E11=""),0,IFERROR(IF(AND(INDEX(Arten,MATCH(D11,Codes,0))="Arbeit",INDEX(Arten,MATCH(E11,Codes,0))="Arbeit"),IF(ROUND((1+INDEX(Beginne,MATCH(E11,Codes,0))-INDEX(EndeRel,MATCH(D11,Codes,0)))*1440,0)&lt;660,1,0),0),0))</f>
      </c>
      <c r="F60" s="1">
        <f>IF(OR(F$52=0,E11="",F11=""),0,IFERROR(IF(AND(INDEX(Arten,MATCH(E11,Codes,0))="Arbeit",INDEX(Arten,MATCH(F11,Codes,0))="Arbeit"),IF(ROUND((1+INDEX(Beginne,MATCH(F11,Codes,0))-INDEX(EndeRel,MATCH(E11,Codes,0)))*1440,0)&lt;660,1,0),0),0))</f>
      </c>
      <c r="G60" s="1">
        <f>IF(OR(G$52=0,F11="",G11=""),0,IFERROR(IF(AND(INDEX(Arten,MATCH(F11,Codes,0))="Arbeit",INDEX(Arten,MATCH(G11,Codes,0))="Arbeit"),IF(ROUND((1+INDEX(Beginne,MATCH(G11,Codes,0))-INDEX(EndeRel,MATCH(F11,Codes,0)))*1440,0)&lt;660,1,0),0),0))</f>
      </c>
      <c r="H60" s="1">
        <f>IF(OR(H$52=0,G11="",H11=""),0,IFERROR(IF(AND(INDEX(Arten,MATCH(G11,Codes,0))="Arbeit",INDEX(Arten,MATCH(H11,Codes,0))="Arbeit"),IF(ROUND((1+INDEX(Beginne,MATCH(H11,Codes,0))-INDEX(EndeRel,MATCH(G11,Codes,0)))*1440,0)&lt;660,1,0),0),0))</f>
      </c>
      <c r="I60" s="1">
        <f>IF(OR(I$52=0,H11="",I11=""),0,IFERROR(IF(AND(INDEX(Arten,MATCH(H11,Codes,0))="Arbeit",INDEX(Arten,MATCH(I11,Codes,0))="Arbeit"),IF(ROUND((1+INDEX(Beginne,MATCH(I11,Codes,0))-INDEX(EndeRel,MATCH(H11,Codes,0)))*1440,0)&lt;660,1,0),0),0))</f>
      </c>
      <c r="J60" s="1">
        <f>IF(OR(J$52=0,I11="",J11=""),0,IFERROR(IF(AND(INDEX(Arten,MATCH(I11,Codes,0))="Arbeit",INDEX(Arten,MATCH(J11,Codes,0))="Arbeit"),IF(ROUND((1+INDEX(Beginne,MATCH(J11,Codes,0))-INDEX(EndeRel,MATCH(I11,Codes,0)))*1440,0)&lt;660,1,0),0),0))</f>
      </c>
      <c r="K60" s="1">
        <f>IF(OR(K$52=0,J11="",K11=""),0,IFERROR(IF(AND(INDEX(Arten,MATCH(J11,Codes,0))="Arbeit",INDEX(Arten,MATCH(K11,Codes,0))="Arbeit"),IF(ROUND((1+INDEX(Beginne,MATCH(K11,Codes,0))-INDEX(EndeRel,MATCH(J11,Codes,0)))*1440,0)&lt;660,1,0),0),0))</f>
      </c>
      <c r="L60" s="1">
        <f>IF(OR(L$52=0,K11="",L11=""),0,IFERROR(IF(AND(INDEX(Arten,MATCH(K11,Codes,0))="Arbeit",INDEX(Arten,MATCH(L11,Codes,0))="Arbeit"),IF(ROUND((1+INDEX(Beginne,MATCH(L11,Codes,0))-INDEX(EndeRel,MATCH(K11,Codes,0)))*1440,0)&lt;660,1,0),0),0))</f>
      </c>
      <c r="M60" s="1">
        <f>IF(OR(M$52=0,L11="",M11=""),0,IFERROR(IF(AND(INDEX(Arten,MATCH(L11,Codes,0))="Arbeit",INDEX(Arten,MATCH(M11,Codes,0))="Arbeit"),IF(ROUND((1+INDEX(Beginne,MATCH(M11,Codes,0))-INDEX(EndeRel,MATCH(L11,Codes,0)))*1440,0)&lt;660,1,0),0),0))</f>
      </c>
      <c r="N60" s="1">
        <f>IF(OR(N$52=0,M11="",N11=""),0,IFERROR(IF(AND(INDEX(Arten,MATCH(M11,Codes,0))="Arbeit",INDEX(Arten,MATCH(N11,Codes,0))="Arbeit"),IF(ROUND((1+INDEX(Beginne,MATCH(N11,Codes,0))-INDEX(EndeRel,MATCH(M11,Codes,0)))*1440,0)&lt;660,1,0),0),0))</f>
      </c>
      <c r="O60" s="1">
        <f>IF(OR(O$52=0,N11="",O11=""),0,IFERROR(IF(AND(INDEX(Arten,MATCH(N11,Codes,0))="Arbeit",INDEX(Arten,MATCH(O11,Codes,0))="Arbeit"),IF(ROUND((1+INDEX(Beginne,MATCH(O11,Codes,0))-INDEX(EndeRel,MATCH(N11,Codes,0)))*1440,0)&lt;660,1,0),0),0))</f>
      </c>
      <c r="P60" s="1">
        <f>IF(OR(P$52=0,O11="",P11=""),0,IFERROR(IF(AND(INDEX(Arten,MATCH(O11,Codes,0))="Arbeit",INDEX(Arten,MATCH(P11,Codes,0))="Arbeit"),IF(ROUND((1+INDEX(Beginne,MATCH(P11,Codes,0))-INDEX(EndeRel,MATCH(O11,Codes,0)))*1440,0)&lt;660,1,0),0),0))</f>
      </c>
      <c r="Q60" s="1">
        <f>IF(OR(Q$52=0,P11="",Q11=""),0,IFERROR(IF(AND(INDEX(Arten,MATCH(P11,Codes,0))="Arbeit",INDEX(Arten,MATCH(Q11,Codes,0))="Arbeit"),IF(ROUND((1+INDEX(Beginne,MATCH(Q11,Codes,0))-INDEX(EndeRel,MATCH(P11,Codes,0)))*1440,0)&lt;660,1,0),0),0))</f>
      </c>
      <c r="R60" s="1">
        <f>IF(OR(R$52=0,Q11="",R11=""),0,IFERROR(IF(AND(INDEX(Arten,MATCH(Q11,Codes,0))="Arbeit",INDEX(Arten,MATCH(R11,Codes,0))="Arbeit"),IF(ROUND((1+INDEX(Beginne,MATCH(R11,Codes,0))-INDEX(EndeRel,MATCH(Q11,Codes,0)))*1440,0)&lt;660,1,0),0),0))</f>
      </c>
      <c r="S60" s="1">
        <f>IF(OR(S$52=0,R11="",S11=""),0,IFERROR(IF(AND(INDEX(Arten,MATCH(R11,Codes,0))="Arbeit",INDEX(Arten,MATCH(S11,Codes,0))="Arbeit"),IF(ROUND((1+INDEX(Beginne,MATCH(S11,Codes,0))-INDEX(EndeRel,MATCH(R11,Codes,0)))*1440,0)&lt;660,1,0),0),0))</f>
      </c>
      <c r="T60" s="1">
        <f>IF(OR(T$52=0,S11="",T11=""),0,IFERROR(IF(AND(INDEX(Arten,MATCH(S11,Codes,0))="Arbeit",INDEX(Arten,MATCH(T11,Codes,0))="Arbeit"),IF(ROUND((1+INDEX(Beginne,MATCH(T11,Codes,0))-INDEX(EndeRel,MATCH(S11,Codes,0)))*1440,0)&lt;660,1,0),0),0))</f>
      </c>
      <c r="U60" s="1">
        <f>IF(OR(U$52=0,T11="",U11=""),0,IFERROR(IF(AND(INDEX(Arten,MATCH(T11,Codes,0))="Arbeit",INDEX(Arten,MATCH(U11,Codes,0))="Arbeit"),IF(ROUND((1+INDEX(Beginne,MATCH(U11,Codes,0))-INDEX(EndeRel,MATCH(T11,Codes,0)))*1440,0)&lt;660,1,0),0),0))</f>
      </c>
      <c r="V60" s="1">
        <f>IF(OR(V$52=0,U11="",V11=""),0,IFERROR(IF(AND(INDEX(Arten,MATCH(U11,Codes,0))="Arbeit",INDEX(Arten,MATCH(V11,Codes,0))="Arbeit"),IF(ROUND((1+INDEX(Beginne,MATCH(V11,Codes,0))-INDEX(EndeRel,MATCH(U11,Codes,0)))*1440,0)&lt;660,1,0),0),0))</f>
      </c>
      <c r="W60" s="1">
        <f>IF(OR(W$52=0,V11="",W11=""),0,IFERROR(IF(AND(INDEX(Arten,MATCH(V11,Codes,0))="Arbeit",INDEX(Arten,MATCH(W11,Codes,0))="Arbeit"),IF(ROUND((1+INDEX(Beginne,MATCH(W11,Codes,0))-INDEX(EndeRel,MATCH(V11,Codes,0)))*1440,0)&lt;660,1,0),0),0))</f>
      </c>
      <c r="X60" s="1">
        <f>IF(OR(X$52=0,W11="",X11=""),0,IFERROR(IF(AND(INDEX(Arten,MATCH(W11,Codes,0))="Arbeit",INDEX(Arten,MATCH(X11,Codes,0))="Arbeit"),IF(ROUND((1+INDEX(Beginne,MATCH(X11,Codes,0))-INDEX(EndeRel,MATCH(W11,Codes,0)))*1440,0)&lt;660,1,0),0),0))</f>
      </c>
      <c r="Y60" s="1">
        <f>IF(OR(Y$52=0,X11="",Y11=""),0,IFERROR(IF(AND(INDEX(Arten,MATCH(X11,Codes,0))="Arbeit",INDEX(Arten,MATCH(Y11,Codes,0))="Arbeit"),IF(ROUND((1+INDEX(Beginne,MATCH(Y11,Codes,0))-INDEX(EndeRel,MATCH(X11,Codes,0)))*1440,0)&lt;660,1,0),0),0))</f>
      </c>
      <c r="Z60" s="1">
        <f>IF(OR(Z$52=0,Y11="",Z11=""),0,IFERROR(IF(AND(INDEX(Arten,MATCH(Y11,Codes,0))="Arbeit",INDEX(Arten,MATCH(Z11,Codes,0))="Arbeit"),IF(ROUND((1+INDEX(Beginne,MATCH(Z11,Codes,0))-INDEX(EndeRel,MATCH(Y11,Codes,0)))*1440,0)&lt;660,1,0),0),0))</f>
      </c>
      <c r="AA60" s="1">
        <f>IF(OR(AA$52=0,Z11="",AA11=""),0,IFERROR(IF(AND(INDEX(Arten,MATCH(Z11,Codes,0))="Arbeit",INDEX(Arten,MATCH(AA11,Codes,0))="Arbeit"),IF(ROUND((1+INDEX(Beginne,MATCH(AA11,Codes,0))-INDEX(EndeRel,MATCH(Z11,Codes,0)))*1440,0)&lt;660,1,0),0),0))</f>
      </c>
      <c r="AB60" s="1">
        <f>IF(OR(AB$52=0,AA11="",AB11=""),0,IFERROR(IF(AND(INDEX(Arten,MATCH(AA11,Codes,0))="Arbeit",INDEX(Arten,MATCH(AB11,Codes,0))="Arbeit"),IF(ROUND((1+INDEX(Beginne,MATCH(AB11,Codes,0))-INDEX(EndeRel,MATCH(AA11,Codes,0)))*1440,0)&lt;660,1,0),0),0))</f>
      </c>
      <c r="AC60" s="1">
        <f>IF(OR(AC$52=0,AB11="",AC11=""),0,IFERROR(IF(AND(INDEX(Arten,MATCH(AB11,Codes,0))="Arbeit",INDEX(Arten,MATCH(AC11,Codes,0))="Arbeit"),IF(ROUND((1+INDEX(Beginne,MATCH(AC11,Codes,0))-INDEX(EndeRel,MATCH(AB11,Codes,0)))*1440,0)&lt;660,1,0),0),0))</f>
      </c>
      <c r="AD60" s="1">
        <f>IF(OR(AD$52=0,AC11="",AD11=""),0,IFERROR(IF(AND(INDEX(Arten,MATCH(AC11,Codes,0))="Arbeit",INDEX(Arten,MATCH(AD11,Codes,0))="Arbeit"),IF(ROUND((1+INDEX(Beginne,MATCH(AD11,Codes,0))-INDEX(EndeRel,MATCH(AC11,Codes,0)))*1440,0)&lt;660,1,0),0),0))</f>
      </c>
      <c r="AE60" s="1">
        <f>IF(OR(AE$52=0,AD11="",AE11=""),0,IFERROR(IF(AND(INDEX(Arten,MATCH(AD11,Codes,0))="Arbeit",INDEX(Arten,MATCH(AE11,Codes,0))="Arbeit"),IF(ROUND((1+INDEX(Beginne,MATCH(AE11,Codes,0))-INDEX(EndeRel,MATCH(AD11,Codes,0)))*1440,0)&lt;660,1,0),0),0))</f>
      </c>
      <c r="AF60" s="1">
        <f>IF(OR(AF$52=0,AE11="",AF11=""),0,IFERROR(IF(AND(INDEX(Arten,MATCH(AE11,Codes,0))="Arbeit",INDEX(Arten,MATCH(AF11,Codes,0))="Arbeit"),IF(ROUND((1+INDEX(Beginne,MATCH(AF11,Codes,0))-INDEX(EndeRel,MATCH(AE11,Codes,0)))*1440,0)&lt;660,1,0),0),0))</f>
      </c>
    </row>
    <row r="61" hidden="1" spans="1:32" x14ac:dyDescent="0.25">
      <c r="A61" s="1"/>
      <c r="B61" s="1">
        <f>IF(OR(B$52=0,INDEX('November'!$B$12:$AF$12,DAY(DATE(Jahr,12,0)))="",B12=""),0,IFERROR(IF(AND(INDEX(Arten,MATCH(INDEX('November'!$B$12:$AF$12,DAY(DATE(Jahr,12,0))),Codes,0))="Arbeit",INDEX(Arten,MATCH(B12,Codes,0))="Arbeit"),IF(ROUND((1+INDEX(Beginne,MATCH(B12,Codes,0))-INDEX(EndeRel,MATCH(INDEX('November'!$B$12:$AF$12,DAY(DATE(Jahr,12,0))),Codes,0)))*1440,0)&lt;660,1,0),0),0))</f>
      </c>
      <c r="C61" s="1">
        <f>IF(OR(C$52=0,B12="",C12=""),0,IFERROR(IF(AND(INDEX(Arten,MATCH(B12,Codes,0))="Arbeit",INDEX(Arten,MATCH(C12,Codes,0))="Arbeit"),IF(ROUND((1+INDEX(Beginne,MATCH(C12,Codes,0))-INDEX(EndeRel,MATCH(B12,Codes,0)))*1440,0)&lt;660,1,0),0),0))</f>
      </c>
      <c r="D61" s="1">
        <f>IF(OR(D$52=0,C12="",D12=""),0,IFERROR(IF(AND(INDEX(Arten,MATCH(C12,Codes,0))="Arbeit",INDEX(Arten,MATCH(D12,Codes,0))="Arbeit"),IF(ROUND((1+INDEX(Beginne,MATCH(D12,Codes,0))-INDEX(EndeRel,MATCH(C12,Codes,0)))*1440,0)&lt;660,1,0),0),0))</f>
      </c>
      <c r="E61" s="1">
        <f>IF(OR(E$52=0,D12="",E12=""),0,IFERROR(IF(AND(INDEX(Arten,MATCH(D12,Codes,0))="Arbeit",INDEX(Arten,MATCH(E12,Codes,0))="Arbeit"),IF(ROUND((1+INDEX(Beginne,MATCH(E12,Codes,0))-INDEX(EndeRel,MATCH(D12,Codes,0)))*1440,0)&lt;660,1,0),0),0))</f>
      </c>
      <c r="F61" s="1">
        <f>IF(OR(F$52=0,E12="",F12=""),0,IFERROR(IF(AND(INDEX(Arten,MATCH(E12,Codes,0))="Arbeit",INDEX(Arten,MATCH(F12,Codes,0))="Arbeit"),IF(ROUND((1+INDEX(Beginne,MATCH(F12,Codes,0))-INDEX(EndeRel,MATCH(E12,Codes,0)))*1440,0)&lt;660,1,0),0),0))</f>
      </c>
      <c r="G61" s="1">
        <f>IF(OR(G$52=0,F12="",G12=""),0,IFERROR(IF(AND(INDEX(Arten,MATCH(F12,Codes,0))="Arbeit",INDEX(Arten,MATCH(G12,Codes,0))="Arbeit"),IF(ROUND((1+INDEX(Beginne,MATCH(G12,Codes,0))-INDEX(EndeRel,MATCH(F12,Codes,0)))*1440,0)&lt;660,1,0),0),0))</f>
      </c>
      <c r="H61" s="1">
        <f>IF(OR(H$52=0,G12="",H12=""),0,IFERROR(IF(AND(INDEX(Arten,MATCH(G12,Codes,0))="Arbeit",INDEX(Arten,MATCH(H12,Codes,0))="Arbeit"),IF(ROUND((1+INDEX(Beginne,MATCH(H12,Codes,0))-INDEX(EndeRel,MATCH(G12,Codes,0)))*1440,0)&lt;660,1,0),0),0))</f>
      </c>
      <c r="I61" s="1">
        <f>IF(OR(I$52=0,H12="",I12=""),0,IFERROR(IF(AND(INDEX(Arten,MATCH(H12,Codes,0))="Arbeit",INDEX(Arten,MATCH(I12,Codes,0))="Arbeit"),IF(ROUND((1+INDEX(Beginne,MATCH(I12,Codes,0))-INDEX(EndeRel,MATCH(H12,Codes,0)))*1440,0)&lt;660,1,0),0),0))</f>
      </c>
      <c r="J61" s="1">
        <f>IF(OR(J$52=0,I12="",J12=""),0,IFERROR(IF(AND(INDEX(Arten,MATCH(I12,Codes,0))="Arbeit",INDEX(Arten,MATCH(J12,Codes,0))="Arbeit"),IF(ROUND((1+INDEX(Beginne,MATCH(J12,Codes,0))-INDEX(EndeRel,MATCH(I12,Codes,0)))*1440,0)&lt;660,1,0),0),0))</f>
      </c>
      <c r="K61" s="1">
        <f>IF(OR(K$52=0,J12="",K12=""),0,IFERROR(IF(AND(INDEX(Arten,MATCH(J12,Codes,0))="Arbeit",INDEX(Arten,MATCH(K12,Codes,0))="Arbeit"),IF(ROUND((1+INDEX(Beginne,MATCH(K12,Codes,0))-INDEX(EndeRel,MATCH(J12,Codes,0)))*1440,0)&lt;660,1,0),0),0))</f>
      </c>
      <c r="L61" s="1">
        <f>IF(OR(L$52=0,K12="",L12=""),0,IFERROR(IF(AND(INDEX(Arten,MATCH(K12,Codes,0))="Arbeit",INDEX(Arten,MATCH(L12,Codes,0))="Arbeit"),IF(ROUND((1+INDEX(Beginne,MATCH(L12,Codes,0))-INDEX(EndeRel,MATCH(K12,Codes,0)))*1440,0)&lt;660,1,0),0),0))</f>
      </c>
      <c r="M61" s="1">
        <f>IF(OR(M$52=0,L12="",M12=""),0,IFERROR(IF(AND(INDEX(Arten,MATCH(L12,Codes,0))="Arbeit",INDEX(Arten,MATCH(M12,Codes,0))="Arbeit"),IF(ROUND((1+INDEX(Beginne,MATCH(M12,Codes,0))-INDEX(EndeRel,MATCH(L12,Codes,0)))*1440,0)&lt;660,1,0),0),0))</f>
      </c>
      <c r="N61" s="1">
        <f>IF(OR(N$52=0,M12="",N12=""),0,IFERROR(IF(AND(INDEX(Arten,MATCH(M12,Codes,0))="Arbeit",INDEX(Arten,MATCH(N12,Codes,0))="Arbeit"),IF(ROUND((1+INDEX(Beginne,MATCH(N12,Codes,0))-INDEX(EndeRel,MATCH(M12,Codes,0)))*1440,0)&lt;660,1,0),0),0))</f>
      </c>
      <c r="O61" s="1">
        <f>IF(OR(O$52=0,N12="",O12=""),0,IFERROR(IF(AND(INDEX(Arten,MATCH(N12,Codes,0))="Arbeit",INDEX(Arten,MATCH(O12,Codes,0))="Arbeit"),IF(ROUND((1+INDEX(Beginne,MATCH(O12,Codes,0))-INDEX(EndeRel,MATCH(N12,Codes,0)))*1440,0)&lt;660,1,0),0),0))</f>
      </c>
      <c r="P61" s="1">
        <f>IF(OR(P$52=0,O12="",P12=""),0,IFERROR(IF(AND(INDEX(Arten,MATCH(O12,Codes,0))="Arbeit",INDEX(Arten,MATCH(P12,Codes,0))="Arbeit"),IF(ROUND((1+INDEX(Beginne,MATCH(P12,Codes,0))-INDEX(EndeRel,MATCH(O12,Codes,0)))*1440,0)&lt;660,1,0),0),0))</f>
      </c>
      <c r="Q61" s="1">
        <f>IF(OR(Q$52=0,P12="",Q12=""),0,IFERROR(IF(AND(INDEX(Arten,MATCH(P12,Codes,0))="Arbeit",INDEX(Arten,MATCH(Q12,Codes,0))="Arbeit"),IF(ROUND((1+INDEX(Beginne,MATCH(Q12,Codes,0))-INDEX(EndeRel,MATCH(P12,Codes,0)))*1440,0)&lt;660,1,0),0),0))</f>
      </c>
      <c r="R61" s="1">
        <f>IF(OR(R$52=0,Q12="",R12=""),0,IFERROR(IF(AND(INDEX(Arten,MATCH(Q12,Codes,0))="Arbeit",INDEX(Arten,MATCH(R12,Codes,0))="Arbeit"),IF(ROUND((1+INDEX(Beginne,MATCH(R12,Codes,0))-INDEX(EndeRel,MATCH(Q12,Codes,0)))*1440,0)&lt;660,1,0),0),0))</f>
      </c>
      <c r="S61" s="1">
        <f>IF(OR(S$52=0,R12="",S12=""),0,IFERROR(IF(AND(INDEX(Arten,MATCH(R12,Codes,0))="Arbeit",INDEX(Arten,MATCH(S12,Codes,0))="Arbeit"),IF(ROUND((1+INDEX(Beginne,MATCH(S12,Codes,0))-INDEX(EndeRel,MATCH(R12,Codes,0)))*1440,0)&lt;660,1,0),0),0))</f>
      </c>
      <c r="T61" s="1">
        <f>IF(OR(T$52=0,S12="",T12=""),0,IFERROR(IF(AND(INDEX(Arten,MATCH(S12,Codes,0))="Arbeit",INDEX(Arten,MATCH(T12,Codes,0))="Arbeit"),IF(ROUND((1+INDEX(Beginne,MATCH(T12,Codes,0))-INDEX(EndeRel,MATCH(S12,Codes,0)))*1440,0)&lt;660,1,0),0),0))</f>
      </c>
      <c r="U61" s="1">
        <f>IF(OR(U$52=0,T12="",U12=""),0,IFERROR(IF(AND(INDEX(Arten,MATCH(T12,Codes,0))="Arbeit",INDEX(Arten,MATCH(U12,Codes,0))="Arbeit"),IF(ROUND((1+INDEX(Beginne,MATCH(U12,Codes,0))-INDEX(EndeRel,MATCH(T12,Codes,0)))*1440,0)&lt;660,1,0),0),0))</f>
      </c>
      <c r="V61" s="1">
        <f>IF(OR(V$52=0,U12="",V12=""),0,IFERROR(IF(AND(INDEX(Arten,MATCH(U12,Codes,0))="Arbeit",INDEX(Arten,MATCH(V12,Codes,0))="Arbeit"),IF(ROUND((1+INDEX(Beginne,MATCH(V12,Codes,0))-INDEX(EndeRel,MATCH(U12,Codes,0)))*1440,0)&lt;660,1,0),0),0))</f>
      </c>
      <c r="W61" s="1">
        <f>IF(OR(W$52=0,V12="",W12=""),0,IFERROR(IF(AND(INDEX(Arten,MATCH(V12,Codes,0))="Arbeit",INDEX(Arten,MATCH(W12,Codes,0))="Arbeit"),IF(ROUND((1+INDEX(Beginne,MATCH(W12,Codes,0))-INDEX(EndeRel,MATCH(V12,Codes,0)))*1440,0)&lt;660,1,0),0),0))</f>
      </c>
      <c r="X61" s="1">
        <f>IF(OR(X$52=0,W12="",X12=""),0,IFERROR(IF(AND(INDEX(Arten,MATCH(W12,Codes,0))="Arbeit",INDEX(Arten,MATCH(X12,Codes,0))="Arbeit"),IF(ROUND((1+INDEX(Beginne,MATCH(X12,Codes,0))-INDEX(EndeRel,MATCH(W12,Codes,0)))*1440,0)&lt;660,1,0),0),0))</f>
      </c>
      <c r="Y61" s="1">
        <f>IF(OR(Y$52=0,X12="",Y12=""),0,IFERROR(IF(AND(INDEX(Arten,MATCH(X12,Codes,0))="Arbeit",INDEX(Arten,MATCH(Y12,Codes,0))="Arbeit"),IF(ROUND((1+INDEX(Beginne,MATCH(Y12,Codes,0))-INDEX(EndeRel,MATCH(X12,Codes,0)))*1440,0)&lt;660,1,0),0),0))</f>
      </c>
      <c r="Z61" s="1">
        <f>IF(OR(Z$52=0,Y12="",Z12=""),0,IFERROR(IF(AND(INDEX(Arten,MATCH(Y12,Codes,0))="Arbeit",INDEX(Arten,MATCH(Z12,Codes,0))="Arbeit"),IF(ROUND((1+INDEX(Beginne,MATCH(Z12,Codes,0))-INDEX(EndeRel,MATCH(Y12,Codes,0)))*1440,0)&lt;660,1,0),0),0))</f>
      </c>
      <c r="AA61" s="1">
        <f>IF(OR(AA$52=0,Z12="",AA12=""),0,IFERROR(IF(AND(INDEX(Arten,MATCH(Z12,Codes,0))="Arbeit",INDEX(Arten,MATCH(AA12,Codes,0))="Arbeit"),IF(ROUND((1+INDEX(Beginne,MATCH(AA12,Codes,0))-INDEX(EndeRel,MATCH(Z12,Codes,0)))*1440,0)&lt;660,1,0),0),0))</f>
      </c>
      <c r="AB61" s="1">
        <f>IF(OR(AB$52=0,AA12="",AB12=""),0,IFERROR(IF(AND(INDEX(Arten,MATCH(AA12,Codes,0))="Arbeit",INDEX(Arten,MATCH(AB12,Codes,0))="Arbeit"),IF(ROUND((1+INDEX(Beginne,MATCH(AB12,Codes,0))-INDEX(EndeRel,MATCH(AA12,Codes,0)))*1440,0)&lt;660,1,0),0),0))</f>
      </c>
      <c r="AC61" s="1">
        <f>IF(OR(AC$52=0,AB12="",AC12=""),0,IFERROR(IF(AND(INDEX(Arten,MATCH(AB12,Codes,0))="Arbeit",INDEX(Arten,MATCH(AC12,Codes,0))="Arbeit"),IF(ROUND((1+INDEX(Beginne,MATCH(AC12,Codes,0))-INDEX(EndeRel,MATCH(AB12,Codes,0)))*1440,0)&lt;660,1,0),0),0))</f>
      </c>
      <c r="AD61" s="1">
        <f>IF(OR(AD$52=0,AC12="",AD12=""),0,IFERROR(IF(AND(INDEX(Arten,MATCH(AC12,Codes,0))="Arbeit",INDEX(Arten,MATCH(AD12,Codes,0))="Arbeit"),IF(ROUND((1+INDEX(Beginne,MATCH(AD12,Codes,0))-INDEX(EndeRel,MATCH(AC12,Codes,0)))*1440,0)&lt;660,1,0),0),0))</f>
      </c>
      <c r="AE61" s="1">
        <f>IF(OR(AE$52=0,AD12="",AE12=""),0,IFERROR(IF(AND(INDEX(Arten,MATCH(AD12,Codes,0))="Arbeit",INDEX(Arten,MATCH(AE12,Codes,0))="Arbeit"),IF(ROUND((1+INDEX(Beginne,MATCH(AE12,Codes,0))-INDEX(EndeRel,MATCH(AD12,Codes,0)))*1440,0)&lt;660,1,0),0),0))</f>
      </c>
      <c r="AF61" s="1">
        <f>IF(OR(AF$52=0,AE12="",AF12=""),0,IFERROR(IF(AND(INDEX(Arten,MATCH(AE12,Codes,0))="Arbeit",INDEX(Arten,MATCH(AF12,Codes,0))="Arbeit"),IF(ROUND((1+INDEX(Beginne,MATCH(AF12,Codes,0))-INDEX(EndeRel,MATCH(AE12,Codes,0)))*1440,0)&lt;660,1,0),0),0))</f>
      </c>
    </row>
    <row r="62" hidden="1" spans="1:32" x14ac:dyDescent="0.25">
      <c r="A62" s="1"/>
      <c r="B62" s="1">
        <f>IF(OR(B$52=0,INDEX('November'!$B$13:$AF$13,DAY(DATE(Jahr,12,0)))="",B13=""),0,IFERROR(IF(AND(INDEX(Arten,MATCH(INDEX('November'!$B$13:$AF$13,DAY(DATE(Jahr,12,0))),Codes,0))="Arbeit",INDEX(Arten,MATCH(B13,Codes,0))="Arbeit"),IF(ROUND((1+INDEX(Beginne,MATCH(B13,Codes,0))-INDEX(EndeRel,MATCH(INDEX('November'!$B$13:$AF$13,DAY(DATE(Jahr,12,0))),Codes,0)))*1440,0)&lt;660,1,0),0),0))</f>
      </c>
      <c r="C62" s="1">
        <f>IF(OR(C$52=0,B13="",C13=""),0,IFERROR(IF(AND(INDEX(Arten,MATCH(B13,Codes,0))="Arbeit",INDEX(Arten,MATCH(C13,Codes,0))="Arbeit"),IF(ROUND((1+INDEX(Beginne,MATCH(C13,Codes,0))-INDEX(EndeRel,MATCH(B13,Codes,0)))*1440,0)&lt;660,1,0),0),0))</f>
      </c>
      <c r="D62" s="1">
        <f>IF(OR(D$52=0,C13="",D13=""),0,IFERROR(IF(AND(INDEX(Arten,MATCH(C13,Codes,0))="Arbeit",INDEX(Arten,MATCH(D13,Codes,0))="Arbeit"),IF(ROUND((1+INDEX(Beginne,MATCH(D13,Codes,0))-INDEX(EndeRel,MATCH(C13,Codes,0)))*1440,0)&lt;660,1,0),0),0))</f>
      </c>
      <c r="E62" s="1">
        <f>IF(OR(E$52=0,D13="",E13=""),0,IFERROR(IF(AND(INDEX(Arten,MATCH(D13,Codes,0))="Arbeit",INDEX(Arten,MATCH(E13,Codes,0))="Arbeit"),IF(ROUND((1+INDEX(Beginne,MATCH(E13,Codes,0))-INDEX(EndeRel,MATCH(D13,Codes,0)))*1440,0)&lt;660,1,0),0),0))</f>
      </c>
      <c r="F62" s="1">
        <f>IF(OR(F$52=0,E13="",F13=""),0,IFERROR(IF(AND(INDEX(Arten,MATCH(E13,Codes,0))="Arbeit",INDEX(Arten,MATCH(F13,Codes,0))="Arbeit"),IF(ROUND((1+INDEX(Beginne,MATCH(F13,Codes,0))-INDEX(EndeRel,MATCH(E13,Codes,0)))*1440,0)&lt;660,1,0),0),0))</f>
      </c>
      <c r="G62" s="1">
        <f>IF(OR(G$52=0,F13="",G13=""),0,IFERROR(IF(AND(INDEX(Arten,MATCH(F13,Codes,0))="Arbeit",INDEX(Arten,MATCH(G13,Codes,0))="Arbeit"),IF(ROUND((1+INDEX(Beginne,MATCH(G13,Codes,0))-INDEX(EndeRel,MATCH(F13,Codes,0)))*1440,0)&lt;660,1,0),0),0))</f>
      </c>
      <c r="H62" s="1">
        <f>IF(OR(H$52=0,G13="",H13=""),0,IFERROR(IF(AND(INDEX(Arten,MATCH(G13,Codes,0))="Arbeit",INDEX(Arten,MATCH(H13,Codes,0))="Arbeit"),IF(ROUND((1+INDEX(Beginne,MATCH(H13,Codes,0))-INDEX(EndeRel,MATCH(G13,Codes,0)))*1440,0)&lt;660,1,0),0),0))</f>
      </c>
      <c r="I62" s="1">
        <f>IF(OR(I$52=0,H13="",I13=""),0,IFERROR(IF(AND(INDEX(Arten,MATCH(H13,Codes,0))="Arbeit",INDEX(Arten,MATCH(I13,Codes,0))="Arbeit"),IF(ROUND((1+INDEX(Beginne,MATCH(I13,Codes,0))-INDEX(EndeRel,MATCH(H13,Codes,0)))*1440,0)&lt;660,1,0),0),0))</f>
      </c>
      <c r="J62" s="1">
        <f>IF(OR(J$52=0,I13="",J13=""),0,IFERROR(IF(AND(INDEX(Arten,MATCH(I13,Codes,0))="Arbeit",INDEX(Arten,MATCH(J13,Codes,0))="Arbeit"),IF(ROUND((1+INDEX(Beginne,MATCH(J13,Codes,0))-INDEX(EndeRel,MATCH(I13,Codes,0)))*1440,0)&lt;660,1,0),0),0))</f>
      </c>
      <c r="K62" s="1">
        <f>IF(OR(K$52=0,J13="",K13=""),0,IFERROR(IF(AND(INDEX(Arten,MATCH(J13,Codes,0))="Arbeit",INDEX(Arten,MATCH(K13,Codes,0))="Arbeit"),IF(ROUND((1+INDEX(Beginne,MATCH(K13,Codes,0))-INDEX(EndeRel,MATCH(J13,Codes,0)))*1440,0)&lt;660,1,0),0),0))</f>
      </c>
      <c r="L62" s="1">
        <f>IF(OR(L$52=0,K13="",L13=""),0,IFERROR(IF(AND(INDEX(Arten,MATCH(K13,Codes,0))="Arbeit",INDEX(Arten,MATCH(L13,Codes,0))="Arbeit"),IF(ROUND((1+INDEX(Beginne,MATCH(L13,Codes,0))-INDEX(EndeRel,MATCH(K13,Codes,0)))*1440,0)&lt;660,1,0),0),0))</f>
      </c>
      <c r="M62" s="1">
        <f>IF(OR(M$52=0,L13="",M13=""),0,IFERROR(IF(AND(INDEX(Arten,MATCH(L13,Codes,0))="Arbeit",INDEX(Arten,MATCH(M13,Codes,0))="Arbeit"),IF(ROUND((1+INDEX(Beginne,MATCH(M13,Codes,0))-INDEX(EndeRel,MATCH(L13,Codes,0)))*1440,0)&lt;660,1,0),0),0))</f>
      </c>
      <c r="N62" s="1">
        <f>IF(OR(N$52=0,M13="",N13=""),0,IFERROR(IF(AND(INDEX(Arten,MATCH(M13,Codes,0))="Arbeit",INDEX(Arten,MATCH(N13,Codes,0))="Arbeit"),IF(ROUND((1+INDEX(Beginne,MATCH(N13,Codes,0))-INDEX(EndeRel,MATCH(M13,Codes,0)))*1440,0)&lt;660,1,0),0),0))</f>
      </c>
      <c r="O62" s="1">
        <f>IF(OR(O$52=0,N13="",O13=""),0,IFERROR(IF(AND(INDEX(Arten,MATCH(N13,Codes,0))="Arbeit",INDEX(Arten,MATCH(O13,Codes,0))="Arbeit"),IF(ROUND((1+INDEX(Beginne,MATCH(O13,Codes,0))-INDEX(EndeRel,MATCH(N13,Codes,0)))*1440,0)&lt;660,1,0),0),0))</f>
      </c>
      <c r="P62" s="1">
        <f>IF(OR(P$52=0,O13="",P13=""),0,IFERROR(IF(AND(INDEX(Arten,MATCH(O13,Codes,0))="Arbeit",INDEX(Arten,MATCH(P13,Codes,0))="Arbeit"),IF(ROUND((1+INDEX(Beginne,MATCH(P13,Codes,0))-INDEX(EndeRel,MATCH(O13,Codes,0)))*1440,0)&lt;660,1,0),0),0))</f>
      </c>
      <c r="Q62" s="1">
        <f>IF(OR(Q$52=0,P13="",Q13=""),0,IFERROR(IF(AND(INDEX(Arten,MATCH(P13,Codes,0))="Arbeit",INDEX(Arten,MATCH(Q13,Codes,0))="Arbeit"),IF(ROUND((1+INDEX(Beginne,MATCH(Q13,Codes,0))-INDEX(EndeRel,MATCH(P13,Codes,0)))*1440,0)&lt;660,1,0),0),0))</f>
      </c>
      <c r="R62" s="1">
        <f>IF(OR(R$52=0,Q13="",R13=""),0,IFERROR(IF(AND(INDEX(Arten,MATCH(Q13,Codes,0))="Arbeit",INDEX(Arten,MATCH(R13,Codes,0))="Arbeit"),IF(ROUND((1+INDEX(Beginne,MATCH(R13,Codes,0))-INDEX(EndeRel,MATCH(Q13,Codes,0)))*1440,0)&lt;660,1,0),0),0))</f>
      </c>
      <c r="S62" s="1">
        <f>IF(OR(S$52=0,R13="",S13=""),0,IFERROR(IF(AND(INDEX(Arten,MATCH(R13,Codes,0))="Arbeit",INDEX(Arten,MATCH(S13,Codes,0))="Arbeit"),IF(ROUND((1+INDEX(Beginne,MATCH(S13,Codes,0))-INDEX(EndeRel,MATCH(R13,Codes,0)))*1440,0)&lt;660,1,0),0),0))</f>
      </c>
      <c r="T62" s="1">
        <f>IF(OR(T$52=0,S13="",T13=""),0,IFERROR(IF(AND(INDEX(Arten,MATCH(S13,Codes,0))="Arbeit",INDEX(Arten,MATCH(T13,Codes,0))="Arbeit"),IF(ROUND((1+INDEX(Beginne,MATCH(T13,Codes,0))-INDEX(EndeRel,MATCH(S13,Codes,0)))*1440,0)&lt;660,1,0),0),0))</f>
      </c>
      <c r="U62" s="1">
        <f>IF(OR(U$52=0,T13="",U13=""),0,IFERROR(IF(AND(INDEX(Arten,MATCH(T13,Codes,0))="Arbeit",INDEX(Arten,MATCH(U13,Codes,0))="Arbeit"),IF(ROUND((1+INDEX(Beginne,MATCH(U13,Codes,0))-INDEX(EndeRel,MATCH(T13,Codes,0)))*1440,0)&lt;660,1,0),0),0))</f>
      </c>
      <c r="V62" s="1">
        <f>IF(OR(V$52=0,U13="",V13=""),0,IFERROR(IF(AND(INDEX(Arten,MATCH(U13,Codes,0))="Arbeit",INDEX(Arten,MATCH(V13,Codes,0))="Arbeit"),IF(ROUND((1+INDEX(Beginne,MATCH(V13,Codes,0))-INDEX(EndeRel,MATCH(U13,Codes,0)))*1440,0)&lt;660,1,0),0),0))</f>
      </c>
      <c r="W62" s="1">
        <f>IF(OR(W$52=0,V13="",W13=""),0,IFERROR(IF(AND(INDEX(Arten,MATCH(V13,Codes,0))="Arbeit",INDEX(Arten,MATCH(W13,Codes,0))="Arbeit"),IF(ROUND((1+INDEX(Beginne,MATCH(W13,Codes,0))-INDEX(EndeRel,MATCH(V13,Codes,0)))*1440,0)&lt;660,1,0),0),0))</f>
      </c>
      <c r="X62" s="1">
        <f>IF(OR(X$52=0,W13="",X13=""),0,IFERROR(IF(AND(INDEX(Arten,MATCH(W13,Codes,0))="Arbeit",INDEX(Arten,MATCH(X13,Codes,0))="Arbeit"),IF(ROUND((1+INDEX(Beginne,MATCH(X13,Codes,0))-INDEX(EndeRel,MATCH(W13,Codes,0)))*1440,0)&lt;660,1,0),0),0))</f>
      </c>
      <c r="Y62" s="1">
        <f>IF(OR(Y$52=0,X13="",Y13=""),0,IFERROR(IF(AND(INDEX(Arten,MATCH(X13,Codes,0))="Arbeit",INDEX(Arten,MATCH(Y13,Codes,0))="Arbeit"),IF(ROUND((1+INDEX(Beginne,MATCH(Y13,Codes,0))-INDEX(EndeRel,MATCH(X13,Codes,0)))*1440,0)&lt;660,1,0),0),0))</f>
      </c>
      <c r="Z62" s="1">
        <f>IF(OR(Z$52=0,Y13="",Z13=""),0,IFERROR(IF(AND(INDEX(Arten,MATCH(Y13,Codes,0))="Arbeit",INDEX(Arten,MATCH(Z13,Codes,0))="Arbeit"),IF(ROUND((1+INDEX(Beginne,MATCH(Z13,Codes,0))-INDEX(EndeRel,MATCH(Y13,Codes,0)))*1440,0)&lt;660,1,0),0),0))</f>
      </c>
      <c r="AA62" s="1">
        <f>IF(OR(AA$52=0,Z13="",AA13=""),0,IFERROR(IF(AND(INDEX(Arten,MATCH(Z13,Codes,0))="Arbeit",INDEX(Arten,MATCH(AA13,Codes,0))="Arbeit"),IF(ROUND((1+INDEX(Beginne,MATCH(AA13,Codes,0))-INDEX(EndeRel,MATCH(Z13,Codes,0)))*1440,0)&lt;660,1,0),0),0))</f>
      </c>
      <c r="AB62" s="1">
        <f>IF(OR(AB$52=0,AA13="",AB13=""),0,IFERROR(IF(AND(INDEX(Arten,MATCH(AA13,Codes,0))="Arbeit",INDEX(Arten,MATCH(AB13,Codes,0))="Arbeit"),IF(ROUND((1+INDEX(Beginne,MATCH(AB13,Codes,0))-INDEX(EndeRel,MATCH(AA13,Codes,0)))*1440,0)&lt;660,1,0),0),0))</f>
      </c>
      <c r="AC62" s="1">
        <f>IF(OR(AC$52=0,AB13="",AC13=""),0,IFERROR(IF(AND(INDEX(Arten,MATCH(AB13,Codes,0))="Arbeit",INDEX(Arten,MATCH(AC13,Codes,0))="Arbeit"),IF(ROUND((1+INDEX(Beginne,MATCH(AC13,Codes,0))-INDEX(EndeRel,MATCH(AB13,Codes,0)))*1440,0)&lt;660,1,0),0),0))</f>
      </c>
      <c r="AD62" s="1">
        <f>IF(OR(AD$52=0,AC13="",AD13=""),0,IFERROR(IF(AND(INDEX(Arten,MATCH(AC13,Codes,0))="Arbeit",INDEX(Arten,MATCH(AD13,Codes,0))="Arbeit"),IF(ROUND((1+INDEX(Beginne,MATCH(AD13,Codes,0))-INDEX(EndeRel,MATCH(AC13,Codes,0)))*1440,0)&lt;660,1,0),0),0))</f>
      </c>
      <c r="AE62" s="1">
        <f>IF(OR(AE$52=0,AD13="",AE13=""),0,IFERROR(IF(AND(INDEX(Arten,MATCH(AD13,Codes,0))="Arbeit",INDEX(Arten,MATCH(AE13,Codes,0))="Arbeit"),IF(ROUND((1+INDEX(Beginne,MATCH(AE13,Codes,0))-INDEX(EndeRel,MATCH(AD13,Codes,0)))*1440,0)&lt;660,1,0),0),0))</f>
      </c>
      <c r="AF62" s="1">
        <f>IF(OR(AF$52=0,AE13="",AF13=""),0,IFERROR(IF(AND(INDEX(Arten,MATCH(AE13,Codes,0))="Arbeit",INDEX(Arten,MATCH(AF13,Codes,0))="Arbeit"),IF(ROUND((1+INDEX(Beginne,MATCH(AF13,Codes,0))-INDEX(EndeRel,MATCH(AE13,Codes,0)))*1440,0)&lt;660,1,0),0),0))</f>
      </c>
    </row>
    <row r="63" hidden="1" spans="1:32" x14ac:dyDescent="0.25">
      <c r="A63" s="1"/>
      <c r="B63" s="1">
        <f>IF(OR(B$52=0,INDEX('November'!$B$14:$AF$14,DAY(DATE(Jahr,12,0)))="",B14=""),0,IFERROR(IF(AND(INDEX(Arten,MATCH(INDEX('November'!$B$14:$AF$14,DAY(DATE(Jahr,12,0))),Codes,0))="Arbeit",INDEX(Arten,MATCH(B14,Codes,0))="Arbeit"),IF(ROUND((1+INDEX(Beginne,MATCH(B14,Codes,0))-INDEX(EndeRel,MATCH(INDEX('November'!$B$14:$AF$14,DAY(DATE(Jahr,12,0))),Codes,0)))*1440,0)&lt;660,1,0),0),0))</f>
      </c>
      <c r="C63" s="1">
        <f>IF(OR(C$52=0,B14="",C14=""),0,IFERROR(IF(AND(INDEX(Arten,MATCH(B14,Codes,0))="Arbeit",INDEX(Arten,MATCH(C14,Codes,0))="Arbeit"),IF(ROUND((1+INDEX(Beginne,MATCH(C14,Codes,0))-INDEX(EndeRel,MATCH(B14,Codes,0)))*1440,0)&lt;660,1,0),0),0))</f>
      </c>
      <c r="D63" s="1">
        <f>IF(OR(D$52=0,C14="",D14=""),0,IFERROR(IF(AND(INDEX(Arten,MATCH(C14,Codes,0))="Arbeit",INDEX(Arten,MATCH(D14,Codes,0))="Arbeit"),IF(ROUND((1+INDEX(Beginne,MATCH(D14,Codes,0))-INDEX(EndeRel,MATCH(C14,Codes,0)))*1440,0)&lt;660,1,0),0),0))</f>
      </c>
      <c r="E63" s="1">
        <f>IF(OR(E$52=0,D14="",E14=""),0,IFERROR(IF(AND(INDEX(Arten,MATCH(D14,Codes,0))="Arbeit",INDEX(Arten,MATCH(E14,Codes,0))="Arbeit"),IF(ROUND((1+INDEX(Beginne,MATCH(E14,Codes,0))-INDEX(EndeRel,MATCH(D14,Codes,0)))*1440,0)&lt;660,1,0),0),0))</f>
      </c>
      <c r="F63" s="1">
        <f>IF(OR(F$52=0,E14="",F14=""),0,IFERROR(IF(AND(INDEX(Arten,MATCH(E14,Codes,0))="Arbeit",INDEX(Arten,MATCH(F14,Codes,0))="Arbeit"),IF(ROUND((1+INDEX(Beginne,MATCH(F14,Codes,0))-INDEX(EndeRel,MATCH(E14,Codes,0)))*1440,0)&lt;660,1,0),0),0))</f>
      </c>
      <c r="G63" s="1">
        <f>IF(OR(G$52=0,F14="",G14=""),0,IFERROR(IF(AND(INDEX(Arten,MATCH(F14,Codes,0))="Arbeit",INDEX(Arten,MATCH(G14,Codes,0))="Arbeit"),IF(ROUND((1+INDEX(Beginne,MATCH(G14,Codes,0))-INDEX(EndeRel,MATCH(F14,Codes,0)))*1440,0)&lt;660,1,0),0),0))</f>
      </c>
      <c r="H63" s="1">
        <f>IF(OR(H$52=0,G14="",H14=""),0,IFERROR(IF(AND(INDEX(Arten,MATCH(G14,Codes,0))="Arbeit",INDEX(Arten,MATCH(H14,Codes,0))="Arbeit"),IF(ROUND((1+INDEX(Beginne,MATCH(H14,Codes,0))-INDEX(EndeRel,MATCH(G14,Codes,0)))*1440,0)&lt;660,1,0),0),0))</f>
      </c>
      <c r="I63" s="1">
        <f>IF(OR(I$52=0,H14="",I14=""),0,IFERROR(IF(AND(INDEX(Arten,MATCH(H14,Codes,0))="Arbeit",INDEX(Arten,MATCH(I14,Codes,0))="Arbeit"),IF(ROUND((1+INDEX(Beginne,MATCH(I14,Codes,0))-INDEX(EndeRel,MATCH(H14,Codes,0)))*1440,0)&lt;660,1,0),0),0))</f>
      </c>
      <c r="J63" s="1">
        <f>IF(OR(J$52=0,I14="",J14=""),0,IFERROR(IF(AND(INDEX(Arten,MATCH(I14,Codes,0))="Arbeit",INDEX(Arten,MATCH(J14,Codes,0))="Arbeit"),IF(ROUND((1+INDEX(Beginne,MATCH(J14,Codes,0))-INDEX(EndeRel,MATCH(I14,Codes,0)))*1440,0)&lt;660,1,0),0),0))</f>
      </c>
      <c r="K63" s="1">
        <f>IF(OR(K$52=0,J14="",K14=""),0,IFERROR(IF(AND(INDEX(Arten,MATCH(J14,Codes,0))="Arbeit",INDEX(Arten,MATCH(K14,Codes,0))="Arbeit"),IF(ROUND((1+INDEX(Beginne,MATCH(K14,Codes,0))-INDEX(EndeRel,MATCH(J14,Codes,0)))*1440,0)&lt;660,1,0),0),0))</f>
      </c>
      <c r="L63" s="1">
        <f>IF(OR(L$52=0,K14="",L14=""),0,IFERROR(IF(AND(INDEX(Arten,MATCH(K14,Codes,0))="Arbeit",INDEX(Arten,MATCH(L14,Codes,0))="Arbeit"),IF(ROUND((1+INDEX(Beginne,MATCH(L14,Codes,0))-INDEX(EndeRel,MATCH(K14,Codes,0)))*1440,0)&lt;660,1,0),0),0))</f>
      </c>
      <c r="M63" s="1">
        <f>IF(OR(M$52=0,L14="",M14=""),0,IFERROR(IF(AND(INDEX(Arten,MATCH(L14,Codes,0))="Arbeit",INDEX(Arten,MATCH(M14,Codes,0))="Arbeit"),IF(ROUND((1+INDEX(Beginne,MATCH(M14,Codes,0))-INDEX(EndeRel,MATCH(L14,Codes,0)))*1440,0)&lt;660,1,0),0),0))</f>
      </c>
      <c r="N63" s="1">
        <f>IF(OR(N$52=0,M14="",N14=""),0,IFERROR(IF(AND(INDEX(Arten,MATCH(M14,Codes,0))="Arbeit",INDEX(Arten,MATCH(N14,Codes,0))="Arbeit"),IF(ROUND((1+INDEX(Beginne,MATCH(N14,Codes,0))-INDEX(EndeRel,MATCH(M14,Codes,0)))*1440,0)&lt;660,1,0),0),0))</f>
      </c>
      <c r="O63" s="1">
        <f>IF(OR(O$52=0,N14="",O14=""),0,IFERROR(IF(AND(INDEX(Arten,MATCH(N14,Codes,0))="Arbeit",INDEX(Arten,MATCH(O14,Codes,0))="Arbeit"),IF(ROUND((1+INDEX(Beginne,MATCH(O14,Codes,0))-INDEX(EndeRel,MATCH(N14,Codes,0)))*1440,0)&lt;660,1,0),0),0))</f>
      </c>
      <c r="P63" s="1">
        <f>IF(OR(P$52=0,O14="",P14=""),0,IFERROR(IF(AND(INDEX(Arten,MATCH(O14,Codes,0))="Arbeit",INDEX(Arten,MATCH(P14,Codes,0))="Arbeit"),IF(ROUND((1+INDEX(Beginne,MATCH(P14,Codes,0))-INDEX(EndeRel,MATCH(O14,Codes,0)))*1440,0)&lt;660,1,0),0),0))</f>
      </c>
      <c r="Q63" s="1">
        <f>IF(OR(Q$52=0,P14="",Q14=""),0,IFERROR(IF(AND(INDEX(Arten,MATCH(P14,Codes,0))="Arbeit",INDEX(Arten,MATCH(Q14,Codes,0))="Arbeit"),IF(ROUND((1+INDEX(Beginne,MATCH(Q14,Codes,0))-INDEX(EndeRel,MATCH(P14,Codes,0)))*1440,0)&lt;660,1,0),0),0))</f>
      </c>
      <c r="R63" s="1">
        <f>IF(OR(R$52=0,Q14="",R14=""),0,IFERROR(IF(AND(INDEX(Arten,MATCH(Q14,Codes,0))="Arbeit",INDEX(Arten,MATCH(R14,Codes,0))="Arbeit"),IF(ROUND((1+INDEX(Beginne,MATCH(R14,Codes,0))-INDEX(EndeRel,MATCH(Q14,Codes,0)))*1440,0)&lt;660,1,0),0),0))</f>
      </c>
      <c r="S63" s="1">
        <f>IF(OR(S$52=0,R14="",S14=""),0,IFERROR(IF(AND(INDEX(Arten,MATCH(R14,Codes,0))="Arbeit",INDEX(Arten,MATCH(S14,Codes,0))="Arbeit"),IF(ROUND((1+INDEX(Beginne,MATCH(S14,Codes,0))-INDEX(EndeRel,MATCH(R14,Codes,0)))*1440,0)&lt;660,1,0),0),0))</f>
      </c>
      <c r="T63" s="1">
        <f>IF(OR(T$52=0,S14="",T14=""),0,IFERROR(IF(AND(INDEX(Arten,MATCH(S14,Codes,0))="Arbeit",INDEX(Arten,MATCH(T14,Codes,0))="Arbeit"),IF(ROUND((1+INDEX(Beginne,MATCH(T14,Codes,0))-INDEX(EndeRel,MATCH(S14,Codes,0)))*1440,0)&lt;660,1,0),0),0))</f>
      </c>
      <c r="U63" s="1">
        <f>IF(OR(U$52=0,T14="",U14=""),0,IFERROR(IF(AND(INDEX(Arten,MATCH(T14,Codes,0))="Arbeit",INDEX(Arten,MATCH(U14,Codes,0))="Arbeit"),IF(ROUND((1+INDEX(Beginne,MATCH(U14,Codes,0))-INDEX(EndeRel,MATCH(T14,Codes,0)))*1440,0)&lt;660,1,0),0),0))</f>
      </c>
      <c r="V63" s="1">
        <f>IF(OR(V$52=0,U14="",V14=""),0,IFERROR(IF(AND(INDEX(Arten,MATCH(U14,Codes,0))="Arbeit",INDEX(Arten,MATCH(V14,Codes,0))="Arbeit"),IF(ROUND((1+INDEX(Beginne,MATCH(V14,Codes,0))-INDEX(EndeRel,MATCH(U14,Codes,0)))*1440,0)&lt;660,1,0),0),0))</f>
      </c>
      <c r="W63" s="1">
        <f>IF(OR(W$52=0,V14="",W14=""),0,IFERROR(IF(AND(INDEX(Arten,MATCH(V14,Codes,0))="Arbeit",INDEX(Arten,MATCH(W14,Codes,0))="Arbeit"),IF(ROUND((1+INDEX(Beginne,MATCH(W14,Codes,0))-INDEX(EndeRel,MATCH(V14,Codes,0)))*1440,0)&lt;660,1,0),0),0))</f>
      </c>
      <c r="X63" s="1">
        <f>IF(OR(X$52=0,W14="",X14=""),0,IFERROR(IF(AND(INDEX(Arten,MATCH(W14,Codes,0))="Arbeit",INDEX(Arten,MATCH(X14,Codes,0))="Arbeit"),IF(ROUND((1+INDEX(Beginne,MATCH(X14,Codes,0))-INDEX(EndeRel,MATCH(W14,Codes,0)))*1440,0)&lt;660,1,0),0),0))</f>
      </c>
      <c r="Y63" s="1">
        <f>IF(OR(Y$52=0,X14="",Y14=""),0,IFERROR(IF(AND(INDEX(Arten,MATCH(X14,Codes,0))="Arbeit",INDEX(Arten,MATCH(Y14,Codes,0))="Arbeit"),IF(ROUND((1+INDEX(Beginne,MATCH(Y14,Codes,0))-INDEX(EndeRel,MATCH(X14,Codes,0)))*1440,0)&lt;660,1,0),0),0))</f>
      </c>
      <c r="Z63" s="1">
        <f>IF(OR(Z$52=0,Y14="",Z14=""),0,IFERROR(IF(AND(INDEX(Arten,MATCH(Y14,Codes,0))="Arbeit",INDEX(Arten,MATCH(Z14,Codes,0))="Arbeit"),IF(ROUND((1+INDEX(Beginne,MATCH(Z14,Codes,0))-INDEX(EndeRel,MATCH(Y14,Codes,0)))*1440,0)&lt;660,1,0),0),0))</f>
      </c>
      <c r="AA63" s="1">
        <f>IF(OR(AA$52=0,Z14="",AA14=""),0,IFERROR(IF(AND(INDEX(Arten,MATCH(Z14,Codes,0))="Arbeit",INDEX(Arten,MATCH(AA14,Codes,0))="Arbeit"),IF(ROUND((1+INDEX(Beginne,MATCH(AA14,Codes,0))-INDEX(EndeRel,MATCH(Z14,Codes,0)))*1440,0)&lt;660,1,0),0),0))</f>
      </c>
      <c r="AB63" s="1">
        <f>IF(OR(AB$52=0,AA14="",AB14=""),0,IFERROR(IF(AND(INDEX(Arten,MATCH(AA14,Codes,0))="Arbeit",INDEX(Arten,MATCH(AB14,Codes,0))="Arbeit"),IF(ROUND((1+INDEX(Beginne,MATCH(AB14,Codes,0))-INDEX(EndeRel,MATCH(AA14,Codes,0)))*1440,0)&lt;660,1,0),0),0))</f>
      </c>
      <c r="AC63" s="1">
        <f>IF(OR(AC$52=0,AB14="",AC14=""),0,IFERROR(IF(AND(INDEX(Arten,MATCH(AB14,Codes,0))="Arbeit",INDEX(Arten,MATCH(AC14,Codes,0))="Arbeit"),IF(ROUND((1+INDEX(Beginne,MATCH(AC14,Codes,0))-INDEX(EndeRel,MATCH(AB14,Codes,0)))*1440,0)&lt;660,1,0),0),0))</f>
      </c>
      <c r="AD63" s="1">
        <f>IF(OR(AD$52=0,AC14="",AD14=""),0,IFERROR(IF(AND(INDEX(Arten,MATCH(AC14,Codes,0))="Arbeit",INDEX(Arten,MATCH(AD14,Codes,0))="Arbeit"),IF(ROUND((1+INDEX(Beginne,MATCH(AD14,Codes,0))-INDEX(EndeRel,MATCH(AC14,Codes,0)))*1440,0)&lt;660,1,0),0),0))</f>
      </c>
      <c r="AE63" s="1">
        <f>IF(OR(AE$52=0,AD14="",AE14=""),0,IFERROR(IF(AND(INDEX(Arten,MATCH(AD14,Codes,0))="Arbeit",INDEX(Arten,MATCH(AE14,Codes,0))="Arbeit"),IF(ROUND((1+INDEX(Beginne,MATCH(AE14,Codes,0))-INDEX(EndeRel,MATCH(AD14,Codes,0)))*1440,0)&lt;660,1,0),0),0))</f>
      </c>
      <c r="AF63" s="1">
        <f>IF(OR(AF$52=0,AE14="",AF14=""),0,IFERROR(IF(AND(INDEX(Arten,MATCH(AE14,Codes,0))="Arbeit",INDEX(Arten,MATCH(AF14,Codes,0))="Arbeit"),IF(ROUND((1+INDEX(Beginne,MATCH(AF14,Codes,0))-INDEX(EndeRel,MATCH(AE14,Codes,0)))*1440,0)&lt;660,1,0),0),0))</f>
      </c>
    </row>
    <row r="64" hidden="1" spans="1:32" x14ac:dyDescent="0.25">
      <c r="A64" s="1"/>
      <c r="B64" s="1">
        <f>IF(OR(B$52=0,INDEX('November'!$B$15:$AF$15,DAY(DATE(Jahr,12,0)))="",B15=""),0,IFERROR(IF(AND(INDEX(Arten,MATCH(INDEX('November'!$B$15:$AF$15,DAY(DATE(Jahr,12,0))),Codes,0))="Arbeit",INDEX(Arten,MATCH(B15,Codes,0))="Arbeit"),IF(ROUND((1+INDEX(Beginne,MATCH(B15,Codes,0))-INDEX(EndeRel,MATCH(INDEX('November'!$B$15:$AF$15,DAY(DATE(Jahr,12,0))),Codes,0)))*1440,0)&lt;660,1,0),0),0))</f>
      </c>
      <c r="C64" s="1">
        <f>IF(OR(C$52=0,B15="",C15=""),0,IFERROR(IF(AND(INDEX(Arten,MATCH(B15,Codes,0))="Arbeit",INDEX(Arten,MATCH(C15,Codes,0))="Arbeit"),IF(ROUND((1+INDEX(Beginne,MATCH(C15,Codes,0))-INDEX(EndeRel,MATCH(B15,Codes,0)))*1440,0)&lt;660,1,0),0),0))</f>
      </c>
      <c r="D64" s="1">
        <f>IF(OR(D$52=0,C15="",D15=""),0,IFERROR(IF(AND(INDEX(Arten,MATCH(C15,Codes,0))="Arbeit",INDEX(Arten,MATCH(D15,Codes,0))="Arbeit"),IF(ROUND((1+INDEX(Beginne,MATCH(D15,Codes,0))-INDEX(EndeRel,MATCH(C15,Codes,0)))*1440,0)&lt;660,1,0),0),0))</f>
      </c>
      <c r="E64" s="1">
        <f>IF(OR(E$52=0,D15="",E15=""),0,IFERROR(IF(AND(INDEX(Arten,MATCH(D15,Codes,0))="Arbeit",INDEX(Arten,MATCH(E15,Codes,0))="Arbeit"),IF(ROUND((1+INDEX(Beginne,MATCH(E15,Codes,0))-INDEX(EndeRel,MATCH(D15,Codes,0)))*1440,0)&lt;660,1,0),0),0))</f>
      </c>
      <c r="F64" s="1">
        <f>IF(OR(F$52=0,E15="",F15=""),0,IFERROR(IF(AND(INDEX(Arten,MATCH(E15,Codes,0))="Arbeit",INDEX(Arten,MATCH(F15,Codes,0))="Arbeit"),IF(ROUND((1+INDEX(Beginne,MATCH(F15,Codes,0))-INDEX(EndeRel,MATCH(E15,Codes,0)))*1440,0)&lt;660,1,0),0),0))</f>
      </c>
      <c r="G64" s="1">
        <f>IF(OR(G$52=0,F15="",G15=""),0,IFERROR(IF(AND(INDEX(Arten,MATCH(F15,Codes,0))="Arbeit",INDEX(Arten,MATCH(G15,Codes,0))="Arbeit"),IF(ROUND((1+INDEX(Beginne,MATCH(G15,Codes,0))-INDEX(EndeRel,MATCH(F15,Codes,0)))*1440,0)&lt;660,1,0),0),0))</f>
      </c>
      <c r="H64" s="1">
        <f>IF(OR(H$52=0,G15="",H15=""),0,IFERROR(IF(AND(INDEX(Arten,MATCH(G15,Codes,0))="Arbeit",INDEX(Arten,MATCH(H15,Codes,0))="Arbeit"),IF(ROUND((1+INDEX(Beginne,MATCH(H15,Codes,0))-INDEX(EndeRel,MATCH(G15,Codes,0)))*1440,0)&lt;660,1,0),0),0))</f>
      </c>
      <c r="I64" s="1">
        <f>IF(OR(I$52=0,H15="",I15=""),0,IFERROR(IF(AND(INDEX(Arten,MATCH(H15,Codes,0))="Arbeit",INDEX(Arten,MATCH(I15,Codes,0))="Arbeit"),IF(ROUND((1+INDEX(Beginne,MATCH(I15,Codes,0))-INDEX(EndeRel,MATCH(H15,Codes,0)))*1440,0)&lt;660,1,0),0),0))</f>
      </c>
      <c r="J64" s="1">
        <f>IF(OR(J$52=0,I15="",J15=""),0,IFERROR(IF(AND(INDEX(Arten,MATCH(I15,Codes,0))="Arbeit",INDEX(Arten,MATCH(J15,Codes,0))="Arbeit"),IF(ROUND((1+INDEX(Beginne,MATCH(J15,Codes,0))-INDEX(EndeRel,MATCH(I15,Codes,0)))*1440,0)&lt;660,1,0),0),0))</f>
      </c>
      <c r="K64" s="1">
        <f>IF(OR(K$52=0,J15="",K15=""),0,IFERROR(IF(AND(INDEX(Arten,MATCH(J15,Codes,0))="Arbeit",INDEX(Arten,MATCH(K15,Codes,0))="Arbeit"),IF(ROUND((1+INDEX(Beginne,MATCH(K15,Codes,0))-INDEX(EndeRel,MATCH(J15,Codes,0)))*1440,0)&lt;660,1,0),0),0))</f>
      </c>
      <c r="L64" s="1">
        <f>IF(OR(L$52=0,K15="",L15=""),0,IFERROR(IF(AND(INDEX(Arten,MATCH(K15,Codes,0))="Arbeit",INDEX(Arten,MATCH(L15,Codes,0))="Arbeit"),IF(ROUND((1+INDEX(Beginne,MATCH(L15,Codes,0))-INDEX(EndeRel,MATCH(K15,Codes,0)))*1440,0)&lt;660,1,0),0),0))</f>
      </c>
      <c r="M64" s="1">
        <f>IF(OR(M$52=0,L15="",M15=""),0,IFERROR(IF(AND(INDEX(Arten,MATCH(L15,Codes,0))="Arbeit",INDEX(Arten,MATCH(M15,Codes,0))="Arbeit"),IF(ROUND((1+INDEX(Beginne,MATCH(M15,Codes,0))-INDEX(EndeRel,MATCH(L15,Codes,0)))*1440,0)&lt;660,1,0),0),0))</f>
      </c>
      <c r="N64" s="1">
        <f>IF(OR(N$52=0,M15="",N15=""),0,IFERROR(IF(AND(INDEX(Arten,MATCH(M15,Codes,0))="Arbeit",INDEX(Arten,MATCH(N15,Codes,0))="Arbeit"),IF(ROUND((1+INDEX(Beginne,MATCH(N15,Codes,0))-INDEX(EndeRel,MATCH(M15,Codes,0)))*1440,0)&lt;660,1,0),0),0))</f>
      </c>
      <c r="O64" s="1">
        <f>IF(OR(O$52=0,N15="",O15=""),0,IFERROR(IF(AND(INDEX(Arten,MATCH(N15,Codes,0))="Arbeit",INDEX(Arten,MATCH(O15,Codes,0))="Arbeit"),IF(ROUND((1+INDEX(Beginne,MATCH(O15,Codes,0))-INDEX(EndeRel,MATCH(N15,Codes,0)))*1440,0)&lt;660,1,0),0),0))</f>
      </c>
      <c r="P64" s="1">
        <f>IF(OR(P$52=0,O15="",P15=""),0,IFERROR(IF(AND(INDEX(Arten,MATCH(O15,Codes,0))="Arbeit",INDEX(Arten,MATCH(P15,Codes,0))="Arbeit"),IF(ROUND((1+INDEX(Beginne,MATCH(P15,Codes,0))-INDEX(EndeRel,MATCH(O15,Codes,0)))*1440,0)&lt;660,1,0),0),0))</f>
      </c>
      <c r="Q64" s="1">
        <f>IF(OR(Q$52=0,P15="",Q15=""),0,IFERROR(IF(AND(INDEX(Arten,MATCH(P15,Codes,0))="Arbeit",INDEX(Arten,MATCH(Q15,Codes,0))="Arbeit"),IF(ROUND((1+INDEX(Beginne,MATCH(Q15,Codes,0))-INDEX(EndeRel,MATCH(P15,Codes,0)))*1440,0)&lt;660,1,0),0),0))</f>
      </c>
      <c r="R64" s="1">
        <f>IF(OR(R$52=0,Q15="",R15=""),0,IFERROR(IF(AND(INDEX(Arten,MATCH(Q15,Codes,0))="Arbeit",INDEX(Arten,MATCH(R15,Codes,0))="Arbeit"),IF(ROUND((1+INDEX(Beginne,MATCH(R15,Codes,0))-INDEX(EndeRel,MATCH(Q15,Codes,0)))*1440,0)&lt;660,1,0),0),0))</f>
      </c>
      <c r="S64" s="1">
        <f>IF(OR(S$52=0,R15="",S15=""),0,IFERROR(IF(AND(INDEX(Arten,MATCH(R15,Codes,0))="Arbeit",INDEX(Arten,MATCH(S15,Codes,0))="Arbeit"),IF(ROUND((1+INDEX(Beginne,MATCH(S15,Codes,0))-INDEX(EndeRel,MATCH(R15,Codes,0)))*1440,0)&lt;660,1,0),0),0))</f>
      </c>
      <c r="T64" s="1">
        <f>IF(OR(T$52=0,S15="",T15=""),0,IFERROR(IF(AND(INDEX(Arten,MATCH(S15,Codes,0))="Arbeit",INDEX(Arten,MATCH(T15,Codes,0))="Arbeit"),IF(ROUND((1+INDEX(Beginne,MATCH(T15,Codes,0))-INDEX(EndeRel,MATCH(S15,Codes,0)))*1440,0)&lt;660,1,0),0),0))</f>
      </c>
      <c r="U64" s="1">
        <f>IF(OR(U$52=0,T15="",U15=""),0,IFERROR(IF(AND(INDEX(Arten,MATCH(T15,Codes,0))="Arbeit",INDEX(Arten,MATCH(U15,Codes,0))="Arbeit"),IF(ROUND((1+INDEX(Beginne,MATCH(U15,Codes,0))-INDEX(EndeRel,MATCH(T15,Codes,0)))*1440,0)&lt;660,1,0),0),0))</f>
      </c>
      <c r="V64" s="1">
        <f>IF(OR(V$52=0,U15="",V15=""),0,IFERROR(IF(AND(INDEX(Arten,MATCH(U15,Codes,0))="Arbeit",INDEX(Arten,MATCH(V15,Codes,0))="Arbeit"),IF(ROUND((1+INDEX(Beginne,MATCH(V15,Codes,0))-INDEX(EndeRel,MATCH(U15,Codes,0)))*1440,0)&lt;660,1,0),0),0))</f>
      </c>
      <c r="W64" s="1">
        <f>IF(OR(W$52=0,V15="",W15=""),0,IFERROR(IF(AND(INDEX(Arten,MATCH(V15,Codes,0))="Arbeit",INDEX(Arten,MATCH(W15,Codes,0))="Arbeit"),IF(ROUND((1+INDEX(Beginne,MATCH(W15,Codes,0))-INDEX(EndeRel,MATCH(V15,Codes,0)))*1440,0)&lt;660,1,0),0),0))</f>
      </c>
      <c r="X64" s="1">
        <f>IF(OR(X$52=0,W15="",X15=""),0,IFERROR(IF(AND(INDEX(Arten,MATCH(W15,Codes,0))="Arbeit",INDEX(Arten,MATCH(X15,Codes,0))="Arbeit"),IF(ROUND((1+INDEX(Beginne,MATCH(X15,Codes,0))-INDEX(EndeRel,MATCH(W15,Codes,0)))*1440,0)&lt;660,1,0),0),0))</f>
      </c>
      <c r="Y64" s="1">
        <f>IF(OR(Y$52=0,X15="",Y15=""),0,IFERROR(IF(AND(INDEX(Arten,MATCH(X15,Codes,0))="Arbeit",INDEX(Arten,MATCH(Y15,Codes,0))="Arbeit"),IF(ROUND((1+INDEX(Beginne,MATCH(Y15,Codes,0))-INDEX(EndeRel,MATCH(X15,Codes,0)))*1440,0)&lt;660,1,0),0),0))</f>
      </c>
      <c r="Z64" s="1">
        <f>IF(OR(Z$52=0,Y15="",Z15=""),0,IFERROR(IF(AND(INDEX(Arten,MATCH(Y15,Codes,0))="Arbeit",INDEX(Arten,MATCH(Z15,Codes,0))="Arbeit"),IF(ROUND((1+INDEX(Beginne,MATCH(Z15,Codes,0))-INDEX(EndeRel,MATCH(Y15,Codes,0)))*1440,0)&lt;660,1,0),0),0))</f>
      </c>
      <c r="AA64" s="1">
        <f>IF(OR(AA$52=0,Z15="",AA15=""),0,IFERROR(IF(AND(INDEX(Arten,MATCH(Z15,Codes,0))="Arbeit",INDEX(Arten,MATCH(AA15,Codes,0))="Arbeit"),IF(ROUND((1+INDEX(Beginne,MATCH(AA15,Codes,0))-INDEX(EndeRel,MATCH(Z15,Codes,0)))*1440,0)&lt;660,1,0),0),0))</f>
      </c>
      <c r="AB64" s="1">
        <f>IF(OR(AB$52=0,AA15="",AB15=""),0,IFERROR(IF(AND(INDEX(Arten,MATCH(AA15,Codes,0))="Arbeit",INDEX(Arten,MATCH(AB15,Codes,0))="Arbeit"),IF(ROUND((1+INDEX(Beginne,MATCH(AB15,Codes,0))-INDEX(EndeRel,MATCH(AA15,Codes,0)))*1440,0)&lt;660,1,0),0),0))</f>
      </c>
      <c r="AC64" s="1">
        <f>IF(OR(AC$52=0,AB15="",AC15=""),0,IFERROR(IF(AND(INDEX(Arten,MATCH(AB15,Codes,0))="Arbeit",INDEX(Arten,MATCH(AC15,Codes,0))="Arbeit"),IF(ROUND((1+INDEX(Beginne,MATCH(AC15,Codes,0))-INDEX(EndeRel,MATCH(AB15,Codes,0)))*1440,0)&lt;660,1,0),0),0))</f>
      </c>
      <c r="AD64" s="1">
        <f>IF(OR(AD$52=0,AC15="",AD15=""),0,IFERROR(IF(AND(INDEX(Arten,MATCH(AC15,Codes,0))="Arbeit",INDEX(Arten,MATCH(AD15,Codes,0))="Arbeit"),IF(ROUND((1+INDEX(Beginne,MATCH(AD15,Codes,0))-INDEX(EndeRel,MATCH(AC15,Codes,0)))*1440,0)&lt;660,1,0),0),0))</f>
      </c>
      <c r="AE64" s="1">
        <f>IF(OR(AE$52=0,AD15="",AE15=""),0,IFERROR(IF(AND(INDEX(Arten,MATCH(AD15,Codes,0))="Arbeit",INDEX(Arten,MATCH(AE15,Codes,0))="Arbeit"),IF(ROUND((1+INDEX(Beginne,MATCH(AE15,Codes,0))-INDEX(EndeRel,MATCH(AD15,Codes,0)))*1440,0)&lt;660,1,0),0),0))</f>
      </c>
      <c r="AF64" s="1">
        <f>IF(OR(AF$52=0,AE15="",AF15=""),0,IFERROR(IF(AND(INDEX(Arten,MATCH(AE15,Codes,0))="Arbeit",INDEX(Arten,MATCH(AF15,Codes,0))="Arbeit"),IF(ROUND((1+INDEX(Beginne,MATCH(AF15,Codes,0))-INDEX(EndeRel,MATCH(AE15,Codes,0)))*1440,0)&lt;660,1,0),0),0))</f>
      </c>
    </row>
    <row r="65" hidden="1" spans="1:32" x14ac:dyDescent="0.25">
      <c r="A65" s="1"/>
      <c r="B65" s="1">
        <f>IF(OR(B$52=0,INDEX('November'!$B$16:$AF$16,DAY(DATE(Jahr,12,0)))="",B16=""),0,IFERROR(IF(AND(INDEX(Arten,MATCH(INDEX('November'!$B$16:$AF$16,DAY(DATE(Jahr,12,0))),Codes,0))="Arbeit",INDEX(Arten,MATCH(B16,Codes,0))="Arbeit"),IF(ROUND((1+INDEX(Beginne,MATCH(B16,Codes,0))-INDEX(EndeRel,MATCH(INDEX('November'!$B$16:$AF$16,DAY(DATE(Jahr,12,0))),Codes,0)))*1440,0)&lt;660,1,0),0),0))</f>
      </c>
      <c r="C65" s="1">
        <f>IF(OR(C$52=0,B16="",C16=""),0,IFERROR(IF(AND(INDEX(Arten,MATCH(B16,Codes,0))="Arbeit",INDEX(Arten,MATCH(C16,Codes,0))="Arbeit"),IF(ROUND((1+INDEX(Beginne,MATCH(C16,Codes,0))-INDEX(EndeRel,MATCH(B16,Codes,0)))*1440,0)&lt;660,1,0),0),0))</f>
      </c>
      <c r="D65" s="1">
        <f>IF(OR(D$52=0,C16="",D16=""),0,IFERROR(IF(AND(INDEX(Arten,MATCH(C16,Codes,0))="Arbeit",INDEX(Arten,MATCH(D16,Codes,0))="Arbeit"),IF(ROUND((1+INDEX(Beginne,MATCH(D16,Codes,0))-INDEX(EndeRel,MATCH(C16,Codes,0)))*1440,0)&lt;660,1,0),0),0))</f>
      </c>
      <c r="E65" s="1">
        <f>IF(OR(E$52=0,D16="",E16=""),0,IFERROR(IF(AND(INDEX(Arten,MATCH(D16,Codes,0))="Arbeit",INDEX(Arten,MATCH(E16,Codes,0))="Arbeit"),IF(ROUND((1+INDEX(Beginne,MATCH(E16,Codes,0))-INDEX(EndeRel,MATCH(D16,Codes,0)))*1440,0)&lt;660,1,0),0),0))</f>
      </c>
      <c r="F65" s="1">
        <f>IF(OR(F$52=0,E16="",F16=""),0,IFERROR(IF(AND(INDEX(Arten,MATCH(E16,Codes,0))="Arbeit",INDEX(Arten,MATCH(F16,Codes,0))="Arbeit"),IF(ROUND((1+INDEX(Beginne,MATCH(F16,Codes,0))-INDEX(EndeRel,MATCH(E16,Codes,0)))*1440,0)&lt;660,1,0),0),0))</f>
      </c>
      <c r="G65" s="1">
        <f>IF(OR(G$52=0,F16="",G16=""),0,IFERROR(IF(AND(INDEX(Arten,MATCH(F16,Codes,0))="Arbeit",INDEX(Arten,MATCH(G16,Codes,0))="Arbeit"),IF(ROUND((1+INDEX(Beginne,MATCH(G16,Codes,0))-INDEX(EndeRel,MATCH(F16,Codes,0)))*1440,0)&lt;660,1,0),0),0))</f>
      </c>
      <c r="H65" s="1">
        <f>IF(OR(H$52=0,G16="",H16=""),0,IFERROR(IF(AND(INDEX(Arten,MATCH(G16,Codes,0))="Arbeit",INDEX(Arten,MATCH(H16,Codes,0))="Arbeit"),IF(ROUND((1+INDEX(Beginne,MATCH(H16,Codes,0))-INDEX(EndeRel,MATCH(G16,Codes,0)))*1440,0)&lt;660,1,0),0),0))</f>
      </c>
      <c r="I65" s="1">
        <f>IF(OR(I$52=0,H16="",I16=""),0,IFERROR(IF(AND(INDEX(Arten,MATCH(H16,Codes,0))="Arbeit",INDEX(Arten,MATCH(I16,Codes,0))="Arbeit"),IF(ROUND((1+INDEX(Beginne,MATCH(I16,Codes,0))-INDEX(EndeRel,MATCH(H16,Codes,0)))*1440,0)&lt;660,1,0),0),0))</f>
      </c>
      <c r="J65" s="1">
        <f>IF(OR(J$52=0,I16="",J16=""),0,IFERROR(IF(AND(INDEX(Arten,MATCH(I16,Codes,0))="Arbeit",INDEX(Arten,MATCH(J16,Codes,0))="Arbeit"),IF(ROUND((1+INDEX(Beginne,MATCH(J16,Codes,0))-INDEX(EndeRel,MATCH(I16,Codes,0)))*1440,0)&lt;660,1,0),0),0))</f>
      </c>
      <c r="K65" s="1">
        <f>IF(OR(K$52=0,J16="",K16=""),0,IFERROR(IF(AND(INDEX(Arten,MATCH(J16,Codes,0))="Arbeit",INDEX(Arten,MATCH(K16,Codes,0))="Arbeit"),IF(ROUND((1+INDEX(Beginne,MATCH(K16,Codes,0))-INDEX(EndeRel,MATCH(J16,Codes,0)))*1440,0)&lt;660,1,0),0),0))</f>
      </c>
      <c r="L65" s="1">
        <f>IF(OR(L$52=0,K16="",L16=""),0,IFERROR(IF(AND(INDEX(Arten,MATCH(K16,Codes,0))="Arbeit",INDEX(Arten,MATCH(L16,Codes,0))="Arbeit"),IF(ROUND((1+INDEX(Beginne,MATCH(L16,Codes,0))-INDEX(EndeRel,MATCH(K16,Codes,0)))*1440,0)&lt;660,1,0),0),0))</f>
      </c>
      <c r="M65" s="1">
        <f>IF(OR(M$52=0,L16="",M16=""),0,IFERROR(IF(AND(INDEX(Arten,MATCH(L16,Codes,0))="Arbeit",INDEX(Arten,MATCH(M16,Codes,0))="Arbeit"),IF(ROUND((1+INDEX(Beginne,MATCH(M16,Codes,0))-INDEX(EndeRel,MATCH(L16,Codes,0)))*1440,0)&lt;660,1,0),0),0))</f>
      </c>
      <c r="N65" s="1">
        <f>IF(OR(N$52=0,M16="",N16=""),0,IFERROR(IF(AND(INDEX(Arten,MATCH(M16,Codes,0))="Arbeit",INDEX(Arten,MATCH(N16,Codes,0))="Arbeit"),IF(ROUND((1+INDEX(Beginne,MATCH(N16,Codes,0))-INDEX(EndeRel,MATCH(M16,Codes,0)))*1440,0)&lt;660,1,0),0),0))</f>
      </c>
      <c r="O65" s="1">
        <f>IF(OR(O$52=0,N16="",O16=""),0,IFERROR(IF(AND(INDEX(Arten,MATCH(N16,Codes,0))="Arbeit",INDEX(Arten,MATCH(O16,Codes,0))="Arbeit"),IF(ROUND((1+INDEX(Beginne,MATCH(O16,Codes,0))-INDEX(EndeRel,MATCH(N16,Codes,0)))*1440,0)&lt;660,1,0),0),0))</f>
      </c>
      <c r="P65" s="1">
        <f>IF(OR(P$52=0,O16="",P16=""),0,IFERROR(IF(AND(INDEX(Arten,MATCH(O16,Codes,0))="Arbeit",INDEX(Arten,MATCH(P16,Codes,0))="Arbeit"),IF(ROUND((1+INDEX(Beginne,MATCH(P16,Codes,0))-INDEX(EndeRel,MATCH(O16,Codes,0)))*1440,0)&lt;660,1,0),0),0))</f>
      </c>
      <c r="Q65" s="1">
        <f>IF(OR(Q$52=0,P16="",Q16=""),0,IFERROR(IF(AND(INDEX(Arten,MATCH(P16,Codes,0))="Arbeit",INDEX(Arten,MATCH(Q16,Codes,0))="Arbeit"),IF(ROUND((1+INDEX(Beginne,MATCH(Q16,Codes,0))-INDEX(EndeRel,MATCH(P16,Codes,0)))*1440,0)&lt;660,1,0),0),0))</f>
      </c>
      <c r="R65" s="1">
        <f>IF(OR(R$52=0,Q16="",R16=""),0,IFERROR(IF(AND(INDEX(Arten,MATCH(Q16,Codes,0))="Arbeit",INDEX(Arten,MATCH(R16,Codes,0))="Arbeit"),IF(ROUND((1+INDEX(Beginne,MATCH(R16,Codes,0))-INDEX(EndeRel,MATCH(Q16,Codes,0)))*1440,0)&lt;660,1,0),0),0))</f>
      </c>
      <c r="S65" s="1">
        <f>IF(OR(S$52=0,R16="",S16=""),0,IFERROR(IF(AND(INDEX(Arten,MATCH(R16,Codes,0))="Arbeit",INDEX(Arten,MATCH(S16,Codes,0))="Arbeit"),IF(ROUND((1+INDEX(Beginne,MATCH(S16,Codes,0))-INDEX(EndeRel,MATCH(R16,Codes,0)))*1440,0)&lt;660,1,0),0),0))</f>
      </c>
      <c r="T65" s="1">
        <f>IF(OR(T$52=0,S16="",T16=""),0,IFERROR(IF(AND(INDEX(Arten,MATCH(S16,Codes,0))="Arbeit",INDEX(Arten,MATCH(T16,Codes,0))="Arbeit"),IF(ROUND((1+INDEX(Beginne,MATCH(T16,Codes,0))-INDEX(EndeRel,MATCH(S16,Codes,0)))*1440,0)&lt;660,1,0),0),0))</f>
      </c>
      <c r="U65" s="1">
        <f>IF(OR(U$52=0,T16="",U16=""),0,IFERROR(IF(AND(INDEX(Arten,MATCH(T16,Codes,0))="Arbeit",INDEX(Arten,MATCH(U16,Codes,0))="Arbeit"),IF(ROUND((1+INDEX(Beginne,MATCH(U16,Codes,0))-INDEX(EndeRel,MATCH(T16,Codes,0)))*1440,0)&lt;660,1,0),0),0))</f>
      </c>
      <c r="V65" s="1">
        <f>IF(OR(V$52=0,U16="",V16=""),0,IFERROR(IF(AND(INDEX(Arten,MATCH(U16,Codes,0))="Arbeit",INDEX(Arten,MATCH(V16,Codes,0))="Arbeit"),IF(ROUND((1+INDEX(Beginne,MATCH(V16,Codes,0))-INDEX(EndeRel,MATCH(U16,Codes,0)))*1440,0)&lt;660,1,0),0),0))</f>
      </c>
      <c r="W65" s="1">
        <f>IF(OR(W$52=0,V16="",W16=""),0,IFERROR(IF(AND(INDEX(Arten,MATCH(V16,Codes,0))="Arbeit",INDEX(Arten,MATCH(W16,Codes,0))="Arbeit"),IF(ROUND((1+INDEX(Beginne,MATCH(W16,Codes,0))-INDEX(EndeRel,MATCH(V16,Codes,0)))*1440,0)&lt;660,1,0),0),0))</f>
      </c>
      <c r="X65" s="1">
        <f>IF(OR(X$52=0,W16="",X16=""),0,IFERROR(IF(AND(INDEX(Arten,MATCH(W16,Codes,0))="Arbeit",INDEX(Arten,MATCH(X16,Codes,0))="Arbeit"),IF(ROUND((1+INDEX(Beginne,MATCH(X16,Codes,0))-INDEX(EndeRel,MATCH(W16,Codes,0)))*1440,0)&lt;660,1,0),0),0))</f>
      </c>
      <c r="Y65" s="1">
        <f>IF(OR(Y$52=0,X16="",Y16=""),0,IFERROR(IF(AND(INDEX(Arten,MATCH(X16,Codes,0))="Arbeit",INDEX(Arten,MATCH(Y16,Codes,0))="Arbeit"),IF(ROUND((1+INDEX(Beginne,MATCH(Y16,Codes,0))-INDEX(EndeRel,MATCH(X16,Codes,0)))*1440,0)&lt;660,1,0),0),0))</f>
      </c>
      <c r="Z65" s="1">
        <f>IF(OR(Z$52=0,Y16="",Z16=""),0,IFERROR(IF(AND(INDEX(Arten,MATCH(Y16,Codes,0))="Arbeit",INDEX(Arten,MATCH(Z16,Codes,0))="Arbeit"),IF(ROUND((1+INDEX(Beginne,MATCH(Z16,Codes,0))-INDEX(EndeRel,MATCH(Y16,Codes,0)))*1440,0)&lt;660,1,0),0),0))</f>
      </c>
      <c r="AA65" s="1">
        <f>IF(OR(AA$52=0,Z16="",AA16=""),0,IFERROR(IF(AND(INDEX(Arten,MATCH(Z16,Codes,0))="Arbeit",INDEX(Arten,MATCH(AA16,Codes,0))="Arbeit"),IF(ROUND((1+INDEX(Beginne,MATCH(AA16,Codes,0))-INDEX(EndeRel,MATCH(Z16,Codes,0)))*1440,0)&lt;660,1,0),0),0))</f>
      </c>
      <c r="AB65" s="1">
        <f>IF(OR(AB$52=0,AA16="",AB16=""),0,IFERROR(IF(AND(INDEX(Arten,MATCH(AA16,Codes,0))="Arbeit",INDEX(Arten,MATCH(AB16,Codes,0))="Arbeit"),IF(ROUND((1+INDEX(Beginne,MATCH(AB16,Codes,0))-INDEX(EndeRel,MATCH(AA16,Codes,0)))*1440,0)&lt;660,1,0),0),0))</f>
      </c>
      <c r="AC65" s="1">
        <f>IF(OR(AC$52=0,AB16="",AC16=""),0,IFERROR(IF(AND(INDEX(Arten,MATCH(AB16,Codes,0))="Arbeit",INDEX(Arten,MATCH(AC16,Codes,0))="Arbeit"),IF(ROUND((1+INDEX(Beginne,MATCH(AC16,Codes,0))-INDEX(EndeRel,MATCH(AB16,Codes,0)))*1440,0)&lt;660,1,0),0),0))</f>
      </c>
      <c r="AD65" s="1">
        <f>IF(OR(AD$52=0,AC16="",AD16=""),0,IFERROR(IF(AND(INDEX(Arten,MATCH(AC16,Codes,0))="Arbeit",INDEX(Arten,MATCH(AD16,Codes,0))="Arbeit"),IF(ROUND((1+INDEX(Beginne,MATCH(AD16,Codes,0))-INDEX(EndeRel,MATCH(AC16,Codes,0)))*1440,0)&lt;660,1,0),0),0))</f>
      </c>
      <c r="AE65" s="1">
        <f>IF(OR(AE$52=0,AD16="",AE16=""),0,IFERROR(IF(AND(INDEX(Arten,MATCH(AD16,Codes,0))="Arbeit",INDEX(Arten,MATCH(AE16,Codes,0))="Arbeit"),IF(ROUND((1+INDEX(Beginne,MATCH(AE16,Codes,0))-INDEX(EndeRel,MATCH(AD16,Codes,0)))*1440,0)&lt;660,1,0),0),0))</f>
      </c>
      <c r="AF65" s="1">
        <f>IF(OR(AF$52=0,AE16="",AF16=""),0,IFERROR(IF(AND(INDEX(Arten,MATCH(AE16,Codes,0))="Arbeit",INDEX(Arten,MATCH(AF16,Codes,0))="Arbeit"),IF(ROUND((1+INDEX(Beginne,MATCH(AF16,Codes,0))-INDEX(EndeRel,MATCH(AE16,Codes,0)))*1440,0)&lt;660,1,0),0),0))</f>
      </c>
    </row>
    <row r="66" hidden="1" spans="1:32" x14ac:dyDescent="0.25">
      <c r="A66" s="1"/>
      <c r="B66" s="1">
        <f>IF(OR(B$52=0,INDEX('November'!$B$17:$AF$17,DAY(DATE(Jahr,12,0)))="",B17=""),0,IFERROR(IF(AND(INDEX(Arten,MATCH(INDEX('November'!$B$17:$AF$17,DAY(DATE(Jahr,12,0))),Codes,0))="Arbeit",INDEX(Arten,MATCH(B17,Codes,0))="Arbeit"),IF(ROUND((1+INDEX(Beginne,MATCH(B17,Codes,0))-INDEX(EndeRel,MATCH(INDEX('November'!$B$17:$AF$17,DAY(DATE(Jahr,12,0))),Codes,0)))*1440,0)&lt;660,1,0),0),0))</f>
      </c>
      <c r="C66" s="1">
        <f>IF(OR(C$52=0,B17="",C17=""),0,IFERROR(IF(AND(INDEX(Arten,MATCH(B17,Codes,0))="Arbeit",INDEX(Arten,MATCH(C17,Codes,0))="Arbeit"),IF(ROUND((1+INDEX(Beginne,MATCH(C17,Codes,0))-INDEX(EndeRel,MATCH(B17,Codes,0)))*1440,0)&lt;660,1,0),0),0))</f>
      </c>
      <c r="D66" s="1">
        <f>IF(OR(D$52=0,C17="",D17=""),0,IFERROR(IF(AND(INDEX(Arten,MATCH(C17,Codes,0))="Arbeit",INDEX(Arten,MATCH(D17,Codes,0))="Arbeit"),IF(ROUND((1+INDEX(Beginne,MATCH(D17,Codes,0))-INDEX(EndeRel,MATCH(C17,Codes,0)))*1440,0)&lt;660,1,0),0),0))</f>
      </c>
      <c r="E66" s="1">
        <f>IF(OR(E$52=0,D17="",E17=""),0,IFERROR(IF(AND(INDEX(Arten,MATCH(D17,Codes,0))="Arbeit",INDEX(Arten,MATCH(E17,Codes,0))="Arbeit"),IF(ROUND((1+INDEX(Beginne,MATCH(E17,Codes,0))-INDEX(EndeRel,MATCH(D17,Codes,0)))*1440,0)&lt;660,1,0),0),0))</f>
      </c>
      <c r="F66" s="1">
        <f>IF(OR(F$52=0,E17="",F17=""),0,IFERROR(IF(AND(INDEX(Arten,MATCH(E17,Codes,0))="Arbeit",INDEX(Arten,MATCH(F17,Codes,0))="Arbeit"),IF(ROUND((1+INDEX(Beginne,MATCH(F17,Codes,0))-INDEX(EndeRel,MATCH(E17,Codes,0)))*1440,0)&lt;660,1,0),0),0))</f>
      </c>
      <c r="G66" s="1">
        <f>IF(OR(G$52=0,F17="",G17=""),0,IFERROR(IF(AND(INDEX(Arten,MATCH(F17,Codes,0))="Arbeit",INDEX(Arten,MATCH(G17,Codes,0))="Arbeit"),IF(ROUND((1+INDEX(Beginne,MATCH(G17,Codes,0))-INDEX(EndeRel,MATCH(F17,Codes,0)))*1440,0)&lt;660,1,0),0),0))</f>
      </c>
      <c r="H66" s="1">
        <f>IF(OR(H$52=0,G17="",H17=""),0,IFERROR(IF(AND(INDEX(Arten,MATCH(G17,Codes,0))="Arbeit",INDEX(Arten,MATCH(H17,Codes,0))="Arbeit"),IF(ROUND((1+INDEX(Beginne,MATCH(H17,Codes,0))-INDEX(EndeRel,MATCH(G17,Codes,0)))*1440,0)&lt;660,1,0),0),0))</f>
      </c>
      <c r="I66" s="1">
        <f>IF(OR(I$52=0,H17="",I17=""),0,IFERROR(IF(AND(INDEX(Arten,MATCH(H17,Codes,0))="Arbeit",INDEX(Arten,MATCH(I17,Codes,0))="Arbeit"),IF(ROUND((1+INDEX(Beginne,MATCH(I17,Codes,0))-INDEX(EndeRel,MATCH(H17,Codes,0)))*1440,0)&lt;660,1,0),0),0))</f>
      </c>
      <c r="J66" s="1">
        <f>IF(OR(J$52=0,I17="",J17=""),0,IFERROR(IF(AND(INDEX(Arten,MATCH(I17,Codes,0))="Arbeit",INDEX(Arten,MATCH(J17,Codes,0))="Arbeit"),IF(ROUND((1+INDEX(Beginne,MATCH(J17,Codes,0))-INDEX(EndeRel,MATCH(I17,Codes,0)))*1440,0)&lt;660,1,0),0),0))</f>
      </c>
      <c r="K66" s="1">
        <f>IF(OR(K$52=0,J17="",K17=""),0,IFERROR(IF(AND(INDEX(Arten,MATCH(J17,Codes,0))="Arbeit",INDEX(Arten,MATCH(K17,Codes,0))="Arbeit"),IF(ROUND((1+INDEX(Beginne,MATCH(K17,Codes,0))-INDEX(EndeRel,MATCH(J17,Codes,0)))*1440,0)&lt;660,1,0),0),0))</f>
      </c>
      <c r="L66" s="1">
        <f>IF(OR(L$52=0,K17="",L17=""),0,IFERROR(IF(AND(INDEX(Arten,MATCH(K17,Codes,0))="Arbeit",INDEX(Arten,MATCH(L17,Codes,0))="Arbeit"),IF(ROUND((1+INDEX(Beginne,MATCH(L17,Codes,0))-INDEX(EndeRel,MATCH(K17,Codes,0)))*1440,0)&lt;660,1,0),0),0))</f>
      </c>
      <c r="M66" s="1">
        <f>IF(OR(M$52=0,L17="",M17=""),0,IFERROR(IF(AND(INDEX(Arten,MATCH(L17,Codes,0))="Arbeit",INDEX(Arten,MATCH(M17,Codes,0))="Arbeit"),IF(ROUND((1+INDEX(Beginne,MATCH(M17,Codes,0))-INDEX(EndeRel,MATCH(L17,Codes,0)))*1440,0)&lt;660,1,0),0),0))</f>
      </c>
      <c r="N66" s="1">
        <f>IF(OR(N$52=0,M17="",N17=""),0,IFERROR(IF(AND(INDEX(Arten,MATCH(M17,Codes,0))="Arbeit",INDEX(Arten,MATCH(N17,Codes,0))="Arbeit"),IF(ROUND((1+INDEX(Beginne,MATCH(N17,Codes,0))-INDEX(EndeRel,MATCH(M17,Codes,0)))*1440,0)&lt;660,1,0),0),0))</f>
      </c>
      <c r="O66" s="1">
        <f>IF(OR(O$52=0,N17="",O17=""),0,IFERROR(IF(AND(INDEX(Arten,MATCH(N17,Codes,0))="Arbeit",INDEX(Arten,MATCH(O17,Codes,0))="Arbeit"),IF(ROUND((1+INDEX(Beginne,MATCH(O17,Codes,0))-INDEX(EndeRel,MATCH(N17,Codes,0)))*1440,0)&lt;660,1,0),0),0))</f>
      </c>
      <c r="P66" s="1">
        <f>IF(OR(P$52=0,O17="",P17=""),0,IFERROR(IF(AND(INDEX(Arten,MATCH(O17,Codes,0))="Arbeit",INDEX(Arten,MATCH(P17,Codes,0))="Arbeit"),IF(ROUND((1+INDEX(Beginne,MATCH(P17,Codes,0))-INDEX(EndeRel,MATCH(O17,Codes,0)))*1440,0)&lt;660,1,0),0),0))</f>
      </c>
      <c r="Q66" s="1">
        <f>IF(OR(Q$52=0,P17="",Q17=""),0,IFERROR(IF(AND(INDEX(Arten,MATCH(P17,Codes,0))="Arbeit",INDEX(Arten,MATCH(Q17,Codes,0))="Arbeit"),IF(ROUND((1+INDEX(Beginne,MATCH(Q17,Codes,0))-INDEX(EndeRel,MATCH(P17,Codes,0)))*1440,0)&lt;660,1,0),0),0))</f>
      </c>
      <c r="R66" s="1">
        <f>IF(OR(R$52=0,Q17="",R17=""),0,IFERROR(IF(AND(INDEX(Arten,MATCH(Q17,Codes,0))="Arbeit",INDEX(Arten,MATCH(R17,Codes,0))="Arbeit"),IF(ROUND((1+INDEX(Beginne,MATCH(R17,Codes,0))-INDEX(EndeRel,MATCH(Q17,Codes,0)))*1440,0)&lt;660,1,0),0),0))</f>
      </c>
      <c r="S66" s="1">
        <f>IF(OR(S$52=0,R17="",S17=""),0,IFERROR(IF(AND(INDEX(Arten,MATCH(R17,Codes,0))="Arbeit",INDEX(Arten,MATCH(S17,Codes,0))="Arbeit"),IF(ROUND((1+INDEX(Beginne,MATCH(S17,Codes,0))-INDEX(EndeRel,MATCH(R17,Codes,0)))*1440,0)&lt;660,1,0),0),0))</f>
      </c>
      <c r="T66" s="1">
        <f>IF(OR(T$52=0,S17="",T17=""),0,IFERROR(IF(AND(INDEX(Arten,MATCH(S17,Codes,0))="Arbeit",INDEX(Arten,MATCH(T17,Codes,0))="Arbeit"),IF(ROUND((1+INDEX(Beginne,MATCH(T17,Codes,0))-INDEX(EndeRel,MATCH(S17,Codes,0)))*1440,0)&lt;660,1,0),0),0))</f>
      </c>
      <c r="U66" s="1">
        <f>IF(OR(U$52=0,T17="",U17=""),0,IFERROR(IF(AND(INDEX(Arten,MATCH(T17,Codes,0))="Arbeit",INDEX(Arten,MATCH(U17,Codes,0))="Arbeit"),IF(ROUND((1+INDEX(Beginne,MATCH(U17,Codes,0))-INDEX(EndeRel,MATCH(T17,Codes,0)))*1440,0)&lt;660,1,0),0),0))</f>
      </c>
      <c r="V66" s="1">
        <f>IF(OR(V$52=0,U17="",V17=""),0,IFERROR(IF(AND(INDEX(Arten,MATCH(U17,Codes,0))="Arbeit",INDEX(Arten,MATCH(V17,Codes,0))="Arbeit"),IF(ROUND((1+INDEX(Beginne,MATCH(V17,Codes,0))-INDEX(EndeRel,MATCH(U17,Codes,0)))*1440,0)&lt;660,1,0),0),0))</f>
      </c>
      <c r="W66" s="1">
        <f>IF(OR(W$52=0,V17="",W17=""),0,IFERROR(IF(AND(INDEX(Arten,MATCH(V17,Codes,0))="Arbeit",INDEX(Arten,MATCH(W17,Codes,0))="Arbeit"),IF(ROUND((1+INDEX(Beginne,MATCH(W17,Codes,0))-INDEX(EndeRel,MATCH(V17,Codes,0)))*1440,0)&lt;660,1,0),0),0))</f>
      </c>
      <c r="X66" s="1">
        <f>IF(OR(X$52=0,W17="",X17=""),0,IFERROR(IF(AND(INDEX(Arten,MATCH(W17,Codes,0))="Arbeit",INDEX(Arten,MATCH(X17,Codes,0))="Arbeit"),IF(ROUND((1+INDEX(Beginne,MATCH(X17,Codes,0))-INDEX(EndeRel,MATCH(W17,Codes,0)))*1440,0)&lt;660,1,0),0),0))</f>
      </c>
      <c r="Y66" s="1">
        <f>IF(OR(Y$52=0,X17="",Y17=""),0,IFERROR(IF(AND(INDEX(Arten,MATCH(X17,Codes,0))="Arbeit",INDEX(Arten,MATCH(Y17,Codes,0))="Arbeit"),IF(ROUND((1+INDEX(Beginne,MATCH(Y17,Codes,0))-INDEX(EndeRel,MATCH(X17,Codes,0)))*1440,0)&lt;660,1,0),0),0))</f>
      </c>
      <c r="Z66" s="1">
        <f>IF(OR(Z$52=0,Y17="",Z17=""),0,IFERROR(IF(AND(INDEX(Arten,MATCH(Y17,Codes,0))="Arbeit",INDEX(Arten,MATCH(Z17,Codes,0))="Arbeit"),IF(ROUND((1+INDEX(Beginne,MATCH(Z17,Codes,0))-INDEX(EndeRel,MATCH(Y17,Codes,0)))*1440,0)&lt;660,1,0),0),0))</f>
      </c>
      <c r="AA66" s="1">
        <f>IF(OR(AA$52=0,Z17="",AA17=""),0,IFERROR(IF(AND(INDEX(Arten,MATCH(Z17,Codes,0))="Arbeit",INDEX(Arten,MATCH(AA17,Codes,0))="Arbeit"),IF(ROUND((1+INDEX(Beginne,MATCH(AA17,Codes,0))-INDEX(EndeRel,MATCH(Z17,Codes,0)))*1440,0)&lt;660,1,0),0),0))</f>
      </c>
      <c r="AB66" s="1">
        <f>IF(OR(AB$52=0,AA17="",AB17=""),0,IFERROR(IF(AND(INDEX(Arten,MATCH(AA17,Codes,0))="Arbeit",INDEX(Arten,MATCH(AB17,Codes,0))="Arbeit"),IF(ROUND((1+INDEX(Beginne,MATCH(AB17,Codes,0))-INDEX(EndeRel,MATCH(AA17,Codes,0)))*1440,0)&lt;660,1,0),0),0))</f>
      </c>
      <c r="AC66" s="1">
        <f>IF(OR(AC$52=0,AB17="",AC17=""),0,IFERROR(IF(AND(INDEX(Arten,MATCH(AB17,Codes,0))="Arbeit",INDEX(Arten,MATCH(AC17,Codes,0))="Arbeit"),IF(ROUND((1+INDEX(Beginne,MATCH(AC17,Codes,0))-INDEX(EndeRel,MATCH(AB17,Codes,0)))*1440,0)&lt;660,1,0),0),0))</f>
      </c>
      <c r="AD66" s="1">
        <f>IF(OR(AD$52=0,AC17="",AD17=""),0,IFERROR(IF(AND(INDEX(Arten,MATCH(AC17,Codes,0))="Arbeit",INDEX(Arten,MATCH(AD17,Codes,0))="Arbeit"),IF(ROUND((1+INDEX(Beginne,MATCH(AD17,Codes,0))-INDEX(EndeRel,MATCH(AC17,Codes,0)))*1440,0)&lt;660,1,0),0),0))</f>
      </c>
      <c r="AE66" s="1">
        <f>IF(OR(AE$52=0,AD17="",AE17=""),0,IFERROR(IF(AND(INDEX(Arten,MATCH(AD17,Codes,0))="Arbeit",INDEX(Arten,MATCH(AE17,Codes,0))="Arbeit"),IF(ROUND((1+INDEX(Beginne,MATCH(AE17,Codes,0))-INDEX(EndeRel,MATCH(AD17,Codes,0)))*1440,0)&lt;660,1,0),0),0))</f>
      </c>
      <c r="AF66" s="1">
        <f>IF(OR(AF$52=0,AE17="",AF17=""),0,IFERROR(IF(AND(INDEX(Arten,MATCH(AE17,Codes,0))="Arbeit",INDEX(Arten,MATCH(AF17,Codes,0))="Arbeit"),IF(ROUND((1+INDEX(Beginne,MATCH(AF17,Codes,0))-INDEX(EndeRel,MATCH(AE17,Codes,0)))*1440,0)&lt;660,1,0),0),0))</f>
      </c>
    </row>
    <row r="67" hidden="1" spans="1:32" x14ac:dyDescent="0.25">
      <c r="A67" s="1"/>
      <c r="B67" s="1">
        <f>IF(OR(B$52=0,INDEX('November'!$B$18:$AF$18,DAY(DATE(Jahr,12,0)))="",B18=""),0,IFERROR(IF(AND(INDEX(Arten,MATCH(INDEX('November'!$B$18:$AF$18,DAY(DATE(Jahr,12,0))),Codes,0))="Arbeit",INDEX(Arten,MATCH(B18,Codes,0))="Arbeit"),IF(ROUND((1+INDEX(Beginne,MATCH(B18,Codes,0))-INDEX(EndeRel,MATCH(INDEX('November'!$B$18:$AF$18,DAY(DATE(Jahr,12,0))),Codes,0)))*1440,0)&lt;660,1,0),0),0))</f>
      </c>
      <c r="C67" s="1">
        <f>IF(OR(C$52=0,B18="",C18=""),0,IFERROR(IF(AND(INDEX(Arten,MATCH(B18,Codes,0))="Arbeit",INDEX(Arten,MATCH(C18,Codes,0))="Arbeit"),IF(ROUND((1+INDEX(Beginne,MATCH(C18,Codes,0))-INDEX(EndeRel,MATCH(B18,Codes,0)))*1440,0)&lt;660,1,0),0),0))</f>
      </c>
      <c r="D67" s="1">
        <f>IF(OR(D$52=0,C18="",D18=""),0,IFERROR(IF(AND(INDEX(Arten,MATCH(C18,Codes,0))="Arbeit",INDEX(Arten,MATCH(D18,Codes,0))="Arbeit"),IF(ROUND((1+INDEX(Beginne,MATCH(D18,Codes,0))-INDEX(EndeRel,MATCH(C18,Codes,0)))*1440,0)&lt;660,1,0),0),0))</f>
      </c>
      <c r="E67" s="1">
        <f>IF(OR(E$52=0,D18="",E18=""),0,IFERROR(IF(AND(INDEX(Arten,MATCH(D18,Codes,0))="Arbeit",INDEX(Arten,MATCH(E18,Codes,0))="Arbeit"),IF(ROUND((1+INDEX(Beginne,MATCH(E18,Codes,0))-INDEX(EndeRel,MATCH(D18,Codes,0)))*1440,0)&lt;660,1,0),0),0))</f>
      </c>
      <c r="F67" s="1">
        <f>IF(OR(F$52=0,E18="",F18=""),0,IFERROR(IF(AND(INDEX(Arten,MATCH(E18,Codes,0))="Arbeit",INDEX(Arten,MATCH(F18,Codes,0))="Arbeit"),IF(ROUND((1+INDEX(Beginne,MATCH(F18,Codes,0))-INDEX(EndeRel,MATCH(E18,Codes,0)))*1440,0)&lt;660,1,0),0),0))</f>
      </c>
      <c r="G67" s="1">
        <f>IF(OR(G$52=0,F18="",G18=""),0,IFERROR(IF(AND(INDEX(Arten,MATCH(F18,Codes,0))="Arbeit",INDEX(Arten,MATCH(G18,Codes,0))="Arbeit"),IF(ROUND((1+INDEX(Beginne,MATCH(G18,Codes,0))-INDEX(EndeRel,MATCH(F18,Codes,0)))*1440,0)&lt;660,1,0),0),0))</f>
      </c>
      <c r="H67" s="1">
        <f>IF(OR(H$52=0,G18="",H18=""),0,IFERROR(IF(AND(INDEX(Arten,MATCH(G18,Codes,0))="Arbeit",INDEX(Arten,MATCH(H18,Codes,0))="Arbeit"),IF(ROUND((1+INDEX(Beginne,MATCH(H18,Codes,0))-INDEX(EndeRel,MATCH(G18,Codes,0)))*1440,0)&lt;660,1,0),0),0))</f>
      </c>
      <c r="I67" s="1">
        <f>IF(OR(I$52=0,H18="",I18=""),0,IFERROR(IF(AND(INDEX(Arten,MATCH(H18,Codes,0))="Arbeit",INDEX(Arten,MATCH(I18,Codes,0))="Arbeit"),IF(ROUND((1+INDEX(Beginne,MATCH(I18,Codes,0))-INDEX(EndeRel,MATCH(H18,Codes,0)))*1440,0)&lt;660,1,0),0),0))</f>
      </c>
      <c r="J67" s="1">
        <f>IF(OR(J$52=0,I18="",J18=""),0,IFERROR(IF(AND(INDEX(Arten,MATCH(I18,Codes,0))="Arbeit",INDEX(Arten,MATCH(J18,Codes,0))="Arbeit"),IF(ROUND((1+INDEX(Beginne,MATCH(J18,Codes,0))-INDEX(EndeRel,MATCH(I18,Codes,0)))*1440,0)&lt;660,1,0),0),0))</f>
      </c>
      <c r="K67" s="1">
        <f>IF(OR(K$52=0,J18="",K18=""),0,IFERROR(IF(AND(INDEX(Arten,MATCH(J18,Codes,0))="Arbeit",INDEX(Arten,MATCH(K18,Codes,0))="Arbeit"),IF(ROUND((1+INDEX(Beginne,MATCH(K18,Codes,0))-INDEX(EndeRel,MATCH(J18,Codes,0)))*1440,0)&lt;660,1,0),0),0))</f>
      </c>
      <c r="L67" s="1">
        <f>IF(OR(L$52=0,K18="",L18=""),0,IFERROR(IF(AND(INDEX(Arten,MATCH(K18,Codes,0))="Arbeit",INDEX(Arten,MATCH(L18,Codes,0))="Arbeit"),IF(ROUND((1+INDEX(Beginne,MATCH(L18,Codes,0))-INDEX(EndeRel,MATCH(K18,Codes,0)))*1440,0)&lt;660,1,0),0),0))</f>
      </c>
      <c r="M67" s="1">
        <f>IF(OR(M$52=0,L18="",M18=""),0,IFERROR(IF(AND(INDEX(Arten,MATCH(L18,Codes,0))="Arbeit",INDEX(Arten,MATCH(M18,Codes,0))="Arbeit"),IF(ROUND((1+INDEX(Beginne,MATCH(M18,Codes,0))-INDEX(EndeRel,MATCH(L18,Codes,0)))*1440,0)&lt;660,1,0),0),0))</f>
      </c>
      <c r="N67" s="1">
        <f>IF(OR(N$52=0,M18="",N18=""),0,IFERROR(IF(AND(INDEX(Arten,MATCH(M18,Codes,0))="Arbeit",INDEX(Arten,MATCH(N18,Codes,0))="Arbeit"),IF(ROUND((1+INDEX(Beginne,MATCH(N18,Codes,0))-INDEX(EndeRel,MATCH(M18,Codes,0)))*1440,0)&lt;660,1,0),0),0))</f>
      </c>
      <c r="O67" s="1">
        <f>IF(OR(O$52=0,N18="",O18=""),0,IFERROR(IF(AND(INDEX(Arten,MATCH(N18,Codes,0))="Arbeit",INDEX(Arten,MATCH(O18,Codes,0))="Arbeit"),IF(ROUND((1+INDEX(Beginne,MATCH(O18,Codes,0))-INDEX(EndeRel,MATCH(N18,Codes,0)))*1440,0)&lt;660,1,0),0),0))</f>
      </c>
      <c r="P67" s="1">
        <f>IF(OR(P$52=0,O18="",P18=""),0,IFERROR(IF(AND(INDEX(Arten,MATCH(O18,Codes,0))="Arbeit",INDEX(Arten,MATCH(P18,Codes,0))="Arbeit"),IF(ROUND((1+INDEX(Beginne,MATCH(P18,Codes,0))-INDEX(EndeRel,MATCH(O18,Codes,0)))*1440,0)&lt;660,1,0),0),0))</f>
      </c>
      <c r="Q67" s="1">
        <f>IF(OR(Q$52=0,P18="",Q18=""),0,IFERROR(IF(AND(INDEX(Arten,MATCH(P18,Codes,0))="Arbeit",INDEX(Arten,MATCH(Q18,Codes,0))="Arbeit"),IF(ROUND((1+INDEX(Beginne,MATCH(Q18,Codes,0))-INDEX(EndeRel,MATCH(P18,Codes,0)))*1440,0)&lt;660,1,0),0),0))</f>
      </c>
      <c r="R67" s="1">
        <f>IF(OR(R$52=0,Q18="",R18=""),0,IFERROR(IF(AND(INDEX(Arten,MATCH(Q18,Codes,0))="Arbeit",INDEX(Arten,MATCH(R18,Codes,0))="Arbeit"),IF(ROUND((1+INDEX(Beginne,MATCH(R18,Codes,0))-INDEX(EndeRel,MATCH(Q18,Codes,0)))*1440,0)&lt;660,1,0),0),0))</f>
      </c>
      <c r="S67" s="1">
        <f>IF(OR(S$52=0,R18="",S18=""),0,IFERROR(IF(AND(INDEX(Arten,MATCH(R18,Codes,0))="Arbeit",INDEX(Arten,MATCH(S18,Codes,0))="Arbeit"),IF(ROUND((1+INDEX(Beginne,MATCH(S18,Codes,0))-INDEX(EndeRel,MATCH(R18,Codes,0)))*1440,0)&lt;660,1,0),0),0))</f>
      </c>
      <c r="T67" s="1">
        <f>IF(OR(T$52=0,S18="",T18=""),0,IFERROR(IF(AND(INDEX(Arten,MATCH(S18,Codes,0))="Arbeit",INDEX(Arten,MATCH(T18,Codes,0))="Arbeit"),IF(ROUND((1+INDEX(Beginne,MATCH(T18,Codes,0))-INDEX(EndeRel,MATCH(S18,Codes,0)))*1440,0)&lt;660,1,0),0),0))</f>
      </c>
      <c r="U67" s="1">
        <f>IF(OR(U$52=0,T18="",U18=""),0,IFERROR(IF(AND(INDEX(Arten,MATCH(T18,Codes,0))="Arbeit",INDEX(Arten,MATCH(U18,Codes,0))="Arbeit"),IF(ROUND((1+INDEX(Beginne,MATCH(U18,Codes,0))-INDEX(EndeRel,MATCH(T18,Codes,0)))*1440,0)&lt;660,1,0),0),0))</f>
      </c>
      <c r="V67" s="1">
        <f>IF(OR(V$52=0,U18="",V18=""),0,IFERROR(IF(AND(INDEX(Arten,MATCH(U18,Codes,0))="Arbeit",INDEX(Arten,MATCH(V18,Codes,0))="Arbeit"),IF(ROUND((1+INDEX(Beginne,MATCH(V18,Codes,0))-INDEX(EndeRel,MATCH(U18,Codes,0)))*1440,0)&lt;660,1,0),0),0))</f>
      </c>
      <c r="W67" s="1">
        <f>IF(OR(W$52=0,V18="",W18=""),0,IFERROR(IF(AND(INDEX(Arten,MATCH(V18,Codes,0))="Arbeit",INDEX(Arten,MATCH(W18,Codes,0))="Arbeit"),IF(ROUND((1+INDEX(Beginne,MATCH(W18,Codes,0))-INDEX(EndeRel,MATCH(V18,Codes,0)))*1440,0)&lt;660,1,0),0),0))</f>
      </c>
      <c r="X67" s="1">
        <f>IF(OR(X$52=0,W18="",X18=""),0,IFERROR(IF(AND(INDEX(Arten,MATCH(W18,Codes,0))="Arbeit",INDEX(Arten,MATCH(X18,Codes,0))="Arbeit"),IF(ROUND((1+INDEX(Beginne,MATCH(X18,Codes,0))-INDEX(EndeRel,MATCH(W18,Codes,0)))*1440,0)&lt;660,1,0),0),0))</f>
      </c>
      <c r="Y67" s="1">
        <f>IF(OR(Y$52=0,X18="",Y18=""),0,IFERROR(IF(AND(INDEX(Arten,MATCH(X18,Codes,0))="Arbeit",INDEX(Arten,MATCH(Y18,Codes,0))="Arbeit"),IF(ROUND((1+INDEX(Beginne,MATCH(Y18,Codes,0))-INDEX(EndeRel,MATCH(X18,Codes,0)))*1440,0)&lt;660,1,0),0),0))</f>
      </c>
      <c r="Z67" s="1">
        <f>IF(OR(Z$52=0,Y18="",Z18=""),0,IFERROR(IF(AND(INDEX(Arten,MATCH(Y18,Codes,0))="Arbeit",INDEX(Arten,MATCH(Z18,Codes,0))="Arbeit"),IF(ROUND((1+INDEX(Beginne,MATCH(Z18,Codes,0))-INDEX(EndeRel,MATCH(Y18,Codes,0)))*1440,0)&lt;660,1,0),0),0))</f>
      </c>
      <c r="AA67" s="1">
        <f>IF(OR(AA$52=0,Z18="",AA18=""),0,IFERROR(IF(AND(INDEX(Arten,MATCH(Z18,Codes,0))="Arbeit",INDEX(Arten,MATCH(AA18,Codes,0))="Arbeit"),IF(ROUND((1+INDEX(Beginne,MATCH(AA18,Codes,0))-INDEX(EndeRel,MATCH(Z18,Codes,0)))*1440,0)&lt;660,1,0),0),0))</f>
      </c>
      <c r="AB67" s="1">
        <f>IF(OR(AB$52=0,AA18="",AB18=""),0,IFERROR(IF(AND(INDEX(Arten,MATCH(AA18,Codes,0))="Arbeit",INDEX(Arten,MATCH(AB18,Codes,0))="Arbeit"),IF(ROUND((1+INDEX(Beginne,MATCH(AB18,Codes,0))-INDEX(EndeRel,MATCH(AA18,Codes,0)))*1440,0)&lt;660,1,0),0),0))</f>
      </c>
      <c r="AC67" s="1">
        <f>IF(OR(AC$52=0,AB18="",AC18=""),0,IFERROR(IF(AND(INDEX(Arten,MATCH(AB18,Codes,0))="Arbeit",INDEX(Arten,MATCH(AC18,Codes,0))="Arbeit"),IF(ROUND((1+INDEX(Beginne,MATCH(AC18,Codes,0))-INDEX(EndeRel,MATCH(AB18,Codes,0)))*1440,0)&lt;660,1,0),0),0))</f>
      </c>
      <c r="AD67" s="1">
        <f>IF(OR(AD$52=0,AC18="",AD18=""),0,IFERROR(IF(AND(INDEX(Arten,MATCH(AC18,Codes,0))="Arbeit",INDEX(Arten,MATCH(AD18,Codes,0))="Arbeit"),IF(ROUND((1+INDEX(Beginne,MATCH(AD18,Codes,0))-INDEX(EndeRel,MATCH(AC18,Codes,0)))*1440,0)&lt;660,1,0),0),0))</f>
      </c>
      <c r="AE67" s="1">
        <f>IF(OR(AE$52=0,AD18="",AE18=""),0,IFERROR(IF(AND(INDEX(Arten,MATCH(AD18,Codes,0))="Arbeit",INDEX(Arten,MATCH(AE18,Codes,0))="Arbeit"),IF(ROUND((1+INDEX(Beginne,MATCH(AE18,Codes,0))-INDEX(EndeRel,MATCH(AD18,Codes,0)))*1440,0)&lt;660,1,0),0),0))</f>
      </c>
      <c r="AF67" s="1">
        <f>IF(OR(AF$52=0,AE18="",AF18=""),0,IFERROR(IF(AND(INDEX(Arten,MATCH(AE18,Codes,0))="Arbeit",INDEX(Arten,MATCH(AF18,Codes,0))="Arbeit"),IF(ROUND((1+INDEX(Beginne,MATCH(AF18,Codes,0))-INDEX(EndeRel,MATCH(AE18,Codes,0)))*1440,0)&lt;660,1,0),0),0))</f>
      </c>
    </row>
    <row r="68" hidden="1" spans="1:32" x14ac:dyDescent="0.25">
      <c r="A68" s="1"/>
      <c r="B68" s="1">
        <f>IF(OR(B$52=0,INDEX('November'!$B$19:$AF$19,DAY(DATE(Jahr,12,0)))="",B19=""),0,IFERROR(IF(AND(INDEX(Arten,MATCH(INDEX('November'!$B$19:$AF$19,DAY(DATE(Jahr,12,0))),Codes,0))="Arbeit",INDEX(Arten,MATCH(B19,Codes,0))="Arbeit"),IF(ROUND((1+INDEX(Beginne,MATCH(B19,Codes,0))-INDEX(EndeRel,MATCH(INDEX('November'!$B$19:$AF$19,DAY(DATE(Jahr,12,0))),Codes,0)))*1440,0)&lt;660,1,0),0),0))</f>
      </c>
      <c r="C68" s="1">
        <f>IF(OR(C$52=0,B19="",C19=""),0,IFERROR(IF(AND(INDEX(Arten,MATCH(B19,Codes,0))="Arbeit",INDEX(Arten,MATCH(C19,Codes,0))="Arbeit"),IF(ROUND((1+INDEX(Beginne,MATCH(C19,Codes,0))-INDEX(EndeRel,MATCH(B19,Codes,0)))*1440,0)&lt;660,1,0),0),0))</f>
      </c>
      <c r="D68" s="1">
        <f>IF(OR(D$52=0,C19="",D19=""),0,IFERROR(IF(AND(INDEX(Arten,MATCH(C19,Codes,0))="Arbeit",INDEX(Arten,MATCH(D19,Codes,0))="Arbeit"),IF(ROUND((1+INDEX(Beginne,MATCH(D19,Codes,0))-INDEX(EndeRel,MATCH(C19,Codes,0)))*1440,0)&lt;660,1,0),0),0))</f>
      </c>
      <c r="E68" s="1">
        <f>IF(OR(E$52=0,D19="",E19=""),0,IFERROR(IF(AND(INDEX(Arten,MATCH(D19,Codes,0))="Arbeit",INDEX(Arten,MATCH(E19,Codes,0))="Arbeit"),IF(ROUND((1+INDEX(Beginne,MATCH(E19,Codes,0))-INDEX(EndeRel,MATCH(D19,Codes,0)))*1440,0)&lt;660,1,0),0),0))</f>
      </c>
      <c r="F68" s="1">
        <f>IF(OR(F$52=0,E19="",F19=""),0,IFERROR(IF(AND(INDEX(Arten,MATCH(E19,Codes,0))="Arbeit",INDEX(Arten,MATCH(F19,Codes,0))="Arbeit"),IF(ROUND((1+INDEX(Beginne,MATCH(F19,Codes,0))-INDEX(EndeRel,MATCH(E19,Codes,0)))*1440,0)&lt;660,1,0),0),0))</f>
      </c>
      <c r="G68" s="1">
        <f>IF(OR(G$52=0,F19="",G19=""),0,IFERROR(IF(AND(INDEX(Arten,MATCH(F19,Codes,0))="Arbeit",INDEX(Arten,MATCH(G19,Codes,0))="Arbeit"),IF(ROUND((1+INDEX(Beginne,MATCH(G19,Codes,0))-INDEX(EndeRel,MATCH(F19,Codes,0)))*1440,0)&lt;660,1,0),0),0))</f>
      </c>
      <c r="H68" s="1">
        <f>IF(OR(H$52=0,G19="",H19=""),0,IFERROR(IF(AND(INDEX(Arten,MATCH(G19,Codes,0))="Arbeit",INDEX(Arten,MATCH(H19,Codes,0))="Arbeit"),IF(ROUND((1+INDEX(Beginne,MATCH(H19,Codes,0))-INDEX(EndeRel,MATCH(G19,Codes,0)))*1440,0)&lt;660,1,0),0),0))</f>
      </c>
      <c r="I68" s="1">
        <f>IF(OR(I$52=0,H19="",I19=""),0,IFERROR(IF(AND(INDEX(Arten,MATCH(H19,Codes,0))="Arbeit",INDEX(Arten,MATCH(I19,Codes,0))="Arbeit"),IF(ROUND((1+INDEX(Beginne,MATCH(I19,Codes,0))-INDEX(EndeRel,MATCH(H19,Codes,0)))*1440,0)&lt;660,1,0),0),0))</f>
      </c>
      <c r="J68" s="1">
        <f>IF(OR(J$52=0,I19="",J19=""),0,IFERROR(IF(AND(INDEX(Arten,MATCH(I19,Codes,0))="Arbeit",INDEX(Arten,MATCH(J19,Codes,0))="Arbeit"),IF(ROUND((1+INDEX(Beginne,MATCH(J19,Codes,0))-INDEX(EndeRel,MATCH(I19,Codes,0)))*1440,0)&lt;660,1,0),0),0))</f>
      </c>
      <c r="K68" s="1">
        <f>IF(OR(K$52=0,J19="",K19=""),0,IFERROR(IF(AND(INDEX(Arten,MATCH(J19,Codes,0))="Arbeit",INDEX(Arten,MATCH(K19,Codes,0))="Arbeit"),IF(ROUND((1+INDEX(Beginne,MATCH(K19,Codes,0))-INDEX(EndeRel,MATCH(J19,Codes,0)))*1440,0)&lt;660,1,0),0),0))</f>
      </c>
      <c r="L68" s="1">
        <f>IF(OR(L$52=0,K19="",L19=""),0,IFERROR(IF(AND(INDEX(Arten,MATCH(K19,Codes,0))="Arbeit",INDEX(Arten,MATCH(L19,Codes,0))="Arbeit"),IF(ROUND((1+INDEX(Beginne,MATCH(L19,Codes,0))-INDEX(EndeRel,MATCH(K19,Codes,0)))*1440,0)&lt;660,1,0),0),0))</f>
      </c>
      <c r="M68" s="1">
        <f>IF(OR(M$52=0,L19="",M19=""),0,IFERROR(IF(AND(INDEX(Arten,MATCH(L19,Codes,0))="Arbeit",INDEX(Arten,MATCH(M19,Codes,0))="Arbeit"),IF(ROUND((1+INDEX(Beginne,MATCH(M19,Codes,0))-INDEX(EndeRel,MATCH(L19,Codes,0)))*1440,0)&lt;660,1,0),0),0))</f>
      </c>
      <c r="N68" s="1">
        <f>IF(OR(N$52=0,M19="",N19=""),0,IFERROR(IF(AND(INDEX(Arten,MATCH(M19,Codes,0))="Arbeit",INDEX(Arten,MATCH(N19,Codes,0))="Arbeit"),IF(ROUND((1+INDEX(Beginne,MATCH(N19,Codes,0))-INDEX(EndeRel,MATCH(M19,Codes,0)))*1440,0)&lt;660,1,0),0),0))</f>
      </c>
      <c r="O68" s="1">
        <f>IF(OR(O$52=0,N19="",O19=""),0,IFERROR(IF(AND(INDEX(Arten,MATCH(N19,Codes,0))="Arbeit",INDEX(Arten,MATCH(O19,Codes,0))="Arbeit"),IF(ROUND((1+INDEX(Beginne,MATCH(O19,Codes,0))-INDEX(EndeRel,MATCH(N19,Codes,0)))*1440,0)&lt;660,1,0),0),0))</f>
      </c>
      <c r="P68" s="1">
        <f>IF(OR(P$52=0,O19="",P19=""),0,IFERROR(IF(AND(INDEX(Arten,MATCH(O19,Codes,0))="Arbeit",INDEX(Arten,MATCH(P19,Codes,0))="Arbeit"),IF(ROUND((1+INDEX(Beginne,MATCH(P19,Codes,0))-INDEX(EndeRel,MATCH(O19,Codes,0)))*1440,0)&lt;660,1,0),0),0))</f>
      </c>
      <c r="Q68" s="1">
        <f>IF(OR(Q$52=0,P19="",Q19=""),0,IFERROR(IF(AND(INDEX(Arten,MATCH(P19,Codes,0))="Arbeit",INDEX(Arten,MATCH(Q19,Codes,0))="Arbeit"),IF(ROUND((1+INDEX(Beginne,MATCH(Q19,Codes,0))-INDEX(EndeRel,MATCH(P19,Codes,0)))*1440,0)&lt;660,1,0),0),0))</f>
      </c>
      <c r="R68" s="1">
        <f>IF(OR(R$52=0,Q19="",R19=""),0,IFERROR(IF(AND(INDEX(Arten,MATCH(Q19,Codes,0))="Arbeit",INDEX(Arten,MATCH(R19,Codes,0))="Arbeit"),IF(ROUND((1+INDEX(Beginne,MATCH(R19,Codes,0))-INDEX(EndeRel,MATCH(Q19,Codes,0)))*1440,0)&lt;660,1,0),0),0))</f>
      </c>
      <c r="S68" s="1">
        <f>IF(OR(S$52=0,R19="",S19=""),0,IFERROR(IF(AND(INDEX(Arten,MATCH(R19,Codes,0))="Arbeit",INDEX(Arten,MATCH(S19,Codes,0))="Arbeit"),IF(ROUND((1+INDEX(Beginne,MATCH(S19,Codes,0))-INDEX(EndeRel,MATCH(R19,Codes,0)))*1440,0)&lt;660,1,0),0),0))</f>
      </c>
      <c r="T68" s="1">
        <f>IF(OR(T$52=0,S19="",T19=""),0,IFERROR(IF(AND(INDEX(Arten,MATCH(S19,Codes,0))="Arbeit",INDEX(Arten,MATCH(T19,Codes,0))="Arbeit"),IF(ROUND((1+INDEX(Beginne,MATCH(T19,Codes,0))-INDEX(EndeRel,MATCH(S19,Codes,0)))*1440,0)&lt;660,1,0),0),0))</f>
      </c>
      <c r="U68" s="1">
        <f>IF(OR(U$52=0,T19="",U19=""),0,IFERROR(IF(AND(INDEX(Arten,MATCH(T19,Codes,0))="Arbeit",INDEX(Arten,MATCH(U19,Codes,0))="Arbeit"),IF(ROUND((1+INDEX(Beginne,MATCH(U19,Codes,0))-INDEX(EndeRel,MATCH(T19,Codes,0)))*1440,0)&lt;660,1,0),0),0))</f>
      </c>
      <c r="V68" s="1">
        <f>IF(OR(V$52=0,U19="",V19=""),0,IFERROR(IF(AND(INDEX(Arten,MATCH(U19,Codes,0))="Arbeit",INDEX(Arten,MATCH(V19,Codes,0))="Arbeit"),IF(ROUND((1+INDEX(Beginne,MATCH(V19,Codes,0))-INDEX(EndeRel,MATCH(U19,Codes,0)))*1440,0)&lt;660,1,0),0),0))</f>
      </c>
      <c r="W68" s="1">
        <f>IF(OR(W$52=0,V19="",W19=""),0,IFERROR(IF(AND(INDEX(Arten,MATCH(V19,Codes,0))="Arbeit",INDEX(Arten,MATCH(W19,Codes,0))="Arbeit"),IF(ROUND((1+INDEX(Beginne,MATCH(W19,Codes,0))-INDEX(EndeRel,MATCH(V19,Codes,0)))*1440,0)&lt;660,1,0),0),0))</f>
      </c>
      <c r="X68" s="1">
        <f>IF(OR(X$52=0,W19="",X19=""),0,IFERROR(IF(AND(INDEX(Arten,MATCH(W19,Codes,0))="Arbeit",INDEX(Arten,MATCH(X19,Codes,0))="Arbeit"),IF(ROUND((1+INDEX(Beginne,MATCH(X19,Codes,0))-INDEX(EndeRel,MATCH(W19,Codes,0)))*1440,0)&lt;660,1,0),0),0))</f>
      </c>
      <c r="Y68" s="1">
        <f>IF(OR(Y$52=0,X19="",Y19=""),0,IFERROR(IF(AND(INDEX(Arten,MATCH(X19,Codes,0))="Arbeit",INDEX(Arten,MATCH(Y19,Codes,0))="Arbeit"),IF(ROUND((1+INDEX(Beginne,MATCH(Y19,Codes,0))-INDEX(EndeRel,MATCH(X19,Codes,0)))*1440,0)&lt;660,1,0),0),0))</f>
      </c>
      <c r="Z68" s="1">
        <f>IF(OR(Z$52=0,Y19="",Z19=""),0,IFERROR(IF(AND(INDEX(Arten,MATCH(Y19,Codes,0))="Arbeit",INDEX(Arten,MATCH(Z19,Codes,0))="Arbeit"),IF(ROUND((1+INDEX(Beginne,MATCH(Z19,Codes,0))-INDEX(EndeRel,MATCH(Y19,Codes,0)))*1440,0)&lt;660,1,0),0),0))</f>
      </c>
      <c r="AA68" s="1">
        <f>IF(OR(AA$52=0,Z19="",AA19=""),0,IFERROR(IF(AND(INDEX(Arten,MATCH(Z19,Codes,0))="Arbeit",INDEX(Arten,MATCH(AA19,Codes,0))="Arbeit"),IF(ROUND((1+INDEX(Beginne,MATCH(AA19,Codes,0))-INDEX(EndeRel,MATCH(Z19,Codes,0)))*1440,0)&lt;660,1,0),0),0))</f>
      </c>
      <c r="AB68" s="1">
        <f>IF(OR(AB$52=0,AA19="",AB19=""),0,IFERROR(IF(AND(INDEX(Arten,MATCH(AA19,Codes,0))="Arbeit",INDEX(Arten,MATCH(AB19,Codes,0))="Arbeit"),IF(ROUND((1+INDEX(Beginne,MATCH(AB19,Codes,0))-INDEX(EndeRel,MATCH(AA19,Codes,0)))*1440,0)&lt;660,1,0),0),0))</f>
      </c>
      <c r="AC68" s="1">
        <f>IF(OR(AC$52=0,AB19="",AC19=""),0,IFERROR(IF(AND(INDEX(Arten,MATCH(AB19,Codes,0))="Arbeit",INDEX(Arten,MATCH(AC19,Codes,0))="Arbeit"),IF(ROUND((1+INDEX(Beginne,MATCH(AC19,Codes,0))-INDEX(EndeRel,MATCH(AB19,Codes,0)))*1440,0)&lt;660,1,0),0),0))</f>
      </c>
      <c r="AD68" s="1">
        <f>IF(OR(AD$52=0,AC19="",AD19=""),0,IFERROR(IF(AND(INDEX(Arten,MATCH(AC19,Codes,0))="Arbeit",INDEX(Arten,MATCH(AD19,Codes,0))="Arbeit"),IF(ROUND((1+INDEX(Beginne,MATCH(AD19,Codes,0))-INDEX(EndeRel,MATCH(AC19,Codes,0)))*1440,0)&lt;660,1,0),0),0))</f>
      </c>
      <c r="AE68" s="1">
        <f>IF(OR(AE$52=0,AD19="",AE19=""),0,IFERROR(IF(AND(INDEX(Arten,MATCH(AD19,Codes,0))="Arbeit",INDEX(Arten,MATCH(AE19,Codes,0))="Arbeit"),IF(ROUND((1+INDEX(Beginne,MATCH(AE19,Codes,0))-INDEX(EndeRel,MATCH(AD19,Codes,0)))*1440,0)&lt;660,1,0),0),0))</f>
      </c>
      <c r="AF68" s="1">
        <f>IF(OR(AF$52=0,AE19="",AF19=""),0,IFERROR(IF(AND(INDEX(Arten,MATCH(AE19,Codes,0))="Arbeit",INDEX(Arten,MATCH(AF19,Codes,0))="Arbeit"),IF(ROUND((1+INDEX(Beginne,MATCH(AF19,Codes,0))-INDEX(EndeRel,MATCH(AE19,Codes,0)))*1440,0)&lt;660,1,0),0),0))</f>
      </c>
    </row>
    <row r="69" hidden="1" spans="1:32" x14ac:dyDescent="0.25">
      <c r="A69" s="1"/>
      <c r="B69" s="1">
        <f>IF(OR(B$52=0,INDEX('November'!$B$20:$AF$20,DAY(DATE(Jahr,12,0)))="",B20=""),0,IFERROR(IF(AND(INDEX(Arten,MATCH(INDEX('November'!$B$20:$AF$20,DAY(DATE(Jahr,12,0))),Codes,0))="Arbeit",INDEX(Arten,MATCH(B20,Codes,0))="Arbeit"),IF(ROUND((1+INDEX(Beginne,MATCH(B20,Codes,0))-INDEX(EndeRel,MATCH(INDEX('November'!$B$20:$AF$20,DAY(DATE(Jahr,12,0))),Codes,0)))*1440,0)&lt;660,1,0),0),0))</f>
      </c>
      <c r="C69" s="1">
        <f>IF(OR(C$52=0,B20="",C20=""),0,IFERROR(IF(AND(INDEX(Arten,MATCH(B20,Codes,0))="Arbeit",INDEX(Arten,MATCH(C20,Codes,0))="Arbeit"),IF(ROUND((1+INDEX(Beginne,MATCH(C20,Codes,0))-INDEX(EndeRel,MATCH(B20,Codes,0)))*1440,0)&lt;660,1,0),0),0))</f>
      </c>
      <c r="D69" s="1">
        <f>IF(OR(D$52=0,C20="",D20=""),0,IFERROR(IF(AND(INDEX(Arten,MATCH(C20,Codes,0))="Arbeit",INDEX(Arten,MATCH(D20,Codes,0))="Arbeit"),IF(ROUND((1+INDEX(Beginne,MATCH(D20,Codes,0))-INDEX(EndeRel,MATCH(C20,Codes,0)))*1440,0)&lt;660,1,0),0),0))</f>
      </c>
      <c r="E69" s="1">
        <f>IF(OR(E$52=0,D20="",E20=""),0,IFERROR(IF(AND(INDEX(Arten,MATCH(D20,Codes,0))="Arbeit",INDEX(Arten,MATCH(E20,Codes,0))="Arbeit"),IF(ROUND((1+INDEX(Beginne,MATCH(E20,Codes,0))-INDEX(EndeRel,MATCH(D20,Codes,0)))*1440,0)&lt;660,1,0),0),0))</f>
      </c>
      <c r="F69" s="1">
        <f>IF(OR(F$52=0,E20="",F20=""),0,IFERROR(IF(AND(INDEX(Arten,MATCH(E20,Codes,0))="Arbeit",INDEX(Arten,MATCH(F20,Codes,0))="Arbeit"),IF(ROUND((1+INDEX(Beginne,MATCH(F20,Codes,0))-INDEX(EndeRel,MATCH(E20,Codes,0)))*1440,0)&lt;660,1,0),0),0))</f>
      </c>
      <c r="G69" s="1">
        <f>IF(OR(G$52=0,F20="",G20=""),0,IFERROR(IF(AND(INDEX(Arten,MATCH(F20,Codes,0))="Arbeit",INDEX(Arten,MATCH(G20,Codes,0))="Arbeit"),IF(ROUND((1+INDEX(Beginne,MATCH(G20,Codes,0))-INDEX(EndeRel,MATCH(F20,Codes,0)))*1440,0)&lt;660,1,0),0),0))</f>
      </c>
      <c r="H69" s="1">
        <f>IF(OR(H$52=0,G20="",H20=""),0,IFERROR(IF(AND(INDEX(Arten,MATCH(G20,Codes,0))="Arbeit",INDEX(Arten,MATCH(H20,Codes,0))="Arbeit"),IF(ROUND((1+INDEX(Beginne,MATCH(H20,Codes,0))-INDEX(EndeRel,MATCH(G20,Codes,0)))*1440,0)&lt;660,1,0),0),0))</f>
      </c>
      <c r="I69" s="1">
        <f>IF(OR(I$52=0,H20="",I20=""),0,IFERROR(IF(AND(INDEX(Arten,MATCH(H20,Codes,0))="Arbeit",INDEX(Arten,MATCH(I20,Codes,0))="Arbeit"),IF(ROUND((1+INDEX(Beginne,MATCH(I20,Codes,0))-INDEX(EndeRel,MATCH(H20,Codes,0)))*1440,0)&lt;660,1,0),0),0))</f>
      </c>
      <c r="J69" s="1">
        <f>IF(OR(J$52=0,I20="",J20=""),0,IFERROR(IF(AND(INDEX(Arten,MATCH(I20,Codes,0))="Arbeit",INDEX(Arten,MATCH(J20,Codes,0))="Arbeit"),IF(ROUND((1+INDEX(Beginne,MATCH(J20,Codes,0))-INDEX(EndeRel,MATCH(I20,Codes,0)))*1440,0)&lt;660,1,0),0),0))</f>
      </c>
      <c r="K69" s="1">
        <f>IF(OR(K$52=0,J20="",K20=""),0,IFERROR(IF(AND(INDEX(Arten,MATCH(J20,Codes,0))="Arbeit",INDEX(Arten,MATCH(K20,Codes,0))="Arbeit"),IF(ROUND((1+INDEX(Beginne,MATCH(K20,Codes,0))-INDEX(EndeRel,MATCH(J20,Codes,0)))*1440,0)&lt;660,1,0),0),0))</f>
      </c>
      <c r="L69" s="1">
        <f>IF(OR(L$52=0,K20="",L20=""),0,IFERROR(IF(AND(INDEX(Arten,MATCH(K20,Codes,0))="Arbeit",INDEX(Arten,MATCH(L20,Codes,0))="Arbeit"),IF(ROUND((1+INDEX(Beginne,MATCH(L20,Codes,0))-INDEX(EndeRel,MATCH(K20,Codes,0)))*1440,0)&lt;660,1,0),0),0))</f>
      </c>
      <c r="M69" s="1">
        <f>IF(OR(M$52=0,L20="",M20=""),0,IFERROR(IF(AND(INDEX(Arten,MATCH(L20,Codes,0))="Arbeit",INDEX(Arten,MATCH(M20,Codes,0))="Arbeit"),IF(ROUND((1+INDEX(Beginne,MATCH(M20,Codes,0))-INDEX(EndeRel,MATCH(L20,Codes,0)))*1440,0)&lt;660,1,0),0),0))</f>
      </c>
      <c r="N69" s="1">
        <f>IF(OR(N$52=0,M20="",N20=""),0,IFERROR(IF(AND(INDEX(Arten,MATCH(M20,Codes,0))="Arbeit",INDEX(Arten,MATCH(N20,Codes,0))="Arbeit"),IF(ROUND((1+INDEX(Beginne,MATCH(N20,Codes,0))-INDEX(EndeRel,MATCH(M20,Codes,0)))*1440,0)&lt;660,1,0),0),0))</f>
      </c>
      <c r="O69" s="1">
        <f>IF(OR(O$52=0,N20="",O20=""),0,IFERROR(IF(AND(INDEX(Arten,MATCH(N20,Codes,0))="Arbeit",INDEX(Arten,MATCH(O20,Codes,0))="Arbeit"),IF(ROUND((1+INDEX(Beginne,MATCH(O20,Codes,0))-INDEX(EndeRel,MATCH(N20,Codes,0)))*1440,0)&lt;660,1,0),0),0))</f>
      </c>
      <c r="P69" s="1">
        <f>IF(OR(P$52=0,O20="",P20=""),0,IFERROR(IF(AND(INDEX(Arten,MATCH(O20,Codes,0))="Arbeit",INDEX(Arten,MATCH(P20,Codes,0))="Arbeit"),IF(ROUND((1+INDEX(Beginne,MATCH(P20,Codes,0))-INDEX(EndeRel,MATCH(O20,Codes,0)))*1440,0)&lt;660,1,0),0),0))</f>
      </c>
      <c r="Q69" s="1">
        <f>IF(OR(Q$52=0,P20="",Q20=""),0,IFERROR(IF(AND(INDEX(Arten,MATCH(P20,Codes,0))="Arbeit",INDEX(Arten,MATCH(Q20,Codes,0))="Arbeit"),IF(ROUND((1+INDEX(Beginne,MATCH(Q20,Codes,0))-INDEX(EndeRel,MATCH(P20,Codes,0)))*1440,0)&lt;660,1,0),0),0))</f>
      </c>
      <c r="R69" s="1">
        <f>IF(OR(R$52=0,Q20="",R20=""),0,IFERROR(IF(AND(INDEX(Arten,MATCH(Q20,Codes,0))="Arbeit",INDEX(Arten,MATCH(R20,Codes,0))="Arbeit"),IF(ROUND((1+INDEX(Beginne,MATCH(R20,Codes,0))-INDEX(EndeRel,MATCH(Q20,Codes,0)))*1440,0)&lt;660,1,0),0),0))</f>
      </c>
      <c r="S69" s="1">
        <f>IF(OR(S$52=0,R20="",S20=""),0,IFERROR(IF(AND(INDEX(Arten,MATCH(R20,Codes,0))="Arbeit",INDEX(Arten,MATCH(S20,Codes,0))="Arbeit"),IF(ROUND((1+INDEX(Beginne,MATCH(S20,Codes,0))-INDEX(EndeRel,MATCH(R20,Codes,0)))*1440,0)&lt;660,1,0),0),0))</f>
      </c>
      <c r="T69" s="1">
        <f>IF(OR(T$52=0,S20="",T20=""),0,IFERROR(IF(AND(INDEX(Arten,MATCH(S20,Codes,0))="Arbeit",INDEX(Arten,MATCH(T20,Codes,0))="Arbeit"),IF(ROUND((1+INDEX(Beginne,MATCH(T20,Codes,0))-INDEX(EndeRel,MATCH(S20,Codes,0)))*1440,0)&lt;660,1,0),0),0))</f>
      </c>
      <c r="U69" s="1">
        <f>IF(OR(U$52=0,T20="",U20=""),0,IFERROR(IF(AND(INDEX(Arten,MATCH(T20,Codes,0))="Arbeit",INDEX(Arten,MATCH(U20,Codes,0))="Arbeit"),IF(ROUND((1+INDEX(Beginne,MATCH(U20,Codes,0))-INDEX(EndeRel,MATCH(T20,Codes,0)))*1440,0)&lt;660,1,0),0),0))</f>
      </c>
      <c r="V69" s="1">
        <f>IF(OR(V$52=0,U20="",V20=""),0,IFERROR(IF(AND(INDEX(Arten,MATCH(U20,Codes,0))="Arbeit",INDEX(Arten,MATCH(V20,Codes,0))="Arbeit"),IF(ROUND((1+INDEX(Beginne,MATCH(V20,Codes,0))-INDEX(EndeRel,MATCH(U20,Codes,0)))*1440,0)&lt;660,1,0),0),0))</f>
      </c>
      <c r="W69" s="1">
        <f>IF(OR(W$52=0,V20="",W20=""),0,IFERROR(IF(AND(INDEX(Arten,MATCH(V20,Codes,0))="Arbeit",INDEX(Arten,MATCH(W20,Codes,0))="Arbeit"),IF(ROUND((1+INDEX(Beginne,MATCH(W20,Codes,0))-INDEX(EndeRel,MATCH(V20,Codes,0)))*1440,0)&lt;660,1,0),0),0))</f>
      </c>
      <c r="X69" s="1">
        <f>IF(OR(X$52=0,W20="",X20=""),0,IFERROR(IF(AND(INDEX(Arten,MATCH(W20,Codes,0))="Arbeit",INDEX(Arten,MATCH(X20,Codes,0))="Arbeit"),IF(ROUND((1+INDEX(Beginne,MATCH(X20,Codes,0))-INDEX(EndeRel,MATCH(W20,Codes,0)))*1440,0)&lt;660,1,0),0),0))</f>
      </c>
      <c r="Y69" s="1">
        <f>IF(OR(Y$52=0,X20="",Y20=""),0,IFERROR(IF(AND(INDEX(Arten,MATCH(X20,Codes,0))="Arbeit",INDEX(Arten,MATCH(Y20,Codes,0))="Arbeit"),IF(ROUND((1+INDEX(Beginne,MATCH(Y20,Codes,0))-INDEX(EndeRel,MATCH(X20,Codes,0)))*1440,0)&lt;660,1,0),0),0))</f>
      </c>
      <c r="Z69" s="1">
        <f>IF(OR(Z$52=0,Y20="",Z20=""),0,IFERROR(IF(AND(INDEX(Arten,MATCH(Y20,Codes,0))="Arbeit",INDEX(Arten,MATCH(Z20,Codes,0))="Arbeit"),IF(ROUND((1+INDEX(Beginne,MATCH(Z20,Codes,0))-INDEX(EndeRel,MATCH(Y20,Codes,0)))*1440,0)&lt;660,1,0),0),0))</f>
      </c>
      <c r="AA69" s="1">
        <f>IF(OR(AA$52=0,Z20="",AA20=""),0,IFERROR(IF(AND(INDEX(Arten,MATCH(Z20,Codes,0))="Arbeit",INDEX(Arten,MATCH(AA20,Codes,0))="Arbeit"),IF(ROUND((1+INDEX(Beginne,MATCH(AA20,Codes,0))-INDEX(EndeRel,MATCH(Z20,Codes,0)))*1440,0)&lt;660,1,0),0),0))</f>
      </c>
      <c r="AB69" s="1">
        <f>IF(OR(AB$52=0,AA20="",AB20=""),0,IFERROR(IF(AND(INDEX(Arten,MATCH(AA20,Codes,0))="Arbeit",INDEX(Arten,MATCH(AB20,Codes,0))="Arbeit"),IF(ROUND((1+INDEX(Beginne,MATCH(AB20,Codes,0))-INDEX(EndeRel,MATCH(AA20,Codes,0)))*1440,0)&lt;660,1,0),0),0))</f>
      </c>
      <c r="AC69" s="1">
        <f>IF(OR(AC$52=0,AB20="",AC20=""),0,IFERROR(IF(AND(INDEX(Arten,MATCH(AB20,Codes,0))="Arbeit",INDEX(Arten,MATCH(AC20,Codes,0))="Arbeit"),IF(ROUND((1+INDEX(Beginne,MATCH(AC20,Codes,0))-INDEX(EndeRel,MATCH(AB20,Codes,0)))*1440,0)&lt;660,1,0),0),0))</f>
      </c>
      <c r="AD69" s="1">
        <f>IF(OR(AD$52=0,AC20="",AD20=""),0,IFERROR(IF(AND(INDEX(Arten,MATCH(AC20,Codes,0))="Arbeit",INDEX(Arten,MATCH(AD20,Codes,0))="Arbeit"),IF(ROUND((1+INDEX(Beginne,MATCH(AD20,Codes,0))-INDEX(EndeRel,MATCH(AC20,Codes,0)))*1440,0)&lt;660,1,0),0),0))</f>
      </c>
      <c r="AE69" s="1">
        <f>IF(OR(AE$52=0,AD20="",AE20=""),0,IFERROR(IF(AND(INDEX(Arten,MATCH(AD20,Codes,0))="Arbeit",INDEX(Arten,MATCH(AE20,Codes,0))="Arbeit"),IF(ROUND((1+INDEX(Beginne,MATCH(AE20,Codes,0))-INDEX(EndeRel,MATCH(AD20,Codes,0)))*1440,0)&lt;660,1,0),0),0))</f>
      </c>
      <c r="AF69" s="1">
        <f>IF(OR(AF$52=0,AE20="",AF20=""),0,IFERROR(IF(AND(INDEX(Arten,MATCH(AE20,Codes,0))="Arbeit",INDEX(Arten,MATCH(AF20,Codes,0))="Arbeit"),IF(ROUND((1+INDEX(Beginne,MATCH(AF20,Codes,0))-INDEX(EndeRel,MATCH(AE20,Codes,0)))*1440,0)&lt;660,1,0),0),0))</f>
      </c>
    </row>
    <row r="70" hidden="1" spans="1:32" x14ac:dyDescent="0.25">
      <c r="A70" s="1"/>
      <c r="B70" s="1">
        <f>IF(OR(B$52=0,INDEX('November'!$B$21:$AF$21,DAY(DATE(Jahr,12,0)))="",B21=""),0,IFERROR(IF(AND(INDEX(Arten,MATCH(INDEX('November'!$B$21:$AF$21,DAY(DATE(Jahr,12,0))),Codes,0))="Arbeit",INDEX(Arten,MATCH(B21,Codes,0))="Arbeit"),IF(ROUND((1+INDEX(Beginne,MATCH(B21,Codes,0))-INDEX(EndeRel,MATCH(INDEX('November'!$B$21:$AF$21,DAY(DATE(Jahr,12,0))),Codes,0)))*1440,0)&lt;660,1,0),0),0))</f>
      </c>
      <c r="C70" s="1">
        <f>IF(OR(C$52=0,B21="",C21=""),0,IFERROR(IF(AND(INDEX(Arten,MATCH(B21,Codes,0))="Arbeit",INDEX(Arten,MATCH(C21,Codes,0))="Arbeit"),IF(ROUND((1+INDEX(Beginne,MATCH(C21,Codes,0))-INDEX(EndeRel,MATCH(B21,Codes,0)))*1440,0)&lt;660,1,0),0),0))</f>
      </c>
      <c r="D70" s="1">
        <f>IF(OR(D$52=0,C21="",D21=""),0,IFERROR(IF(AND(INDEX(Arten,MATCH(C21,Codes,0))="Arbeit",INDEX(Arten,MATCH(D21,Codes,0))="Arbeit"),IF(ROUND((1+INDEX(Beginne,MATCH(D21,Codes,0))-INDEX(EndeRel,MATCH(C21,Codes,0)))*1440,0)&lt;660,1,0),0),0))</f>
      </c>
      <c r="E70" s="1">
        <f>IF(OR(E$52=0,D21="",E21=""),0,IFERROR(IF(AND(INDEX(Arten,MATCH(D21,Codes,0))="Arbeit",INDEX(Arten,MATCH(E21,Codes,0))="Arbeit"),IF(ROUND((1+INDEX(Beginne,MATCH(E21,Codes,0))-INDEX(EndeRel,MATCH(D21,Codes,0)))*1440,0)&lt;660,1,0),0),0))</f>
      </c>
      <c r="F70" s="1">
        <f>IF(OR(F$52=0,E21="",F21=""),0,IFERROR(IF(AND(INDEX(Arten,MATCH(E21,Codes,0))="Arbeit",INDEX(Arten,MATCH(F21,Codes,0))="Arbeit"),IF(ROUND((1+INDEX(Beginne,MATCH(F21,Codes,0))-INDEX(EndeRel,MATCH(E21,Codes,0)))*1440,0)&lt;660,1,0),0),0))</f>
      </c>
      <c r="G70" s="1">
        <f>IF(OR(G$52=0,F21="",G21=""),0,IFERROR(IF(AND(INDEX(Arten,MATCH(F21,Codes,0))="Arbeit",INDEX(Arten,MATCH(G21,Codes,0))="Arbeit"),IF(ROUND((1+INDEX(Beginne,MATCH(G21,Codes,0))-INDEX(EndeRel,MATCH(F21,Codes,0)))*1440,0)&lt;660,1,0),0),0))</f>
      </c>
      <c r="H70" s="1">
        <f>IF(OR(H$52=0,G21="",H21=""),0,IFERROR(IF(AND(INDEX(Arten,MATCH(G21,Codes,0))="Arbeit",INDEX(Arten,MATCH(H21,Codes,0))="Arbeit"),IF(ROUND((1+INDEX(Beginne,MATCH(H21,Codes,0))-INDEX(EndeRel,MATCH(G21,Codes,0)))*1440,0)&lt;660,1,0),0),0))</f>
      </c>
      <c r="I70" s="1">
        <f>IF(OR(I$52=0,H21="",I21=""),0,IFERROR(IF(AND(INDEX(Arten,MATCH(H21,Codes,0))="Arbeit",INDEX(Arten,MATCH(I21,Codes,0))="Arbeit"),IF(ROUND((1+INDEX(Beginne,MATCH(I21,Codes,0))-INDEX(EndeRel,MATCH(H21,Codes,0)))*1440,0)&lt;660,1,0),0),0))</f>
      </c>
      <c r="J70" s="1">
        <f>IF(OR(J$52=0,I21="",J21=""),0,IFERROR(IF(AND(INDEX(Arten,MATCH(I21,Codes,0))="Arbeit",INDEX(Arten,MATCH(J21,Codes,0))="Arbeit"),IF(ROUND((1+INDEX(Beginne,MATCH(J21,Codes,0))-INDEX(EndeRel,MATCH(I21,Codes,0)))*1440,0)&lt;660,1,0),0),0))</f>
      </c>
      <c r="K70" s="1">
        <f>IF(OR(K$52=0,J21="",K21=""),0,IFERROR(IF(AND(INDEX(Arten,MATCH(J21,Codes,0))="Arbeit",INDEX(Arten,MATCH(K21,Codes,0))="Arbeit"),IF(ROUND((1+INDEX(Beginne,MATCH(K21,Codes,0))-INDEX(EndeRel,MATCH(J21,Codes,0)))*1440,0)&lt;660,1,0),0),0))</f>
      </c>
      <c r="L70" s="1">
        <f>IF(OR(L$52=0,K21="",L21=""),0,IFERROR(IF(AND(INDEX(Arten,MATCH(K21,Codes,0))="Arbeit",INDEX(Arten,MATCH(L21,Codes,0))="Arbeit"),IF(ROUND((1+INDEX(Beginne,MATCH(L21,Codes,0))-INDEX(EndeRel,MATCH(K21,Codes,0)))*1440,0)&lt;660,1,0),0),0))</f>
      </c>
      <c r="M70" s="1">
        <f>IF(OR(M$52=0,L21="",M21=""),0,IFERROR(IF(AND(INDEX(Arten,MATCH(L21,Codes,0))="Arbeit",INDEX(Arten,MATCH(M21,Codes,0))="Arbeit"),IF(ROUND((1+INDEX(Beginne,MATCH(M21,Codes,0))-INDEX(EndeRel,MATCH(L21,Codes,0)))*1440,0)&lt;660,1,0),0),0))</f>
      </c>
      <c r="N70" s="1">
        <f>IF(OR(N$52=0,M21="",N21=""),0,IFERROR(IF(AND(INDEX(Arten,MATCH(M21,Codes,0))="Arbeit",INDEX(Arten,MATCH(N21,Codes,0))="Arbeit"),IF(ROUND((1+INDEX(Beginne,MATCH(N21,Codes,0))-INDEX(EndeRel,MATCH(M21,Codes,0)))*1440,0)&lt;660,1,0),0),0))</f>
      </c>
      <c r="O70" s="1">
        <f>IF(OR(O$52=0,N21="",O21=""),0,IFERROR(IF(AND(INDEX(Arten,MATCH(N21,Codes,0))="Arbeit",INDEX(Arten,MATCH(O21,Codes,0))="Arbeit"),IF(ROUND((1+INDEX(Beginne,MATCH(O21,Codes,0))-INDEX(EndeRel,MATCH(N21,Codes,0)))*1440,0)&lt;660,1,0),0),0))</f>
      </c>
      <c r="P70" s="1">
        <f>IF(OR(P$52=0,O21="",P21=""),0,IFERROR(IF(AND(INDEX(Arten,MATCH(O21,Codes,0))="Arbeit",INDEX(Arten,MATCH(P21,Codes,0))="Arbeit"),IF(ROUND((1+INDEX(Beginne,MATCH(P21,Codes,0))-INDEX(EndeRel,MATCH(O21,Codes,0)))*1440,0)&lt;660,1,0),0),0))</f>
      </c>
      <c r="Q70" s="1">
        <f>IF(OR(Q$52=0,P21="",Q21=""),0,IFERROR(IF(AND(INDEX(Arten,MATCH(P21,Codes,0))="Arbeit",INDEX(Arten,MATCH(Q21,Codes,0))="Arbeit"),IF(ROUND((1+INDEX(Beginne,MATCH(Q21,Codes,0))-INDEX(EndeRel,MATCH(P21,Codes,0)))*1440,0)&lt;660,1,0),0),0))</f>
      </c>
      <c r="R70" s="1">
        <f>IF(OR(R$52=0,Q21="",R21=""),0,IFERROR(IF(AND(INDEX(Arten,MATCH(Q21,Codes,0))="Arbeit",INDEX(Arten,MATCH(R21,Codes,0))="Arbeit"),IF(ROUND((1+INDEX(Beginne,MATCH(R21,Codes,0))-INDEX(EndeRel,MATCH(Q21,Codes,0)))*1440,0)&lt;660,1,0),0),0))</f>
      </c>
      <c r="S70" s="1">
        <f>IF(OR(S$52=0,R21="",S21=""),0,IFERROR(IF(AND(INDEX(Arten,MATCH(R21,Codes,0))="Arbeit",INDEX(Arten,MATCH(S21,Codes,0))="Arbeit"),IF(ROUND((1+INDEX(Beginne,MATCH(S21,Codes,0))-INDEX(EndeRel,MATCH(R21,Codes,0)))*1440,0)&lt;660,1,0),0),0))</f>
      </c>
      <c r="T70" s="1">
        <f>IF(OR(T$52=0,S21="",T21=""),0,IFERROR(IF(AND(INDEX(Arten,MATCH(S21,Codes,0))="Arbeit",INDEX(Arten,MATCH(T21,Codes,0))="Arbeit"),IF(ROUND((1+INDEX(Beginne,MATCH(T21,Codes,0))-INDEX(EndeRel,MATCH(S21,Codes,0)))*1440,0)&lt;660,1,0),0),0))</f>
      </c>
      <c r="U70" s="1">
        <f>IF(OR(U$52=0,T21="",U21=""),0,IFERROR(IF(AND(INDEX(Arten,MATCH(T21,Codes,0))="Arbeit",INDEX(Arten,MATCH(U21,Codes,0))="Arbeit"),IF(ROUND((1+INDEX(Beginne,MATCH(U21,Codes,0))-INDEX(EndeRel,MATCH(T21,Codes,0)))*1440,0)&lt;660,1,0),0),0))</f>
      </c>
      <c r="V70" s="1">
        <f>IF(OR(V$52=0,U21="",V21=""),0,IFERROR(IF(AND(INDEX(Arten,MATCH(U21,Codes,0))="Arbeit",INDEX(Arten,MATCH(V21,Codes,0))="Arbeit"),IF(ROUND((1+INDEX(Beginne,MATCH(V21,Codes,0))-INDEX(EndeRel,MATCH(U21,Codes,0)))*1440,0)&lt;660,1,0),0),0))</f>
      </c>
      <c r="W70" s="1">
        <f>IF(OR(W$52=0,V21="",W21=""),0,IFERROR(IF(AND(INDEX(Arten,MATCH(V21,Codes,0))="Arbeit",INDEX(Arten,MATCH(W21,Codes,0))="Arbeit"),IF(ROUND((1+INDEX(Beginne,MATCH(W21,Codes,0))-INDEX(EndeRel,MATCH(V21,Codes,0)))*1440,0)&lt;660,1,0),0),0))</f>
      </c>
      <c r="X70" s="1">
        <f>IF(OR(X$52=0,W21="",X21=""),0,IFERROR(IF(AND(INDEX(Arten,MATCH(W21,Codes,0))="Arbeit",INDEX(Arten,MATCH(X21,Codes,0))="Arbeit"),IF(ROUND((1+INDEX(Beginne,MATCH(X21,Codes,0))-INDEX(EndeRel,MATCH(W21,Codes,0)))*1440,0)&lt;660,1,0),0),0))</f>
      </c>
      <c r="Y70" s="1">
        <f>IF(OR(Y$52=0,X21="",Y21=""),0,IFERROR(IF(AND(INDEX(Arten,MATCH(X21,Codes,0))="Arbeit",INDEX(Arten,MATCH(Y21,Codes,0))="Arbeit"),IF(ROUND((1+INDEX(Beginne,MATCH(Y21,Codes,0))-INDEX(EndeRel,MATCH(X21,Codes,0)))*1440,0)&lt;660,1,0),0),0))</f>
      </c>
      <c r="Z70" s="1">
        <f>IF(OR(Z$52=0,Y21="",Z21=""),0,IFERROR(IF(AND(INDEX(Arten,MATCH(Y21,Codes,0))="Arbeit",INDEX(Arten,MATCH(Z21,Codes,0))="Arbeit"),IF(ROUND((1+INDEX(Beginne,MATCH(Z21,Codes,0))-INDEX(EndeRel,MATCH(Y21,Codes,0)))*1440,0)&lt;660,1,0),0),0))</f>
      </c>
      <c r="AA70" s="1">
        <f>IF(OR(AA$52=0,Z21="",AA21=""),0,IFERROR(IF(AND(INDEX(Arten,MATCH(Z21,Codes,0))="Arbeit",INDEX(Arten,MATCH(AA21,Codes,0))="Arbeit"),IF(ROUND((1+INDEX(Beginne,MATCH(AA21,Codes,0))-INDEX(EndeRel,MATCH(Z21,Codes,0)))*1440,0)&lt;660,1,0),0),0))</f>
      </c>
      <c r="AB70" s="1">
        <f>IF(OR(AB$52=0,AA21="",AB21=""),0,IFERROR(IF(AND(INDEX(Arten,MATCH(AA21,Codes,0))="Arbeit",INDEX(Arten,MATCH(AB21,Codes,0))="Arbeit"),IF(ROUND((1+INDEX(Beginne,MATCH(AB21,Codes,0))-INDEX(EndeRel,MATCH(AA21,Codes,0)))*1440,0)&lt;660,1,0),0),0))</f>
      </c>
      <c r="AC70" s="1">
        <f>IF(OR(AC$52=0,AB21="",AC21=""),0,IFERROR(IF(AND(INDEX(Arten,MATCH(AB21,Codes,0))="Arbeit",INDEX(Arten,MATCH(AC21,Codes,0))="Arbeit"),IF(ROUND((1+INDEX(Beginne,MATCH(AC21,Codes,0))-INDEX(EndeRel,MATCH(AB21,Codes,0)))*1440,0)&lt;660,1,0),0),0))</f>
      </c>
      <c r="AD70" s="1">
        <f>IF(OR(AD$52=0,AC21="",AD21=""),0,IFERROR(IF(AND(INDEX(Arten,MATCH(AC21,Codes,0))="Arbeit",INDEX(Arten,MATCH(AD21,Codes,0))="Arbeit"),IF(ROUND((1+INDEX(Beginne,MATCH(AD21,Codes,0))-INDEX(EndeRel,MATCH(AC21,Codes,0)))*1440,0)&lt;660,1,0),0),0))</f>
      </c>
      <c r="AE70" s="1">
        <f>IF(OR(AE$52=0,AD21="",AE21=""),0,IFERROR(IF(AND(INDEX(Arten,MATCH(AD21,Codes,0))="Arbeit",INDEX(Arten,MATCH(AE21,Codes,0))="Arbeit"),IF(ROUND((1+INDEX(Beginne,MATCH(AE21,Codes,0))-INDEX(EndeRel,MATCH(AD21,Codes,0)))*1440,0)&lt;660,1,0),0),0))</f>
      </c>
      <c r="AF70" s="1">
        <f>IF(OR(AF$52=0,AE21="",AF21=""),0,IFERROR(IF(AND(INDEX(Arten,MATCH(AE21,Codes,0))="Arbeit",INDEX(Arten,MATCH(AF21,Codes,0))="Arbeit"),IF(ROUND((1+INDEX(Beginne,MATCH(AF21,Codes,0))-INDEX(EndeRel,MATCH(AE21,Codes,0)))*1440,0)&lt;660,1,0),0),0))</f>
      </c>
    </row>
    <row r="71" hidden="1" spans="1:32" x14ac:dyDescent="0.25">
      <c r="A71" s="1"/>
      <c r="B71" s="1">
        <f>IF(OR(B$52=0,INDEX('November'!$B$22:$AF$22,DAY(DATE(Jahr,12,0)))="",B22=""),0,IFERROR(IF(AND(INDEX(Arten,MATCH(INDEX('November'!$B$22:$AF$22,DAY(DATE(Jahr,12,0))),Codes,0))="Arbeit",INDEX(Arten,MATCH(B22,Codes,0))="Arbeit"),IF(ROUND((1+INDEX(Beginne,MATCH(B22,Codes,0))-INDEX(EndeRel,MATCH(INDEX('November'!$B$22:$AF$22,DAY(DATE(Jahr,12,0))),Codes,0)))*1440,0)&lt;660,1,0),0),0))</f>
      </c>
      <c r="C71" s="1">
        <f>IF(OR(C$52=0,B22="",C22=""),0,IFERROR(IF(AND(INDEX(Arten,MATCH(B22,Codes,0))="Arbeit",INDEX(Arten,MATCH(C22,Codes,0))="Arbeit"),IF(ROUND((1+INDEX(Beginne,MATCH(C22,Codes,0))-INDEX(EndeRel,MATCH(B22,Codes,0)))*1440,0)&lt;660,1,0),0),0))</f>
      </c>
      <c r="D71" s="1">
        <f>IF(OR(D$52=0,C22="",D22=""),0,IFERROR(IF(AND(INDEX(Arten,MATCH(C22,Codes,0))="Arbeit",INDEX(Arten,MATCH(D22,Codes,0))="Arbeit"),IF(ROUND((1+INDEX(Beginne,MATCH(D22,Codes,0))-INDEX(EndeRel,MATCH(C22,Codes,0)))*1440,0)&lt;660,1,0),0),0))</f>
      </c>
      <c r="E71" s="1">
        <f>IF(OR(E$52=0,D22="",E22=""),0,IFERROR(IF(AND(INDEX(Arten,MATCH(D22,Codes,0))="Arbeit",INDEX(Arten,MATCH(E22,Codes,0))="Arbeit"),IF(ROUND((1+INDEX(Beginne,MATCH(E22,Codes,0))-INDEX(EndeRel,MATCH(D22,Codes,0)))*1440,0)&lt;660,1,0),0),0))</f>
      </c>
      <c r="F71" s="1">
        <f>IF(OR(F$52=0,E22="",F22=""),0,IFERROR(IF(AND(INDEX(Arten,MATCH(E22,Codes,0))="Arbeit",INDEX(Arten,MATCH(F22,Codes,0))="Arbeit"),IF(ROUND((1+INDEX(Beginne,MATCH(F22,Codes,0))-INDEX(EndeRel,MATCH(E22,Codes,0)))*1440,0)&lt;660,1,0),0),0))</f>
      </c>
      <c r="G71" s="1">
        <f>IF(OR(G$52=0,F22="",G22=""),0,IFERROR(IF(AND(INDEX(Arten,MATCH(F22,Codes,0))="Arbeit",INDEX(Arten,MATCH(G22,Codes,0))="Arbeit"),IF(ROUND((1+INDEX(Beginne,MATCH(G22,Codes,0))-INDEX(EndeRel,MATCH(F22,Codes,0)))*1440,0)&lt;660,1,0),0),0))</f>
      </c>
      <c r="H71" s="1">
        <f>IF(OR(H$52=0,G22="",H22=""),0,IFERROR(IF(AND(INDEX(Arten,MATCH(G22,Codes,0))="Arbeit",INDEX(Arten,MATCH(H22,Codes,0))="Arbeit"),IF(ROUND((1+INDEX(Beginne,MATCH(H22,Codes,0))-INDEX(EndeRel,MATCH(G22,Codes,0)))*1440,0)&lt;660,1,0),0),0))</f>
      </c>
      <c r="I71" s="1">
        <f>IF(OR(I$52=0,H22="",I22=""),0,IFERROR(IF(AND(INDEX(Arten,MATCH(H22,Codes,0))="Arbeit",INDEX(Arten,MATCH(I22,Codes,0))="Arbeit"),IF(ROUND((1+INDEX(Beginne,MATCH(I22,Codes,0))-INDEX(EndeRel,MATCH(H22,Codes,0)))*1440,0)&lt;660,1,0),0),0))</f>
      </c>
      <c r="J71" s="1">
        <f>IF(OR(J$52=0,I22="",J22=""),0,IFERROR(IF(AND(INDEX(Arten,MATCH(I22,Codes,0))="Arbeit",INDEX(Arten,MATCH(J22,Codes,0))="Arbeit"),IF(ROUND((1+INDEX(Beginne,MATCH(J22,Codes,0))-INDEX(EndeRel,MATCH(I22,Codes,0)))*1440,0)&lt;660,1,0),0),0))</f>
      </c>
      <c r="K71" s="1">
        <f>IF(OR(K$52=0,J22="",K22=""),0,IFERROR(IF(AND(INDEX(Arten,MATCH(J22,Codes,0))="Arbeit",INDEX(Arten,MATCH(K22,Codes,0))="Arbeit"),IF(ROUND((1+INDEX(Beginne,MATCH(K22,Codes,0))-INDEX(EndeRel,MATCH(J22,Codes,0)))*1440,0)&lt;660,1,0),0),0))</f>
      </c>
      <c r="L71" s="1">
        <f>IF(OR(L$52=0,K22="",L22=""),0,IFERROR(IF(AND(INDEX(Arten,MATCH(K22,Codes,0))="Arbeit",INDEX(Arten,MATCH(L22,Codes,0))="Arbeit"),IF(ROUND((1+INDEX(Beginne,MATCH(L22,Codes,0))-INDEX(EndeRel,MATCH(K22,Codes,0)))*1440,0)&lt;660,1,0),0),0))</f>
      </c>
      <c r="M71" s="1">
        <f>IF(OR(M$52=0,L22="",M22=""),0,IFERROR(IF(AND(INDEX(Arten,MATCH(L22,Codes,0))="Arbeit",INDEX(Arten,MATCH(M22,Codes,0))="Arbeit"),IF(ROUND((1+INDEX(Beginne,MATCH(M22,Codes,0))-INDEX(EndeRel,MATCH(L22,Codes,0)))*1440,0)&lt;660,1,0),0),0))</f>
      </c>
      <c r="N71" s="1">
        <f>IF(OR(N$52=0,M22="",N22=""),0,IFERROR(IF(AND(INDEX(Arten,MATCH(M22,Codes,0))="Arbeit",INDEX(Arten,MATCH(N22,Codes,0))="Arbeit"),IF(ROUND((1+INDEX(Beginne,MATCH(N22,Codes,0))-INDEX(EndeRel,MATCH(M22,Codes,0)))*1440,0)&lt;660,1,0),0),0))</f>
      </c>
      <c r="O71" s="1">
        <f>IF(OR(O$52=0,N22="",O22=""),0,IFERROR(IF(AND(INDEX(Arten,MATCH(N22,Codes,0))="Arbeit",INDEX(Arten,MATCH(O22,Codes,0))="Arbeit"),IF(ROUND((1+INDEX(Beginne,MATCH(O22,Codes,0))-INDEX(EndeRel,MATCH(N22,Codes,0)))*1440,0)&lt;660,1,0),0),0))</f>
      </c>
      <c r="P71" s="1">
        <f>IF(OR(P$52=0,O22="",P22=""),0,IFERROR(IF(AND(INDEX(Arten,MATCH(O22,Codes,0))="Arbeit",INDEX(Arten,MATCH(P22,Codes,0))="Arbeit"),IF(ROUND((1+INDEX(Beginne,MATCH(P22,Codes,0))-INDEX(EndeRel,MATCH(O22,Codes,0)))*1440,0)&lt;660,1,0),0),0))</f>
      </c>
      <c r="Q71" s="1">
        <f>IF(OR(Q$52=0,P22="",Q22=""),0,IFERROR(IF(AND(INDEX(Arten,MATCH(P22,Codes,0))="Arbeit",INDEX(Arten,MATCH(Q22,Codes,0))="Arbeit"),IF(ROUND((1+INDEX(Beginne,MATCH(Q22,Codes,0))-INDEX(EndeRel,MATCH(P22,Codes,0)))*1440,0)&lt;660,1,0),0),0))</f>
      </c>
      <c r="R71" s="1">
        <f>IF(OR(R$52=0,Q22="",R22=""),0,IFERROR(IF(AND(INDEX(Arten,MATCH(Q22,Codes,0))="Arbeit",INDEX(Arten,MATCH(R22,Codes,0))="Arbeit"),IF(ROUND((1+INDEX(Beginne,MATCH(R22,Codes,0))-INDEX(EndeRel,MATCH(Q22,Codes,0)))*1440,0)&lt;660,1,0),0),0))</f>
      </c>
      <c r="S71" s="1">
        <f>IF(OR(S$52=0,R22="",S22=""),0,IFERROR(IF(AND(INDEX(Arten,MATCH(R22,Codes,0))="Arbeit",INDEX(Arten,MATCH(S22,Codes,0))="Arbeit"),IF(ROUND((1+INDEX(Beginne,MATCH(S22,Codes,0))-INDEX(EndeRel,MATCH(R22,Codes,0)))*1440,0)&lt;660,1,0),0),0))</f>
      </c>
      <c r="T71" s="1">
        <f>IF(OR(T$52=0,S22="",T22=""),0,IFERROR(IF(AND(INDEX(Arten,MATCH(S22,Codes,0))="Arbeit",INDEX(Arten,MATCH(T22,Codes,0))="Arbeit"),IF(ROUND((1+INDEX(Beginne,MATCH(T22,Codes,0))-INDEX(EndeRel,MATCH(S22,Codes,0)))*1440,0)&lt;660,1,0),0),0))</f>
      </c>
      <c r="U71" s="1">
        <f>IF(OR(U$52=0,T22="",U22=""),0,IFERROR(IF(AND(INDEX(Arten,MATCH(T22,Codes,0))="Arbeit",INDEX(Arten,MATCH(U22,Codes,0))="Arbeit"),IF(ROUND((1+INDEX(Beginne,MATCH(U22,Codes,0))-INDEX(EndeRel,MATCH(T22,Codes,0)))*1440,0)&lt;660,1,0),0),0))</f>
      </c>
      <c r="V71" s="1">
        <f>IF(OR(V$52=0,U22="",V22=""),0,IFERROR(IF(AND(INDEX(Arten,MATCH(U22,Codes,0))="Arbeit",INDEX(Arten,MATCH(V22,Codes,0))="Arbeit"),IF(ROUND((1+INDEX(Beginne,MATCH(V22,Codes,0))-INDEX(EndeRel,MATCH(U22,Codes,0)))*1440,0)&lt;660,1,0),0),0))</f>
      </c>
      <c r="W71" s="1">
        <f>IF(OR(W$52=0,V22="",W22=""),0,IFERROR(IF(AND(INDEX(Arten,MATCH(V22,Codes,0))="Arbeit",INDEX(Arten,MATCH(W22,Codes,0))="Arbeit"),IF(ROUND((1+INDEX(Beginne,MATCH(W22,Codes,0))-INDEX(EndeRel,MATCH(V22,Codes,0)))*1440,0)&lt;660,1,0),0),0))</f>
      </c>
      <c r="X71" s="1">
        <f>IF(OR(X$52=0,W22="",X22=""),0,IFERROR(IF(AND(INDEX(Arten,MATCH(W22,Codes,0))="Arbeit",INDEX(Arten,MATCH(X22,Codes,0))="Arbeit"),IF(ROUND((1+INDEX(Beginne,MATCH(X22,Codes,0))-INDEX(EndeRel,MATCH(W22,Codes,0)))*1440,0)&lt;660,1,0),0),0))</f>
      </c>
      <c r="Y71" s="1">
        <f>IF(OR(Y$52=0,X22="",Y22=""),0,IFERROR(IF(AND(INDEX(Arten,MATCH(X22,Codes,0))="Arbeit",INDEX(Arten,MATCH(Y22,Codes,0))="Arbeit"),IF(ROUND((1+INDEX(Beginne,MATCH(Y22,Codes,0))-INDEX(EndeRel,MATCH(X22,Codes,0)))*1440,0)&lt;660,1,0),0),0))</f>
      </c>
      <c r="Z71" s="1">
        <f>IF(OR(Z$52=0,Y22="",Z22=""),0,IFERROR(IF(AND(INDEX(Arten,MATCH(Y22,Codes,0))="Arbeit",INDEX(Arten,MATCH(Z22,Codes,0))="Arbeit"),IF(ROUND((1+INDEX(Beginne,MATCH(Z22,Codes,0))-INDEX(EndeRel,MATCH(Y22,Codes,0)))*1440,0)&lt;660,1,0),0),0))</f>
      </c>
      <c r="AA71" s="1">
        <f>IF(OR(AA$52=0,Z22="",AA22=""),0,IFERROR(IF(AND(INDEX(Arten,MATCH(Z22,Codes,0))="Arbeit",INDEX(Arten,MATCH(AA22,Codes,0))="Arbeit"),IF(ROUND((1+INDEX(Beginne,MATCH(AA22,Codes,0))-INDEX(EndeRel,MATCH(Z22,Codes,0)))*1440,0)&lt;660,1,0),0),0))</f>
      </c>
      <c r="AB71" s="1">
        <f>IF(OR(AB$52=0,AA22="",AB22=""),0,IFERROR(IF(AND(INDEX(Arten,MATCH(AA22,Codes,0))="Arbeit",INDEX(Arten,MATCH(AB22,Codes,0))="Arbeit"),IF(ROUND((1+INDEX(Beginne,MATCH(AB22,Codes,0))-INDEX(EndeRel,MATCH(AA22,Codes,0)))*1440,0)&lt;660,1,0),0),0))</f>
      </c>
      <c r="AC71" s="1">
        <f>IF(OR(AC$52=0,AB22="",AC22=""),0,IFERROR(IF(AND(INDEX(Arten,MATCH(AB22,Codes,0))="Arbeit",INDEX(Arten,MATCH(AC22,Codes,0))="Arbeit"),IF(ROUND((1+INDEX(Beginne,MATCH(AC22,Codes,0))-INDEX(EndeRel,MATCH(AB22,Codes,0)))*1440,0)&lt;660,1,0),0),0))</f>
      </c>
      <c r="AD71" s="1">
        <f>IF(OR(AD$52=0,AC22="",AD22=""),0,IFERROR(IF(AND(INDEX(Arten,MATCH(AC22,Codes,0))="Arbeit",INDEX(Arten,MATCH(AD22,Codes,0))="Arbeit"),IF(ROUND((1+INDEX(Beginne,MATCH(AD22,Codes,0))-INDEX(EndeRel,MATCH(AC22,Codes,0)))*1440,0)&lt;660,1,0),0),0))</f>
      </c>
      <c r="AE71" s="1">
        <f>IF(OR(AE$52=0,AD22="",AE22=""),0,IFERROR(IF(AND(INDEX(Arten,MATCH(AD22,Codes,0))="Arbeit",INDEX(Arten,MATCH(AE22,Codes,0))="Arbeit"),IF(ROUND((1+INDEX(Beginne,MATCH(AE22,Codes,0))-INDEX(EndeRel,MATCH(AD22,Codes,0)))*1440,0)&lt;660,1,0),0),0))</f>
      </c>
      <c r="AF71" s="1">
        <f>IF(OR(AF$52=0,AE22="",AF22=""),0,IFERROR(IF(AND(INDEX(Arten,MATCH(AE22,Codes,0))="Arbeit",INDEX(Arten,MATCH(AF22,Codes,0))="Arbeit"),IF(ROUND((1+INDEX(Beginne,MATCH(AF22,Codes,0))-INDEX(EndeRel,MATCH(AE22,Codes,0)))*1440,0)&lt;660,1,0),0),0))</f>
      </c>
    </row>
    <row r="72" hidden="1" spans="1:32" x14ac:dyDescent="0.25">
      <c r="A72" s="1"/>
      <c r="B72" s="1">
        <f>IF(OR(B$52=0,INDEX('November'!$B$23:$AF$23,DAY(DATE(Jahr,12,0)))="",B23=""),0,IFERROR(IF(AND(INDEX(Arten,MATCH(INDEX('November'!$B$23:$AF$23,DAY(DATE(Jahr,12,0))),Codes,0))="Arbeit",INDEX(Arten,MATCH(B23,Codes,0))="Arbeit"),IF(ROUND((1+INDEX(Beginne,MATCH(B23,Codes,0))-INDEX(EndeRel,MATCH(INDEX('November'!$B$23:$AF$23,DAY(DATE(Jahr,12,0))),Codes,0)))*1440,0)&lt;660,1,0),0),0))</f>
      </c>
      <c r="C72" s="1">
        <f>IF(OR(C$52=0,B23="",C23=""),0,IFERROR(IF(AND(INDEX(Arten,MATCH(B23,Codes,0))="Arbeit",INDEX(Arten,MATCH(C23,Codes,0))="Arbeit"),IF(ROUND((1+INDEX(Beginne,MATCH(C23,Codes,0))-INDEX(EndeRel,MATCH(B23,Codes,0)))*1440,0)&lt;660,1,0),0),0))</f>
      </c>
      <c r="D72" s="1">
        <f>IF(OR(D$52=0,C23="",D23=""),0,IFERROR(IF(AND(INDEX(Arten,MATCH(C23,Codes,0))="Arbeit",INDEX(Arten,MATCH(D23,Codes,0))="Arbeit"),IF(ROUND((1+INDEX(Beginne,MATCH(D23,Codes,0))-INDEX(EndeRel,MATCH(C23,Codes,0)))*1440,0)&lt;660,1,0),0),0))</f>
      </c>
      <c r="E72" s="1">
        <f>IF(OR(E$52=0,D23="",E23=""),0,IFERROR(IF(AND(INDEX(Arten,MATCH(D23,Codes,0))="Arbeit",INDEX(Arten,MATCH(E23,Codes,0))="Arbeit"),IF(ROUND((1+INDEX(Beginne,MATCH(E23,Codes,0))-INDEX(EndeRel,MATCH(D23,Codes,0)))*1440,0)&lt;660,1,0),0),0))</f>
      </c>
      <c r="F72" s="1">
        <f>IF(OR(F$52=0,E23="",F23=""),0,IFERROR(IF(AND(INDEX(Arten,MATCH(E23,Codes,0))="Arbeit",INDEX(Arten,MATCH(F23,Codes,0))="Arbeit"),IF(ROUND((1+INDEX(Beginne,MATCH(F23,Codes,0))-INDEX(EndeRel,MATCH(E23,Codes,0)))*1440,0)&lt;660,1,0),0),0))</f>
      </c>
      <c r="G72" s="1">
        <f>IF(OR(G$52=0,F23="",G23=""),0,IFERROR(IF(AND(INDEX(Arten,MATCH(F23,Codes,0))="Arbeit",INDEX(Arten,MATCH(G23,Codes,0))="Arbeit"),IF(ROUND((1+INDEX(Beginne,MATCH(G23,Codes,0))-INDEX(EndeRel,MATCH(F23,Codes,0)))*1440,0)&lt;660,1,0),0),0))</f>
      </c>
      <c r="H72" s="1">
        <f>IF(OR(H$52=0,G23="",H23=""),0,IFERROR(IF(AND(INDEX(Arten,MATCH(G23,Codes,0))="Arbeit",INDEX(Arten,MATCH(H23,Codes,0))="Arbeit"),IF(ROUND((1+INDEX(Beginne,MATCH(H23,Codes,0))-INDEX(EndeRel,MATCH(G23,Codes,0)))*1440,0)&lt;660,1,0),0),0))</f>
      </c>
      <c r="I72" s="1">
        <f>IF(OR(I$52=0,H23="",I23=""),0,IFERROR(IF(AND(INDEX(Arten,MATCH(H23,Codes,0))="Arbeit",INDEX(Arten,MATCH(I23,Codes,0))="Arbeit"),IF(ROUND((1+INDEX(Beginne,MATCH(I23,Codes,0))-INDEX(EndeRel,MATCH(H23,Codes,0)))*1440,0)&lt;660,1,0),0),0))</f>
      </c>
      <c r="J72" s="1">
        <f>IF(OR(J$52=0,I23="",J23=""),0,IFERROR(IF(AND(INDEX(Arten,MATCH(I23,Codes,0))="Arbeit",INDEX(Arten,MATCH(J23,Codes,0))="Arbeit"),IF(ROUND((1+INDEX(Beginne,MATCH(J23,Codes,0))-INDEX(EndeRel,MATCH(I23,Codes,0)))*1440,0)&lt;660,1,0),0),0))</f>
      </c>
      <c r="K72" s="1">
        <f>IF(OR(K$52=0,J23="",K23=""),0,IFERROR(IF(AND(INDEX(Arten,MATCH(J23,Codes,0))="Arbeit",INDEX(Arten,MATCH(K23,Codes,0))="Arbeit"),IF(ROUND((1+INDEX(Beginne,MATCH(K23,Codes,0))-INDEX(EndeRel,MATCH(J23,Codes,0)))*1440,0)&lt;660,1,0),0),0))</f>
      </c>
      <c r="L72" s="1">
        <f>IF(OR(L$52=0,K23="",L23=""),0,IFERROR(IF(AND(INDEX(Arten,MATCH(K23,Codes,0))="Arbeit",INDEX(Arten,MATCH(L23,Codes,0))="Arbeit"),IF(ROUND((1+INDEX(Beginne,MATCH(L23,Codes,0))-INDEX(EndeRel,MATCH(K23,Codes,0)))*1440,0)&lt;660,1,0),0),0))</f>
      </c>
      <c r="M72" s="1">
        <f>IF(OR(M$52=0,L23="",M23=""),0,IFERROR(IF(AND(INDEX(Arten,MATCH(L23,Codes,0))="Arbeit",INDEX(Arten,MATCH(M23,Codes,0))="Arbeit"),IF(ROUND((1+INDEX(Beginne,MATCH(M23,Codes,0))-INDEX(EndeRel,MATCH(L23,Codes,0)))*1440,0)&lt;660,1,0),0),0))</f>
      </c>
      <c r="N72" s="1">
        <f>IF(OR(N$52=0,M23="",N23=""),0,IFERROR(IF(AND(INDEX(Arten,MATCH(M23,Codes,0))="Arbeit",INDEX(Arten,MATCH(N23,Codes,0))="Arbeit"),IF(ROUND((1+INDEX(Beginne,MATCH(N23,Codes,0))-INDEX(EndeRel,MATCH(M23,Codes,0)))*1440,0)&lt;660,1,0),0),0))</f>
      </c>
      <c r="O72" s="1">
        <f>IF(OR(O$52=0,N23="",O23=""),0,IFERROR(IF(AND(INDEX(Arten,MATCH(N23,Codes,0))="Arbeit",INDEX(Arten,MATCH(O23,Codes,0))="Arbeit"),IF(ROUND((1+INDEX(Beginne,MATCH(O23,Codes,0))-INDEX(EndeRel,MATCH(N23,Codes,0)))*1440,0)&lt;660,1,0),0),0))</f>
      </c>
      <c r="P72" s="1">
        <f>IF(OR(P$52=0,O23="",P23=""),0,IFERROR(IF(AND(INDEX(Arten,MATCH(O23,Codes,0))="Arbeit",INDEX(Arten,MATCH(P23,Codes,0))="Arbeit"),IF(ROUND((1+INDEX(Beginne,MATCH(P23,Codes,0))-INDEX(EndeRel,MATCH(O23,Codes,0)))*1440,0)&lt;660,1,0),0),0))</f>
      </c>
      <c r="Q72" s="1">
        <f>IF(OR(Q$52=0,P23="",Q23=""),0,IFERROR(IF(AND(INDEX(Arten,MATCH(P23,Codes,0))="Arbeit",INDEX(Arten,MATCH(Q23,Codes,0))="Arbeit"),IF(ROUND((1+INDEX(Beginne,MATCH(Q23,Codes,0))-INDEX(EndeRel,MATCH(P23,Codes,0)))*1440,0)&lt;660,1,0),0),0))</f>
      </c>
      <c r="R72" s="1">
        <f>IF(OR(R$52=0,Q23="",R23=""),0,IFERROR(IF(AND(INDEX(Arten,MATCH(Q23,Codes,0))="Arbeit",INDEX(Arten,MATCH(R23,Codes,0))="Arbeit"),IF(ROUND((1+INDEX(Beginne,MATCH(R23,Codes,0))-INDEX(EndeRel,MATCH(Q23,Codes,0)))*1440,0)&lt;660,1,0),0),0))</f>
      </c>
      <c r="S72" s="1">
        <f>IF(OR(S$52=0,R23="",S23=""),0,IFERROR(IF(AND(INDEX(Arten,MATCH(R23,Codes,0))="Arbeit",INDEX(Arten,MATCH(S23,Codes,0))="Arbeit"),IF(ROUND((1+INDEX(Beginne,MATCH(S23,Codes,0))-INDEX(EndeRel,MATCH(R23,Codes,0)))*1440,0)&lt;660,1,0),0),0))</f>
      </c>
      <c r="T72" s="1">
        <f>IF(OR(T$52=0,S23="",T23=""),0,IFERROR(IF(AND(INDEX(Arten,MATCH(S23,Codes,0))="Arbeit",INDEX(Arten,MATCH(T23,Codes,0))="Arbeit"),IF(ROUND((1+INDEX(Beginne,MATCH(T23,Codes,0))-INDEX(EndeRel,MATCH(S23,Codes,0)))*1440,0)&lt;660,1,0),0),0))</f>
      </c>
      <c r="U72" s="1">
        <f>IF(OR(U$52=0,T23="",U23=""),0,IFERROR(IF(AND(INDEX(Arten,MATCH(T23,Codes,0))="Arbeit",INDEX(Arten,MATCH(U23,Codes,0))="Arbeit"),IF(ROUND((1+INDEX(Beginne,MATCH(U23,Codes,0))-INDEX(EndeRel,MATCH(T23,Codes,0)))*1440,0)&lt;660,1,0),0),0))</f>
      </c>
      <c r="V72" s="1">
        <f>IF(OR(V$52=0,U23="",V23=""),0,IFERROR(IF(AND(INDEX(Arten,MATCH(U23,Codes,0))="Arbeit",INDEX(Arten,MATCH(V23,Codes,0))="Arbeit"),IF(ROUND((1+INDEX(Beginne,MATCH(V23,Codes,0))-INDEX(EndeRel,MATCH(U23,Codes,0)))*1440,0)&lt;660,1,0),0),0))</f>
      </c>
      <c r="W72" s="1">
        <f>IF(OR(W$52=0,V23="",W23=""),0,IFERROR(IF(AND(INDEX(Arten,MATCH(V23,Codes,0))="Arbeit",INDEX(Arten,MATCH(W23,Codes,0))="Arbeit"),IF(ROUND((1+INDEX(Beginne,MATCH(W23,Codes,0))-INDEX(EndeRel,MATCH(V23,Codes,0)))*1440,0)&lt;660,1,0),0),0))</f>
      </c>
      <c r="X72" s="1">
        <f>IF(OR(X$52=0,W23="",X23=""),0,IFERROR(IF(AND(INDEX(Arten,MATCH(W23,Codes,0))="Arbeit",INDEX(Arten,MATCH(X23,Codes,0))="Arbeit"),IF(ROUND((1+INDEX(Beginne,MATCH(X23,Codes,0))-INDEX(EndeRel,MATCH(W23,Codes,0)))*1440,0)&lt;660,1,0),0),0))</f>
      </c>
      <c r="Y72" s="1">
        <f>IF(OR(Y$52=0,X23="",Y23=""),0,IFERROR(IF(AND(INDEX(Arten,MATCH(X23,Codes,0))="Arbeit",INDEX(Arten,MATCH(Y23,Codes,0))="Arbeit"),IF(ROUND((1+INDEX(Beginne,MATCH(Y23,Codes,0))-INDEX(EndeRel,MATCH(X23,Codes,0)))*1440,0)&lt;660,1,0),0),0))</f>
      </c>
      <c r="Z72" s="1">
        <f>IF(OR(Z$52=0,Y23="",Z23=""),0,IFERROR(IF(AND(INDEX(Arten,MATCH(Y23,Codes,0))="Arbeit",INDEX(Arten,MATCH(Z23,Codes,0))="Arbeit"),IF(ROUND((1+INDEX(Beginne,MATCH(Z23,Codes,0))-INDEX(EndeRel,MATCH(Y23,Codes,0)))*1440,0)&lt;660,1,0),0),0))</f>
      </c>
      <c r="AA72" s="1">
        <f>IF(OR(AA$52=0,Z23="",AA23=""),0,IFERROR(IF(AND(INDEX(Arten,MATCH(Z23,Codes,0))="Arbeit",INDEX(Arten,MATCH(AA23,Codes,0))="Arbeit"),IF(ROUND((1+INDEX(Beginne,MATCH(AA23,Codes,0))-INDEX(EndeRel,MATCH(Z23,Codes,0)))*1440,0)&lt;660,1,0),0),0))</f>
      </c>
      <c r="AB72" s="1">
        <f>IF(OR(AB$52=0,AA23="",AB23=""),0,IFERROR(IF(AND(INDEX(Arten,MATCH(AA23,Codes,0))="Arbeit",INDEX(Arten,MATCH(AB23,Codes,0))="Arbeit"),IF(ROUND((1+INDEX(Beginne,MATCH(AB23,Codes,0))-INDEX(EndeRel,MATCH(AA23,Codes,0)))*1440,0)&lt;660,1,0),0),0))</f>
      </c>
      <c r="AC72" s="1">
        <f>IF(OR(AC$52=0,AB23="",AC23=""),0,IFERROR(IF(AND(INDEX(Arten,MATCH(AB23,Codes,0))="Arbeit",INDEX(Arten,MATCH(AC23,Codes,0))="Arbeit"),IF(ROUND((1+INDEX(Beginne,MATCH(AC23,Codes,0))-INDEX(EndeRel,MATCH(AB23,Codes,0)))*1440,0)&lt;660,1,0),0),0))</f>
      </c>
      <c r="AD72" s="1">
        <f>IF(OR(AD$52=0,AC23="",AD23=""),0,IFERROR(IF(AND(INDEX(Arten,MATCH(AC23,Codes,0))="Arbeit",INDEX(Arten,MATCH(AD23,Codes,0))="Arbeit"),IF(ROUND((1+INDEX(Beginne,MATCH(AD23,Codes,0))-INDEX(EndeRel,MATCH(AC23,Codes,0)))*1440,0)&lt;660,1,0),0),0))</f>
      </c>
      <c r="AE72" s="1">
        <f>IF(OR(AE$52=0,AD23="",AE23=""),0,IFERROR(IF(AND(INDEX(Arten,MATCH(AD23,Codes,0))="Arbeit",INDEX(Arten,MATCH(AE23,Codes,0))="Arbeit"),IF(ROUND((1+INDEX(Beginne,MATCH(AE23,Codes,0))-INDEX(EndeRel,MATCH(AD23,Codes,0)))*1440,0)&lt;660,1,0),0),0))</f>
      </c>
      <c r="AF72" s="1">
        <f>IF(OR(AF$52=0,AE23="",AF23=""),0,IFERROR(IF(AND(INDEX(Arten,MATCH(AE23,Codes,0))="Arbeit",INDEX(Arten,MATCH(AF23,Codes,0))="Arbeit"),IF(ROUND((1+INDEX(Beginne,MATCH(AF23,Codes,0))-INDEX(EndeRel,MATCH(AE23,Codes,0)))*1440,0)&lt;660,1,0),0),0))</f>
      </c>
    </row>
    <row r="73" hidden="1" spans="1:32" x14ac:dyDescent="0.25">
      <c r="A73" s="1"/>
      <c r="B73" s="1">
        <f>IF(OR(B$52=0,INDEX('November'!$B$24:$AF$24,DAY(DATE(Jahr,12,0)))="",B24=""),0,IFERROR(IF(AND(INDEX(Arten,MATCH(INDEX('November'!$B$24:$AF$24,DAY(DATE(Jahr,12,0))),Codes,0))="Arbeit",INDEX(Arten,MATCH(B24,Codes,0))="Arbeit"),IF(ROUND((1+INDEX(Beginne,MATCH(B24,Codes,0))-INDEX(EndeRel,MATCH(INDEX('November'!$B$24:$AF$24,DAY(DATE(Jahr,12,0))),Codes,0)))*1440,0)&lt;660,1,0),0),0))</f>
      </c>
      <c r="C73" s="1">
        <f>IF(OR(C$52=0,B24="",C24=""),0,IFERROR(IF(AND(INDEX(Arten,MATCH(B24,Codes,0))="Arbeit",INDEX(Arten,MATCH(C24,Codes,0))="Arbeit"),IF(ROUND((1+INDEX(Beginne,MATCH(C24,Codes,0))-INDEX(EndeRel,MATCH(B24,Codes,0)))*1440,0)&lt;660,1,0),0),0))</f>
      </c>
      <c r="D73" s="1">
        <f>IF(OR(D$52=0,C24="",D24=""),0,IFERROR(IF(AND(INDEX(Arten,MATCH(C24,Codes,0))="Arbeit",INDEX(Arten,MATCH(D24,Codes,0))="Arbeit"),IF(ROUND((1+INDEX(Beginne,MATCH(D24,Codes,0))-INDEX(EndeRel,MATCH(C24,Codes,0)))*1440,0)&lt;660,1,0),0),0))</f>
      </c>
      <c r="E73" s="1">
        <f>IF(OR(E$52=0,D24="",E24=""),0,IFERROR(IF(AND(INDEX(Arten,MATCH(D24,Codes,0))="Arbeit",INDEX(Arten,MATCH(E24,Codes,0))="Arbeit"),IF(ROUND((1+INDEX(Beginne,MATCH(E24,Codes,0))-INDEX(EndeRel,MATCH(D24,Codes,0)))*1440,0)&lt;660,1,0),0),0))</f>
      </c>
      <c r="F73" s="1">
        <f>IF(OR(F$52=0,E24="",F24=""),0,IFERROR(IF(AND(INDEX(Arten,MATCH(E24,Codes,0))="Arbeit",INDEX(Arten,MATCH(F24,Codes,0))="Arbeit"),IF(ROUND((1+INDEX(Beginne,MATCH(F24,Codes,0))-INDEX(EndeRel,MATCH(E24,Codes,0)))*1440,0)&lt;660,1,0),0),0))</f>
      </c>
      <c r="G73" s="1">
        <f>IF(OR(G$52=0,F24="",G24=""),0,IFERROR(IF(AND(INDEX(Arten,MATCH(F24,Codes,0))="Arbeit",INDEX(Arten,MATCH(G24,Codes,0))="Arbeit"),IF(ROUND((1+INDEX(Beginne,MATCH(G24,Codes,0))-INDEX(EndeRel,MATCH(F24,Codes,0)))*1440,0)&lt;660,1,0),0),0))</f>
      </c>
      <c r="H73" s="1">
        <f>IF(OR(H$52=0,G24="",H24=""),0,IFERROR(IF(AND(INDEX(Arten,MATCH(G24,Codes,0))="Arbeit",INDEX(Arten,MATCH(H24,Codes,0))="Arbeit"),IF(ROUND((1+INDEX(Beginne,MATCH(H24,Codes,0))-INDEX(EndeRel,MATCH(G24,Codes,0)))*1440,0)&lt;660,1,0),0),0))</f>
      </c>
      <c r="I73" s="1">
        <f>IF(OR(I$52=0,H24="",I24=""),0,IFERROR(IF(AND(INDEX(Arten,MATCH(H24,Codes,0))="Arbeit",INDEX(Arten,MATCH(I24,Codes,0))="Arbeit"),IF(ROUND((1+INDEX(Beginne,MATCH(I24,Codes,0))-INDEX(EndeRel,MATCH(H24,Codes,0)))*1440,0)&lt;660,1,0),0),0))</f>
      </c>
      <c r="J73" s="1">
        <f>IF(OR(J$52=0,I24="",J24=""),0,IFERROR(IF(AND(INDEX(Arten,MATCH(I24,Codes,0))="Arbeit",INDEX(Arten,MATCH(J24,Codes,0))="Arbeit"),IF(ROUND((1+INDEX(Beginne,MATCH(J24,Codes,0))-INDEX(EndeRel,MATCH(I24,Codes,0)))*1440,0)&lt;660,1,0),0),0))</f>
      </c>
      <c r="K73" s="1">
        <f>IF(OR(K$52=0,J24="",K24=""),0,IFERROR(IF(AND(INDEX(Arten,MATCH(J24,Codes,0))="Arbeit",INDEX(Arten,MATCH(K24,Codes,0))="Arbeit"),IF(ROUND((1+INDEX(Beginne,MATCH(K24,Codes,0))-INDEX(EndeRel,MATCH(J24,Codes,0)))*1440,0)&lt;660,1,0),0),0))</f>
      </c>
      <c r="L73" s="1">
        <f>IF(OR(L$52=0,K24="",L24=""),0,IFERROR(IF(AND(INDEX(Arten,MATCH(K24,Codes,0))="Arbeit",INDEX(Arten,MATCH(L24,Codes,0))="Arbeit"),IF(ROUND((1+INDEX(Beginne,MATCH(L24,Codes,0))-INDEX(EndeRel,MATCH(K24,Codes,0)))*1440,0)&lt;660,1,0),0),0))</f>
      </c>
      <c r="M73" s="1">
        <f>IF(OR(M$52=0,L24="",M24=""),0,IFERROR(IF(AND(INDEX(Arten,MATCH(L24,Codes,0))="Arbeit",INDEX(Arten,MATCH(M24,Codes,0))="Arbeit"),IF(ROUND((1+INDEX(Beginne,MATCH(M24,Codes,0))-INDEX(EndeRel,MATCH(L24,Codes,0)))*1440,0)&lt;660,1,0),0),0))</f>
      </c>
      <c r="N73" s="1">
        <f>IF(OR(N$52=0,M24="",N24=""),0,IFERROR(IF(AND(INDEX(Arten,MATCH(M24,Codes,0))="Arbeit",INDEX(Arten,MATCH(N24,Codes,0))="Arbeit"),IF(ROUND((1+INDEX(Beginne,MATCH(N24,Codes,0))-INDEX(EndeRel,MATCH(M24,Codes,0)))*1440,0)&lt;660,1,0),0),0))</f>
      </c>
      <c r="O73" s="1">
        <f>IF(OR(O$52=0,N24="",O24=""),0,IFERROR(IF(AND(INDEX(Arten,MATCH(N24,Codes,0))="Arbeit",INDEX(Arten,MATCH(O24,Codes,0))="Arbeit"),IF(ROUND((1+INDEX(Beginne,MATCH(O24,Codes,0))-INDEX(EndeRel,MATCH(N24,Codes,0)))*1440,0)&lt;660,1,0),0),0))</f>
      </c>
      <c r="P73" s="1">
        <f>IF(OR(P$52=0,O24="",P24=""),0,IFERROR(IF(AND(INDEX(Arten,MATCH(O24,Codes,0))="Arbeit",INDEX(Arten,MATCH(P24,Codes,0))="Arbeit"),IF(ROUND((1+INDEX(Beginne,MATCH(P24,Codes,0))-INDEX(EndeRel,MATCH(O24,Codes,0)))*1440,0)&lt;660,1,0),0),0))</f>
      </c>
      <c r="Q73" s="1">
        <f>IF(OR(Q$52=0,P24="",Q24=""),0,IFERROR(IF(AND(INDEX(Arten,MATCH(P24,Codes,0))="Arbeit",INDEX(Arten,MATCH(Q24,Codes,0))="Arbeit"),IF(ROUND((1+INDEX(Beginne,MATCH(Q24,Codes,0))-INDEX(EndeRel,MATCH(P24,Codes,0)))*1440,0)&lt;660,1,0),0),0))</f>
      </c>
      <c r="R73" s="1">
        <f>IF(OR(R$52=0,Q24="",R24=""),0,IFERROR(IF(AND(INDEX(Arten,MATCH(Q24,Codes,0))="Arbeit",INDEX(Arten,MATCH(R24,Codes,0))="Arbeit"),IF(ROUND((1+INDEX(Beginne,MATCH(R24,Codes,0))-INDEX(EndeRel,MATCH(Q24,Codes,0)))*1440,0)&lt;660,1,0),0),0))</f>
      </c>
      <c r="S73" s="1">
        <f>IF(OR(S$52=0,R24="",S24=""),0,IFERROR(IF(AND(INDEX(Arten,MATCH(R24,Codes,0))="Arbeit",INDEX(Arten,MATCH(S24,Codes,0))="Arbeit"),IF(ROUND((1+INDEX(Beginne,MATCH(S24,Codes,0))-INDEX(EndeRel,MATCH(R24,Codes,0)))*1440,0)&lt;660,1,0),0),0))</f>
      </c>
      <c r="T73" s="1">
        <f>IF(OR(T$52=0,S24="",T24=""),0,IFERROR(IF(AND(INDEX(Arten,MATCH(S24,Codes,0))="Arbeit",INDEX(Arten,MATCH(T24,Codes,0))="Arbeit"),IF(ROUND((1+INDEX(Beginne,MATCH(T24,Codes,0))-INDEX(EndeRel,MATCH(S24,Codes,0)))*1440,0)&lt;660,1,0),0),0))</f>
      </c>
      <c r="U73" s="1">
        <f>IF(OR(U$52=0,T24="",U24=""),0,IFERROR(IF(AND(INDEX(Arten,MATCH(T24,Codes,0))="Arbeit",INDEX(Arten,MATCH(U24,Codes,0))="Arbeit"),IF(ROUND((1+INDEX(Beginne,MATCH(U24,Codes,0))-INDEX(EndeRel,MATCH(T24,Codes,0)))*1440,0)&lt;660,1,0),0),0))</f>
      </c>
      <c r="V73" s="1">
        <f>IF(OR(V$52=0,U24="",V24=""),0,IFERROR(IF(AND(INDEX(Arten,MATCH(U24,Codes,0))="Arbeit",INDEX(Arten,MATCH(V24,Codes,0))="Arbeit"),IF(ROUND((1+INDEX(Beginne,MATCH(V24,Codes,0))-INDEX(EndeRel,MATCH(U24,Codes,0)))*1440,0)&lt;660,1,0),0),0))</f>
      </c>
      <c r="W73" s="1">
        <f>IF(OR(W$52=0,V24="",W24=""),0,IFERROR(IF(AND(INDEX(Arten,MATCH(V24,Codes,0))="Arbeit",INDEX(Arten,MATCH(W24,Codes,0))="Arbeit"),IF(ROUND((1+INDEX(Beginne,MATCH(W24,Codes,0))-INDEX(EndeRel,MATCH(V24,Codes,0)))*1440,0)&lt;660,1,0),0),0))</f>
      </c>
      <c r="X73" s="1">
        <f>IF(OR(X$52=0,W24="",X24=""),0,IFERROR(IF(AND(INDEX(Arten,MATCH(W24,Codes,0))="Arbeit",INDEX(Arten,MATCH(X24,Codes,0))="Arbeit"),IF(ROUND((1+INDEX(Beginne,MATCH(X24,Codes,0))-INDEX(EndeRel,MATCH(W24,Codes,0)))*1440,0)&lt;660,1,0),0),0))</f>
      </c>
      <c r="Y73" s="1">
        <f>IF(OR(Y$52=0,X24="",Y24=""),0,IFERROR(IF(AND(INDEX(Arten,MATCH(X24,Codes,0))="Arbeit",INDEX(Arten,MATCH(Y24,Codes,0))="Arbeit"),IF(ROUND((1+INDEX(Beginne,MATCH(Y24,Codes,0))-INDEX(EndeRel,MATCH(X24,Codes,0)))*1440,0)&lt;660,1,0),0),0))</f>
      </c>
      <c r="Z73" s="1">
        <f>IF(OR(Z$52=0,Y24="",Z24=""),0,IFERROR(IF(AND(INDEX(Arten,MATCH(Y24,Codes,0))="Arbeit",INDEX(Arten,MATCH(Z24,Codes,0))="Arbeit"),IF(ROUND((1+INDEX(Beginne,MATCH(Z24,Codes,0))-INDEX(EndeRel,MATCH(Y24,Codes,0)))*1440,0)&lt;660,1,0),0),0))</f>
      </c>
      <c r="AA73" s="1">
        <f>IF(OR(AA$52=0,Z24="",AA24=""),0,IFERROR(IF(AND(INDEX(Arten,MATCH(Z24,Codes,0))="Arbeit",INDEX(Arten,MATCH(AA24,Codes,0))="Arbeit"),IF(ROUND((1+INDEX(Beginne,MATCH(AA24,Codes,0))-INDEX(EndeRel,MATCH(Z24,Codes,0)))*1440,0)&lt;660,1,0),0),0))</f>
      </c>
      <c r="AB73" s="1">
        <f>IF(OR(AB$52=0,AA24="",AB24=""),0,IFERROR(IF(AND(INDEX(Arten,MATCH(AA24,Codes,0))="Arbeit",INDEX(Arten,MATCH(AB24,Codes,0))="Arbeit"),IF(ROUND((1+INDEX(Beginne,MATCH(AB24,Codes,0))-INDEX(EndeRel,MATCH(AA24,Codes,0)))*1440,0)&lt;660,1,0),0),0))</f>
      </c>
      <c r="AC73" s="1">
        <f>IF(OR(AC$52=0,AB24="",AC24=""),0,IFERROR(IF(AND(INDEX(Arten,MATCH(AB24,Codes,0))="Arbeit",INDEX(Arten,MATCH(AC24,Codes,0))="Arbeit"),IF(ROUND((1+INDEX(Beginne,MATCH(AC24,Codes,0))-INDEX(EndeRel,MATCH(AB24,Codes,0)))*1440,0)&lt;660,1,0),0),0))</f>
      </c>
      <c r="AD73" s="1">
        <f>IF(OR(AD$52=0,AC24="",AD24=""),0,IFERROR(IF(AND(INDEX(Arten,MATCH(AC24,Codes,0))="Arbeit",INDEX(Arten,MATCH(AD24,Codes,0))="Arbeit"),IF(ROUND((1+INDEX(Beginne,MATCH(AD24,Codes,0))-INDEX(EndeRel,MATCH(AC24,Codes,0)))*1440,0)&lt;660,1,0),0),0))</f>
      </c>
      <c r="AE73" s="1">
        <f>IF(OR(AE$52=0,AD24="",AE24=""),0,IFERROR(IF(AND(INDEX(Arten,MATCH(AD24,Codes,0))="Arbeit",INDEX(Arten,MATCH(AE24,Codes,0))="Arbeit"),IF(ROUND((1+INDEX(Beginne,MATCH(AE24,Codes,0))-INDEX(EndeRel,MATCH(AD24,Codes,0)))*1440,0)&lt;660,1,0),0),0))</f>
      </c>
      <c r="AF73" s="1">
        <f>IF(OR(AF$52=0,AE24="",AF24=""),0,IFERROR(IF(AND(INDEX(Arten,MATCH(AE24,Codes,0))="Arbeit",INDEX(Arten,MATCH(AF24,Codes,0))="Arbeit"),IF(ROUND((1+INDEX(Beginne,MATCH(AF24,Codes,0))-INDEX(EndeRel,MATCH(AE24,Codes,0)))*1440,0)&lt;660,1,0),0),0))</f>
      </c>
    </row>
    <row r="74" hidden="1" spans="1:32" x14ac:dyDescent="0.25">
      <c r="A74" s="1"/>
      <c r="B74" s="1">
        <f>IF(OR(B$52=0,INDEX('November'!$B$25:$AF$25,DAY(DATE(Jahr,12,0)))="",B25=""),0,IFERROR(IF(AND(INDEX(Arten,MATCH(INDEX('November'!$B$25:$AF$25,DAY(DATE(Jahr,12,0))),Codes,0))="Arbeit",INDEX(Arten,MATCH(B25,Codes,0))="Arbeit"),IF(ROUND((1+INDEX(Beginne,MATCH(B25,Codes,0))-INDEX(EndeRel,MATCH(INDEX('November'!$B$25:$AF$25,DAY(DATE(Jahr,12,0))),Codes,0)))*1440,0)&lt;660,1,0),0),0))</f>
      </c>
      <c r="C74" s="1">
        <f>IF(OR(C$52=0,B25="",C25=""),0,IFERROR(IF(AND(INDEX(Arten,MATCH(B25,Codes,0))="Arbeit",INDEX(Arten,MATCH(C25,Codes,0))="Arbeit"),IF(ROUND((1+INDEX(Beginne,MATCH(C25,Codes,0))-INDEX(EndeRel,MATCH(B25,Codes,0)))*1440,0)&lt;660,1,0),0),0))</f>
      </c>
      <c r="D74" s="1">
        <f>IF(OR(D$52=0,C25="",D25=""),0,IFERROR(IF(AND(INDEX(Arten,MATCH(C25,Codes,0))="Arbeit",INDEX(Arten,MATCH(D25,Codes,0))="Arbeit"),IF(ROUND((1+INDEX(Beginne,MATCH(D25,Codes,0))-INDEX(EndeRel,MATCH(C25,Codes,0)))*1440,0)&lt;660,1,0),0),0))</f>
      </c>
      <c r="E74" s="1">
        <f>IF(OR(E$52=0,D25="",E25=""),0,IFERROR(IF(AND(INDEX(Arten,MATCH(D25,Codes,0))="Arbeit",INDEX(Arten,MATCH(E25,Codes,0))="Arbeit"),IF(ROUND((1+INDEX(Beginne,MATCH(E25,Codes,0))-INDEX(EndeRel,MATCH(D25,Codes,0)))*1440,0)&lt;660,1,0),0),0))</f>
      </c>
      <c r="F74" s="1">
        <f>IF(OR(F$52=0,E25="",F25=""),0,IFERROR(IF(AND(INDEX(Arten,MATCH(E25,Codes,0))="Arbeit",INDEX(Arten,MATCH(F25,Codes,0))="Arbeit"),IF(ROUND((1+INDEX(Beginne,MATCH(F25,Codes,0))-INDEX(EndeRel,MATCH(E25,Codes,0)))*1440,0)&lt;660,1,0),0),0))</f>
      </c>
      <c r="G74" s="1">
        <f>IF(OR(G$52=0,F25="",G25=""),0,IFERROR(IF(AND(INDEX(Arten,MATCH(F25,Codes,0))="Arbeit",INDEX(Arten,MATCH(G25,Codes,0))="Arbeit"),IF(ROUND((1+INDEX(Beginne,MATCH(G25,Codes,0))-INDEX(EndeRel,MATCH(F25,Codes,0)))*1440,0)&lt;660,1,0),0),0))</f>
      </c>
      <c r="H74" s="1">
        <f>IF(OR(H$52=0,G25="",H25=""),0,IFERROR(IF(AND(INDEX(Arten,MATCH(G25,Codes,0))="Arbeit",INDEX(Arten,MATCH(H25,Codes,0))="Arbeit"),IF(ROUND((1+INDEX(Beginne,MATCH(H25,Codes,0))-INDEX(EndeRel,MATCH(G25,Codes,0)))*1440,0)&lt;660,1,0),0),0))</f>
      </c>
      <c r="I74" s="1">
        <f>IF(OR(I$52=0,H25="",I25=""),0,IFERROR(IF(AND(INDEX(Arten,MATCH(H25,Codes,0))="Arbeit",INDEX(Arten,MATCH(I25,Codes,0))="Arbeit"),IF(ROUND((1+INDEX(Beginne,MATCH(I25,Codes,0))-INDEX(EndeRel,MATCH(H25,Codes,0)))*1440,0)&lt;660,1,0),0),0))</f>
      </c>
      <c r="J74" s="1">
        <f>IF(OR(J$52=0,I25="",J25=""),0,IFERROR(IF(AND(INDEX(Arten,MATCH(I25,Codes,0))="Arbeit",INDEX(Arten,MATCH(J25,Codes,0))="Arbeit"),IF(ROUND((1+INDEX(Beginne,MATCH(J25,Codes,0))-INDEX(EndeRel,MATCH(I25,Codes,0)))*1440,0)&lt;660,1,0),0),0))</f>
      </c>
      <c r="K74" s="1">
        <f>IF(OR(K$52=0,J25="",K25=""),0,IFERROR(IF(AND(INDEX(Arten,MATCH(J25,Codes,0))="Arbeit",INDEX(Arten,MATCH(K25,Codes,0))="Arbeit"),IF(ROUND((1+INDEX(Beginne,MATCH(K25,Codes,0))-INDEX(EndeRel,MATCH(J25,Codes,0)))*1440,0)&lt;660,1,0),0),0))</f>
      </c>
      <c r="L74" s="1">
        <f>IF(OR(L$52=0,K25="",L25=""),0,IFERROR(IF(AND(INDEX(Arten,MATCH(K25,Codes,0))="Arbeit",INDEX(Arten,MATCH(L25,Codes,0))="Arbeit"),IF(ROUND((1+INDEX(Beginne,MATCH(L25,Codes,0))-INDEX(EndeRel,MATCH(K25,Codes,0)))*1440,0)&lt;660,1,0),0),0))</f>
      </c>
      <c r="M74" s="1">
        <f>IF(OR(M$52=0,L25="",M25=""),0,IFERROR(IF(AND(INDEX(Arten,MATCH(L25,Codes,0))="Arbeit",INDEX(Arten,MATCH(M25,Codes,0))="Arbeit"),IF(ROUND((1+INDEX(Beginne,MATCH(M25,Codes,0))-INDEX(EndeRel,MATCH(L25,Codes,0)))*1440,0)&lt;660,1,0),0),0))</f>
      </c>
      <c r="N74" s="1">
        <f>IF(OR(N$52=0,M25="",N25=""),0,IFERROR(IF(AND(INDEX(Arten,MATCH(M25,Codes,0))="Arbeit",INDEX(Arten,MATCH(N25,Codes,0))="Arbeit"),IF(ROUND((1+INDEX(Beginne,MATCH(N25,Codes,0))-INDEX(EndeRel,MATCH(M25,Codes,0)))*1440,0)&lt;660,1,0),0),0))</f>
      </c>
      <c r="O74" s="1">
        <f>IF(OR(O$52=0,N25="",O25=""),0,IFERROR(IF(AND(INDEX(Arten,MATCH(N25,Codes,0))="Arbeit",INDEX(Arten,MATCH(O25,Codes,0))="Arbeit"),IF(ROUND((1+INDEX(Beginne,MATCH(O25,Codes,0))-INDEX(EndeRel,MATCH(N25,Codes,0)))*1440,0)&lt;660,1,0),0),0))</f>
      </c>
      <c r="P74" s="1">
        <f>IF(OR(P$52=0,O25="",P25=""),0,IFERROR(IF(AND(INDEX(Arten,MATCH(O25,Codes,0))="Arbeit",INDEX(Arten,MATCH(P25,Codes,0))="Arbeit"),IF(ROUND((1+INDEX(Beginne,MATCH(P25,Codes,0))-INDEX(EndeRel,MATCH(O25,Codes,0)))*1440,0)&lt;660,1,0),0),0))</f>
      </c>
      <c r="Q74" s="1">
        <f>IF(OR(Q$52=0,P25="",Q25=""),0,IFERROR(IF(AND(INDEX(Arten,MATCH(P25,Codes,0))="Arbeit",INDEX(Arten,MATCH(Q25,Codes,0))="Arbeit"),IF(ROUND((1+INDEX(Beginne,MATCH(Q25,Codes,0))-INDEX(EndeRel,MATCH(P25,Codes,0)))*1440,0)&lt;660,1,0),0),0))</f>
      </c>
      <c r="R74" s="1">
        <f>IF(OR(R$52=0,Q25="",R25=""),0,IFERROR(IF(AND(INDEX(Arten,MATCH(Q25,Codes,0))="Arbeit",INDEX(Arten,MATCH(R25,Codes,0))="Arbeit"),IF(ROUND((1+INDEX(Beginne,MATCH(R25,Codes,0))-INDEX(EndeRel,MATCH(Q25,Codes,0)))*1440,0)&lt;660,1,0),0),0))</f>
      </c>
      <c r="S74" s="1">
        <f>IF(OR(S$52=0,R25="",S25=""),0,IFERROR(IF(AND(INDEX(Arten,MATCH(R25,Codes,0))="Arbeit",INDEX(Arten,MATCH(S25,Codes,0))="Arbeit"),IF(ROUND((1+INDEX(Beginne,MATCH(S25,Codes,0))-INDEX(EndeRel,MATCH(R25,Codes,0)))*1440,0)&lt;660,1,0),0),0))</f>
      </c>
      <c r="T74" s="1">
        <f>IF(OR(T$52=0,S25="",T25=""),0,IFERROR(IF(AND(INDEX(Arten,MATCH(S25,Codes,0))="Arbeit",INDEX(Arten,MATCH(T25,Codes,0))="Arbeit"),IF(ROUND((1+INDEX(Beginne,MATCH(T25,Codes,0))-INDEX(EndeRel,MATCH(S25,Codes,0)))*1440,0)&lt;660,1,0),0),0))</f>
      </c>
      <c r="U74" s="1">
        <f>IF(OR(U$52=0,T25="",U25=""),0,IFERROR(IF(AND(INDEX(Arten,MATCH(T25,Codes,0))="Arbeit",INDEX(Arten,MATCH(U25,Codes,0))="Arbeit"),IF(ROUND((1+INDEX(Beginne,MATCH(U25,Codes,0))-INDEX(EndeRel,MATCH(T25,Codes,0)))*1440,0)&lt;660,1,0),0),0))</f>
      </c>
      <c r="V74" s="1">
        <f>IF(OR(V$52=0,U25="",V25=""),0,IFERROR(IF(AND(INDEX(Arten,MATCH(U25,Codes,0))="Arbeit",INDEX(Arten,MATCH(V25,Codes,0))="Arbeit"),IF(ROUND((1+INDEX(Beginne,MATCH(V25,Codes,0))-INDEX(EndeRel,MATCH(U25,Codes,0)))*1440,0)&lt;660,1,0),0),0))</f>
      </c>
      <c r="W74" s="1">
        <f>IF(OR(W$52=0,V25="",W25=""),0,IFERROR(IF(AND(INDEX(Arten,MATCH(V25,Codes,0))="Arbeit",INDEX(Arten,MATCH(W25,Codes,0))="Arbeit"),IF(ROUND((1+INDEX(Beginne,MATCH(W25,Codes,0))-INDEX(EndeRel,MATCH(V25,Codes,0)))*1440,0)&lt;660,1,0),0),0))</f>
      </c>
      <c r="X74" s="1">
        <f>IF(OR(X$52=0,W25="",X25=""),0,IFERROR(IF(AND(INDEX(Arten,MATCH(W25,Codes,0))="Arbeit",INDEX(Arten,MATCH(X25,Codes,0))="Arbeit"),IF(ROUND((1+INDEX(Beginne,MATCH(X25,Codes,0))-INDEX(EndeRel,MATCH(W25,Codes,0)))*1440,0)&lt;660,1,0),0),0))</f>
      </c>
      <c r="Y74" s="1">
        <f>IF(OR(Y$52=0,X25="",Y25=""),0,IFERROR(IF(AND(INDEX(Arten,MATCH(X25,Codes,0))="Arbeit",INDEX(Arten,MATCH(Y25,Codes,0))="Arbeit"),IF(ROUND((1+INDEX(Beginne,MATCH(Y25,Codes,0))-INDEX(EndeRel,MATCH(X25,Codes,0)))*1440,0)&lt;660,1,0),0),0))</f>
      </c>
      <c r="Z74" s="1">
        <f>IF(OR(Z$52=0,Y25="",Z25=""),0,IFERROR(IF(AND(INDEX(Arten,MATCH(Y25,Codes,0))="Arbeit",INDEX(Arten,MATCH(Z25,Codes,0))="Arbeit"),IF(ROUND((1+INDEX(Beginne,MATCH(Z25,Codes,0))-INDEX(EndeRel,MATCH(Y25,Codes,0)))*1440,0)&lt;660,1,0),0),0))</f>
      </c>
      <c r="AA74" s="1">
        <f>IF(OR(AA$52=0,Z25="",AA25=""),0,IFERROR(IF(AND(INDEX(Arten,MATCH(Z25,Codes,0))="Arbeit",INDEX(Arten,MATCH(AA25,Codes,0))="Arbeit"),IF(ROUND((1+INDEX(Beginne,MATCH(AA25,Codes,0))-INDEX(EndeRel,MATCH(Z25,Codes,0)))*1440,0)&lt;660,1,0),0),0))</f>
      </c>
      <c r="AB74" s="1">
        <f>IF(OR(AB$52=0,AA25="",AB25=""),0,IFERROR(IF(AND(INDEX(Arten,MATCH(AA25,Codes,0))="Arbeit",INDEX(Arten,MATCH(AB25,Codes,0))="Arbeit"),IF(ROUND((1+INDEX(Beginne,MATCH(AB25,Codes,0))-INDEX(EndeRel,MATCH(AA25,Codes,0)))*1440,0)&lt;660,1,0),0),0))</f>
      </c>
      <c r="AC74" s="1">
        <f>IF(OR(AC$52=0,AB25="",AC25=""),0,IFERROR(IF(AND(INDEX(Arten,MATCH(AB25,Codes,0))="Arbeit",INDEX(Arten,MATCH(AC25,Codes,0))="Arbeit"),IF(ROUND((1+INDEX(Beginne,MATCH(AC25,Codes,0))-INDEX(EndeRel,MATCH(AB25,Codes,0)))*1440,0)&lt;660,1,0),0),0))</f>
      </c>
      <c r="AD74" s="1">
        <f>IF(OR(AD$52=0,AC25="",AD25=""),0,IFERROR(IF(AND(INDEX(Arten,MATCH(AC25,Codes,0))="Arbeit",INDEX(Arten,MATCH(AD25,Codes,0))="Arbeit"),IF(ROUND((1+INDEX(Beginne,MATCH(AD25,Codes,0))-INDEX(EndeRel,MATCH(AC25,Codes,0)))*1440,0)&lt;660,1,0),0),0))</f>
      </c>
      <c r="AE74" s="1">
        <f>IF(OR(AE$52=0,AD25="",AE25=""),0,IFERROR(IF(AND(INDEX(Arten,MATCH(AD25,Codes,0))="Arbeit",INDEX(Arten,MATCH(AE25,Codes,0))="Arbeit"),IF(ROUND((1+INDEX(Beginne,MATCH(AE25,Codes,0))-INDEX(EndeRel,MATCH(AD25,Codes,0)))*1440,0)&lt;660,1,0),0),0))</f>
      </c>
      <c r="AF74" s="1">
        <f>IF(OR(AF$52=0,AE25="",AF25=""),0,IFERROR(IF(AND(INDEX(Arten,MATCH(AE25,Codes,0))="Arbeit",INDEX(Arten,MATCH(AF25,Codes,0))="Arbeit"),IF(ROUND((1+INDEX(Beginne,MATCH(AF25,Codes,0))-INDEX(EndeRel,MATCH(AE25,Codes,0)))*1440,0)&lt;660,1,0),0),0))</f>
      </c>
    </row>
    <row r="75" hidden="1" spans="1:32" x14ac:dyDescent="0.25">
      <c r="A75" s="1"/>
      <c r="B75" s="1">
        <f>IF(OR(B$52=0,INDEX('November'!$B$26:$AF$26,DAY(DATE(Jahr,12,0)))="",B26=""),0,IFERROR(IF(AND(INDEX(Arten,MATCH(INDEX('November'!$B$26:$AF$26,DAY(DATE(Jahr,12,0))),Codes,0))="Arbeit",INDEX(Arten,MATCH(B26,Codes,0))="Arbeit"),IF(ROUND((1+INDEX(Beginne,MATCH(B26,Codes,0))-INDEX(EndeRel,MATCH(INDEX('November'!$B$26:$AF$26,DAY(DATE(Jahr,12,0))),Codes,0)))*1440,0)&lt;660,1,0),0),0))</f>
      </c>
      <c r="C75" s="1">
        <f>IF(OR(C$52=0,B26="",C26=""),0,IFERROR(IF(AND(INDEX(Arten,MATCH(B26,Codes,0))="Arbeit",INDEX(Arten,MATCH(C26,Codes,0))="Arbeit"),IF(ROUND((1+INDEX(Beginne,MATCH(C26,Codes,0))-INDEX(EndeRel,MATCH(B26,Codes,0)))*1440,0)&lt;660,1,0),0),0))</f>
      </c>
      <c r="D75" s="1">
        <f>IF(OR(D$52=0,C26="",D26=""),0,IFERROR(IF(AND(INDEX(Arten,MATCH(C26,Codes,0))="Arbeit",INDEX(Arten,MATCH(D26,Codes,0))="Arbeit"),IF(ROUND((1+INDEX(Beginne,MATCH(D26,Codes,0))-INDEX(EndeRel,MATCH(C26,Codes,0)))*1440,0)&lt;660,1,0),0),0))</f>
      </c>
      <c r="E75" s="1">
        <f>IF(OR(E$52=0,D26="",E26=""),0,IFERROR(IF(AND(INDEX(Arten,MATCH(D26,Codes,0))="Arbeit",INDEX(Arten,MATCH(E26,Codes,0))="Arbeit"),IF(ROUND((1+INDEX(Beginne,MATCH(E26,Codes,0))-INDEX(EndeRel,MATCH(D26,Codes,0)))*1440,0)&lt;660,1,0),0),0))</f>
      </c>
      <c r="F75" s="1">
        <f>IF(OR(F$52=0,E26="",F26=""),0,IFERROR(IF(AND(INDEX(Arten,MATCH(E26,Codes,0))="Arbeit",INDEX(Arten,MATCH(F26,Codes,0))="Arbeit"),IF(ROUND((1+INDEX(Beginne,MATCH(F26,Codes,0))-INDEX(EndeRel,MATCH(E26,Codes,0)))*1440,0)&lt;660,1,0),0),0))</f>
      </c>
      <c r="G75" s="1">
        <f>IF(OR(G$52=0,F26="",G26=""),0,IFERROR(IF(AND(INDEX(Arten,MATCH(F26,Codes,0))="Arbeit",INDEX(Arten,MATCH(G26,Codes,0))="Arbeit"),IF(ROUND((1+INDEX(Beginne,MATCH(G26,Codes,0))-INDEX(EndeRel,MATCH(F26,Codes,0)))*1440,0)&lt;660,1,0),0),0))</f>
      </c>
      <c r="H75" s="1">
        <f>IF(OR(H$52=0,G26="",H26=""),0,IFERROR(IF(AND(INDEX(Arten,MATCH(G26,Codes,0))="Arbeit",INDEX(Arten,MATCH(H26,Codes,0))="Arbeit"),IF(ROUND((1+INDEX(Beginne,MATCH(H26,Codes,0))-INDEX(EndeRel,MATCH(G26,Codes,0)))*1440,0)&lt;660,1,0),0),0))</f>
      </c>
      <c r="I75" s="1">
        <f>IF(OR(I$52=0,H26="",I26=""),0,IFERROR(IF(AND(INDEX(Arten,MATCH(H26,Codes,0))="Arbeit",INDEX(Arten,MATCH(I26,Codes,0))="Arbeit"),IF(ROUND((1+INDEX(Beginne,MATCH(I26,Codes,0))-INDEX(EndeRel,MATCH(H26,Codes,0)))*1440,0)&lt;660,1,0),0),0))</f>
      </c>
      <c r="J75" s="1">
        <f>IF(OR(J$52=0,I26="",J26=""),0,IFERROR(IF(AND(INDEX(Arten,MATCH(I26,Codes,0))="Arbeit",INDEX(Arten,MATCH(J26,Codes,0))="Arbeit"),IF(ROUND((1+INDEX(Beginne,MATCH(J26,Codes,0))-INDEX(EndeRel,MATCH(I26,Codes,0)))*1440,0)&lt;660,1,0),0),0))</f>
      </c>
      <c r="K75" s="1">
        <f>IF(OR(K$52=0,J26="",K26=""),0,IFERROR(IF(AND(INDEX(Arten,MATCH(J26,Codes,0))="Arbeit",INDEX(Arten,MATCH(K26,Codes,0))="Arbeit"),IF(ROUND((1+INDEX(Beginne,MATCH(K26,Codes,0))-INDEX(EndeRel,MATCH(J26,Codes,0)))*1440,0)&lt;660,1,0),0),0))</f>
      </c>
      <c r="L75" s="1">
        <f>IF(OR(L$52=0,K26="",L26=""),0,IFERROR(IF(AND(INDEX(Arten,MATCH(K26,Codes,0))="Arbeit",INDEX(Arten,MATCH(L26,Codes,0))="Arbeit"),IF(ROUND((1+INDEX(Beginne,MATCH(L26,Codes,0))-INDEX(EndeRel,MATCH(K26,Codes,0)))*1440,0)&lt;660,1,0),0),0))</f>
      </c>
      <c r="M75" s="1">
        <f>IF(OR(M$52=0,L26="",M26=""),0,IFERROR(IF(AND(INDEX(Arten,MATCH(L26,Codes,0))="Arbeit",INDEX(Arten,MATCH(M26,Codes,0))="Arbeit"),IF(ROUND((1+INDEX(Beginne,MATCH(M26,Codes,0))-INDEX(EndeRel,MATCH(L26,Codes,0)))*1440,0)&lt;660,1,0),0),0))</f>
      </c>
      <c r="N75" s="1">
        <f>IF(OR(N$52=0,M26="",N26=""),0,IFERROR(IF(AND(INDEX(Arten,MATCH(M26,Codes,0))="Arbeit",INDEX(Arten,MATCH(N26,Codes,0))="Arbeit"),IF(ROUND((1+INDEX(Beginne,MATCH(N26,Codes,0))-INDEX(EndeRel,MATCH(M26,Codes,0)))*1440,0)&lt;660,1,0),0),0))</f>
      </c>
      <c r="O75" s="1">
        <f>IF(OR(O$52=0,N26="",O26=""),0,IFERROR(IF(AND(INDEX(Arten,MATCH(N26,Codes,0))="Arbeit",INDEX(Arten,MATCH(O26,Codes,0))="Arbeit"),IF(ROUND((1+INDEX(Beginne,MATCH(O26,Codes,0))-INDEX(EndeRel,MATCH(N26,Codes,0)))*1440,0)&lt;660,1,0),0),0))</f>
      </c>
      <c r="P75" s="1">
        <f>IF(OR(P$52=0,O26="",P26=""),0,IFERROR(IF(AND(INDEX(Arten,MATCH(O26,Codes,0))="Arbeit",INDEX(Arten,MATCH(P26,Codes,0))="Arbeit"),IF(ROUND((1+INDEX(Beginne,MATCH(P26,Codes,0))-INDEX(EndeRel,MATCH(O26,Codes,0)))*1440,0)&lt;660,1,0),0),0))</f>
      </c>
      <c r="Q75" s="1">
        <f>IF(OR(Q$52=0,P26="",Q26=""),0,IFERROR(IF(AND(INDEX(Arten,MATCH(P26,Codes,0))="Arbeit",INDEX(Arten,MATCH(Q26,Codes,0))="Arbeit"),IF(ROUND((1+INDEX(Beginne,MATCH(Q26,Codes,0))-INDEX(EndeRel,MATCH(P26,Codes,0)))*1440,0)&lt;660,1,0),0),0))</f>
      </c>
      <c r="R75" s="1">
        <f>IF(OR(R$52=0,Q26="",R26=""),0,IFERROR(IF(AND(INDEX(Arten,MATCH(Q26,Codes,0))="Arbeit",INDEX(Arten,MATCH(R26,Codes,0))="Arbeit"),IF(ROUND((1+INDEX(Beginne,MATCH(R26,Codes,0))-INDEX(EndeRel,MATCH(Q26,Codes,0)))*1440,0)&lt;660,1,0),0),0))</f>
      </c>
      <c r="S75" s="1">
        <f>IF(OR(S$52=0,R26="",S26=""),0,IFERROR(IF(AND(INDEX(Arten,MATCH(R26,Codes,0))="Arbeit",INDEX(Arten,MATCH(S26,Codes,0))="Arbeit"),IF(ROUND((1+INDEX(Beginne,MATCH(S26,Codes,0))-INDEX(EndeRel,MATCH(R26,Codes,0)))*1440,0)&lt;660,1,0),0),0))</f>
      </c>
      <c r="T75" s="1">
        <f>IF(OR(T$52=0,S26="",T26=""),0,IFERROR(IF(AND(INDEX(Arten,MATCH(S26,Codes,0))="Arbeit",INDEX(Arten,MATCH(T26,Codes,0))="Arbeit"),IF(ROUND((1+INDEX(Beginne,MATCH(T26,Codes,0))-INDEX(EndeRel,MATCH(S26,Codes,0)))*1440,0)&lt;660,1,0),0),0))</f>
      </c>
      <c r="U75" s="1">
        <f>IF(OR(U$52=0,T26="",U26=""),0,IFERROR(IF(AND(INDEX(Arten,MATCH(T26,Codes,0))="Arbeit",INDEX(Arten,MATCH(U26,Codes,0))="Arbeit"),IF(ROUND((1+INDEX(Beginne,MATCH(U26,Codes,0))-INDEX(EndeRel,MATCH(T26,Codes,0)))*1440,0)&lt;660,1,0),0),0))</f>
      </c>
      <c r="V75" s="1">
        <f>IF(OR(V$52=0,U26="",V26=""),0,IFERROR(IF(AND(INDEX(Arten,MATCH(U26,Codes,0))="Arbeit",INDEX(Arten,MATCH(V26,Codes,0))="Arbeit"),IF(ROUND((1+INDEX(Beginne,MATCH(V26,Codes,0))-INDEX(EndeRel,MATCH(U26,Codes,0)))*1440,0)&lt;660,1,0),0),0))</f>
      </c>
      <c r="W75" s="1">
        <f>IF(OR(W$52=0,V26="",W26=""),0,IFERROR(IF(AND(INDEX(Arten,MATCH(V26,Codes,0))="Arbeit",INDEX(Arten,MATCH(W26,Codes,0))="Arbeit"),IF(ROUND((1+INDEX(Beginne,MATCH(W26,Codes,0))-INDEX(EndeRel,MATCH(V26,Codes,0)))*1440,0)&lt;660,1,0),0),0))</f>
      </c>
      <c r="X75" s="1">
        <f>IF(OR(X$52=0,W26="",X26=""),0,IFERROR(IF(AND(INDEX(Arten,MATCH(W26,Codes,0))="Arbeit",INDEX(Arten,MATCH(X26,Codes,0))="Arbeit"),IF(ROUND((1+INDEX(Beginne,MATCH(X26,Codes,0))-INDEX(EndeRel,MATCH(W26,Codes,0)))*1440,0)&lt;660,1,0),0),0))</f>
      </c>
      <c r="Y75" s="1">
        <f>IF(OR(Y$52=0,X26="",Y26=""),0,IFERROR(IF(AND(INDEX(Arten,MATCH(X26,Codes,0))="Arbeit",INDEX(Arten,MATCH(Y26,Codes,0))="Arbeit"),IF(ROUND((1+INDEX(Beginne,MATCH(Y26,Codes,0))-INDEX(EndeRel,MATCH(X26,Codes,0)))*1440,0)&lt;660,1,0),0),0))</f>
      </c>
      <c r="Z75" s="1">
        <f>IF(OR(Z$52=0,Y26="",Z26=""),0,IFERROR(IF(AND(INDEX(Arten,MATCH(Y26,Codes,0))="Arbeit",INDEX(Arten,MATCH(Z26,Codes,0))="Arbeit"),IF(ROUND((1+INDEX(Beginne,MATCH(Z26,Codes,0))-INDEX(EndeRel,MATCH(Y26,Codes,0)))*1440,0)&lt;660,1,0),0),0))</f>
      </c>
      <c r="AA75" s="1">
        <f>IF(OR(AA$52=0,Z26="",AA26=""),0,IFERROR(IF(AND(INDEX(Arten,MATCH(Z26,Codes,0))="Arbeit",INDEX(Arten,MATCH(AA26,Codes,0))="Arbeit"),IF(ROUND((1+INDEX(Beginne,MATCH(AA26,Codes,0))-INDEX(EndeRel,MATCH(Z26,Codes,0)))*1440,0)&lt;660,1,0),0),0))</f>
      </c>
      <c r="AB75" s="1">
        <f>IF(OR(AB$52=0,AA26="",AB26=""),0,IFERROR(IF(AND(INDEX(Arten,MATCH(AA26,Codes,0))="Arbeit",INDEX(Arten,MATCH(AB26,Codes,0))="Arbeit"),IF(ROUND((1+INDEX(Beginne,MATCH(AB26,Codes,0))-INDEX(EndeRel,MATCH(AA26,Codes,0)))*1440,0)&lt;660,1,0),0),0))</f>
      </c>
      <c r="AC75" s="1">
        <f>IF(OR(AC$52=0,AB26="",AC26=""),0,IFERROR(IF(AND(INDEX(Arten,MATCH(AB26,Codes,0))="Arbeit",INDEX(Arten,MATCH(AC26,Codes,0))="Arbeit"),IF(ROUND((1+INDEX(Beginne,MATCH(AC26,Codes,0))-INDEX(EndeRel,MATCH(AB26,Codes,0)))*1440,0)&lt;660,1,0),0),0))</f>
      </c>
      <c r="AD75" s="1">
        <f>IF(OR(AD$52=0,AC26="",AD26=""),0,IFERROR(IF(AND(INDEX(Arten,MATCH(AC26,Codes,0))="Arbeit",INDEX(Arten,MATCH(AD26,Codes,0))="Arbeit"),IF(ROUND((1+INDEX(Beginne,MATCH(AD26,Codes,0))-INDEX(EndeRel,MATCH(AC26,Codes,0)))*1440,0)&lt;660,1,0),0),0))</f>
      </c>
      <c r="AE75" s="1">
        <f>IF(OR(AE$52=0,AD26="",AE26=""),0,IFERROR(IF(AND(INDEX(Arten,MATCH(AD26,Codes,0))="Arbeit",INDEX(Arten,MATCH(AE26,Codes,0))="Arbeit"),IF(ROUND((1+INDEX(Beginne,MATCH(AE26,Codes,0))-INDEX(EndeRel,MATCH(AD26,Codes,0)))*1440,0)&lt;660,1,0),0),0))</f>
      </c>
      <c r="AF75" s="1">
        <f>IF(OR(AF$52=0,AE26="",AF26=""),0,IFERROR(IF(AND(INDEX(Arten,MATCH(AE26,Codes,0))="Arbeit",INDEX(Arten,MATCH(AF26,Codes,0))="Arbeit"),IF(ROUND((1+INDEX(Beginne,MATCH(AF26,Codes,0))-INDEX(EndeRel,MATCH(AE26,Codes,0)))*1440,0)&lt;660,1,0),0),0))</f>
      </c>
    </row>
    <row r="76" hidden="1" spans="1:32" x14ac:dyDescent="0.25">
      <c r="A76" s="1"/>
      <c r="B76" s="1">
        <f>IF(OR(B$52=0,INDEX('November'!$B$27:$AF$27,DAY(DATE(Jahr,12,0)))="",B27=""),0,IFERROR(IF(AND(INDEX(Arten,MATCH(INDEX('November'!$B$27:$AF$27,DAY(DATE(Jahr,12,0))),Codes,0))="Arbeit",INDEX(Arten,MATCH(B27,Codes,0))="Arbeit"),IF(ROUND((1+INDEX(Beginne,MATCH(B27,Codes,0))-INDEX(EndeRel,MATCH(INDEX('November'!$B$27:$AF$27,DAY(DATE(Jahr,12,0))),Codes,0)))*1440,0)&lt;660,1,0),0),0))</f>
      </c>
      <c r="C76" s="1">
        <f>IF(OR(C$52=0,B27="",C27=""),0,IFERROR(IF(AND(INDEX(Arten,MATCH(B27,Codes,0))="Arbeit",INDEX(Arten,MATCH(C27,Codes,0))="Arbeit"),IF(ROUND((1+INDEX(Beginne,MATCH(C27,Codes,0))-INDEX(EndeRel,MATCH(B27,Codes,0)))*1440,0)&lt;660,1,0),0),0))</f>
      </c>
      <c r="D76" s="1">
        <f>IF(OR(D$52=0,C27="",D27=""),0,IFERROR(IF(AND(INDEX(Arten,MATCH(C27,Codes,0))="Arbeit",INDEX(Arten,MATCH(D27,Codes,0))="Arbeit"),IF(ROUND((1+INDEX(Beginne,MATCH(D27,Codes,0))-INDEX(EndeRel,MATCH(C27,Codes,0)))*1440,0)&lt;660,1,0),0),0))</f>
      </c>
      <c r="E76" s="1">
        <f>IF(OR(E$52=0,D27="",E27=""),0,IFERROR(IF(AND(INDEX(Arten,MATCH(D27,Codes,0))="Arbeit",INDEX(Arten,MATCH(E27,Codes,0))="Arbeit"),IF(ROUND((1+INDEX(Beginne,MATCH(E27,Codes,0))-INDEX(EndeRel,MATCH(D27,Codes,0)))*1440,0)&lt;660,1,0),0),0))</f>
      </c>
      <c r="F76" s="1">
        <f>IF(OR(F$52=0,E27="",F27=""),0,IFERROR(IF(AND(INDEX(Arten,MATCH(E27,Codes,0))="Arbeit",INDEX(Arten,MATCH(F27,Codes,0))="Arbeit"),IF(ROUND((1+INDEX(Beginne,MATCH(F27,Codes,0))-INDEX(EndeRel,MATCH(E27,Codes,0)))*1440,0)&lt;660,1,0),0),0))</f>
      </c>
      <c r="G76" s="1">
        <f>IF(OR(G$52=0,F27="",G27=""),0,IFERROR(IF(AND(INDEX(Arten,MATCH(F27,Codes,0))="Arbeit",INDEX(Arten,MATCH(G27,Codes,0))="Arbeit"),IF(ROUND((1+INDEX(Beginne,MATCH(G27,Codes,0))-INDEX(EndeRel,MATCH(F27,Codes,0)))*1440,0)&lt;660,1,0),0),0))</f>
      </c>
      <c r="H76" s="1">
        <f>IF(OR(H$52=0,G27="",H27=""),0,IFERROR(IF(AND(INDEX(Arten,MATCH(G27,Codes,0))="Arbeit",INDEX(Arten,MATCH(H27,Codes,0))="Arbeit"),IF(ROUND((1+INDEX(Beginne,MATCH(H27,Codes,0))-INDEX(EndeRel,MATCH(G27,Codes,0)))*1440,0)&lt;660,1,0),0),0))</f>
      </c>
      <c r="I76" s="1">
        <f>IF(OR(I$52=0,H27="",I27=""),0,IFERROR(IF(AND(INDEX(Arten,MATCH(H27,Codes,0))="Arbeit",INDEX(Arten,MATCH(I27,Codes,0))="Arbeit"),IF(ROUND((1+INDEX(Beginne,MATCH(I27,Codes,0))-INDEX(EndeRel,MATCH(H27,Codes,0)))*1440,0)&lt;660,1,0),0),0))</f>
      </c>
      <c r="J76" s="1">
        <f>IF(OR(J$52=0,I27="",J27=""),0,IFERROR(IF(AND(INDEX(Arten,MATCH(I27,Codes,0))="Arbeit",INDEX(Arten,MATCH(J27,Codes,0))="Arbeit"),IF(ROUND((1+INDEX(Beginne,MATCH(J27,Codes,0))-INDEX(EndeRel,MATCH(I27,Codes,0)))*1440,0)&lt;660,1,0),0),0))</f>
      </c>
      <c r="K76" s="1">
        <f>IF(OR(K$52=0,J27="",K27=""),0,IFERROR(IF(AND(INDEX(Arten,MATCH(J27,Codes,0))="Arbeit",INDEX(Arten,MATCH(K27,Codes,0))="Arbeit"),IF(ROUND((1+INDEX(Beginne,MATCH(K27,Codes,0))-INDEX(EndeRel,MATCH(J27,Codes,0)))*1440,0)&lt;660,1,0),0),0))</f>
      </c>
      <c r="L76" s="1">
        <f>IF(OR(L$52=0,K27="",L27=""),0,IFERROR(IF(AND(INDEX(Arten,MATCH(K27,Codes,0))="Arbeit",INDEX(Arten,MATCH(L27,Codes,0))="Arbeit"),IF(ROUND((1+INDEX(Beginne,MATCH(L27,Codes,0))-INDEX(EndeRel,MATCH(K27,Codes,0)))*1440,0)&lt;660,1,0),0),0))</f>
      </c>
      <c r="M76" s="1">
        <f>IF(OR(M$52=0,L27="",M27=""),0,IFERROR(IF(AND(INDEX(Arten,MATCH(L27,Codes,0))="Arbeit",INDEX(Arten,MATCH(M27,Codes,0))="Arbeit"),IF(ROUND((1+INDEX(Beginne,MATCH(M27,Codes,0))-INDEX(EndeRel,MATCH(L27,Codes,0)))*1440,0)&lt;660,1,0),0),0))</f>
      </c>
      <c r="N76" s="1">
        <f>IF(OR(N$52=0,M27="",N27=""),0,IFERROR(IF(AND(INDEX(Arten,MATCH(M27,Codes,0))="Arbeit",INDEX(Arten,MATCH(N27,Codes,0))="Arbeit"),IF(ROUND((1+INDEX(Beginne,MATCH(N27,Codes,0))-INDEX(EndeRel,MATCH(M27,Codes,0)))*1440,0)&lt;660,1,0),0),0))</f>
      </c>
      <c r="O76" s="1">
        <f>IF(OR(O$52=0,N27="",O27=""),0,IFERROR(IF(AND(INDEX(Arten,MATCH(N27,Codes,0))="Arbeit",INDEX(Arten,MATCH(O27,Codes,0))="Arbeit"),IF(ROUND((1+INDEX(Beginne,MATCH(O27,Codes,0))-INDEX(EndeRel,MATCH(N27,Codes,0)))*1440,0)&lt;660,1,0),0),0))</f>
      </c>
      <c r="P76" s="1">
        <f>IF(OR(P$52=0,O27="",P27=""),0,IFERROR(IF(AND(INDEX(Arten,MATCH(O27,Codes,0))="Arbeit",INDEX(Arten,MATCH(P27,Codes,0))="Arbeit"),IF(ROUND((1+INDEX(Beginne,MATCH(P27,Codes,0))-INDEX(EndeRel,MATCH(O27,Codes,0)))*1440,0)&lt;660,1,0),0),0))</f>
      </c>
      <c r="Q76" s="1">
        <f>IF(OR(Q$52=0,P27="",Q27=""),0,IFERROR(IF(AND(INDEX(Arten,MATCH(P27,Codes,0))="Arbeit",INDEX(Arten,MATCH(Q27,Codes,0))="Arbeit"),IF(ROUND((1+INDEX(Beginne,MATCH(Q27,Codes,0))-INDEX(EndeRel,MATCH(P27,Codes,0)))*1440,0)&lt;660,1,0),0),0))</f>
      </c>
      <c r="R76" s="1">
        <f>IF(OR(R$52=0,Q27="",R27=""),0,IFERROR(IF(AND(INDEX(Arten,MATCH(Q27,Codes,0))="Arbeit",INDEX(Arten,MATCH(R27,Codes,0))="Arbeit"),IF(ROUND((1+INDEX(Beginne,MATCH(R27,Codes,0))-INDEX(EndeRel,MATCH(Q27,Codes,0)))*1440,0)&lt;660,1,0),0),0))</f>
      </c>
      <c r="S76" s="1">
        <f>IF(OR(S$52=0,R27="",S27=""),0,IFERROR(IF(AND(INDEX(Arten,MATCH(R27,Codes,0))="Arbeit",INDEX(Arten,MATCH(S27,Codes,0))="Arbeit"),IF(ROUND((1+INDEX(Beginne,MATCH(S27,Codes,0))-INDEX(EndeRel,MATCH(R27,Codes,0)))*1440,0)&lt;660,1,0),0),0))</f>
      </c>
      <c r="T76" s="1">
        <f>IF(OR(T$52=0,S27="",T27=""),0,IFERROR(IF(AND(INDEX(Arten,MATCH(S27,Codes,0))="Arbeit",INDEX(Arten,MATCH(T27,Codes,0))="Arbeit"),IF(ROUND((1+INDEX(Beginne,MATCH(T27,Codes,0))-INDEX(EndeRel,MATCH(S27,Codes,0)))*1440,0)&lt;660,1,0),0),0))</f>
      </c>
      <c r="U76" s="1">
        <f>IF(OR(U$52=0,T27="",U27=""),0,IFERROR(IF(AND(INDEX(Arten,MATCH(T27,Codes,0))="Arbeit",INDEX(Arten,MATCH(U27,Codes,0))="Arbeit"),IF(ROUND((1+INDEX(Beginne,MATCH(U27,Codes,0))-INDEX(EndeRel,MATCH(T27,Codes,0)))*1440,0)&lt;660,1,0),0),0))</f>
      </c>
      <c r="V76" s="1">
        <f>IF(OR(V$52=0,U27="",V27=""),0,IFERROR(IF(AND(INDEX(Arten,MATCH(U27,Codes,0))="Arbeit",INDEX(Arten,MATCH(V27,Codes,0))="Arbeit"),IF(ROUND((1+INDEX(Beginne,MATCH(V27,Codes,0))-INDEX(EndeRel,MATCH(U27,Codes,0)))*1440,0)&lt;660,1,0),0),0))</f>
      </c>
      <c r="W76" s="1">
        <f>IF(OR(W$52=0,V27="",W27=""),0,IFERROR(IF(AND(INDEX(Arten,MATCH(V27,Codes,0))="Arbeit",INDEX(Arten,MATCH(W27,Codes,0))="Arbeit"),IF(ROUND((1+INDEX(Beginne,MATCH(W27,Codes,0))-INDEX(EndeRel,MATCH(V27,Codes,0)))*1440,0)&lt;660,1,0),0),0))</f>
      </c>
      <c r="X76" s="1">
        <f>IF(OR(X$52=0,W27="",X27=""),0,IFERROR(IF(AND(INDEX(Arten,MATCH(W27,Codes,0))="Arbeit",INDEX(Arten,MATCH(X27,Codes,0))="Arbeit"),IF(ROUND((1+INDEX(Beginne,MATCH(X27,Codes,0))-INDEX(EndeRel,MATCH(W27,Codes,0)))*1440,0)&lt;660,1,0),0),0))</f>
      </c>
      <c r="Y76" s="1">
        <f>IF(OR(Y$52=0,X27="",Y27=""),0,IFERROR(IF(AND(INDEX(Arten,MATCH(X27,Codes,0))="Arbeit",INDEX(Arten,MATCH(Y27,Codes,0))="Arbeit"),IF(ROUND((1+INDEX(Beginne,MATCH(Y27,Codes,0))-INDEX(EndeRel,MATCH(X27,Codes,0)))*1440,0)&lt;660,1,0),0),0))</f>
      </c>
      <c r="Z76" s="1">
        <f>IF(OR(Z$52=0,Y27="",Z27=""),0,IFERROR(IF(AND(INDEX(Arten,MATCH(Y27,Codes,0))="Arbeit",INDEX(Arten,MATCH(Z27,Codes,0))="Arbeit"),IF(ROUND((1+INDEX(Beginne,MATCH(Z27,Codes,0))-INDEX(EndeRel,MATCH(Y27,Codes,0)))*1440,0)&lt;660,1,0),0),0))</f>
      </c>
      <c r="AA76" s="1">
        <f>IF(OR(AA$52=0,Z27="",AA27=""),0,IFERROR(IF(AND(INDEX(Arten,MATCH(Z27,Codes,0))="Arbeit",INDEX(Arten,MATCH(AA27,Codes,0))="Arbeit"),IF(ROUND((1+INDEX(Beginne,MATCH(AA27,Codes,0))-INDEX(EndeRel,MATCH(Z27,Codes,0)))*1440,0)&lt;660,1,0),0),0))</f>
      </c>
      <c r="AB76" s="1">
        <f>IF(OR(AB$52=0,AA27="",AB27=""),0,IFERROR(IF(AND(INDEX(Arten,MATCH(AA27,Codes,0))="Arbeit",INDEX(Arten,MATCH(AB27,Codes,0))="Arbeit"),IF(ROUND((1+INDEX(Beginne,MATCH(AB27,Codes,0))-INDEX(EndeRel,MATCH(AA27,Codes,0)))*1440,0)&lt;660,1,0),0),0))</f>
      </c>
      <c r="AC76" s="1">
        <f>IF(OR(AC$52=0,AB27="",AC27=""),0,IFERROR(IF(AND(INDEX(Arten,MATCH(AB27,Codes,0))="Arbeit",INDEX(Arten,MATCH(AC27,Codes,0))="Arbeit"),IF(ROUND((1+INDEX(Beginne,MATCH(AC27,Codes,0))-INDEX(EndeRel,MATCH(AB27,Codes,0)))*1440,0)&lt;660,1,0),0),0))</f>
      </c>
      <c r="AD76" s="1">
        <f>IF(OR(AD$52=0,AC27="",AD27=""),0,IFERROR(IF(AND(INDEX(Arten,MATCH(AC27,Codes,0))="Arbeit",INDEX(Arten,MATCH(AD27,Codes,0))="Arbeit"),IF(ROUND((1+INDEX(Beginne,MATCH(AD27,Codes,0))-INDEX(EndeRel,MATCH(AC27,Codes,0)))*1440,0)&lt;660,1,0),0),0))</f>
      </c>
      <c r="AE76" s="1">
        <f>IF(OR(AE$52=0,AD27="",AE27=""),0,IFERROR(IF(AND(INDEX(Arten,MATCH(AD27,Codes,0))="Arbeit",INDEX(Arten,MATCH(AE27,Codes,0))="Arbeit"),IF(ROUND((1+INDEX(Beginne,MATCH(AE27,Codes,0))-INDEX(EndeRel,MATCH(AD27,Codes,0)))*1440,0)&lt;660,1,0),0),0))</f>
      </c>
      <c r="AF76" s="1">
        <f>IF(OR(AF$52=0,AE27="",AF27=""),0,IFERROR(IF(AND(INDEX(Arten,MATCH(AE27,Codes,0))="Arbeit",INDEX(Arten,MATCH(AF27,Codes,0))="Arbeit"),IF(ROUND((1+INDEX(Beginne,MATCH(AF27,Codes,0))-INDEX(EndeRel,MATCH(AE27,Codes,0)))*1440,0)&lt;660,1,0),0),0))</f>
      </c>
    </row>
    <row r="77" hidden="1" spans="1:32" x14ac:dyDescent="0.25">
      <c r="A77" s="1"/>
      <c r="B77" s="1">
        <f>IF(OR(B$52=0,INDEX('November'!$B$28:$AF$28,DAY(DATE(Jahr,12,0)))="",B28=""),0,IFERROR(IF(AND(INDEX(Arten,MATCH(INDEX('November'!$B$28:$AF$28,DAY(DATE(Jahr,12,0))),Codes,0))="Arbeit",INDEX(Arten,MATCH(B28,Codes,0))="Arbeit"),IF(ROUND((1+INDEX(Beginne,MATCH(B28,Codes,0))-INDEX(EndeRel,MATCH(INDEX('November'!$B$28:$AF$28,DAY(DATE(Jahr,12,0))),Codes,0)))*1440,0)&lt;660,1,0),0),0))</f>
      </c>
      <c r="C77" s="1">
        <f>IF(OR(C$52=0,B28="",C28=""),0,IFERROR(IF(AND(INDEX(Arten,MATCH(B28,Codes,0))="Arbeit",INDEX(Arten,MATCH(C28,Codes,0))="Arbeit"),IF(ROUND((1+INDEX(Beginne,MATCH(C28,Codes,0))-INDEX(EndeRel,MATCH(B28,Codes,0)))*1440,0)&lt;660,1,0),0),0))</f>
      </c>
      <c r="D77" s="1">
        <f>IF(OR(D$52=0,C28="",D28=""),0,IFERROR(IF(AND(INDEX(Arten,MATCH(C28,Codes,0))="Arbeit",INDEX(Arten,MATCH(D28,Codes,0))="Arbeit"),IF(ROUND((1+INDEX(Beginne,MATCH(D28,Codes,0))-INDEX(EndeRel,MATCH(C28,Codes,0)))*1440,0)&lt;660,1,0),0),0))</f>
      </c>
      <c r="E77" s="1">
        <f>IF(OR(E$52=0,D28="",E28=""),0,IFERROR(IF(AND(INDEX(Arten,MATCH(D28,Codes,0))="Arbeit",INDEX(Arten,MATCH(E28,Codes,0))="Arbeit"),IF(ROUND((1+INDEX(Beginne,MATCH(E28,Codes,0))-INDEX(EndeRel,MATCH(D28,Codes,0)))*1440,0)&lt;660,1,0),0),0))</f>
      </c>
      <c r="F77" s="1">
        <f>IF(OR(F$52=0,E28="",F28=""),0,IFERROR(IF(AND(INDEX(Arten,MATCH(E28,Codes,0))="Arbeit",INDEX(Arten,MATCH(F28,Codes,0))="Arbeit"),IF(ROUND((1+INDEX(Beginne,MATCH(F28,Codes,0))-INDEX(EndeRel,MATCH(E28,Codes,0)))*1440,0)&lt;660,1,0),0),0))</f>
      </c>
      <c r="G77" s="1">
        <f>IF(OR(G$52=0,F28="",G28=""),0,IFERROR(IF(AND(INDEX(Arten,MATCH(F28,Codes,0))="Arbeit",INDEX(Arten,MATCH(G28,Codes,0))="Arbeit"),IF(ROUND((1+INDEX(Beginne,MATCH(G28,Codes,0))-INDEX(EndeRel,MATCH(F28,Codes,0)))*1440,0)&lt;660,1,0),0),0))</f>
      </c>
      <c r="H77" s="1">
        <f>IF(OR(H$52=0,G28="",H28=""),0,IFERROR(IF(AND(INDEX(Arten,MATCH(G28,Codes,0))="Arbeit",INDEX(Arten,MATCH(H28,Codes,0))="Arbeit"),IF(ROUND((1+INDEX(Beginne,MATCH(H28,Codes,0))-INDEX(EndeRel,MATCH(G28,Codes,0)))*1440,0)&lt;660,1,0),0),0))</f>
      </c>
      <c r="I77" s="1">
        <f>IF(OR(I$52=0,H28="",I28=""),0,IFERROR(IF(AND(INDEX(Arten,MATCH(H28,Codes,0))="Arbeit",INDEX(Arten,MATCH(I28,Codes,0))="Arbeit"),IF(ROUND((1+INDEX(Beginne,MATCH(I28,Codes,0))-INDEX(EndeRel,MATCH(H28,Codes,0)))*1440,0)&lt;660,1,0),0),0))</f>
      </c>
      <c r="J77" s="1">
        <f>IF(OR(J$52=0,I28="",J28=""),0,IFERROR(IF(AND(INDEX(Arten,MATCH(I28,Codes,0))="Arbeit",INDEX(Arten,MATCH(J28,Codes,0))="Arbeit"),IF(ROUND((1+INDEX(Beginne,MATCH(J28,Codes,0))-INDEX(EndeRel,MATCH(I28,Codes,0)))*1440,0)&lt;660,1,0),0),0))</f>
      </c>
      <c r="K77" s="1">
        <f>IF(OR(K$52=0,J28="",K28=""),0,IFERROR(IF(AND(INDEX(Arten,MATCH(J28,Codes,0))="Arbeit",INDEX(Arten,MATCH(K28,Codes,0))="Arbeit"),IF(ROUND((1+INDEX(Beginne,MATCH(K28,Codes,0))-INDEX(EndeRel,MATCH(J28,Codes,0)))*1440,0)&lt;660,1,0),0),0))</f>
      </c>
      <c r="L77" s="1">
        <f>IF(OR(L$52=0,K28="",L28=""),0,IFERROR(IF(AND(INDEX(Arten,MATCH(K28,Codes,0))="Arbeit",INDEX(Arten,MATCH(L28,Codes,0))="Arbeit"),IF(ROUND((1+INDEX(Beginne,MATCH(L28,Codes,0))-INDEX(EndeRel,MATCH(K28,Codes,0)))*1440,0)&lt;660,1,0),0),0))</f>
      </c>
      <c r="M77" s="1">
        <f>IF(OR(M$52=0,L28="",M28=""),0,IFERROR(IF(AND(INDEX(Arten,MATCH(L28,Codes,0))="Arbeit",INDEX(Arten,MATCH(M28,Codes,0))="Arbeit"),IF(ROUND((1+INDEX(Beginne,MATCH(M28,Codes,0))-INDEX(EndeRel,MATCH(L28,Codes,0)))*1440,0)&lt;660,1,0),0),0))</f>
      </c>
      <c r="N77" s="1">
        <f>IF(OR(N$52=0,M28="",N28=""),0,IFERROR(IF(AND(INDEX(Arten,MATCH(M28,Codes,0))="Arbeit",INDEX(Arten,MATCH(N28,Codes,0))="Arbeit"),IF(ROUND((1+INDEX(Beginne,MATCH(N28,Codes,0))-INDEX(EndeRel,MATCH(M28,Codes,0)))*1440,0)&lt;660,1,0),0),0))</f>
      </c>
      <c r="O77" s="1">
        <f>IF(OR(O$52=0,N28="",O28=""),0,IFERROR(IF(AND(INDEX(Arten,MATCH(N28,Codes,0))="Arbeit",INDEX(Arten,MATCH(O28,Codes,0))="Arbeit"),IF(ROUND((1+INDEX(Beginne,MATCH(O28,Codes,0))-INDEX(EndeRel,MATCH(N28,Codes,0)))*1440,0)&lt;660,1,0),0),0))</f>
      </c>
      <c r="P77" s="1">
        <f>IF(OR(P$52=0,O28="",P28=""),0,IFERROR(IF(AND(INDEX(Arten,MATCH(O28,Codes,0))="Arbeit",INDEX(Arten,MATCH(P28,Codes,0))="Arbeit"),IF(ROUND((1+INDEX(Beginne,MATCH(P28,Codes,0))-INDEX(EndeRel,MATCH(O28,Codes,0)))*1440,0)&lt;660,1,0),0),0))</f>
      </c>
      <c r="Q77" s="1">
        <f>IF(OR(Q$52=0,P28="",Q28=""),0,IFERROR(IF(AND(INDEX(Arten,MATCH(P28,Codes,0))="Arbeit",INDEX(Arten,MATCH(Q28,Codes,0))="Arbeit"),IF(ROUND((1+INDEX(Beginne,MATCH(Q28,Codes,0))-INDEX(EndeRel,MATCH(P28,Codes,0)))*1440,0)&lt;660,1,0),0),0))</f>
      </c>
      <c r="R77" s="1">
        <f>IF(OR(R$52=0,Q28="",R28=""),0,IFERROR(IF(AND(INDEX(Arten,MATCH(Q28,Codes,0))="Arbeit",INDEX(Arten,MATCH(R28,Codes,0))="Arbeit"),IF(ROUND((1+INDEX(Beginne,MATCH(R28,Codes,0))-INDEX(EndeRel,MATCH(Q28,Codes,0)))*1440,0)&lt;660,1,0),0),0))</f>
      </c>
      <c r="S77" s="1">
        <f>IF(OR(S$52=0,R28="",S28=""),0,IFERROR(IF(AND(INDEX(Arten,MATCH(R28,Codes,0))="Arbeit",INDEX(Arten,MATCH(S28,Codes,0))="Arbeit"),IF(ROUND((1+INDEX(Beginne,MATCH(S28,Codes,0))-INDEX(EndeRel,MATCH(R28,Codes,0)))*1440,0)&lt;660,1,0),0),0))</f>
      </c>
      <c r="T77" s="1">
        <f>IF(OR(T$52=0,S28="",T28=""),0,IFERROR(IF(AND(INDEX(Arten,MATCH(S28,Codes,0))="Arbeit",INDEX(Arten,MATCH(T28,Codes,0))="Arbeit"),IF(ROUND((1+INDEX(Beginne,MATCH(T28,Codes,0))-INDEX(EndeRel,MATCH(S28,Codes,0)))*1440,0)&lt;660,1,0),0),0))</f>
      </c>
      <c r="U77" s="1">
        <f>IF(OR(U$52=0,T28="",U28=""),0,IFERROR(IF(AND(INDEX(Arten,MATCH(T28,Codes,0))="Arbeit",INDEX(Arten,MATCH(U28,Codes,0))="Arbeit"),IF(ROUND((1+INDEX(Beginne,MATCH(U28,Codes,0))-INDEX(EndeRel,MATCH(T28,Codes,0)))*1440,0)&lt;660,1,0),0),0))</f>
      </c>
      <c r="V77" s="1">
        <f>IF(OR(V$52=0,U28="",V28=""),0,IFERROR(IF(AND(INDEX(Arten,MATCH(U28,Codes,0))="Arbeit",INDEX(Arten,MATCH(V28,Codes,0))="Arbeit"),IF(ROUND((1+INDEX(Beginne,MATCH(V28,Codes,0))-INDEX(EndeRel,MATCH(U28,Codes,0)))*1440,0)&lt;660,1,0),0),0))</f>
      </c>
      <c r="W77" s="1">
        <f>IF(OR(W$52=0,V28="",W28=""),0,IFERROR(IF(AND(INDEX(Arten,MATCH(V28,Codes,0))="Arbeit",INDEX(Arten,MATCH(W28,Codes,0))="Arbeit"),IF(ROUND((1+INDEX(Beginne,MATCH(W28,Codes,0))-INDEX(EndeRel,MATCH(V28,Codes,0)))*1440,0)&lt;660,1,0),0),0))</f>
      </c>
      <c r="X77" s="1">
        <f>IF(OR(X$52=0,W28="",X28=""),0,IFERROR(IF(AND(INDEX(Arten,MATCH(W28,Codes,0))="Arbeit",INDEX(Arten,MATCH(X28,Codes,0))="Arbeit"),IF(ROUND((1+INDEX(Beginne,MATCH(X28,Codes,0))-INDEX(EndeRel,MATCH(W28,Codes,0)))*1440,0)&lt;660,1,0),0),0))</f>
      </c>
      <c r="Y77" s="1">
        <f>IF(OR(Y$52=0,X28="",Y28=""),0,IFERROR(IF(AND(INDEX(Arten,MATCH(X28,Codes,0))="Arbeit",INDEX(Arten,MATCH(Y28,Codes,0))="Arbeit"),IF(ROUND((1+INDEX(Beginne,MATCH(Y28,Codes,0))-INDEX(EndeRel,MATCH(X28,Codes,0)))*1440,0)&lt;660,1,0),0),0))</f>
      </c>
      <c r="Z77" s="1">
        <f>IF(OR(Z$52=0,Y28="",Z28=""),0,IFERROR(IF(AND(INDEX(Arten,MATCH(Y28,Codes,0))="Arbeit",INDEX(Arten,MATCH(Z28,Codes,0))="Arbeit"),IF(ROUND((1+INDEX(Beginne,MATCH(Z28,Codes,0))-INDEX(EndeRel,MATCH(Y28,Codes,0)))*1440,0)&lt;660,1,0),0),0))</f>
      </c>
      <c r="AA77" s="1">
        <f>IF(OR(AA$52=0,Z28="",AA28=""),0,IFERROR(IF(AND(INDEX(Arten,MATCH(Z28,Codes,0))="Arbeit",INDEX(Arten,MATCH(AA28,Codes,0))="Arbeit"),IF(ROUND((1+INDEX(Beginne,MATCH(AA28,Codes,0))-INDEX(EndeRel,MATCH(Z28,Codes,0)))*1440,0)&lt;660,1,0),0),0))</f>
      </c>
      <c r="AB77" s="1">
        <f>IF(OR(AB$52=0,AA28="",AB28=""),0,IFERROR(IF(AND(INDEX(Arten,MATCH(AA28,Codes,0))="Arbeit",INDEX(Arten,MATCH(AB28,Codes,0))="Arbeit"),IF(ROUND((1+INDEX(Beginne,MATCH(AB28,Codes,0))-INDEX(EndeRel,MATCH(AA28,Codes,0)))*1440,0)&lt;660,1,0),0),0))</f>
      </c>
      <c r="AC77" s="1">
        <f>IF(OR(AC$52=0,AB28="",AC28=""),0,IFERROR(IF(AND(INDEX(Arten,MATCH(AB28,Codes,0))="Arbeit",INDEX(Arten,MATCH(AC28,Codes,0))="Arbeit"),IF(ROUND((1+INDEX(Beginne,MATCH(AC28,Codes,0))-INDEX(EndeRel,MATCH(AB28,Codes,0)))*1440,0)&lt;660,1,0),0),0))</f>
      </c>
      <c r="AD77" s="1">
        <f>IF(OR(AD$52=0,AC28="",AD28=""),0,IFERROR(IF(AND(INDEX(Arten,MATCH(AC28,Codes,0))="Arbeit",INDEX(Arten,MATCH(AD28,Codes,0))="Arbeit"),IF(ROUND((1+INDEX(Beginne,MATCH(AD28,Codes,0))-INDEX(EndeRel,MATCH(AC28,Codes,0)))*1440,0)&lt;660,1,0),0),0))</f>
      </c>
      <c r="AE77" s="1">
        <f>IF(OR(AE$52=0,AD28="",AE28=""),0,IFERROR(IF(AND(INDEX(Arten,MATCH(AD28,Codes,0))="Arbeit",INDEX(Arten,MATCH(AE28,Codes,0))="Arbeit"),IF(ROUND((1+INDEX(Beginne,MATCH(AE28,Codes,0))-INDEX(EndeRel,MATCH(AD28,Codes,0)))*1440,0)&lt;660,1,0),0),0))</f>
      </c>
      <c r="AF77" s="1">
        <f>IF(OR(AF$52=0,AE28="",AF28=""),0,IFERROR(IF(AND(INDEX(Arten,MATCH(AE28,Codes,0))="Arbeit",INDEX(Arten,MATCH(AF28,Codes,0))="Arbeit"),IF(ROUND((1+INDEX(Beginne,MATCH(AF28,Codes,0))-INDEX(EndeRel,MATCH(AE28,Codes,0)))*1440,0)&lt;660,1,0),0),0))</f>
      </c>
    </row>
    <row r="78" hidden="1" spans="1:32" x14ac:dyDescent="0.25">
      <c r="A78" s="1"/>
      <c r="B78" s="1">
        <f>IF(OR(B$52=0,INDEX('November'!$B$29:$AF$29,DAY(DATE(Jahr,12,0)))="",B29=""),0,IFERROR(IF(AND(INDEX(Arten,MATCH(INDEX('November'!$B$29:$AF$29,DAY(DATE(Jahr,12,0))),Codes,0))="Arbeit",INDEX(Arten,MATCH(B29,Codes,0))="Arbeit"),IF(ROUND((1+INDEX(Beginne,MATCH(B29,Codes,0))-INDEX(EndeRel,MATCH(INDEX('November'!$B$29:$AF$29,DAY(DATE(Jahr,12,0))),Codes,0)))*1440,0)&lt;660,1,0),0),0))</f>
      </c>
      <c r="C78" s="1">
        <f>IF(OR(C$52=0,B29="",C29=""),0,IFERROR(IF(AND(INDEX(Arten,MATCH(B29,Codes,0))="Arbeit",INDEX(Arten,MATCH(C29,Codes,0))="Arbeit"),IF(ROUND((1+INDEX(Beginne,MATCH(C29,Codes,0))-INDEX(EndeRel,MATCH(B29,Codes,0)))*1440,0)&lt;660,1,0),0),0))</f>
      </c>
      <c r="D78" s="1">
        <f>IF(OR(D$52=0,C29="",D29=""),0,IFERROR(IF(AND(INDEX(Arten,MATCH(C29,Codes,0))="Arbeit",INDEX(Arten,MATCH(D29,Codes,0))="Arbeit"),IF(ROUND((1+INDEX(Beginne,MATCH(D29,Codes,0))-INDEX(EndeRel,MATCH(C29,Codes,0)))*1440,0)&lt;660,1,0),0),0))</f>
      </c>
      <c r="E78" s="1">
        <f>IF(OR(E$52=0,D29="",E29=""),0,IFERROR(IF(AND(INDEX(Arten,MATCH(D29,Codes,0))="Arbeit",INDEX(Arten,MATCH(E29,Codes,0))="Arbeit"),IF(ROUND((1+INDEX(Beginne,MATCH(E29,Codes,0))-INDEX(EndeRel,MATCH(D29,Codes,0)))*1440,0)&lt;660,1,0),0),0))</f>
      </c>
      <c r="F78" s="1">
        <f>IF(OR(F$52=0,E29="",F29=""),0,IFERROR(IF(AND(INDEX(Arten,MATCH(E29,Codes,0))="Arbeit",INDEX(Arten,MATCH(F29,Codes,0))="Arbeit"),IF(ROUND((1+INDEX(Beginne,MATCH(F29,Codes,0))-INDEX(EndeRel,MATCH(E29,Codes,0)))*1440,0)&lt;660,1,0),0),0))</f>
      </c>
      <c r="G78" s="1">
        <f>IF(OR(G$52=0,F29="",G29=""),0,IFERROR(IF(AND(INDEX(Arten,MATCH(F29,Codes,0))="Arbeit",INDEX(Arten,MATCH(G29,Codes,0))="Arbeit"),IF(ROUND((1+INDEX(Beginne,MATCH(G29,Codes,0))-INDEX(EndeRel,MATCH(F29,Codes,0)))*1440,0)&lt;660,1,0),0),0))</f>
      </c>
      <c r="H78" s="1">
        <f>IF(OR(H$52=0,G29="",H29=""),0,IFERROR(IF(AND(INDEX(Arten,MATCH(G29,Codes,0))="Arbeit",INDEX(Arten,MATCH(H29,Codes,0))="Arbeit"),IF(ROUND((1+INDEX(Beginne,MATCH(H29,Codes,0))-INDEX(EndeRel,MATCH(G29,Codes,0)))*1440,0)&lt;660,1,0),0),0))</f>
      </c>
      <c r="I78" s="1">
        <f>IF(OR(I$52=0,H29="",I29=""),0,IFERROR(IF(AND(INDEX(Arten,MATCH(H29,Codes,0))="Arbeit",INDEX(Arten,MATCH(I29,Codes,0))="Arbeit"),IF(ROUND((1+INDEX(Beginne,MATCH(I29,Codes,0))-INDEX(EndeRel,MATCH(H29,Codes,0)))*1440,0)&lt;660,1,0),0),0))</f>
      </c>
      <c r="J78" s="1">
        <f>IF(OR(J$52=0,I29="",J29=""),0,IFERROR(IF(AND(INDEX(Arten,MATCH(I29,Codes,0))="Arbeit",INDEX(Arten,MATCH(J29,Codes,0))="Arbeit"),IF(ROUND((1+INDEX(Beginne,MATCH(J29,Codes,0))-INDEX(EndeRel,MATCH(I29,Codes,0)))*1440,0)&lt;660,1,0),0),0))</f>
      </c>
      <c r="K78" s="1">
        <f>IF(OR(K$52=0,J29="",K29=""),0,IFERROR(IF(AND(INDEX(Arten,MATCH(J29,Codes,0))="Arbeit",INDEX(Arten,MATCH(K29,Codes,0))="Arbeit"),IF(ROUND((1+INDEX(Beginne,MATCH(K29,Codes,0))-INDEX(EndeRel,MATCH(J29,Codes,0)))*1440,0)&lt;660,1,0),0),0))</f>
      </c>
      <c r="L78" s="1">
        <f>IF(OR(L$52=0,K29="",L29=""),0,IFERROR(IF(AND(INDEX(Arten,MATCH(K29,Codes,0))="Arbeit",INDEX(Arten,MATCH(L29,Codes,0))="Arbeit"),IF(ROUND((1+INDEX(Beginne,MATCH(L29,Codes,0))-INDEX(EndeRel,MATCH(K29,Codes,0)))*1440,0)&lt;660,1,0),0),0))</f>
      </c>
      <c r="M78" s="1">
        <f>IF(OR(M$52=0,L29="",M29=""),0,IFERROR(IF(AND(INDEX(Arten,MATCH(L29,Codes,0))="Arbeit",INDEX(Arten,MATCH(M29,Codes,0))="Arbeit"),IF(ROUND((1+INDEX(Beginne,MATCH(M29,Codes,0))-INDEX(EndeRel,MATCH(L29,Codes,0)))*1440,0)&lt;660,1,0),0),0))</f>
      </c>
      <c r="N78" s="1">
        <f>IF(OR(N$52=0,M29="",N29=""),0,IFERROR(IF(AND(INDEX(Arten,MATCH(M29,Codes,0))="Arbeit",INDEX(Arten,MATCH(N29,Codes,0))="Arbeit"),IF(ROUND((1+INDEX(Beginne,MATCH(N29,Codes,0))-INDEX(EndeRel,MATCH(M29,Codes,0)))*1440,0)&lt;660,1,0),0),0))</f>
      </c>
      <c r="O78" s="1">
        <f>IF(OR(O$52=0,N29="",O29=""),0,IFERROR(IF(AND(INDEX(Arten,MATCH(N29,Codes,0))="Arbeit",INDEX(Arten,MATCH(O29,Codes,0))="Arbeit"),IF(ROUND((1+INDEX(Beginne,MATCH(O29,Codes,0))-INDEX(EndeRel,MATCH(N29,Codes,0)))*1440,0)&lt;660,1,0),0),0))</f>
      </c>
      <c r="P78" s="1">
        <f>IF(OR(P$52=0,O29="",P29=""),0,IFERROR(IF(AND(INDEX(Arten,MATCH(O29,Codes,0))="Arbeit",INDEX(Arten,MATCH(P29,Codes,0))="Arbeit"),IF(ROUND((1+INDEX(Beginne,MATCH(P29,Codes,0))-INDEX(EndeRel,MATCH(O29,Codes,0)))*1440,0)&lt;660,1,0),0),0))</f>
      </c>
      <c r="Q78" s="1">
        <f>IF(OR(Q$52=0,P29="",Q29=""),0,IFERROR(IF(AND(INDEX(Arten,MATCH(P29,Codes,0))="Arbeit",INDEX(Arten,MATCH(Q29,Codes,0))="Arbeit"),IF(ROUND((1+INDEX(Beginne,MATCH(Q29,Codes,0))-INDEX(EndeRel,MATCH(P29,Codes,0)))*1440,0)&lt;660,1,0),0),0))</f>
      </c>
      <c r="R78" s="1">
        <f>IF(OR(R$52=0,Q29="",R29=""),0,IFERROR(IF(AND(INDEX(Arten,MATCH(Q29,Codes,0))="Arbeit",INDEX(Arten,MATCH(R29,Codes,0))="Arbeit"),IF(ROUND((1+INDEX(Beginne,MATCH(R29,Codes,0))-INDEX(EndeRel,MATCH(Q29,Codes,0)))*1440,0)&lt;660,1,0),0),0))</f>
      </c>
      <c r="S78" s="1">
        <f>IF(OR(S$52=0,R29="",S29=""),0,IFERROR(IF(AND(INDEX(Arten,MATCH(R29,Codes,0))="Arbeit",INDEX(Arten,MATCH(S29,Codes,0))="Arbeit"),IF(ROUND((1+INDEX(Beginne,MATCH(S29,Codes,0))-INDEX(EndeRel,MATCH(R29,Codes,0)))*1440,0)&lt;660,1,0),0),0))</f>
      </c>
      <c r="T78" s="1">
        <f>IF(OR(T$52=0,S29="",T29=""),0,IFERROR(IF(AND(INDEX(Arten,MATCH(S29,Codes,0))="Arbeit",INDEX(Arten,MATCH(T29,Codes,0))="Arbeit"),IF(ROUND((1+INDEX(Beginne,MATCH(T29,Codes,0))-INDEX(EndeRel,MATCH(S29,Codes,0)))*1440,0)&lt;660,1,0),0),0))</f>
      </c>
      <c r="U78" s="1">
        <f>IF(OR(U$52=0,T29="",U29=""),0,IFERROR(IF(AND(INDEX(Arten,MATCH(T29,Codes,0))="Arbeit",INDEX(Arten,MATCH(U29,Codes,0))="Arbeit"),IF(ROUND((1+INDEX(Beginne,MATCH(U29,Codes,0))-INDEX(EndeRel,MATCH(T29,Codes,0)))*1440,0)&lt;660,1,0),0),0))</f>
      </c>
      <c r="V78" s="1">
        <f>IF(OR(V$52=0,U29="",V29=""),0,IFERROR(IF(AND(INDEX(Arten,MATCH(U29,Codes,0))="Arbeit",INDEX(Arten,MATCH(V29,Codes,0))="Arbeit"),IF(ROUND((1+INDEX(Beginne,MATCH(V29,Codes,0))-INDEX(EndeRel,MATCH(U29,Codes,0)))*1440,0)&lt;660,1,0),0),0))</f>
      </c>
      <c r="W78" s="1">
        <f>IF(OR(W$52=0,V29="",W29=""),0,IFERROR(IF(AND(INDEX(Arten,MATCH(V29,Codes,0))="Arbeit",INDEX(Arten,MATCH(W29,Codes,0))="Arbeit"),IF(ROUND((1+INDEX(Beginne,MATCH(W29,Codes,0))-INDEX(EndeRel,MATCH(V29,Codes,0)))*1440,0)&lt;660,1,0),0),0))</f>
      </c>
      <c r="X78" s="1">
        <f>IF(OR(X$52=0,W29="",X29=""),0,IFERROR(IF(AND(INDEX(Arten,MATCH(W29,Codes,0))="Arbeit",INDEX(Arten,MATCH(X29,Codes,0))="Arbeit"),IF(ROUND((1+INDEX(Beginne,MATCH(X29,Codes,0))-INDEX(EndeRel,MATCH(W29,Codes,0)))*1440,0)&lt;660,1,0),0),0))</f>
      </c>
      <c r="Y78" s="1">
        <f>IF(OR(Y$52=0,X29="",Y29=""),0,IFERROR(IF(AND(INDEX(Arten,MATCH(X29,Codes,0))="Arbeit",INDEX(Arten,MATCH(Y29,Codes,0))="Arbeit"),IF(ROUND((1+INDEX(Beginne,MATCH(Y29,Codes,0))-INDEX(EndeRel,MATCH(X29,Codes,0)))*1440,0)&lt;660,1,0),0),0))</f>
      </c>
      <c r="Z78" s="1">
        <f>IF(OR(Z$52=0,Y29="",Z29=""),0,IFERROR(IF(AND(INDEX(Arten,MATCH(Y29,Codes,0))="Arbeit",INDEX(Arten,MATCH(Z29,Codes,0))="Arbeit"),IF(ROUND((1+INDEX(Beginne,MATCH(Z29,Codes,0))-INDEX(EndeRel,MATCH(Y29,Codes,0)))*1440,0)&lt;660,1,0),0),0))</f>
      </c>
      <c r="AA78" s="1">
        <f>IF(OR(AA$52=0,Z29="",AA29=""),0,IFERROR(IF(AND(INDEX(Arten,MATCH(Z29,Codes,0))="Arbeit",INDEX(Arten,MATCH(AA29,Codes,0))="Arbeit"),IF(ROUND((1+INDEX(Beginne,MATCH(AA29,Codes,0))-INDEX(EndeRel,MATCH(Z29,Codes,0)))*1440,0)&lt;660,1,0),0),0))</f>
      </c>
      <c r="AB78" s="1">
        <f>IF(OR(AB$52=0,AA29="",AB29=""),0,IFERROR(IF(AND(INDEX(Arten,MATCH(AA29,Codes,0))="Arbeit",INDEX(Arten,MATCH(AB29,Codes,0))="Arbeit"),IF(ROUND((1+INDEX(Beginne,MATCH(AB29,Codes,0))-INDEX(EndeRel,MATCH(AA29,Codes,0)))*1440,0)&lt;660,1,0),0),0))</f>
      </c>
      <c r="AC78" s="1">
        <f>IF(OR(AC$52=0,AB29="",AC29=""),0,IFERROR(IF(AND(INDEX(Arten,MATCH(AB29,Codes,0))="Arbeit",INDEX(Arten,MATCH(AC29,Codes,0))="Arbeit"),IF(ROUND((1+INDEX(Beginne,MATCH(AC29,Codes,0))-INDEX(EndeRel,MATCH(AB29,Codes,0)))*1440,0)&lt;660,1,0),0),0))</f>
      </c>
      <c r="AD78" s="1">
        <f>IF(OR(AD$52=0,AC29="",AD29=""),0,IFERROR(IF(AND(INDEX(Arten,MATCH(AC29,Codes,0))="Arbeit",INDEX(Arten,MATCH(AD29,Codes,0))="Arbeit"),IF(ROUND((1+INDEX(Beginne,MATCH(AD29,Codes,0))-INDEX(EndeRel,MATCH(AC29,Codes,0)))*1440,0)&lt;660,1,0),0),0))</f>
      </c>
      <c r="AE78" s="1">
        <f>IF(OR(AE$52=0,AD29="",AE29=""),0,IFERROR(IF(AND(INDEX(Arten,MATCH(AD29,Codes,0))="Arbeit",INDEX(Arten,MATCH(AE29,Codes,0))="Arbeit"),IF(ROUND((1+INDEX(Beginne,MATCH(AE29,Codes,0))-INDEX(EndeRel,MATCH(AD29,Codes,0)))*1440,0)&lt;660,1,0),0),0))</f>
      </c>
      <c r="AF78" s="1">
        <f>IF(OR(AF$52=0,AE29="",AF29=""),0,IFERROR(IF(AND(INDEX(Arten,MATCH(AE29,Codes,0))="Arbeit",INDEX(Arten,MATCH(AF29,Codes,0))="Arbeit"),IF(ROUND((1+INDEX(Beginne,MATCH(AF29,Codes,0))-INDEX(EndeRel,MATCH(AE29,Codes,0)))*1440,0)&lt;660,1,0),0),0))</f>
      </c>
    </row>
    <row r="79" hidden="1" spans="1:32" x14ac:dyDescent="0.25">
      <c r="A79" s="1"/>
      <c r="B79" s="1">
        <f>IF(OR(B$52=0,INDEX('November'!$B$30:$AF$30,DAY(DATE(Jahr,12,0)))="",B30=""),0,IFERROR(IF(AND(INDEX(Arten,MATCH(INDEX('November'!$B$30:$AF$30,DAY(DATE(Jahr,12,0))),Codes,0))="Arbeit",INDEX(Arten,MATCH(B30,Codes,0))="Arbeit"),IF(ROUND((1+INDEX(Beginne,MATCH(B30,Codes,0))-INDEX(EndeRel,MATCH(INDEX('November'!$B$30:$AF$30,DAY(DATE(Jahr,12,0))),Codes,0)))*1440,0)&lt;660,1,0),0),0))</f>
      </c>
      <c r="C79" s="1">
        <f>IF(OR(C$52=0,B30="",C30=""),0,IFERROR(IF(AND(INDEX(Arten,MATCH(B30,Codes,0))="Arbeit",INDEX(Arten,MATCH(C30,Codes,0))="Arbeit"),IF(ROUND((1+INDEX(Beginne,MATCH(C30,Codes,0))-INDEX(EndeRel,MATCH(B30,Codes,0)))*1440,0)&lt;660,1,0),0),0))</f>
      </c>
      <c r="D79" s="1">
        <f>IF(OR(D$52=0,C30="",D30=""),0,IFERROR(IF(AND(INDEX(Arten,MATCH(C30,Codes,0))="Arbeit",INDEX(Arten,MATCH(D30,Codes,0))="Arbeit"),IF(ROUND((1+INDEX(Beginne,MATCH(D30,Codes,0))-INDEX(EndeRel,MATCH(C30,Codes,0)))*1440,0)&lt;660,1,0),0),0))</f>
      </c>
      <c r="E79" s="1">
        <f>IF(OR(E$52=0,D30="",E30=""),0,IFERROR(IF(AND(INDEX(Arten,MATCH(D30,Codes,0))="Arbeit",INDEX(Arten,MATCH(E30,Codes,0))="Arbeit"),IF(ROUND((1+INDEX(Beginne,MATCH(E30,Codes,0))-INDEX(EndeRel,MATCH(D30,Codes,0)))*1440,0)&lt;660,1,0),0),0))</f>
      </c>
      <c r="F79" s="1">
        <f>IF(OR(F$52=0,E30="",F30=""),0,IFERROR(IF(AND(INDEX(Arten,MATCH(E30,Codes,0))="Arbeit",INDEX(Arten,MATCH(F30,Codes,0))="Arbeit"),IF(ROUND((1+INDEX(Beginne,MATCH(F30,Codes,0))-INDEX(EndeRel,MATCH(E30,Codes,0)))*1440,0)&lt;660,1,0),0),0))</f>
      </c>
      <c r="G79" s="1">
        <f>IF(OR(G$52=0,F30="",G30=""),0,IFERROR(IF(AND(INDEX(Arten,MATCH(F30,Codes,0))="Arbeit",INDEX(Arten,MATCH(G30,Codes,0))="Arbeit"),IF(ROUND((1+INDEX(Beginne,MATCH(G30,Codes,0))-INDEX(EndeRel,MATCH(F30,Codes,0)))*1440,0)&lt;660,1,0),0),0))</f>
      </c>
      <c r="H79" s="1">
        <f>IF(OR(H$52=0,G30="",H30=""),0,IFERROR(IF(AND(INDEX(Arten,MATCH(G30,Codes,0))="Arbeit",INDEX(Arten,MATCH(H30,Codes,0))="Arbeit"),IF(ROUND((1+INDEX(Beginne,MATCH(H30,Codes,0))-INDEX(EndeRel,MATCH(G30,Codes,0)))*1440,0)&lt;660,1,0),0),0))</f>
      </c>
      <c r="I79" s="1">
        <f>IF(OR(I$52=0,H30="",I30=""),0,IFERROR(IF(AND(INDEX(Arten,MATCH(H30,Codes,0))="Arbeit",INDEX(Arten,MATCH(I30,Codes,0))="Arbeit"),IF(ROUND((1+INDEX(Beginne,MATCH(I30,Codes,0))-INDEX(EndeRel,MATCH(H30,Codes,0)))*1440,0)&lt;660,1,0),0),0))</f>
      </c>
      <c r="J79" s="1">
        <f>IF(OR(J$52=0,I30="",J30=""),0,IFERROR(IF(AND(INDEX(Arten,MATCH(I30,Codes,0))="Arbeit",INDEX(Arten,MATCH(J30,Codes,0))="Arbeit"),IF(ROUND((1+INDEX(Beginne,MATCH(J30,Codes,0))-INDEX(EndeRel,MATCH(I30,Codes,0)))*1440,0)&lt;660,1,0),0),0))</f>
      </c>
      <c r="K79" s="1">
        <f>IF(OR(K$52=0,J30="",K30=""),0,IFERROR(IF(AND(INDEX(Arten,MATCH(J30,Codes,0))="Arbeit",INDEX(Arten,MATCH(K30,Codes,0))="Arbeit"),IF(ROUND((1+INDEX(Beginne,MATCH(K30,Codes,0))-INDEX(EndeRel,MATCH(J30,Codes,0)))*1440,0)&lt;660,1,0),0),0))</f>
      </c>
      <c r="L79" s="1">
        <f>IF(OR(L$52=0,K30="",L30=""),0,IFERROR(IF(AND(INDEX(Arten,MATCH(K30,Codes,0))="Arbeit",INDEX(Arten,MATCH(L30,Codes,0))="Arbeit"),IF(ROUND((1+INDEX(Beginne,MATCH(L30,Codes,0))-INDEX(EndeRel,MATCH(K30,Codes,0)))*1440,0)&lt;660,1,0),0),0))</f>
      </c>
      <c r="M79" s="1">
        <f>IF(OR(M$52=0,L30="",M30=""),0,IFERROR(IF(AND(INDEX(Arten,MATCH(L30,Codes,0))="Arbeit",INDEX(Arten,MATCH(M30,Codes,0))="Arbeit"),IF(ROUND((1+INDEX(Beginne,MATCH(M30,Codes,0))-INDEX(EndeRel,MATCH(L30,Codes,0)))*1440,0)&lt;660,1,0),0),0))</f>
      </c>
      <c r="N79" s="1">
        <f>IF(OR(N$52=0,M30="",N30=""),0,IFERROR(IF(AND(INDEX(Arten,MATCH(M30,Codes,0))="Arbeit",INDEX(Arten,MATCH(N30,Codes,0))="Arbeit"),IF(ROUND((1+INDEX(Beginne,MATCH(N30,Codes,0))-INDEX(EndeRel,MATCH(M30,Codes,0)))*1440,0)&lt;660,1,0),0),0))</f>
      </c>
      <c r="O79" s="1">
        <f>IF(OR(O$52=0,N30="",O30=""),0,IFERROR(IF(AND(INDEX(Arten,MATCH(N30,Codes,0))="Arbeit",INDEX(Arten,MATCH(O30,Codes,0))="Arbeit"),IF(ROUND((1+INDEX(Beginne,MATCH(O30,Codes,0))-INDEX(EndeRel,MATCH(N30,Codes,0)))*1440,0)&lt;660,1,0),0),0))</f>
      </c>
      <c r="P79" s="1">
        <f>IF(OR(P$52=0,O30="",P30=""),0,IFERROR(IF(AND(INDEX(Arten,MATCH(O30,Codes,0))="Arbeit",INDEX(Arten,MATCH(P30,Codes,0))="Arbeit"),IF(ROUND((1+INDEX(Beginne,MATCH(P30,Codes,0))-INDEX(EndeRel,MATCH(O30,Codes,0)))*1440,0)&lt;660,1,0),0),0))</f>
      </c>
      <c r="Q79" s="1">
        <f>IF(OR(Q$52=0,P30="",Q30=""),0,IFERROR(IF(AND(INDEX(Arten,MATCH(P30,Codes,0))="Arbeit",INDEX(Arten,MATCH(Q30,Codes,0))="Arbeit"),IF(ROUND((1+INDEX(Beginne,MATCH(Q30,Codes,0))-INDEX(EndeRel,MATCH(P30,Codes,0)))*1440,0)&lt;660,1,0),0),0))</f>
      </c>
      <c r="R79" s="1">
        <f>IF(OR(R$52=0,Q30="",R30=""),0,IFERROR(IF(AND(INDEX(Arten,MATCH(Q30,Codes,0))="Arbeit",INDEX(Arten,MATCH(R30,Codes,0))="Arbeit"),IF(ROUND((1+INDEX(Beginne,MATCH(R30,Codes,0))-INDEX(EndeRel,MATCH(Q30,Codes,0)))*1440,0)&lt;660,1,0),0),0))</f>
      </c>
      <c r="S79" s="1">
        <f>IF(OR(S$52=0,R30="",S30=""),0,IFERROR(IF(AND(INDEX(Arten,MATCH(R30,Codes,0))="Arbeit",INDEX(Arten,MATCH(S30,Codes,0))="Arbeit"),IF(ROUND((1+INDEX(Beginne,MATCH(S30,Codes,0))-INDEX(EndeRel,MATCH(R30,Codes,0)))*1440,0)&lt;660,1,0),0),0))</f>
      </c>
      <c r="T79" s="1">
        <f>IF(OR(T$52=0,S30="",T30=""),0,IFERROR(IF(AND(INDEX(Arten,MATCH(S30,Codes,0))="Arbeit",INDEX(Arten,MATCH(T30,Codes,0))="Arbeit"),IF(ROUND((1+INDEX(Beginne,MATCH(T30,Codes,0))-INDEX(EndeRel,MATCH(S30,Codes,0)))*1440,0)&lt;660,1,0),0),0))</f>
      </c>
      <c r="U79" s="1">
        <f>IF(OR(U$52=0,T30="",U30=""),0,IFERROR(IF(AND(INDEX(Arten,MATCH(T30,Codes,0))="Arbeit",INDEX(Arten,MATCH(U30,Codes,0))="Arbeit"),IF(ROUND((1+INDEX(Beginne,MATCH(U30,Codes,0))-INDEX(EndeRel,MATCH(T30,Codes,0)))*1440,0)&lt;660,1,0),0),0))</f>
      </c>
      <c r="V79" s="1">
        <f>IF(OR(V$52=0,U30="",V30=""),0,IFERROR(IF(AND(INDEX(Arten,MATCH(U30,Codes,0))="Arbeit",INDEX(Arten,MATCH(V30,Codes,0))="Arbeit"),IF(ROUND((1+INDEX(Beginne,MATCH(V30,Codes,0))-INDEX(EndeRel,MATCH(U30,Codes,0)))*1440,0)&lt;660,1,0),0),0))</f>
      </c>
      <c r="W79" s="1">
        <f>IF(OR(W$52=0,V30="",W30=""),0,IFERROR(IF(AND(INDEX(Arten,MATCH(V30,Codes,0))="Arbeit",INDEX(Arten,MATCH(W30,Codes,0))="Arbeit"),IF(ROUND((1+INDEX(Beginne,MATCH(W30,Codes,0))-INDEX(EndeRel,MATCH(V30,Codes,0)))*1440,0)&lt;660,1,0),0),0))</f>
      </c>
      <c r="X79" s="1">
        <f>IF(OR(X$52=0,W30="",X30=""),0,IFERROR(IF(AND(INDEX(Arten,MATCH(W30,Codes,0))="Arbeit",INDEX(Arten,MATCH(X30,Codes,0))="Arbeit"),IF(ROUND((1+INDEX(Beginne,MATCH(X30,Codes,0))-INDEX(EndeRel,MATCH(W30,Codes,0)))*1440,0)&lt;660,1,0),0),0))</f>
      </c>
      <c r="Y79" s="1">
        <f>IF(OR(Y$52=0,X30="",Y30=""),0,IFERROR(IF(AND(INDEX(Arten,MATCH(X30,Codes,0))="Arbeit",INDEX(Arten,MATCH(Y30,Codes,0))="Arbeit"),IF(ROUND((1+INDEX(Beginne,MATCH(Y30,Codes,0))-INDEX(EndeRel,MATCH(X30,Codes,0)))*1440,0)&lt;660,1,0),0),0))</f>
      </c>
      <c r="Z79" s="1">
        <f>IF(OR(Z$52=0,Y30="",Z30=""),0,IFERROR(IF(AND(INDEX(Arten,MATCH(Y30,Codes,0))="Arbeit",INDEX(Arten,MATCH(Z30,Codes,0))="Arbeit"),IF(ROUND((1+INDEX(Beginne,MATCH(Z30,Codes,0))-INDEX(EndeRel,MATCH(Y30,Codes,0)))*1440,0)&lt;660,1,0),0),0))</f>
      </c>
      <c r="AA79" s="1">
        <f>IF(OR(AA$52=0,Z30="",AA30=""),0,IFERROR(IF(AND(INDEX(Arten,MATCH(Z30,Codes,0))="Arbeit",INDEX(Arten,MATCH(AA30,Codes,0))="Arbeit"),IF(ROUND((1+INDEX(Beginne,MATCH(AA30,Codes,0))-INDEX(EndeRel,MATCH(Z30,Codes,0)))*1440,0)&lt;660,1,0),0),0))</f>
      </c>
      <c r="AB79" s="1">
        <f>IF(OR(AB$52=0,AA30="",AB30=""),0,IFERROR(IF(AND(INDEX(Arten,MATCH(AA30,Codes,0))="Arbeit",INDEX(Arten,MATCH(AB30,Codes,0))="Arbeit"),IF(ROUND((1+INDEX(Beginne,MATCH(AB30,Codes,0))-INDEX(EndeRel,MATCH(AA30,Codes,0)))*1440,0)&lt;660,1,0),0),0))</f>
      </c>
      <c r="AC79" s="1">
        <f>IF(OR(AC$52=0,AB30="",AC30=""),0,IFERROR(IF(AND(INDEX(Arten,MATCH(AB30,Codes,0))="Arbeit",INDEX(Arten,MATCH(AC30,Codes,0))="Arbeit"),IF(ROUND((1+INDEX(Beginne,MATCH(AC30,Codes,0))-INDEX(EndeRel,MATCH(AB30,Codes,0)))*1440,0)&lt;660,1,0),0),0))</f>
      </c>
      <c r="AD79" s="1">
        <f>IF(OR(AD$52=0,AC30="",AD30=""),0,IFERROR(IF(AND(INDEX(Arten,MATCH(AC30,Codes,0))="Arbeit",INDEX(Arten,MATCH(AD30,Codes,0))="Arbeit"),IF(ROUND((1+INDEX(Beginne,MATCH(AD30,Codes,0))-INDEX(EndeRel,MATCH(AC30,Codes,0)))*1440,0)&lt;660,1,0),0),0))</f>
      </c>
      <c r="AE79" s="1">
        <f>IF(OR(AE$52=0,AD30="",AE30=""),0,IFERROR(IF(AND(INDEX(Arten,MATCH(AD30,Codes,0))="Arbeit",INDEX(Arten,MATCH(AE30,Codes,0))="Arbeit"),IF(ROUND((1+INDEX(Beginne,MATCH(AE30,Codes,0))-INDEX(EndeRel,MATCH(AD30,Codes,0)))*1440,0)&lt;660,1,0),0),0))</f>
      </c>
      <c r="AF79" s="1">
        <f>IF(OR(AF$52=0,AE30="",AF30=""),0,IFERROR(IF(AND(INDEX(Arten,MATCH(AE30,Codes,0))="Arbeit",INDEX(Arten,MATCH(AF30,Codes,0))="Arbeit"),IF(ROUND((1+INDEX(Beginne,MATCH(AF30,Codes,0))-INDEX(EndeRel,MATCH(AE30,Codes,0)))*1440,0)&lt;660,1,0),0),0))</f>
      </c>
    </row>
    <row r="80" hidden="1" spans="1:32" x14ac:dyDescent="0.25">
      <c r="A80" s="1"/>
      <c r="B80" s="1">
        <f>IF(OR(B$52=0,INDEX('November'!$B$31:$AF$31,DAY(DATE(Jahr,12,0)))="",B31=""),0,IFERROR(IF(AND(INDEX(Arten,MATCH(INDEX('November'!$B$31:$AF$31,DAY(DATE(Jahr,12,0))),Codes,0))="Arbeit",INDEX(Arten,MATCH(B31,Codes,0))="Arbeit"),IF(ROUND((1+INDEX(Beginne,MATCH(B31,Codes,0))-INDEX(EndeRel,MATCH(INDEX('November'!$B$31:$AF$31,DAY(DATE(Jahr,12,0))),Codes,0)))*1440,0)&lt;660,1,0),0),0))</f>
      </c>
      <c r="C80" s="1">
        <f>IF(OR(C$52=0,B31="",C31=""),0,IFERROR(IF(AND(INDEX(Arten,MATCH(B31,Codes,0))="Arbeit",INDEX(Arten,MATCH(C31,Codes,0))="Arbeit"),IF(ROUND((1+INDEX(Beginne,MATCH(C31,Codes,0))-INDEX(EndeRel,MATCH(B31,Codes,0)))*1440,0)&lt;660,1,0),0),0))</f>
      </c>
      <c r="D80" s="1">
        <f>IF(OR(D$52=0,C31="",D31=""),0,IFERROR(IF(AND(INDEX(Arten,MATCH(C31,Codes,0))="Arbeit",INDEX(Arten,MATCH(D31,Codes,0))="Arbeit"),IF(ROUND((1+INDEX(Beginne,MATCH(D31,Codes,0))-INDEX(EndeRel,MATCH(C31,Codes,0)))*1440,0)&lt;660,1,0),0),0))</f>
      </c>
      <c r="E80" s="1">
        <f>IF(OR(E$52=0,D31="",E31=""),0,IFERROR(IF(AND(INDEX(Arten,MATCH(D31,Codes,0))="Arbeit",INDEX(Arten,MATCH(E31,Codes,0))="Arbeit"),IF(ROUND((1+INDEX(Beginne,MATCH(E31,Codes,0))-INDEX(EndeRel,MATCH(D31,Codes,0)))*1440,0)&lt;660,1,0),0),0))</f>
      </c>
      <c r="F80" s="1">
        <f>IF(OR(F$52=0,E31="",F31=""),0,IFERROR(IF(AND(INDEX(Arten,MATCH(E31,Codes,0))="Arbeit",INDEX(Arten,MATCH(F31,Codes,0))="Arbeit"),IF(ROUND((1+INDEX(Beginne,MATCH(F31,Codes,0))-INDEX(EndeRel,MATCH(E31,Codes,0)))*1440,0)&lt;660,1,0),0),0))</f>
      </c>
      <c r="G80" s="1">
        <f>IF(OR(G$52=0,F31="",G31=""),0,IFERROR(IF(AND(INDEX(Arten,MATCH(F31,Codes,0))="Arbeit",INDEX(Arten,MATCH(G31,Codes,0))="Arbeit"),IF(ROUND((1+INDEX(Beginne,MATCH(G31,Codes,0))-INDEX(EndeRel,MATCH(F31,Codes,0)))*1440,0)&lt;660,1,0),0),0))</f>
      </c>
      <c r="H80" s="1">
        <f>IF(OR(H$52=0,G31="",H31=""),0,IFERROR(IF(AND(INDEX(Arten,MATCH(G31,Codes,0))="Arbeit",INDEX(Arten,MATCH(H31,Codes,0))="Arbeit"),IF(ROUND((1+INDEX(Beginne,MATCH(H31,Codes,0))-INDEX(EndeRel,MATCH(G31,Codes,0)))*1440,0)&lt;660,1,0),0),0))</f>
      </c>
      <c r="I80" s="1">
        <f>IF(OR(I$52=0,H31="",I31=""),0,IFERROR(IF(AND(INDEX(Arten,MATCH(H31,Codes,0))="Arbeit",INDEX(Arten,MATCH(I31,Codes,0))="Arbeit"),IF(ROUND((1+INDEX(Beginne,MATCH(I31,Codes,0))-INDEX(EndeRel,MATCH(H31,Codes,0)))*1440,0)&lt;660,1,0),0),0))</f>
      </c>
      <c r="J80" s="1">
        <f>IF(OR(J$52=0,I31="",J31=""),0,IFERROR(IF(AND(INDEX(Arten,MATCH(I31,Codes,0))="Arbeit",INDEX(Arten,MATCH(J31,Codes,0))="Arbeit"),IF(ROUND((1+INDEX(Beginne,MATCH(J31,Codes,0))-INDEX(EndeRel,MATCH(I31,Codes,0)))*1440,0)&lt;660,1,0),0),0))</f>
      </c>
      <c r="K80" s="1">
        <f>IF(OR(K$52=0,J31="",K31=""),0,IFERROR(IF(AND(INDEX(Arten,MATCH(J31,Codes,0))="Arbeit",INDEX(Arten,MATCH(K31,Codes,0))="Arbeit"),IF(ROUND((1+INDEX(Beginne,MATCH(K31,Codes,0))-INDEX(EndeRel,MATCH(J31,Codes,0)))*1440,0)&lt;660,1,0),0),0))</f>
      </c>
      <c r="L80" s="1">
        <f>IF(OR(L$52=0,K31="",L31=""),0,IFERROR(IF(AND(INDEX(Arten,MATCH(K31,Codes,0))="Arbeit",INDEX(Arten,MATCH(L31,Codes,0))="Arbeit"),IF(ROUND((1+INDEX(Beginne,MATCH(L31,Codes,0))-INDEX(EndeRel,MATCH(K31,Codes,0)))*1440,0)&lt;660,1,0),0),0))</f>
      </c>
      <c r="M80" s="1">
        <f>IF(OR(M$52=0,L31="",M31=""),0,IFERROR(IF(AND(INDEX(Arten,MATCH(L31,Codes,0))="Arbeit",INDEX(Arten,MATCH(M31,Codes,0))="Arbeit"),IF(ROUND((1+INDEX(Beginne,MATCH(M31,Codes,0))-INDEX(EndeRel,MATCH(L31,Codes,0)))*1440,0)&lt;660,1,0),0),0))</f>
      </c>
      <c r="N80" s="1">
        <f>IF(OR(N$52=0,M31="",N31=""),0,IFERROR(IF(AND(INDEX(Arten,MATCH(M31,Codes,0))="Arbeit",INDEX(Arten,MATCH(N31,Codes,0))="Arbeit"),IF(ROUND((1+INDEX(Beginne,MATCH(N31,Codes,0))-INDEX(EndeRel,MATCH(M31,Codes,0)))*1440,0)&lt;660,1,0),0),0))</f>
      </c>
      <c r="O80" s="1">
        <f>IF(OR(O$52=0,N31="",O31=""),0,IFERROR(IF(AND(INDEX(Arten,MATCH(N31,Codes,0))="Arbeit",INDEX(Arten,MATCH(O31,Codes,0))="Arbeit"),IF(ROUND((1+INDEX(Beginne,MATCH(O31,Codes,0))-INDEX(EndeRel,MATCH(N31,Codes,0)))*1440,0)&lt;660,1,0),0),0))</f>
      </c>
      <c r="P80" s="1">
        <f>IF(OR(P$52=0,O31="",P31=""),0,IFERROR(IF(AND(INDEX(Arten,MATCH(O31,Codes,0))="Arbeit",INDEX(Arten,MATCH(P31,Codes,0))="Arbeit"),IF(ROUND((1+INDEX(Beginne,MATCH(P31,Codes,0))-INDEX(EndeRel,MATCH(O31,Codes,0)))*1440,0)&lt;660,1,0),0),0))</f>
      </c>
      <c r="Q80" s="1">
        <f>IF(OR(Q$52=0,P31="",Q31=""),0,IFERROR(IF(AND(INDEX(Arten,MATCH(P31,Codes,0))="Arbeit",INDEX(Arten,MATCH(Q31,Codes,0))="Arbeit"),IF(ROUND((1+INDEX(Beginne,MATCH(Q31,Codes,0))-INDEX(EndeRel,MATCH(P31,Codes,0)))*1440,0)&lt;660,1,0),0),0))</f>
      </c>
      <c r="R80" s="1">
        <f>IF(OR(R$52=0,Q31="",R31=""),0,IFERROR(IF(AND(INDEX(Arten,MATCH(Q31,Codes,0))="Arbeit",INDEX(Arten,MATCH(R31,Codes,0))="Arbeit"),IF(ROUND((1+INDEX(Beginne,MATCH(R31,Codes,0))-INDEX(EndeRel,MATCH(Q31,Codes,0)))*1440,0)&lt;660,1,0),0),0))</f>
      </c>
      <c r="S80" s="1">
        <f>IF(OR(S$52=0,R31="",S31=""),0,IFERROR(IF(AND(INDEX(Arten,MATCH(R31,Codes,0))="Arbeit",INDEX(Arten,MATCH(S31,Codes,0))="Arbeit"),IF(ROUND((1+INDEX(Beginne,MATCH(S31,Codes,0))-INDEX(EndeRel,MATCH(R31,Codes,0)))*1440,0)&lt;660,1,0),0),0))</f>
      </c>
      <c r="T80" s="1">
        <f>IF(OR(T$52=0,S31="",T31=""),0,IFERROR(IF(AND(INDEX(Arten,MATCH(S31,Codes,0))="Arbeit",INDEX(Arten,MATCH(T31,Codes,0))="Arbeit"),IF(ROUND((1+INDEX(Beginne,MATCH(T31,Codes,0))-INDEX(EndeRel,MATCH(S31,Codes,0)))*1440,0)&lt;660,1,0),0),0))</f>
      </c>
      <c r="U80" s="1">
        <f>IF(OR(U$52=0,T31="",U31=""),0,IFERROR(IF(AND(INDEX(Arten,MATCH(T31,Codes,0))="Arbeit",INDEX(Arten,MATCH(U31,Codes,0))="Arbeit"),IF(ROUND((1+INDEX(Beginne,MATCH(U31,Codes,0))-INDEX(EndeRel,MATCH(T31,Codes,0)))*1440,0)&lt;660,1,0),0),0))</f>
      </c>
      <c r="V80" s="1">
        <f>IF(OR(V$52=0,U31="",V31=""),0,IFERROR(IF(AND(INDEX(Arten,MATCH(U31,Codes,0))="Arbeit",INDEX(Arten,MATCH(V31,Codes,0))="Arbeit"),IF(ROUND((1+INDEX(Beginne,MATCH(V31,Codes,0))-INDEX(EndeRel,MATCH(U31,Codes,0)))*1440,0)&lt;660,1,0),0),0))</f>
      </c>
      <c r="W80" s="1">
        <f>IF(OR(W$52=0,V31="",W31=""),0,IFERROR(IF(AND(INDEX(Arten,MATCH(V31,Codes,0))="Arbeit",INDEX(Arten,MATCH(W31,Codes,0))="Arbeit"),IF(ROUND((1+INDEX(Beginne,MATCH(W31,Codes,0))-INDEX(EndeRel,MATCH(V31,Codes,0)))*1440,0)&lt;660,1,0),0),0))</f>
      </c>
      <c r="X80" s="1">
        <f>IF(OR(X$52=0,W31="",X31=""),0,IFERROR(IF(AND(INDEX(Arten,MATCH(W31,Codes,0))="Arbeit",INDEX(Arten,MATCH(X31,Codes,0))="Arbeit"),IF(ROUND((1+INDEX(Beginne,MATCH(X31,Codes,0))-INDEX(EndeRel,MATCH(W31,Codes,0)))*1440,0)&lt;660,1,0),0),0))</f>
      </c>
      <c r="Y80" s="1">
        <f>IF(OR(Y$52=0,X31="",Y31=""),0,IFERROR(IF(AND(INDEX(Arten,MATCH(X31,Codes,0))="Arbeit",INDEX(Arten,MATCH(Y31,Codes,0))="Arbeit"),IF(ROUND((1+INDEX(Beginne,MATCH(Y31,Codes,0))-INDEX(EndeRel,MATCH(X31,Codes,0)))*1440,0)&lt;660,1,0),0),0))</f>
      </c>
      <c r="Z80" s="1">
        <f>IF(OR(Z$52=0,Y31="",Z31=""),0,IFERROR(IF(AND(INDEX(Arten,MATCH(Y31,Codes,0))="Arbeit",INDEX(Arten,MATCH(Z31,Codes,0))="Arbeit"),IF(ROUND((1+INDEX(Beginne,MATCH(Z31,Codes,0))-INDEX(EndeRel,MATCH(Y31,Codes,0)))*1440,0)&lt;660,1,0),0),0))</f>
      </c>
      <c r="AA80" s="1">
        <f>IF(OR(AA$52=0,Z31="",AA31=""),0,IFERROR(IF(AND(INDEX(Arten,MATCH(Z31,Codes,0))="Arbeit",INDEX(Arten,MATCH(AA31,Codes,0))="Arbeit"),IF(ROUND((1+INDEX(Beginne,MATCH(AA31,Codes,0))-INDEX(EndeRel,MATCH(Z31,Codes,0)))*1440,0)&lt;660,1,0),0),0))</f>
      </c>
      <c r="AB80" s="1">
        <f>IF(OR(AB$52=0,AA31="",AB31=""),0,IFERROR(IF(AND(INDEX(Arten,MATCH(AA31,Codes,0))="Arbeit",INDEX(Arten,MATCH(AB31,Codes,0))="Arbeit"),IF(ROUND((1+INDEX(Beginne,MATCH(AB31,Codes,0))-INDEX(EndeRel,MATCH(AA31,Codes,0)))*1440,0)&lt;660,1,0),0),0))</f>
      </c>
      <c r="AC80" s="1">
        <f>IF(OR(AC$52=0,AB31="",AC31=""),0,IFERROR(IF(AND(INDEX(Arten,MATCH(AB31,Codes,0))="Arbeit",INDEX(Arten,MATCH(AC31,Codes,0))="Arbeit"),IF(ROUND((1+INDEX(Beginne,MATCH(AC31,Codes,0))-INDEX(EndeRel,MATCH(AB31,Codes,0)))*1440,0)&lt;660,1,0),0),0))</f>
      </c>
      <c r="AD80" s="1">
        <f>IF(OR(AD$52=0,AC31="",AD31=""),0,IFERROR(IF(AND(INDEX(Arten,MATCH(AC31,Codes,0))="Arbeit",INDEX(Arten,MATCH(AD31,Codes,0))="Arbeit"),IF(ROUND((1+INDEX(Beginne,MATCH(AD31,Codes,0))-INDEX(EndeRel,MATCH(AC31,Codes,0)))*1440,0)&lt;660,1,0),0),0))</f>
      </c>
      <c r="AE80" s="1">
        <f>IF(OR(AE$52=0,AD31="",AE31=""),0,IFERROR(IF(AND(INDEX(Arten,MATCH(AD31,Codes,0))="Arbeit",INDEX(Arten,MATCH(AE31,Codes,0))="Arbeit"),IF(ROUND((1+INDEX(Beginne,MATCH(AE31,Codes,0))-INDEX(EndeRel,MATCH(AD31,Codes,0)))*1440,0)&lt;660,1,0),0),0))</f>
      </c>
      <c r="AF80" s="1">
        <f>IF(OR(AF$52=0,AE31="",AF31=""),0,IFERROR(IF(AND(INDEX(Arten,MATCH(AE31,Codes,0))="Arbeit",INDEX(Arten,MATCH(AF31,Codes,0))="Arbeit"),IF(ROUND((1+INDEX(Beginne,MATCH(AF31,Codes,0))-INDEX(EndeRel,MATCH(AE31,Codes,0)))*1440,0)&lt;660,1,0),0),0))</f>
      </c>
    </row>
    <row r="81" hidden="1" spans="1:32" x14ac:dyDescent="0.25">
      <c r="A81" s="1"/>
      <c r="B81" s="1">
        <f>IF(OR(B$52=0,INDEX('November'!$B$32:$AF$32,DAY(DATE(Jahr,12,0)))="",B32=""),0,IFERROR(IF(AND(INDEX(Arten,MATCH(INDEX('November'!$B$32:$AF$32,DAY(DATE(Jahr,12,0))),Codes,0))="Arbeit",INDEX(Arten,MATCH(B32,Codes,0))="Arbeit"),IF(ROUND((1+INDEX(Beginne,MATCH(B32,Codes,0))-INDEX(EndeRel,MATCH(INDEX('November'!$B$32:$AF$32,DAY(DATE(Jahr,12,0))),Codes,0)))*1440,0)&lt;660,1,0),0),0))</f>
      </c>
      <c r="C81" s="1">
        <f>IF(OR(C$52=0,B32="",C32=""),0,IFERROR(IF(AND(INDEX(Arten,MATCH(B32,Codes,0))="Arbeit",INDEX(Arten,MATCH(C32,Codes,0))="Arbeit"),IF(ROUND((1+INDEX(Beginne,MATCH(C32,Codes,0))-INDEX(EndeRel,MATCH(B32,Codes,0)))*1440,0)&lt;660,1,0),0),0))</f>
      </c>
      <c r="D81" s="1">
        <f>IF(OR(D$52=0,C32="",D32=""),0,IFERROR(IF(AND(INDEX(Arten,MATCH(C32,Codes,0))="Arbeit",INDEX(Arten,MATCH(D32,Codes,0))="Arbeit"),IF(ROUND((1+INDEX(Beginne,MATCH(D32,Codes,0))-INDEX(EndeRel,MATCH(C32,Codes,0)))*1440,0)&lt;660,1,0),0),0))</f>
      </c>
      <c r="E81" s="1">
        <f>IF(OR(E$52=0,D32="",E32=""),0,IFERROR(IF(AND(INDEX(Arten,MATCH(D32,Codes,0))="Arbeit",INDEX(Arten,MATCH(E32,Codes,0))="Arbeit"),IF(ROUND((1+INDEX(Beginne,MATCH(E32,Codes,0))-INDEX(EndeRel,MATCH(D32,Codes,0)))*1440,0)&lt;660,1,0),0),0))</f>
      </c>
      <c r="F81" s="1">
        <f>IF(OR(F$52=0,E32="",F32=""),0,IFERROR(IF(AND(INDEX(Arten,MATCH(E32,Codes,0))="Arbeit",INDEX(Arten,MATCH(F32,Codes,0))="Arbeit"),IF(ROUND((1+INDEX(Beginne,MATCH(F32,Codes,0))-INDEX(EndeRel,MATCH(E32,Codes,0)))*1440,0)&lt;660,1,0),0),0))</f>
      </c>
      <c r="G81" s="1">
        <f>IF(OR(G$52=0,F32="",G32=""),0,IFERROR(IF(AND(INDEX(Arten,MATCH(F32,Codes,0))="Arbeit",INDEX(Arten,MATCH(G32,Codes,0))="Arbeit"),IF(ROUND((1+INDEX(Beginne,MATCH(G32,Codes,0))-INDEX(EndeRel,MATCH(F32,Codes,0)))*1440,0)&lt;660,1,0),0),0))</f>
      </c>
      <c r="H81" s="1">
        <f>IF(OR(H$52=0,G32="",H32=""),0,IFERROR(IF(AND(INDEX(Arten,MATCH(G32,Codes,0))="Arbeit",INDEX(Arten,MATCH(H32,Codes,0))="Arbeit"),IF(ROUND((1+INDEX(Beginne,MATCH(H32,Codes,0))-INDEX(EndeRel,MATCH(G32,Codes,0)))*1440,0)&lt;660,1,0),0),0))</f>
      </c>
      <c r="I81" s="1">
        <f>IF(OR(I$52=0,H32="",I32=""),0,IFERROR(IF(AND(INDEX(Arten,MATCH(H32,Codes,0))="Arbeit",INDEX(Arten,MATCH(I32,Codes,0))="Arbeit"),IF(ROUND((1+INDEX(Beginne,MATCH(I32,Codes,0))-INDEX(EndeRel,MATCH(H32,Codes,0)))*1440,0)&lt;660,1,0),0),0))</f>
      </c>
      <c r="J81" s="1">
        <f>IF(OR(J$52=0,I32="",J32=""),0,IFERROR(IF(AND(INDEX(Arten,MATCH(I32,Codes,0))="Arbeit",INDEX(Arten,MATCH(J32,Codes,0))="Arbeit"),IF(ROUND((1+INDEX(Beginne,MATCH(J32,Codes,0))-INDEX(EndeRel,MATCH(I32,Codes,0)))*1440,0)&lt;660,1,0),0),0))</f>
      </c>
      <c r="K81" s="1">
        <f>IF(OR(K$52=0,J32="",K32=""),0,IFERROR(IF(AND(INDEX(Arten,MATCH(J32,Codes,0))="Arbeit",INDEX(Arten,MATCH(K32,Codes,0))="Arbeit"),IF(ROUND((1+INDEX(Beginne,MATCH(K32,Codes,0))-INDEX(EndeRel,MATCH(J32,Codes,0)))*1440,0)&lt;660,1,0),0),0))</f>
      </c>
      <c r="L81" s="1">
        <f>IF(OR(L$52=0,K32="",L32=""),0,IFERROR(IF(AND(INDEX(Arten,MATCH(K32,Codes,0))="Arbeit",INDEX(Arten,MATCH(L32,Codes,0))="Arbeit"),IF(ROUND((1+INDEX(Beginne,MATCH(L32,Codes,0))-INDEX(EndeRel,MATCH(K32,Codes,0)))*1440,0)&lt;660,1,0),0),0))</f>
      </c>
      <c r="M81" s="1">
        <f>IF(OR(M$52=0,L32="",M32=""),0,IFERROR(IF(AND(INDEX(Arten,MATCH(L32,Codes,0))="Arbeit",INDEX(Arten,MATCH(M32,Codes,0))="Arbeit"),IF(ROUND((1+INDEX(Beginne,MATCH(M32,Codes,0))-INDEX(EndeRel,MATCH(L32,Codes,0)))*1440,0)&lt;660,1,0),0),0))</f>
      </c>
      <c r="N81" s="1">
        <f>IF(OR(N$52=0,M32="",N32=""),0,IFERROR(IF(AND(INDEX(Arten,MATCH(M32,Codes,0))="Arbeit",INDEX(Arten,MATCH(N32,Codes,0))="Arbeit"),IF(ROUND((1+INDEX(Beginne,MATCH(N32,Codes,0))-INDEX(EndeRel,MATCH(M32,Codes,0)))*1440,0)&lt;660,1,0),0),0))</f>
      </c>
      <c r="O81" s="1">
        <f>IF(OR(O$52=0,N32="",O32=""),0,IFERROR(IF(AND(INDEX(Arten,MATCH(N32,Codes,0))="Arbeit",INDEX(Arten,MATCH(O32,Codes,0))="Arbeit"),IF(ROUND((1+INDEX(Beginne,MATCH(O32,Codes,0))-INDEX(EndeRel,MATCH(N32,Codes,0)))*1440,0)&lt;660,1,0),0),0))</f>
      </c>
      <c r="P81" s="1">
        <f>IF(OR(P$52=0,O32="",P32=""),0,IFERROR(IF(AND(INDEX(Arten,MATCH(O32,Codes,0))="Arbeit",INDEX(Arten,MATCH(P32,Codes,0))="Arbeit"),IF(ROUND((1+INDEX(Beginne,MATCH(P32,Codes,0))-INDEX(EndeRel,MATCH(O32,Codes,0)))*1440,0)&lt;660,1,0),0),0))</f>
      </c>
      <c r="Q81" s="1">
        <f>IF(OR(Q$52=0,P32="",Q32=""),0,IFERROR(IF(AND(INDEX(Arten,MATCH(P32,Codes,0))="Arbeit",INDEX(Arten,MATCH(Q32,Codes,0))="Arbeit"),IF(ROUND((1+INDEX(Beginne,MATCH(Q32,Codes,0))-INDEX(EndeRel,MATCH(P32,Codes,0)))*1440,0)&lt;660,1,0),0),0))</f>
      </c>
      <c r="R81" s="1">
        <f>IF(OR(R$52=0,Q32="",R32=""),0,IFERROR(IF(AND(INDEX(Arten,MATCH(Q32,Codes,0))="Arbeit",INDEX(Arten,MATCH(R32,Codes,0))="Arbeit"),IF(ROUND((1+INDEX(Beginne,MATCH(R32,Codes,0))-INDEX(EndeRel,MATCH(Q32,Codes,0)))*1440,0)&lt;660,1,0),0),0))</f>
      </c>
      <c r="S81" s="1">
        <f>IF(OR(S$52=0,R32="",S32=""),0,IFERROR(IF(AND(INDEX(Arten,MATCH(R32,Codes,0))="Arbeit",INDEX(Arten,MATCH(S32,Codes,0))="Arbeit"),IF(ROUND((1+INDEX(Beginne,MATCH(S32,Codes,0))-INDEX(EndeRel,MATCH(R32,Codes,0)))*1440,0)&lt;660,1,0),0),0))</f>
      </c>
      <c r="T81" s="1">
        <f>IF(OR(T$52=0,S32="",T32=""),0,IFERROR(IF(AND(INDEX(Arten,MATCH(S32,Codes,0))="Arbeit",INDEX(Arten,MATCH(T32,Codes,0))="Arbeit"),IF(ROUND((1+INDEX(Beginne,MATCH(T32,Codes,0))-INDEX(EndeRel,MATCH(S32,Codes,0)))*1440,0)&lt;660,1,0),0),0))</f>
      </c>
      <c r="U81" s="1">
        <f>IF(OR(U$52=0,T32="",U32=""),0,IFERROR(IF(AND(INDEX(Arten,MATCH(T32,Codes,0))="Arbeit",INDEX(Arten,MATCH(U32,Codes,0))="Arbeit"),IF(ROUND((1+INDEX(Beginne,MATCH(U32,Codes,0))-INDEX(EndeRel,MATCH(T32,Codes,0)))*1440,0)&lt;660,1,0),0),0))</f>
      </c>
      <c r="V81" s="1">
        <f>IF(OR(V$52=0,U32="",V32=""),0,IFERROR(IF(AND(INDEX(Arten,MATCH(U32,Codes,0))="Arbeit",INDEX(Arten,MATCH(V32,Codes,0))="Arbeit"),IF(ROUND((1+INDEX(Beginne,MATCH(V32,Codes,0))-INDEX(EndeRel,MATCH(U32,Codes,0)))*1440,0)&lt;660,1,0),0),0))</f>
      </c>
      <c r="W81" s="1">
        <f>IF(OR(W$52=0,V32="",W32=""),0,IFERROR(IF(AND(INDEX(Arten,MATCH(V32,Codes,0))="Arbeit",INDEX(Arten,MATCH(W32,Codes,0))="Arbeit"),IF(ROUND((1+INDEX(Beginne,MATCH(W32,Codes,0))-INDEX(EndeRel,MATCH(V32,Codes,0)))*1440,0)&lt;660,1,0),0),0))</f>
      </c>
      <c r="X81" s="1">
        <f>IF(OR(X$52=0,W32="",X32=""),0,IFERROR(IF(AND(INDEX(Arten,MATCH(W32,Codes,0))="Arbeit",INDEX(Arten,MATCH(X32,Codes,0))="Arbeit"),IF(ROUND((1+INDEX(Beginne,MATCH(X32,Codes,0))-INDEX(EndeRel,MATCH(W32,Codes,0)))*1440,0)&lt;660,1,0),0),0))</f>
      </c>
      <c r="Y81" s="1">
        <f>IF(OR(Y$52=0,X32="",Y32=""),0,IFERROR(IF(AND(INDEX(Arten,MATCH(X32,Codes,0))="Arbeit",INDEX(Arten,MATCH(Y32,Codes,0))="Arbeit"),IF(ROUND((1+INDEX(Beginne,MATCH(Y32,Codes,0))-INDEX(EndeRel,MATCH(X32,Codes,0)))*1440,0)&lt;660,1,0),0),0))</f>
      </c>
      <c r="Z81" s="1">
        <f>IF(OR(Z$52=0,Y32="",Z32=""),0,IFERROR(IF(AND(INDEX(Arten,MATCH(Y32,Codes,0))="Arbeit",INDEX(Arten,MATCH(Z32,Codes,0))="Arbeit"),IF(ROUND((1+INDEX(Beginne,MATCH(Z32,Codes,0))-INDEX(EndeRel,MATCH(Y32,Codes,0)))*1440,0)&lt;660,1,0),0),0))</f>
      </c>
      <c r="AA81" s="1">
        <f>IF(OR(AA$52=0,Z32="",AA32=""),0,IFERROR(IF(AND(INDEX(Arten,MATCH(Z32,Codes,0))="Arbeit",INDEX(Arten,MATCH(AA32,Codes,0))="Arbeit"),IF(ROUND((1+INDEX(Beginne,MATCH(AA32,Codes,0))-INDEX(EndeRel,MATCH(Z32,Codes,0)))*1440,0)&lt;660,1,0),0),0))</f>
      </c>
      <c r="AB81" s="1">
        <f>IF(OR(AB$52=0,AA32="",AB32=""),0,IFERROR(IF(AND(INDEX(Arten,MATCH(AA32,Codes,0))="Arbeit",INDEX(Arten,MATCH(AB32,Codes,0))="Arbeit"),IF(ROUND((1+INDEX(Beginne,MATCH(AB32,Codes,0))-INDEX(EndeRel,MATCH(AA32,Codes,0)))*1440,0)&lt;660,1,0),0),0))</f>
      </c>
      <c r="AC81" s="1">
        <f>IF(OR(AC$52=0,AB32="",AC32=""),0,IFERROR(IF(AND(INDEX(Arten,MATCH(AB32,Codes,0))="Arbeit",INDEX(Arten,MATCH(AC32,Codes,0))="Arbeit"),IF(ROUND((1+INDEX(Beginne,MATCH(AC32,Codes,0))-INDEX(EndeRel,MATCH(AB32,Codes,0)))*1440,0)&lt;660,1,0),0),0))</f>
      </c>
      <c r="AD81" s="1">
        <f>IF(OR(AD$52=0,AC32="",AD32=""),0,IFERROR(IF(AND(INDEX(Arten,MATCH(AC32,Codes,0))="Arbeit",INDEX(Arten,MATCH(AD32,Codes,0))="Arbeit"),IF(ROUND((1+INDEX(Beginne,MATCH(AD32,Codes,0))-INDEX(EndeRel,MATCH(AC32,Codes,0)))*1440,0)&lt;660,1,0),0),0))</f>
      </c>
      <c r="AE81" s="1">
        <f>IF(OR(AE$52=0,AD32="",AE32=""),0,IFERROR(IF(AND(INDEX(Arten,MATCH(AD32,Codes,0))="Arbeit",INDEX(Arten,MATCH(AE32,Codes,0))="Arbeit"),IF(ROUND((1+INDEX(Beginne,MATCH(AE32,Codes,0))-INDEX(EndeRel,MATCH(AD32,Codes,0)))*1440,0)&lt;660,1,0),0),0))</f>
      </c>
      <c r="AF81" s="1">
        <f>IF(OR(AF$52=0,AE32="",AF32=""),0,IFERROR(IF(AND(INDEX(Arten,MATCH(AE32,Codes,0))="Arbeit",INDEX(Arten,MATCH(AF32,Codes,0))="Arbeit"),IF(ROUND((1+INDEX(Beginne,MATCH(AF32,Codes,0))-INDEX(EndeRel,MATCH(AE32,Codes,0)))*1440,0)&lt;660,1,0),0),0))</f>
      </c>
    </row>
    <row r="82" hidden="1" spans="1:32" x14ac:dyDescent="0.25">
      <c r="A82" s="1"/>
      <c r="B82" s="1">
        <f>IF(OR(B$52=0,INDEX('November'!$B$33:$AF$33,DAY(DATE(Jahr,12,0)))="",B33=""),0,IFERROR(IF(AND(INDEX(Arten,MATCH(INDEX('November'!$B$33:$AF$33,DAY(DATE(Jahr,12,0))),Codes,0))="Arbeit",INDEX(Arten,MATCH(B33,Codes,0))="Arbeit"),IF(ROUND((1+INDEX(Beginne,MATCH(B33,Codes,0))-INDEX(EndeRel,MATCH(INDEX('November'!$B$33:$AF$33,DAY(DATE(Jahr,12,0))),Codes,0)))*1440,0)&lt;660,1,0),0),0))</f>
      </c>
      <c r="C82" s="1">
        <f>IF(OR(C$52=0,B33="",C33=""),0,IFERROR(IF(AND(INDEX(Arten,MATCH(B33,Codes,0))="Arbeit",INDEX(Arten,MATCH(C33,Codes,0))="Arbeit"),IF(ROUND((1+INDEX(Beginne,MATCH(C33,Codes,0))-INDEX(EndeRel,MATCH(B33,Codes,0)))*1440,0)&lt;660,1,0),0),0))</f>
      </c>
      <c r="D82" s="1">
        <f>IF(OR(D$52=0,C33="",D33=""),0,IFERROR(IF(AND(INDEX(Arten,MATCH(C33,Codes,0))="Arbeit",INDEX(Arten,MATCH(D33,Codes,0))="Arbeit"),IF(ROUND((1+INDEX(Beginne,MATCH(D33,Codes,0))-INDEX(EndeRel,MATCH(C33,Codes,0)))*1440,0)&lt;660,1,0),0),0))</f>
      </c>
      <c r="E82" s="1">
        <f>IF(OR(E$52=0,D33="",E33=""),0,IFERROR(IF(AND(INDEX(Arten,MATCH(D33,Codes,0))="Arbeit",INDEX(Arten,MATCH(E33,Codes,0))="Arbeit"),IF(ROUND((1+INDEX(Beginne,MATCH(E33,Codes,0))-INDEX(EndeRel,MATCH(D33,Codes,0)))*1440,0)&lt;660,1,0),0),0))</f>
      </c>
      <c r="F82" s="1">
        <f>IF(OR(F$52=0,E33="",F33=""),0,IFERROR(IF(AND(INDEX(Arten,MATCH(E33,Codes,0))="Arbeit",INDEX(Arten,MATCH(F33,Codes,0))="Arbeit"),IF(ROUND((1+INDEX(Beginne,MATCH(F33,Codes,0))-INDEX(EndeRel,MATCH(E33,Codes,0)))*1440,0)&lt;660,1,0),0),0))</f>
      </c>
      <c r="G82" s="1">
        <f>IF(OR(G$52=0,F33="",G33=""),0,IFERROR(IF(AND(INDEX(Arten,MATCH(F33,Codes,0))="Arbeit",INDEX(Arten,MATCH(G33,Codes,0))="Arbeit"),IF(ROUND((1+INDEX(Beginne,MATCH(G33,Codes,0))-INDEX(EndeRel,MATCH(F33,Codes,0)))*1440,0)&lt;660,1,0),0),0))</f>
      </c>
      <c r="H82" s="1">
        <f>IF(OR(H$52=0,G33="",H33=""),0,IFERROR(IF(AND(INDEX(Arten,MATCH(G33,Codes,0))="Arbeit",INDEX(Arten,MATCH(H33,Codes,0))="Arbeit"),IF(ROUND((1+INDEX(Beginne,MATCH(H33,Codes,0))-INDEX(EndeRel,MATCH(G33,Codes,0)))*1440,0)&lt;660,1,0),0),0))</f>
      </c>
      <c r="I82" s="1">
        <f>IF(OR(I$52=0,H33="",I33=""),0,IFERROR(IF(AND(INDEX(Arten,MATCH(H33,Codes,0))="Arbeit",INDEX(Arten,MATCH(I33,Codes,0))="Arbeit"),IF(ROUND((1+INDEX(Beginne,MATCH(I33,Codes,0))-INDEX(EndeRel,MATCH(H33,Codes,0)))*1440,0)&lt;660,1,0),0),0))</f>
      </c>
      <c r="J82" s="1">
        <f>IF(OR(J$52=0,I33="",J33=""),0,IFERROR(IF(AND(INDEX(Arten,MATCH(I33,Codes,0))="Arbeit",INDEX(Arten,MATCH(J33,Codes,0))="Arbeit"),IF(ROUND((1+INDEX(Beginne,MATCH(J33,Codes,0))-INDEX(EndeRel,MATCH(I33,Codes,0)))*1440,0)&lt;660,1,0),0),0))</f>
      </c>
      <c r="K82" s="1">
        <f>IF(OR(K$52=0,J33="",K33=""),0,IFERROR(IF(AND(INDEX(Arten,MATCH(J33,Codes,0))="Arbeit",INDEX(Arten,MATCH(K33,Codes,0))="Arbeit"),IF(ROUND((1+INDEX(Beginne,MATCH(K33,Codes,0))-INDEX(EndeRel,MATCH(J33,Codes,0)))*1440,0)&lt;660,1,0),0),0))</f>
      </c>
      <c r="L82" s="1">
        <f>IF(OR(L$52=0,K33="",L33=""),0,IFERROR(IF(AND(INDEX(Arten,MATCH(K33,Codes,0))="Arbeit",INDEX(Arten,MATCH(L33,Codes,0))="Arbeit"),IF(ROUND((1+INDEX(Beginne,MATCH(L33,Codes,0))-INDEX(EndeRel,MATCH(K33,Codes,0)))*1440,0)&lt;660,1,0),0),0))</f>
      </c>
      <c r="M82" s="1">
        <f>IF(OR(M$52=0,L33="",M33=""),0,IFERROR(IF(AND(INDEX(Arten,MATCH(L33,Codes,0))="Arbeit",INDEX(Arten,MATCH(M33,Codes,0))="Arbeit"),IF(ROUND((1+INDEX(Beginne,MATCH(M33,Codes,0))-INDEX(EndeRel,MATCH(L33,Codes,0)))*1440,0)&lt;660,1,0),0),0))</f>
      </c>
      <c r="N82" s="1">
        <f>IF(OR(N$52=0,M33="",N33=""),0,IFERROR(IF(AND(INDEX(Arten,MATCH(M33,Codes,0))="Arbeit",INDEX(Arten,MATCH(N33,Codes,0))="Arbeit"),IF(ROUND((1+INDEX(Beginne,MATCH(N33,Codes,0))-INDEX(EndeRel,MATCH(M33,Codes,0)))*1440,0)&lt;660,1,0),0),0))</f>
      </c>
      <c r="O82" s="1">
        <f>IF(OR(O$52=0,N33="",O33=""),0,IFERROR(IF(AND(INDEX(Arten,MATCH(N33,Codes,0))="Arbeit",INDEX(Arten,MATCH(O33,Codes,0))="Arbeit"),IF(ROUND((1+INDEX(Beginne,MATCH(O33,Codes,0))-INDEX(EndeRel,MATCH(N33,Codes,0)))*1440,0)&lt;660,1,0),0),0))</f>
      </c>
      <c r="P82" s="1">
        <f>IF(OR(P$52=0,O33="",P33=""),0,IFERROR(IF(AND(INDEX(Arten,MATCH(O33,Codes,0))="Arbeit",INDEX(Arten,MATCH(P33,Codes,0))="Arbeit"),IF(ROUND((1+INDEX(Beginne,MATCH(P33,Codes,0))-INDEX(EndeRel,MATCH(O33,Codes,0)))*1440,0)&lt;660,1,0),0),0))</f>
      </c>
      <c r="Q82" s="1">
        <f>IF(OR(Q$52=0,P33="",Q33=""),0,IFERROR(IF(AND(INDEX(Arten,MATCH(P33,Codes,0))="Arbeit",INDEX(Arten,MATCH(Q33,Codes,0))="Arbeit"),IF(ROUND((1+INDEX(Beginne,MATCH(Q33,Codes,0))-INDEX(EndeRel,MATCH(P33,Codes,0)))*1440,0)&lt;660,1,0),0),0))</f>
      </c>
      <c r="R82" s="1">
        <f>IF(OR(R$52=0,Q33="",R33=""),0,IFERROR(IF(AND(INDEX(Arten,MATCH(Q33,Codes,0))="Arbeit",INDEX(Arten,MATCH(R33,Codes,0))="Arbeit"),IF(ROUND((1+INDEX(Beginne,MATCH(R33,Codes,0))-INDEX(EndeRel,MATCH(Q33,Codes,0)))*1440,0)&lt;660,1,0),0),0))</f>
      </c>
      <c r="S82" s="1">
        <f>IF(OR(S$52=0,R33="",S33=""),0,IFERROR(IF(AND(INDEX(Arten,MATCH(R33,Codes,0))="Arbeit",INDEX(Arten,MATCH(S33,Codes,0))="Arbeit"),IF(ROUND((1+INDEX(Beginne,MATCH(S33,Codes,0))-INDEX(EndeRel,MATCH(R33,Codes,0)))*1440,0)&lt;660,1,0),0),0))</f>
      </c>
      <c r="T82" s="1">
        <f>IF(OR(T$52=0,S33="",T33=""),0,IFERROR(IF(AND(INDEX(Arten,MATCH(S33,Codes,0))="Arbeit",INDEX(Arten,MATCH(T33,Codes,0))="Arbeit"),IF(ROUND((1+INDEX(Beginne,MATCH(T33,Codes,0))-INDEX(EndeRel,MATCH(S33,Codes,0)))*1440,0)&lt;660,1,0),0),0))</f>
      </c>
      <c r="U82" s="1">
        <f>IF(OR(U$52=0,T33="",U33=""),0,IFERROR(IF(AND(INDEX(Arten,MATCH(T33,Codes,0))="Arbeit",INDEX(Arten,MATCH(U33,Codes,0))="Arbeit"),IF(ROUND((1+INDEX(Beginne,MATCH(U33,Codes,0))-INDEX(EndeRel,MATCH(T33,Codes,0)))*1440,0)&lt;660,1,0),0),0))</f>
      </c>
      <c r="V82" s="1">
        <f>IF(OR(V$52=0,U33="",V33=""),0,IFERROR(IF(AND(INDEX(Arten,MATCH(U33,Codes,0))="Arbeit",INDEX(Arten,MATCH(V33,Codes,0))="Arbeit"),IF(ROUND((1+INDEX(Beginne,MATCH(V33,Codes,0))-INDEX(EndeRel,MATCH(U33,Codes,0)))*1440,0)&lt;660,1,0),0),0))</f>
      </c>
      <c r="W82" s="1">
        <f>IF(OR(W$52=0,V33="",W33=""),0,IFERROR(IF(AND(INDEX(Arten,MATCH(V33,Codes,0))="Arbeit",INDEX(Arten,MATCH(W33,Codes,0))="Arbeit"),IF(ROUND((1+INDEX(Beginne,MATCH(W33,Codes,0))-INDEX(EndeRel,MATCH(V33,Codes,0)))*1440,0)&lt;660,1,0),0),0))</f>
      </c>
      <c r="X82" s="1">
        <f>IF(OR(X$52=0,W33="",X33=""),0,IFERROR(IF(AND(INDEX(Arten,MATCH(W33,Codes,0))="Arbeit",INDEX(Arten,MATCH(X33,Codes,0))="Arbeit"),IF(ROUND((1+INDEX(Beginne,MATCH(X33,Codes,0))-INDEX(EndeRel,MATCH(W33,Codes,0)))*1440,0)&lt;660,1,0),0),0))</f>
      </c>
      <c r="Y82" s="1">
        <f>IF(OR(Y$52=0,X33="",Y33=""),0,IFERROR(IF(AND(INDEX(Arten,MATCH(X33,Codes,0))="Arbeit",INDEX(Arten,MATCH(Y33,Codes,0))="Arbeit"),IF(ROUND((1+INDEX(Beginne,MATCH(Y33,Codes,0))-INDEX(EndeRel,MATCH(X33,Codes,0)))*1440,0)&lt;660,1,0),0),0))</f>
      </c>
      <c r="Z82" s="1">
        <f>IF(OR(Z$52=0,Y33="",Z33=""),0,IFERROR(IF(AND(INDEX(Arten,MATCH(Y33,Codes,0))="Arbeit",INDEX(Arten,MATCH(Z33,Codes,0))="Arbeit"),IF(ROUND((1+INDEX(Beginne,MATCH(Z33,Codes,0))-INDEX(EndeRel,MATCH(Y33,Codes,0)))*1440,0)&lt;660,1,0),0),0))</f>
      </c>
      <c r="AA82" s="1">
        <f>IF(OR(AA$52=0,Z33="",AA33=""),0,IFERROR(IF(AND(INDEX(Arten,MATCH(Z33,Codes,0))="Arbeit",INDEX(Arten,MATCH(AA33,Codes,0))="Arbeit"),IF(ROUND((1+INDEX(Beginne,MATCH(AA33,Codes,0))-INDEX(EndeRel,MATCH(Z33,Codes,0)))*1440,0)&lt;660,1,0),0),0))</f>
      </c>
      <c r="AB82" s="1">
        <f>IF(OR(AB$52=0,AA33="",AB33=""),0,IFERROR(IF(AND(INDEX(Arten,MATCH(AA33,Codes,0))="Arbeit",INDEX(Arten,MATCH(AB33,Codes,0))="Arbeit"),IF(ROUND((1+INDEX(Beginne,MATCH(AB33,Codes,0))-INDEX(EndeRel,MATCH(AA33,Codes,0)))*1440,0)&lt;660,1,0),0),0))</f>
      </c>
      <c r="AC82" s="1">
        <f>IF(OR(AC$52=0,AB33="",AC33=""),0,IFERROR(IF(AND(INDEX(Arten,MATCH(AB33,Codes,0))="Arbeit",INDEX(Arten,MATCH(AC33,Codes,0))="Arbeit"),IF(ROUND((1+INDEX(Beginne,MATCH(AC33,Codes,0))-INDEX(EndeRel,MATCH(AB33,Codes,0)))*1440,0)&lt;660,1,0),0),0))</f>
      </c>
      <c r="AD82" s="1">
        <f>IF(OR(AD$52=0,AC33="",AD33=""),0,IFERROR(IF(AND(INDEX(Arten,MATCH(AC33,Codes,0))="Arbeit",INDEX(Arten,MATCH(AD33,Codes,0))="Arbeit"),IF(ROUND((1+INDEX(Beginne,MATCH(AD33,Codes,0))-INDEX(EndeRel,MATCH(AC33,Codes,0)))*1440,0)&lt;660,1,0),0),0))</f>
      </c>
      <c r="AE82" s="1">
        <f>IF(OR(AE$52=0,AD33="",AE33=""),0,IFERROR(IF(AND(INDEX(Arten,MATCH(AD33,Codes,0))="Arbeit",INDEX(Arten,MATCH(AE33,Codes,0))="Arbeit"),IF(ROUND((1+INDEX(Beginne,MATCH(AE33,Codes,0))-INDEX(EndeRel,MATCH(AD33,Codes,0)))*1440,0)&lt;660,1,0),0),0))</f>
      </c>
      <c r="AF82" s="1">
        <f>IF(OR(AF$52=0,AE33="",AF33=""),0,IFERROR(IF(AND(INDEX(Arten,MATCH(AE33,Codes,0))="Arbeit",INDEX(Arten,MATCH(AF33,Codes,0))="Arbeit"),IF(ROUND((1+INDEX(Beginne,MATCH(AF33,Codes,0))-INDEX(EndeRel,MATCH(AE33,Codes,0)))*1440,0)&lt;660,1,0),0),0))</f>
      </c>
    </row>
    <row r="83" hidden="1" spans="1:32" x14ac:dyDescent="0.25">
      <c r="A83" s="1"/>
      <c r="B83" s="1">
        <f>IF(OR(B$52=0,INDEX('November'!$B$34:$AF$34,DAY(DATE(Jahr,12,0)))="",B34=""),0,IFERROR(IF(AND(INDEX(Arten,MATCH(INDEX('November'!$B$34:$AF$34,DAY(DATE(Jahr,12,0))),Codes,0))="Arbeit",INDEX(Arten,MATCH(B34,Codes,0))="Arbeit"),IF(ROUND((1+INDEX(Beginne,MATCH(B34,Codes,0))-INDEX(EndeRel,MATCH(INDEX('November'!$B$34:$AF$34,DAY(DATE(Jahr,12,0))),Codes,0)))*1440,0)&lt;660,1,0),0),0))</f>
      </c>
      <c r="C83" s="1">
        <f>IF(OR(C$52=0,B34="",C34=""),0,IFERROR(IF(AND(INDEX(Arten,MATCH(B34,Codes,0))="Arbeit",INDEX(Arten,MATCH(C34,Codes,0))="Arbeit"),IF(ROUND((1+INDEX(Beginne,MATCH(C34,Codes,0))-INDEX(EndeRel,MATCH(B34,Codes,0)))*1440,0)&lt;660,1,0),0),0))</f>
      </c>
      <c r="D83" s="1">
        <f>IF(OR(D$52=0,C34="",D34=""),0,IFERROR(IF(AND(INDEX(Arten,MATCH(C34,Codes,0))="Arbeit",INDEX(Arten,MATCH(D34,Codes,0))="Arbeit"),IF(ROUND((1+INDEX(Beginne,MATCH(D34,Codes,0))-INDEX(EndeRel,MATCH(C34,Codes,0)))*1440,0)&lt;660,1,0),0),0))</f>
      </c>
      <c r="E83" s="1">
        <f>IF(OR(E$52=0,D34="",E34=""),0,IFERROR(IF(AND(INDEX(Arten,MATCH(D34,Codes,0))="Arbeit",INDEX(Arten,MATCH(E34,Codes,0))="Arbeit"),IF(ROUND((1+INDEX(Beginne,MATCH(E34,Codes,0))-INDEX(EndeRel,MATCH(D34,Codes,0)))*1440,0)&lt;660,1,0),0),0))</f>
      </c>
      <c r="F83" s="1">
        <f>IF(OR(F$52=0,E34="",F34=""),0,IFERROR(IF(AND(INDEX(Arten,MATCH(E34,Codes,0))="Arbeit",INDEX(Arten,MATCH(F34,Codes,0))="Arbeit"),IF(ROUND((1+INDEX(Beginne,MATCH(F34,Codes,0))-INDEX(EndeRel,MATCH(E34,Codes,0)))*1440,0)&lt;660,1,0),0),0))</f>
      </c>
      <c r="G83" s="1">
        <f>IF(OR(G$52=0,F34="",G34=""),0,IFERROR(IF(AND(INDEX(Arten,MATCH(F34,Codes,0))="Arbeit",INDEX(Arten,MATCH(G34,Codes,0))="Arbeit"),IF(ROUND((1+INDEX(Beginne,MATCH(G34,Codes,0))-INDEX(EndeRel,MATCH(F34,Codes,0)))*1440,0)&lt;660,1,0),0),0))</f>
      </c>
      <c r="H83" s="1">
        <f>IF(OR(H$52=0,G34="",H34=""),0,IFERROR(IF(AND(INDEX(Arten,MATCH(G34,Codes,0))="Arbeit",INDEX(Arten,MATCH(H34,Codes,0))="Arbeit"),IF(ROUND((1+INDEX(Beginne,MATCH(H34,Codes,0))-INDEX(EndeRel,MATCH(G34,Codes,0)))*1440,0)&lt;660,1,0),0),0))</f>
      </c>
      <c r="I83" s="1">
        <f>IF(OR(I$52=0,H34="",I34=""),0,IFERROR(IF(AND(INDEX(Arten,MATCH(H34,Codes,0))="Arbeit",INDEX(Arten,MATCH(I34,Codes,0))="Arbeit"),IF(ROUND((1+INDEX(Beginne,MATCH(I34,Codes,0))-INDEX(EndeRel,MATCH(H34,Codes,0)))*1440,0)&lt;660,1,0),0),0))</f>
      </c>
      <c r="J83" s="1">
        <f>IF(OR(J$52=0,I34="",J34=""),0,IFERROR(IF(AND(INDEX(Arten,MATCH(I34,Codes,0))="Arbeit",INDEX(Arten,MATCH(J34,Codes,0))="Arbeit"),IF(ROUND((1+INDEX(Beginne,MATCH(J34,Codes,0))-INDEX(EndeRel,MATCH(I34,Codes,0)))*1440,0)&lt;660,1,0),0),0))</f>
      </c>
      <c r="K83" s="1">
        <f>IF(OR(K$52=0,J34="",K34=""),0,IFERROR(IF(AND(INDEX(Arten,MATCH(J34,Codes,0))="Arbeit",INDEX(Arten,MATCH(K34,Codes,0))="Arbeit"),IF(ROUND((1+INDEX(Beginne,MATCH(K34,Codes,0))-INDEX(EndeRel,MATCH(J34,Codes,0)))*1440,0)&lt;660,1,0),0),0))</f>
      </c>
      <c r="L83" s="1">
        <f>IF(OR(L$52=0,K34="",L34=""),0,IFERROR(IF(AND(INDEX(Arten,MATCH(K34,Codes,0))="Arbeit",INDEX(Arten,MATCH(L34,Codes,0))="Arbeit"),IF(ROUND((1+INDEX(Beginne,MATCH(L34,Codes,0))-INDEX(EndeRel,MATCH(K34,Codes,0)))*1440,0)&lt;660,1,0),0),0))</f>
      </c>
      <c r="M83" s="1">
        <f>IF(OR(M$52=0,L34="",M34=""),0,IFERROR(IF(AND(INDEX(Arten,MATCH(L34,Codes,0))="Arbeit",INDEX(Arten,MATCH(M34,Codes,0))="Arbeit"),IF(ROUND((1+INDEX(Beginne,MATCH(M34,Codes,0))-INDEX(EndeRel,MATCH(L34,Codes,0)))*1440,0)&lt;660,1,0),0),0))</f>
      </c>
      <c r="N83" s="1">
        <f>IF(OR(N$52=0,M34="",N34=""),0,IFERROR(IF(AND(INDEX(Arten,MATCH(M34,Codes,0))="Arbeit",INDEX(Arten,MATCH(N34,Codes,0))="Arbeit"),IF(ROUND((1+INDEX(Beginne,MATCH(N34,Codes,0))-INDEX(EndeRel,MATCH(M34,Codes,0)))*1440,0)&lt;660,1,0),0),0))</f>
      </c>
      <c r="O83" s="1">
        <f>IF(OR(O$52=0,N34="",O34=""),0,IFERROR(IF(AND(INDEX(Arten,MATCH(N34,Codes,0))="Arbeit",INDEX(Arten,MATCH(O34,Codes,0))="Arbeit"),IF(ROUND((1+INDEX(Beginne,MATCH(O34,Codes,0))-INDEX(EndeRel,MATCH(N34,Codes,0)))*1440,0)&lt;660,1,0),0),0))</f>
      </c>
      <c r="P83" s="1">
        <f>IF(OR(P$52=0,O34="",P34=""),0,IFERROR(IF(AND(INDEX(Arten,MATCH(O34,Codes,0))="Arbeit",INDEX(Arten,MATCH(P34,Codes,0))="Arbeit"),IF(ROUND((1+INDEX(Beginne,MATCH(P34,Codes,0))-INDEX(EndeRel,MATCH(O34,Codes,0)))*1440,0)&lt;660,1,0),0),0))</f>
      </c>
      <c r="Q83" s="1">
        <f>IF(OR(Q$52=0,P34="",Q34=""),0,IFERROR(IF(AND(INDEX(Arten,MATCH(P34,Codes,0))="Arbeit",INDEX(Arten,MATCH(Q34,Codes,0))="Arbeit"),IF(ROUND((1+INDEX(Beginne,MATCH(Q34,Codes,0))-INDEX(EndeRel,MATCH(P34,Codes,0)))*1440,0)&lt;660,1,0),0),0))</f>
      </c>
      <c r="R83" s="1">
        <f>IF(OR(R$52=0,Q34="",R34=""),0,IFERROR(IF(AND(INDEX(Arten,MATCH(Q34,Codes,0))="Arbeit",INDEX(Arten,MATCH(R34,Codes,0))="Arbeit"),IF(ROUND((1+INDEX(Beginne,MATCH(R34,Codes,0))-INDEX(EndeRel,MATCH(Q34,Codes,0)))*1440,0)&lt;660,1,0),0),0))</f>
      </c>
      <c r="S83" s="1">
        <f>IF(OR(S$52=0,R34="",S34=""),0,IFERROR(IF(AND(INDEX(Arten,MATCH(R34,Codes,0))="Arbeit",INDEX(Arten,MATCH(S34,Codes,0))="Arbeit"),IF(ROUND((1+INDEX(Beginne,MATCH(S34,Codes,0))-INDEX(EndeRel,MATCH(R34,Codes,0)))*1440,0)&lt;660,1,0),0),0))</f>
      </c>
      <c r="T83" s="1">
        <f>IF(OR(T$52=0,S34="",T34=""),0,IFERROR(IF(AND(INDEX(Arten,MATCH(S34,Codes,0))="Arbeit",INDEX(Arten,MATCH(T34,Codes,0))="Arbeit"),IF(ROUND((1+INDEX(Beginne,MATCH(T34,Codes,0))-INDEX(EndeRel,MATCH(S34,Codes,0)))*1440,0)&lt;660,1,0),0),0))</f>
      </c>
      <c r="U83" s="1">
        <f>IF(OR(U$52=0,T34="",U34=""),0,IFERROR(IF(AND(INDEX(Arten,MATCH(T34,Codes,0))="Arbeit",INDEX(Arten,MATCH(U34,Codes,0))="Arbeit"),IF(ROUND((1+INDEX(Beginne,MATCH(U34,Codes,0))-INDEX(EndeRel,MATCH(T34,Codes,0)))*1440,0)&lt;660,1,0),0),0))</f>
      </c>
      <c r="V83" s="1">
        <f>IF(OR(V$52=0,U34="",V34=""),0,IFERROR(IF(AND(INDEX(Arten,MATCH(U34,Codes,0))="Arbeit",INDEX(Arten,MATCH(V34,Codes,0))="Arbeit"),IF(ROUND((1+INDEX(Beginne,MATCH(V34,Codes,0))-INDEX(EndeRel,MATCH(U34,Codes,0)))*1440,0)&lt;660,1,0),0),0))</f>
      </c>
      <c r="W83" s="1">
        <f>IF(OR(W$52=0,V34="",W34=""),0,IFERROR(IF(AND(INDEX(Arten,MATCH(V34,Codes,0))="Arbeit",INDEX(Arten,MATCH(W34,Codes,0))="Arbeit"),IF(ROUND((1+INDEX(Beginne,MATCH(W34,Codes,0))-INDEX(EndeRel,MATCH(V34,Codes,0)))*1440,0)&lt;660,1,0),0),0))</f>
      </c>
      <c r="X83" s="1">
        <f>IF(OR(X$52=0,W34="",X34=""),0,IFERROR(IF(AND(INDEX(Arten,MATCH(W34,Codes,0))="Arbeit",INDEX(Arten,MATCH(X34,Codes,0))="Arbeit"),IF(ROUND((1+INDEX(Beginne,MATCH(X34,Codes,0))-INDEX(EndeRel,MATCH(W34,Codes,0)))*1440,0)&lt;660,1,0),0),0))</f>
      </c>
      <c r="Y83" s="1">
        <f>IF(OR(Y$52=0,X34="",Y34=""),0,IFERROR(IF(AND(INDEX(Arten,MATCH(X34,Codes,0))="Arbeit",INDEX(Arten,MATCH(Y34,Codes,0))="Arbeit"),IF(ROUND((1+INDEX(Beginne,MATCH(Y34,Codes,0))-INDEX(EndeRel,MATCH(X34,Codes,0)))*1440,0)&lt;660,1,0),0),0))</f>
      </c>
      <c r="Z83" s="1">
        <f>IF(OR(Z$52=0,Y34="",Z34=""),0,IFERROR(IF(AND(INDEX(Arten,MATCH(Y34,Codes,0))="Arbeit",INDEX(Arten,MATCH(Z34,Codes,0))="Arbeit"),IF(ROUND((1+INDEX(Beginne,MATCH(Z34,Codes,0))-INDEX(EndeRel,MATCH(Y34,Codes,0)))*1440,0)&lt;660,1,0),0),0))</f>
      </c>
      <c r="AA83" s="1">
        <f>IF(OR(AA$52=0,Z34="",AA34=""),0,IFERROR(IF(AND(INDEX(Arten,MATCH(Z34,Codes,0))="Arbeit",INDEX(Arten,MATCH(AA34,Codes,0))="Arbeit"),IF(ROUND((1+INDEX(Beginne,MATCH(AA34,Codes,0))-INDEX(EndeRel,MATCH(Z34,Codes,0)))*1440,0)&lt;660,1,0),0),0))</f>
      </c>
      <c r="AB83" s="1">
        <f>IF(OR(AB$52=0,AA34="",AB34=""),0,IFERROR(IF(AND(INDEX(Arten,MATCH(AA34,Codes,0))="Arbeit",INDEX(Arten,MATCH(AB34,Codes,0))="Arbeit"),IF(ROUND((1+INDEX(Beginne,MATCH(AB34,Codes,0))-INDEX(EndeRel,MATCH(AA34,Codes,0)))*1440,0)&lt;660,1,0),0),0))</f>
      </c>
      <c r="AC83" s="1">
        <f>IF(OR(AC$52=0,AB34="",AC34=""),0,IFERROR(IF(AND(INDEX(Arten,MATCH(AB34,Codes,0))="Arbeit",INDEX(Arten,MATCH(AC34,Codes,0))="Arbeit"),IF(ROUND((1+INDEX(Beginne,MATCH(AC34,Codes,0))-INDEX(EndeRel,MATCH(AB34,Codes,0)))*1440,0)&lt;660,1,0),0),0))</f>
      </c>
      <c r="AD83" s="1">
        <f>IF(OR(AD$52=0,AC34="",AD34=""),0,IFERROR(IF(AND(INDEX(Arten,MATCH(AC34,Codes,0))="Arbeit",INDEX(Arten,MATCH(AD34,Codes,0))="Arbeit"),IF(ROUND((1+INDEX(Beginne,MATCH(AD34,Codes,0))-INDEX(EndeRel,MATCH(AC34,Codes,0)))*1440,0)&lt;660,1,0),0),0))</f>
      </c>
      <c r="AE83" s="1">
        <f>IF(OR(AE$52=0,AD34="",AE34=""),0,IFERROR(IF(AND(INDEX(Arten,MATCH(AD34,Codes,0))="Arbeit",INDEX(Arten,MATCH(AE34,Codes,0))="Arbeit"),IF(ROUND((1+INDEX(Beginne,MATCH(AE34,Codes,0))-INDEX(EndeRel,MATCH(AD34,Codes,0)))*1440,0)&lt;660,1,0),0),0))</f>
      </c>
      <c r="AF83" s="1">
        <f>IF(OR(AF$52=0,AE34="",AF34=""),0,IFERROR(IF(AND(INDEX(Arten,MATCH(AE34,Codes,0))="Arbeit",INDEX(Arten,MATCH(AF34,Codes,0))="Arbeit"),IF(ROUND((1+INDEX(Beginne,MATCH(AF34,Codes,0))-INDEX(EndeRel,MATCH(AE34,Codes,0)))*1440,0)&lt;660,1,0),0),0))</f>
      </c>
    </row>
    <row r="84" hidden="1" spans="1:32" x14ac:dyDescent="0.25">
      <c r="A84" s="1"/>
      <c r="B84" s="1">
        <f>IF(OR(B$52=0,INDEX('November'!$B$35:$AF$35,DAY(DATE(Jahr,12,0)))="",B35=""),0,IFERROR(IF(AND(INDEX(Arten,MATCH(INDEX('November'!$B$35:$AF$35,DAY(DATE(Jahr,12,0))),Codes,0))="Arbeit",INDEX(Arten,MATCH(B35,Codes,0))="Arbeit"),IF(ROUND((1+INDEX(Beginne,MATCH(B35,Codes,0))-INDEX(EndeRel,MATCH(INDEX('November'!$B$35:$AF$35,DAY(DATE(Jahr,12,0))),Codes,0)))*1440,0)&lt;660,1,0),0),0))</f>
      </c>
      <c r="C84" s="1">
        <f>IF(OR(C$52=0,B35="",C35=""),0,IFERROR(IF(AND(INDEX(Arten,MATCH(B35,Codes,0))="Arbeit",INDEX(Arten,MATCH(C35,Codes,0))="Arbeit"),IF(ROUND((1+INDEX(Beginne,MATCH(C35,Codes,0))-INDEX(EndeRel,MATCH(B35,Codes,0)))*1440,0)&lt;660,1,0),0),0))</f>
      </c>
      <c r="D84" s="1">
        <f>IF(OR(D$52=0,C35="",D35=""),0,IFERROR(IF(AND(INDEX(Arten,MATCH(C35,Codes,0))="Arbeit",INDEX(Arten,MATCH(D35,Codes,0))="Arbeit"),IF(ROUND((1+INDEX(Beginne,MATCH(D35,Codes,0))-INDEX(EndeRel,MATCH(C35,Codes,0)))*1440,0)&lt;660,1,0),0),0))</f>
      </c>
      <c r="E84" s="1">
        <f>IF(OR(E$52=0,D35="",E35=""),0,IFERROR(IF(AND(INDEX(Arten,MATCH(D35,Codes,0))="Arbeit",INDEX(Arten,MATCH(E35,Codes,0))="Arbeit"),IF(ROUND((1+INDEX(Beginne,MATCH(E35,Codes,0))-INDEX(EndeRel,MATCH(D35,Codes,0)))*1440,0)&lt;660,1,0),0),0))</f>
      </c>
      <c r="F84" s="1">
        <f>IF(OR(F$52=0,E35="",F35=""),0,IFERROR(IF(AND(INDEX(Arten,MATCH(E35,Codes,0))="Arbeit",INDEX(Arten,MATCH(F35,Codes,0))="Arbeit"),IF(ROUND((1+INDEX(Beginne,MATCH(F35,Codes,0))-INDEX(EndeRel,MATCH(E35,Codes,0)))*1440,0)&lt;660,1,0),0),0))</f>
      </c>
      <c r="G84" s="1">
        <f>IF(OR(G$52=0,F35="",G35=""),0,IFERROR(IF(AND(INDEX(Arten,MATCH(F35,Codes,0))="Arbeit",INDEX(Arten,MATCH(G35,Codes,0))="Arbeit"),IF(ROUND((1+INDEX(Beginne,MATCH(G35,Codes,0))-INDEX(EndeRel,MATCH(F35,Codes,0)))*1440,0)&lt;660,1,0),0),0))</f>
      </c>
      <c r="H84" s="1">
        <f>IF(OR(H$52=0,G35="",H35=""),0,IFERROR(IF(AND(INDEX(Arten,MATCH(G35,Codes,0))="Arbeit",INDEX(Arten,MATCH(H35,Codes,0))="Arbeit"),IF(ROUND((1+INDEX(Beginne,MATCH(H35,Codes,0))-INDEX(EndeRel,MATCH(G35,Codes,0)))*1440,0)&lt;660,1,0),0),0))</f>
      </c>
      <c r="I84" s="1">
        <f>IF(OR(I$52=0,H35="",I35=""),0,IFERROR(IF(AND(INDEX(Arten,MATCH(H35,Codes,0))="Arbeit",INDEX(Arten,MATCH(I35,Codes,0))="Arbeit"),IF(ROUND((1+INDEX(Beginne,MATCH(I35,Codes,0))-INDEX(EndeRel,MATCH(H35,Codes,0)))*1440,0)&lt;660,1,0),0),0))</f>
      </c>
      <c r="J84" s="1">
        <f>IF(OR(J$52=0,I35="",J35=""),0,IFERROR(IF(AND(INDEX(Arten,MATCH(I35,Codes,0))="Arbeit",INDEX(Arten,MATCH(J35,Codes,0))="Arbeit"),IF(ROUND((1+INDEX(Beginne,MATCH(J35,Codes,0))-INDEX(EndeRel,MATCH(I35,Codes,0)))*1440,0)&lt;660,1,0),0),0))</f>
      </c>
      <c r="K84" s="1">
        <f>IF(OR(K$52=0,J35="",K35=""),0,IFERROR(IF(AND(INDEX(Arten,MATCH(J35,Codes,0))="Arbeit",INDEX(Arten,MATCH(K35,Codes,0))="Arbeit"),IF(ROUND((1+INDEX(Beginne,MATCH(K35,Codes,0))-INDEX(EndeRel,MATCH(J35,Codes,0)))*1440,0)&lt;660,1,0),0),0))</f>
      </c>
      <c r="L84" s="1">
        <f>IF(OR(L$52=0,K35="",L35=""),0,IFERROR(IF(AND(INDEX(Arten,MATCH(K35,Codes,0))="Arbeit",INDEX(Arten,MATCH(L35,Codes,0))="Arbeit"),IF(ROUND((1+INDEX(Beginne,MATCH(L35,Codes,0))-INDEX(EndeRel,MATCH(K35,Codes,0)))*1440,0)&lt;660,1,0),0),0))</f>
      </c>
      <c r="M84" s="1">
        <f>IF(OR(M$52=0,L35="",M35=""),0,IFERROR(IF(AND(INDEX(Arten,MATCH(L35,Codes,0))="Arbeit",INDEX(Arten,MATCH(M35,Codes,0))="Arbeit"),IF(ROUND((1+INDEX(Beginne,MATCH(M35,Codes,0))-INDEX(EndeRel,MATCH(L35,Codes,0)))*1440,0)&lt;660,1,0),0),0))</f>
      </c>
      <c r="N84" s="1">
        <f>IF(OR(N$52=0,M35="",N35=""),0,IFERROR(IF(AND(INDEX(Arten,MATCH(M35,Codes,0))="Arbeit",INDEX(Arten,MATCH(N35,Codes,0))="Arbeit"),IF(ROUND((1+INDEX(Beginne,MATCH(N35,Codes,0))-INDEX(EndeRel,MATCH(M35,Codes,0)))*1440,0)&lt;660,1,0),0),0))</f>
      </c>
      <c r="O84" s="1">
        <f>IF(OR(O$52=0,N35="",O35=""),0,IFERROR(IF(AND(INDEX(Arten,MATCH(N35,Codes,0))="Arbeit",INDEX(Arten,MATCH(O35,Codes,0))="Arbeit"),IF(ROUND((1+INDEX(Beginne,MATCH(O35,Codes,0))-INDEX(EndeRel,MATCH(N35,Codes,0)))*1440,0)&lt;660,1,0),0),0))</f>
      </c>
      <c r="P84" s="1">
        <f>IF(OR(P$52=0,O35="",P35=""),0,IFERROR(IF(AND(INDEX(Arten,MATCH(O35,Codes,0))="Arbeit",INDEX(Arten,MATCH(P35,Codes,0))="Arbeit"),IF(ROUND((1+INDEX(Beginne,MATCH(P35,Codes,0))-INDEX(EndeRel,MATCH(O35,Codes,0)))*1440,0)&lt;660,1,0),0),0))</f>
      </c>
      <c r="Q84" s="1">
        <f>IF(OR(Q$52=0,P35="",Q35=""),0,IFERROR(IF(AND(INDEX(Arten,MATCH(P35,Codes,0))="Arbeit",INDEX(Arten,MATCH(Q35,Codes,0))="Arbeit"),IF(ROUND((1+INDEX(Beginne,MATCH(Q35,Codes,0))-INDEX(EndeRel,MATCH(P35,Codes,0)))*1440,0)&lt;660,1,0),0),0))</f>
      </c>
      <c r="R84" s="1">
        <f>IF(OR(R$52=0,Q35="",R35=""),0,IFERROR(IF(AND(INDEX(Arten,MATCH(Q35,Codes,0))="Arbeit",INDEX(Arten,MATCH(R35,Codes,0))="Arbeit"),IF(ROUND((1+INDEX(Beginne,MATCH(R35,Codes,0))-INDEX(EndeRel,MATCH(Q35,Codes,0)))*1440,0)&lt;660,1,0),0),0))</f>
      </c>
      <c r="S84" s="1">
        <f>IF(OR(S$52=0,R35="",S35=""),0,IFERROR(IF(AND(INDEX(Arten,MATCH(R35,Codes,0))="Arbeit",INDEX(Arten,MATCH(S35,Codes,0))="Arbeit"),IF(ROUND((1+INDEX(Beginne,MATCH(S35,Codes,0))-INDEX(EndeRel,MATCH(R35,Codes,0)))*1440,0)&lt;660,1,0),0),0))</f>
      </c>
      <c r="T84" s="1">
        <f>IF(OR(T$52=0,S35="",T35=""),0,IFERROR(IF(AND(INDEX(Arten,MATCH(S35,Codes,0))="Arbeit",INDEX(Arten,MATCH(T35,Codes,0))="Arbeit"),IF(ROUND((1+INDEX(Beginne,MATCH(T35,Codes,0))-INDEX(EndeRel,MATCH(S35,Codes,0)))*1440,0)&lt;660,1,0),0),0))</f>
      </c>
      <c r="U84" s="1">
        <f>IF(OR(U$52=0,T35="",U35=""),0,IFERROR(IF(AND(INDEX(Arten,MATCH(T35,Codes,0))="Arbeit",INDEX(Arten,MATCH(U35,Codes,0))="Arbeit"),IF(ROUND((1+INDEX(Beginne,MATCH(U35,Codes,0))-INDEX(EndeRel,MATCH(T35,Codes,0)))*1440,0)&lt;660,1,0),0),0))</f>
      </c>
      <c r="V84" s="1">
        <f>IF(OR(V$52=0,U35="",V35=""),0,IFERROR(IF(AND(INDEX(Arten,MATCH(U35,Codes,0))="Arbeit",INDEX(Arten,MATCH(V35,Codes,0))="Arbeit"),IF(ROUND((1+INDEX(Beginne,MATCH(V35,Codes,0))-INDEX(EndeRel,MATCH(U35,Codes,0)))*1440,0)&lt;660,1,0),0),0))</f>
      </c>
      <c r="W84" s="1">
        <f>IF(OR(W$52=0,V35="",W35=""),0,IFERROR(IF(AND(INDEX(Arten,MATCH(V35,Codes,0))="Arbeit",INDEX(Arten,MATCH(W35,Codes,0))="Arbeit"),IF(ROUND((1+INDEX(Beginne,MATCH(W35,Codes,0))-INDEX(EndeRel,MATCH(V35,Codes,0)))*1440,0)&lt;660,1,0),0),0))</f>
      </c>
      <c r="X84" s="1">
        <f>IF(OR(X$52=0,W35="",X35=""),0,IFERROR(IF(AND(INDEX(Arten,MATCH(W35,Codes,0))="Arbeit",INDEX(Arten,MATCH(X35,Codes,0))="Arbeit"),IF(ROUND((1+INDEX(Beginne,MATCH(X35,Codes,0))-INDEX(EndeRel,MATCH(W35,Codes,0)))*1440,0)&lt;660,1,0),0),0))</f>
      </c>
      <c r="Y84" s="1">
        <f>IF(OR(Y$52=0,X35="",Y35=""),0,IFERROR(IF(AND(INDEX(Arten,MATCH(X35,Codes,0))="Arbeit",INDEX(Arten,MATCH(Y35,Codes,0))="Arbeit"),IF(ROUND((1+INDEX(Beginne,MATCH(Y35,Codes,0))-INDEX(EndeRel,MATCH(X35,Codes,0)))*1440,0)&lt;660,1,0),0),0))</f>
      </c>
      <c r="Z84" s="1">
        <f>IF(OR(Z$52=0,Y35="",Z35=""),0,IFERROR(IF(AND(INDEX(Arten,MATCH(Y35,Codes,0))="Arbeit",INDEX(Arten,MATCH(Z35,Codes,0))="Arbeit"),IF(ROUND((1+INDEX(Beginne,MATCH(Z35,Codes,0))-INDEX(EndeRel,MATCH(Y35,Codes,0)))*1440,0)&lt;660,1,0),0),0))</f>
      </c>
      <c r="AA84" s="1">
        <f>IF(OR(AA$52=0,Z35="",AA35=""),0,IFERROR(IF(AND(INDEX(Arten,MATCH(Z35,Codes,0))="Arbeit",INDEX(Arten,MATCH(AA35,Codes,0))="Arbeit"),IF(ROUND((1+INDEX(Beginne,MATCH(AA35,Codes,0))-INDEX(EndeRel,MATCH(Z35,Codes,0)))*1440,0)&lt;660,1,0),0),0))</f>
      </c>
      <c r="AB84" s="1">
        <f>IF(OR(AB$52=0,AA35="",AB35=""),0,IFERROR(IF(AND(INDEX(Arten,MATCH(AA35,Codes,0))="Arbeit",INDEX(Arten,MATCH(AB35,Codes,0))="Arbeit"),IF(ROUND((1+INDEX(Beginne,MATCH(AB35,Codes,0))-INDEX(EndeRel,MATCH(AA35,Codes,0)))*1440,0)&lt;660,1,0),0),0))</f>
      </c>
      <c r="AC84" s="1">
        <f>IF(OR(AC$52=0,AB35="",AC35=""),0,IFERROR(IF(AND(INDEX(Arten,MATCH(AB35,Codes,0))="Arbeit",INDEX(Arten,MATCH(AC35,Codes,0))="Arbeit"),IF(ROUND((1+INDEX(Beginne,MATCH(AC35,Codes,0))-INDEX(EndeRel,MATCH(AB35,Codes,0)))*1440,0)&lt;660,1,0),0),0))</f>
      </c>
      <c r="AD84" s="1">
        <f>IF(OR(AD$52=0,AC35="",AD35=""),0,IFERROR(IF(AND(INDEX(Arten,MATCH(AC35,Codes,0))="Arbeit",INDEX(Arten,MATCH(AD35,Codes,0))="Arbeit"),IF(ROUND((1+INDEX(Beginne,MATCH(AD35,Codes,0))-INDEX(EndeRel,MATCH(AC35,Codes,0)))*1440,0)&lt;660,1,0),0),0))</f>
      </c>
      <c r="AE84" s="1">
        <f>IF(OR(AE$52=0,AD35="",AE35=""),0,IFERROR(IF(AND(INDEX(Arten,MATCH(AD35,Codes,0))="Arbeit",INDEX(Arten,MATCH(AE35,Codes,0))="Arbeit"),IF(ROUND((1+INDEX(Beginne,MATCH(AE35,Codes,0))-INDEX(EndeRel,MATCH(AD35,Codes,0)))*1440,0)&lt;660,1,0),0),0))</f>
      </c>
      <c r="AF84" s="1">
        <f>IF(OR(AF$52=0,AE35="",AF35=""),0,IFERROR(IF(AND(INDEX(Arten,MATCH(AE35,Codes,0))="Arbeit",INDEX(Arten,MATCH(AF35,Codes,0))="Arbeit"),IF(ROUND((1+INDEX(Beginne,MATCH(AF35,Codes,0))-INDEX(EndeRel,MATCH(AE35,Codes,0)))*1440,0)&lt;660,1,0),0),0))</f>
      </c>
    </row>
    <row r="86" hidden="1" spans="1:32" x14ac:dyDescent="0.25">
      <c r="A86" s="1"/>
      <c r="B86" s="1">
        <f>IF($AM38="","",IF(OR(B$51&gt;=6,B$50=1),N(INDEX(MinFrei,MATCH(1,ArbeitNr,0))),N(INDEX(MinWerktag,MATCH(1,ArbeitNr,0)))))</f>
      </c>
      <c r="C86" s="1">
        <f>IF($AM38="","",IF(OR(C$51&gt;=6,C$50=1),N(INDEX(MinFrei,MATCH(1,ArbeitNr,0))),N(INDEX(MinWerktag,MATCH(1,ArbeitNr,0)))))</f>
      </c>
      <c r="D86" s="1">
        <f>IF($AM38="","",IF(OR(D$51&gt;=6,D$50=1),N(INDEX(MinFrei,MATCH(1,ArbeitNr,0))),N(INDEX(MinWerktag,MATCH(1,ArbeitNr,0)))))</f>
      </c>
      <c r="E86" s="1">
        <f>IF($AM38="","",IF(OR(E$51&gt;=6,E$50=1),N(INDEX(MinFrei,MATCH(1,ArbeitNr,0))),N(INDEX(MinWerktag,MATCH(1,ArbeitNr,0)))))</f>
      </c>
      <c r="F86" s="1">
        <f>IF($AM38="","",IF(OR(F$51&gt;=6,F$50=1),N(INDEX(MinFrei,MATCH(1,ArbeitNr,0))),N(INDEX(MinWerktag,MATCH(1,ArbeitNr,0)))))</f>
      </c>
      <c r="G86" s="1">
        <f>IF($AM38="","",IF(OR(G$51&gt;=6,G$50=1),N(INDEX(MinFrei,MATCH(1,ArbeitNr,0))),N(INDEX(MinWerktag,MATCH(1,ArbeitNr,0)))))</f>
      </c>
      <c r="H86" s="1">
        <f>IF($AM38="","",IF(OR(H$51&gt;=6,H$50=1),N(INDEX(MinFrei,MATCH(1,ArbeitNr,0))),N(INDEX(MinWerktag,MATCH(1,ArbeitNr,0)))))</f>
      </c>
      <c r="I86" s="1">
        <f>IF($AM38="","",IF(OR(I$51&gt;=6,I$50=1),N(INDEX(MinFrei,MATCH(1,ArbeitNr,0))),N(INDEX(MinWerktag,MATCH(1,ArbeitNr,0)))))</f>
      </c>
      <c r="J86" s="1">
        <f>IF($AM38="","",IF(OR(J$51&gt;=6,J$50=1),N(INDEX(MinFrei,MATCH(1,ArbeitNr,0))),N(INDEX(MinWerktag,MATCH(1,ArbeitNr,0)))))</f>
      </c>
      <c r="K86" s="1">
        <f>IF($AM38="","",IF(OR(K$51&gt;=6,K$50=1),N(INDEX(MinFrei,MATCH(1,ArbeitNr,0))),N(INDEX(MinWerktag,MATCH(1,ArbeitNr,0)))))</f>
      </c>
      <c r="L86" s="1">
        <f>IF($AM38="","",IF(OR(L$51&gt;=6,L$50=1),N(INDEX(MinFrei,MATCH(1,ArbeitNr,0))),N(INDEX(MinWerktag,MATCH(1,ArbeitNr,0)))))</f>
      </c>
      <c r="M86" s="1">
        <f>IF($AM38="","",IF(OR(M$51&gt;=6,M$50=1),N(INDEX(MinFrei,MATCH(1,ArbeitNr,0))),N(INDEX(MinWerktag,MATCH(1,ArbeitNr,0)))))</f>
      </c>
      <c r="N86" s="1">
        <f>IF($AM38="","",IF(OR(N$51&gt;=6,N$50=1),N(INDEX(MinFrei,MATCH(1,ArbeitNr,0))),N(INDEX(MinWerktag,MATCH(1,ArbeitNr,0)))))</f>
      </c>
      <c r="O86" s="1">
        <f>IF($AM38="","",IF(OR(O$51&gt;=6,O$50=1),N(INDEX(MinFrei,MATCH(1,ArbeitNr,0))),N(INDEX(MinWerktag,MATCH(1,ArbeitNr,0)))))</f>
      </c>
      <c r="P86" s="1">
        <f>IF($AM38="","",IF(OR(P$51&gt;=6,P$50=1),N(INDEX(MinFrei,MATCH(1,ArbeitNr,0))),N(INDEX(MinWerktag,MATCH(1,ArbeitNr,0)))))</f>
      </c>
      <c r="Q86" s="1">
        <f>IF($AM38="","",IF(OR(Q$51&gt;=6,Q$50=1),N(INDEX(MinFrei,MATCH(1,ArbeitNr,0))),N(INDEX(MinWerktag,MATCH(1,ArbeitNr,0)))))</f>
      </c>
      <c r="R86" s="1">
        <f>IF($AM38="","",IF(OR(R$51&gt;=6,R$50=1),N(INDEX(MinFrei,MATCH(1,ArbeitNr,0))),N(INDEX(MinWerktag,MATCH(1,ArbeitNr,0)))))</f>
      </c>
      <c r="S86" s="1">
        <f>IF($AM38="","",IF(OR(S$51&gt;=6,S$50=1),N(INDEX(MinFrei,MATCH(1,ArbeitNr,0))),N(INDEX(MinWerktag,MATCH(1,ArbeitNr,0)))))</f>
      </c>
      <c r="T86" s="1">
        <f>IF($AM38="","",IF(OR(T$51&gt;=6,T$50=1),N(INDEX(MinFrei,MATCH(1,ArbeitNr,0))),N(INDEX(MinWerktag,MATCH(1,ArbeitNr,0)))))</f>
      </c>
      <c r="U86" s="1">
        <f>IF($AM38="","",IF(OR(U$51&gt;=6,U$50=1),N(INDEX(MinFrei,MATCH(1,ArbeitNr,0))),N(INDEX(MinWerktag,MATCH(1,ArbeitNr,0)))))</f>
      </c>
      <c r="V86" s="1">
        <f>IF($AM38="","",IF(OR(V$51&gt;=6,V$50=1),N(INDEX(MinFrei,MATCH(1,ArbeitNr,0))),N(INDEX(MinWerktag,MATCH(1,ArbeitNr,0)))))</f>
      </c>
      <c r="W86" s="1">
        <f>IF($AM38="","",IF(OR(W$51&gt;=6,W$50=1),N(INDEX(MinFrei,MATCH(1,ArbeitNr,0))),N(INDEX(MinWerktag,MATCH(1,ArbeitNr,0)))))</f>
      </c>
      <c r="X86" s="1">
        <f>IF($AM38="","",IF(OR(X$51&gt;=6,X$50=1),N(INDEX(MinFrei,MATCH(1,ArbeitNr,0))),N(INDEX(MinWerktag,MATCH(1,ArbeitNr,0)))))</f>
      </c>
      <c r="Y86" s="1">
        <f>IF($AM38="","",IF(OR(Y$51&gt;=6,Y$50=1),N(INDEX(MinFrei,MATCH(1,ArbeitNr,0))),N(INDEX(MinWerktag,MATCH(1,ArbeitNr,0)))))</f>
      </c>
      <c r="Z86" s="1">
        <f>IF($AM38="","",IF(OR(Z$51&gt;=6,Z$50=1),N(INDEX(MinFrei,MATCH(1,ArbeitNr,0))),N(INDEX(MinWerktag,MATCH(1,ArbeitNr,0)))))</f>
      </c>
      <c r="AA86" s="1">
        <f>IF($AM38="","",IF(OR(AA$51&gt;=6,AA$50=1),N(INDEX(MinFrei,MATCH(1,ArbeitNr,0))),N(INDEX(MinWerktag,MATCH(1,ArbeitNr,0)))))</f>
      </c>
      <c r="AB86" s="1">
        <f>IF($AM38="","",IF(OR(AB$51&gt;=6,AB$50=1),N(INDEX(MinFrei,MATCH(1,ArbeitNr,0))),N(INDEX(MinWerktag,MATCH(1,ArbeitNr,0)))))</f>
      </c>
      <c r="AC86" s="1">
        <f>IF($AM38="","",IF(OR(AC$51&gt;=6,AC$50=1),N(INDEX(MinFrei,MATCH(1,ArbeitNr,0))),N(INDEX(MinWerktag,MATCH(1,ArbeitNr,0)))))</f>
      </c>
      <c r="AD86" s="1">
        <f>IF($AM38="","",IF(OR(AD$51&gt;=6,AD$50=1),N(INDEX(MinFrei,MATCH(1,ArbeitNr,0))),N(INDEX(MinWerktag,MATCH(1,ArbeitNr,0)))))</f>
      </c>
      <c r="AE86" s="1">
        <f>IF($AM38="","",IF(OR(AE$51&gt;=6,AE$50=1),N(INDEX(MinFrei,MATCH(1,ArbeitNr,0))),N(INDEX(MinWerktag,MATCH(1,ArbeitNr,0)))))</f>
      </c>
      <c r="AF86" s="1">
        <f>IF($AM38="","",IF(OR(AF$51&gt;=6,AF$50=1),N(INDEX(MinFrei,MATCH(1,ArbeitNr,0))),N(INDEX(MinWerktag,MATCH(1,ArbeitNr,0)))))</f>
      </c>
    </row>
    <row r="87" hidden="1" spans="1:32" x14ac:dyDescent="0.25">
      <c r="A87" s="1"/>
      <c r="B87" s="1">
        <f>IF($AM39="","",IF(OR(B$51&gt;=6,B$50=1),N(INDEX(MinFrei,MATCH(2,ArbeitNr,0))),N(INDEX(MinWerktag,MATCH(2,ArbeitNr,0)))))</f>
      </c>
      <c r="C87" s="1">
        <f>IF($AM39="","",IF(OR(C$51&gt;=6,C$50=1),N(INDEX(MinFrei,MATCH(2,ArbeitNr,0))),N(INDEX(MinWerktag,MATCH(2,ArbeitNr,0)))))</f>
      </c>
      <c r="D87" s="1">
        <f>IF($AM39="","",IF(OR(D$51&gt;=6,D$50=1),N(INDEX(MinFrei,MATCH(2,ArbeitNr,0))),N(INDEX(MinWerktag,MATCH(2,ArbeitNr,0)))))</f>
      </c>
      <c r="E87" s="1">
        <f>IF($AM39="","",IF(OR(E$51&gt;=6,E$50=1),N(INDEX(MinFrei,MATCH(2,ArbeitNr,0))),N(INDEX(MinWerktag,MATCH(2,ArbeitNr,0)))))</f>
      </c>
      <c r="F87" s="1">
        <f>IF($AM39="","",IF(OR(F$51&gt;=6,F$50=1),N(INDEX(MinFrei,MATCH(2,ArbeitNr,0))),N(INDEX(MinWerktag,MATCH(2,ArbeitNr,0)))))</f>
      </c>
      <c r="G87" s="1">
        <f>IF($AM39="","",IF(OR(G$51&gt;=6,G$50=1),N(INDEX(MinFrei,MATCH(2,ArbeitNr,0))),N(INDEX(MinWerktag,MATCH(2,ArbeitNr,0)))))</f>
      </c>
      <c r="H87" s="1">
        <f>IF($AM39="","",IF(OR(H$51&gt;=6,H$50=1),N(INDEX(MinFrei,MATCH(2,ArbeitNr,0))),N(INDEX(MinWerktag,MATCH(2,ArbeitNr,0)))))</f>
      </c>
      <c r="I87" s="1">
        <f>IF($AM39="","",IF(OR(I$51&gt;=6,I$50=1),N(INDEX(MinFrei,MATCH(2,ArbeitNr,0))),N(INDEX(MinWerktag,MATCH(2,ArbeitNr,0)))))</f>
      </c>
      <c r="J87" s="1">
        <f>IF($AM39="","",IF(OR(J$51&gt;=6,J$50=1),N(INDEX(MinFrei,MATCH(2,ArbeitNr,0))),N(INDEX(MinWerktag,MATCH(2,ArbeitNr,0)))))</f>
      </c>
      <c r="K87" s="1">
        <f>IF($AM39="","",IF(OR(K$51&gt;=6,K$50=1),N(INDEX(MinFrei,MATCH(2,ArbeitNr,0))),N(INDEX(MinWerktag,MATCH(2,ArbeitNr,0)))))</f>
      </c>
      <c r="L87" s="1">
        <f>IF($AM39="","",IF(OR(L$51&gt;=6,L$50=1),N(INDEX(MinFrei,MATCH(2,ArbeitNr,0))),N(INDEX(MinWerktag,MATCH(2,ArbeitNr,0)))))</f>
      </c>
      <c r="M87" s="1">
        <f>IF($AM39="","",IF(OR(M$51&gt;=6,M$50=1),N(INDEX(MinFrei,MATCH(2,ArbeitNr,0))),N(INDEX(MinWerktag,MATCH(2,ArbeitNr,0)))))</f>
      </c>
      <c r="N87" s="1">
        <f>IF($AM39="","",IF(OR(N$51&gt;=6,N$50=1),N(INDEX(MinFrei,MATCH(2,ArbeitNr,0))),N(INDEX(MinWerktag,MATCH(2,ArbeitNr,0)))))</f>
      </c>
      <c r="O87" s="1">
        <f>IF($AM39="","",IF(OR(O$51&gt;=6,O$50=1),N(INDEX(MinFrei,MATCH(2,ArbeitNr,0))),N(INDEX(MinWerktag,MATCH(2,ArbeitNr,0)))))</f>
      </c>
      <c r="P87" s="1">
        <f>IF($AM39="","",IF(OR(P$51&gt;=6,P$50=1),N(INDEX(MinFrei,MATCH(2,ArbeitNr,0))),N(INDEX(MinWerktag,MATCH(2,ArbeitNr,0)))))</f>
      </c>
      <c r="Q87" s="1">
        <f>IF($AM39="","",IF(OR(Q$51&gt;=6,Q$50=1),N(INDEX(MinFrei,MATCH(2,ArbeitNr,0))),N(INDEX(MinWerktag,MATCH(2,ArbeitNr,0)))))</f>
      </c>
      <c r="R87" s="1">
        <f>IF($AM39="","",IF(OR(R$51&gt;=6,R$50=1),N(INDEX(MinFrei,MATCH(2,ArbeitNr,0))),N(INDEX(MinWerktag,MATCH(2,ArbeitNr,0)))))</f>
      </c>
      <c r="S87" s="1">
        <f>IF($AM39="","",IF(OR(S$51&gt;=6,S$50=1),N(INDEX(MinFrei,MATCH(2,ArbeitNr,0))),N(INDEX(MinWerktag,MATCH(2,ArbeitNr,0)))))</f>
      </c>
      <c r="T87" s="1">
        <f>IF($AM39="","",IF(OR(T$51&gt;=6,T$50=1),N(INDEX(MinFrei,MATCH(2,ArbeitNr,0))),N(INDEX(MinWerktag,MATCH(2,ArbeitNr,0)))))</f>
      </c>
      <c r="U87" s="1">
        <f>IF($AM39="","",IF(OR(U$51&gt;=6,U$50=1),N(INDEX(MinFrei,MATCH(2,ArbeitNr,0))),N(INDEX(MinWerktag,MATCH(2,ArbeitNr,0)))))</f>
      </c>
      <c r="V87" s="1">
        <f>IF($AM39="","",IF(OR(V$51&gt;=6,V$50=1),N(INDEX(MinFrei,MATCH(2,ArbeitNr,0))),N(INDEX(MinWerktag,MATCH(2,ArbeitNr,0)))))</f>
      </c>
      <c r="W87" s="1">
        <f>IF($AM39="","",IF(OR(W$51&gt;=6,W$50=1),N(INDEX(MinFrei,MATCH(2,ArbeitNr,0))),N(INDEX(MinWerktag,MATCH(2,ArbeitNr,0)))))</f>
      </c>
      <c r="X87" s="1">
        <f>IF($AM39="","",IF(OR(X$51&gt;=6,X$50=1),N(INDEX(MinFrei,MATCH(2,ArbeitNr,0))),N(INDEX(MinWerktag,MATCH(2,ArbeitNr,0)))))</f>
      </c>
      <c r="Y87" s="1">
        <f>IF($AM39="","",IF(OR(Y$51&gt;=6,Y$50=1),N(INDEX(MinFrei,MATCH(2,ArbeitNr,0))),N(INDEX(MinWerktag,MATCH(2,ArbeitNr,0)))))</f>
      </c>
      <c r="Z87" s="1">
        <f>IF($AM39="","",IF(OR(Z$51&gt;=6,Z$50=1),N(INDEX(MinFrei,MATCH(2,ArbeitNr,0))),N(INDEX(MinWerktag,MATCH(2,ArbeitNr,0)))))</f>
      </c>
      <c r="AA87" s="1">
        <f>IF($AM39="","",IF(OR(AA$51&gt;=6,AA$50=1),N(INDEX(MinFrei,MATCH(2,ArbeitNr,0))),N(INDEX(MinWerktag,MATCH(2,ArbeitNr,0)))))</f>
      </c>
      <c r="AB87" s="1">
        <f>IF($AM39="","",IF(OR(AB$51&gt;=6,AB$50=1),N(INDEX(MinFrei,MATCH(2,ArbeitNr,0))),N(INDEX(MinWerktag,MATCH(2,ArbeitNr,0)))))</f>
      </c>
      <c r="AC87" s="1">
        <f>IF($AM39="","",IF(OR(AC$51&gt;=6,AC$50=1),N(INDEX(MinFrei,MATCH(2,ArbeitNr,0))),N(INDEX(MinWerktag,MATCH(2,ArbeitNr,0)))))</f>
      </c>
      <c r="AD87" s="1">
        <f>IF($AM39="","",IF(OR(AD$51&gt;=6,AD$50=1),N(INDEX(MinFrei,MATCH(2,ArbeitNr,0))),N(INDEX(MinWerktag,MATCH(2,ArbeitNr,0)))))</f>
      </c>
      <c r="AE87" s="1">
        <f>IF($AM39="","",IF(OR(AE$51&gt;=6,AE$50=1),N(INDEX(MinFrei,MATCH(2,ArbeitNr,0))),N(INDEX(MinWerktag,MATCH(2,ArbeitNr,0)))))</f>
      </c>
      <c r="AF87" s="1">
        <f>IF($AM39="","",IF(OR(AF$51&gt;=6,AF$50=1),N(INDEX(MinFrei,MATCH(2,ArbeitNr,0))),N(INDEX(MinWerktag,MATCH(2,ArbeitNr,0)))))</f>
      </c>
    </row>
    <row r="88" hidden="1" spans="1:32" x14ac:dyDescent="0.25">
      <c r="A88" s="1"/>
      <c r="B88" s="1">
        <f>IF($AM40="","",IF(OR(B$51&gt;=6,B$50=1),N(INDEX(MinFrei,MATCH(3,ArbeitNr,0))),N(INDEX(MinWerktag,MATCH(3,ArbeitNr,0)))))</f>
      </c>
      <c r="C88" s="1">
        <f>IF($AM40="","",IF(OR(C$51&gt;=6,C$50=1),N(INDEX(MinFrei,MATCH(3,ArbeitNr,0))),N(INDEX(MinWerktag,MATCH(3,ArbeitNr,0)))))</f>
      </c>
      <c r="D88" s="1">
        <f>IF($AM40="","",IF(OR(D$51&gt;=6,D$50=1),N(INDEX(MinFrei,MATCH(3,ArbeitNr,0))),N(INDEX(MinWerktag,MATCH(3,ArbeitNr,0)))))</f>
      </c>
      <c r="E88" s="1">
        <f>IF($AM40="","",IF(OR(E$51&gt;=6,E$50=1),N(INDEX(MinFrei,MATCH(3,ArbeitNr,0))),N(INDEX(MinWerktag,MATCH(3,ArbeitNr,0)))))</f>
      </c>
      <c r="F88" s="1">
        <f>IF($AM40="","",IF(OR(F$51&gt;=6,F$50=1),N(INDEX(MinFrei,MATCH(3,ArbeitNr,0))),N(INDEX(MinWerktag,MATCH(3,ArbeitNr,0)))))</f>
      </c>
      <c r="G88" s="1">
        <f>IF($AM40="","",IF(OR(G$51&gt;=6,G$50=1),N(INDEX(MinFrei,MATCH(3,ArbeitNr,0))),N(INDEX(MinWerktag,MATCH(3,ArbeitNr,0)))))</f>
      </c>
      <c r="H88" s="1">
        <f>IF($AM40="","",IF(OR(H$51&gt;=6,H$50=1),N(INDEX(MinFrei,MATCH(3,ArbeitNr,0))),N(INDEX(MinWerktag,MATCH(3,ArbeitNr,0)))))</f>
      </c>
      <c r="I88" s="1">
        <f>IF($AM40="","",IF(OR(I$51&gt;=6,I$50=1),N(INDEX(MinFrei,MATCH(3,ArbeitNr,0))),N(INDEX(MinWerktag,MATCH(3,ArbeitNr,0)))))</f>
      </c>
      <c r="J88" s="1">
        <f>IF($AM40="","",IF(OR(J$51&gt;=6,J$50=1),N(INDEX(MinFrei,MATCH(3,ArbeitNr,0))),N(INDEX(MinWerktag,MATCH(3,ArbeitNr,0)))))</f>
      </c>
      <c r="K88" s="1">
        <f>IF($AM40="","",IF(OR(K$51&gt;=6,K$50=1),N(INDEX(MinFrei,MATCH(3,ArbeitNr,0))),N(INDEX(MinWerktag,MATCH(3,ArbeitNr,0)))))</f>
      </c>
      <c r="L88" s="1">
        <f>IF($AM40="","",IF(OR(L$51&gt;=6,L$50=1),N(INDEX(MinFrei,MATCH(3,ArbeitNr,0))),N(INDEX(MinWerktag,MATCH(3,ArbeitNr,0)))))</f>
      </c>
      <c r="M88" s="1">
        <f>IF($AM40="","",IF(OR(M$51&gt;=6,M$50=1),N(INDEX(MinFrei,MATCH(3,ArbeitNr,0))),N(INDEX(MinWerktag,MATCH(3,ArbeitNr,0)))))</f>
      </c>
      <c r="N88" s="1">
        <f>IF($AM40="","",IF(OR(N$51&gt;=6,N$50=1),N(INDEX(MinFrei,MATCH(3,ArbeitNr,0))),N(INDEX(MinWerktag,MATCH(3,ArbeitNr,0)))))</f>
      </c>
      <c r="O88" s="1">
        <f>IF($AM40="","",IF(OR(O$51&gt;=6,O$50=1),N(INDEX(MinFrei,MATCH(3,ArbeitNr,0))),N(INDEX(MinWerktag,MATCH(3,ArbeitNr,0)))))</f>
      </c>
      <c r="P88" s="1">
        <f>IF($AM40="","",IF(OR(P$51&gt;=6,P$50=1),N(INDEX(MinFrei,MATCH(3,ArbeitNr,0))),N(INDEX(MinWerktag,MATCH(3,ArbeitNr,0)))))</f>
      </c>
      <c r="Q88" s="1">
        <f>IF($AM40="","",IF(OR(Q$51&gt;=6,Q$50=1),N(INDEX(MinFrei,MATCH(3,ArbeitNr,0))),N(INDEX(MinWerktag,MATCH(3,ArbeitNr,0)))))</f>
      </c>
      <c r="R88" s="1">
        <f>IF($AM40="","",IF(OR(R$51&gt;=6,R$50=1),N(INDEX(MinFrei,MATCH(3,ArbeitNr,0))),N(INDEX(MinWerktag,MATCH(3,ArbeitNr,0)))))</f>
      </c>
      <c r="S88" s="1">
        <f>IF($AM40="","",IF(OR(S$51&gt;=6,S$50=1),N(INDEX(MinFrei,MATCH(3,ArbeitNr,0))),N(INDEX(MinWerktag,MATCH(3,ArbeitNr,0)))))</f>
      </c>
      <c r="T88" s="1">
        <f>IF($AM40="","",IF(OR(T$51&gt;=6,T$50=1),N(INDEX(MinFrei,MATCH(3,ArbeitNr,0))),N(INDEX(MinWerktag,MATCH(3,ArbeitNr,0)))))</f>
      </c>
      <c r="U88" s="1">
        <f>IF($AM40="","",IF(OR(U$51&gt;=6,U$50=1),N(INDEX(MinFrei,MATCH(3,ArbeitNr,0))),N(INDEX(MinWerktag,MATCH(3,ArbeitNr,0)))))</f>
      </c>
      <c r="V88" s="1">
        <f>IF($AM40="","",IF(OR(V$51&gt;=6,V$50=1),N(INDEX(MinFrei,MATCH(3,ArbeitNr,0))),N(INDEX(MinWerktag,MATCH(3,ArbeitNr,0)))))</f>
      </c>
      <c r="W88" s="1">
        <f>IF($AM40="","",IF(OR(W$51&gt;=6,W$50=1),N(INDEX(MinFrei,MATCH(3,ArbeitNr,0))),N(INDEX(MinWerktag,MATCH(3,ArbeitNr,0)))))</f>
      </c>
      <c r="X88" s="1">
        <f>IF($AM40="","",IF(OR(X$51&gt;=6,X$50=1),N(INDEX(MinFrei,MATCH(3,ArbeitNr,0))),N(INDEX(MinWerktag,MATCH(3,ArbeitNr,0)))))</f>
      </c>
      <c r="Y88" s="1">
        <f>IF($AM40="","",IF(OR(Y$51&gt;=6,Y$50=1),N(INDEX(MinFrei,MATCH(3,ArbeitNr,0))),N(INDEX(MinWerktag,MATCH(3,ArbeitNr,0)))))</f>
      </c>
      <c r="Z88" s="1">
        <f>IF($AM40="","",IF(OR(Z$51&gt;=6,Z$50=1),N(INDEX(MinFrei,MATCH(3,ArbeitNr,0))),N(INDEX(MinWerktag,MATCH(3,ArbeitNr,0)))))</f>
      </c>
      <c r="AA88" s="1">
        <f>IF($AM40="","",IF(OR(AA$51&gt;=6,AA$50=1),N(INDEX(MinFrei,MATCH(3,ArbeitNr,0))),N(INDEX(MinWerktag,MATCH(3,ArbeitNr,0)))))</f>
      </c>
      <c r="AB88" s="1">
        <f>IF($AM40="","",IF(OR(AB$51&gt;=6,AB$50=1),N(INDEX(MinFrei,MATCH(3,ArbeitNr,0))),N(INDEX(MinWerktag,MATCH(3,ArbeitNr,0)))))</f>
      </c>
      <c r="AC88" s="1">
        <f>IF($AM40="","",IF(OR(AC$51&gt;=6,AC$50=1),N(INDEX(MinFrei,MATCH(3,ArbeitNr,0))),N(INDEX(MinWerktag,MATCH(3,ArbeitNr,0)))))</f>
      </c>
      <c r="AD88" s="1">
        <f>IF($AM40="","",IF(OR(AD$51&gt;=6,AD$50=1),N(INDEX(MinFrei,MATCH(3,ArbeitNr,0))),N(INDEX(MinWerktag,MATCH(3,ArbeitNr,0)))))</f>
      </c>
      <c r="AE88" s="1">
        <f>IF($AM40="","",IF(OR(AE$51&gt;=6,AE$50=1),N(INDEX(MinFrei,MATCH(3,ArbeitNr,0))),N(INDEX(MinWerktag,MATCH(3,ArbeitNr,0)))))</f>
      </c>
      <c r="AF88" s="1">
        <f>IF($AM40="","",IF(OR(AF$51&gt;=6,AF$50=1),N(INDEX(MinFrei,MATCH(3,ArbeitNr,0))),N(INDEX(MinWerktag,MATCH(3,ArbeitNr,0)))))</f>
      </c>
    </row>
    <row r="89" hidden="1" spans="1:32" x14ac:dyDescent="0.25">
      <c r="A89" s="1"/>
      <c r="B89" s="1">
        <f>IF($AM41="","",IF(OR(B$51&gt;=6,B$50=1),N(INDEX(MinFrei,MATCH(4,ArbeitNr,0))),N(INDEX(MinWerktag,MATCH(4,ArbeitNr,0)))))</f>
      </c>
      <c r="C89" s="1">
        <f>IF($AM41="","",IF(OR(C$51&gt;=6,C$50=1),N(INDEX(MinFrei,MATCH(4,ArbeitNr,0))),N(INDEX(MinWerktag,MATCH(4,ArbeitNr,0)))))</f>
      </c>
      <c r="D89" s="1">
        <f>IF($AM41="","",IF(OR(D$51&gt;=6,D$50=1),N(INDEX(MinFrei,MATCH(4,ArbeitNr,0))),N(INDEX(MinWerktag,MATCH(4,ArbeitNr,0)))))</f>
      </c>
      <c r="E89" s="1">
        <f>IF($AM41="","",IF(OR(E$51&gt;=6,E$50=1),N(INDEX(MinFrei,MATCH(4,ArbeitNr,0))),N(INDEX(MinWerktag,MATCH(4,ArbeitNr,0)))))</f>
      </c>
      <c r="F89" s="1">
        <f>IF($AM41="","",IF(OR(F$51&gt;=6,F$50=1),N(INDEX(MinFrei,MATCH(4,ArbeitNr,0))),N(INDEX(MinWerktag,MATCH(4,ArbeitNr,0)))))</f>
      </c>
      <c r="G89" s="1">
        <f>IF($AM41="","",IF(OR(G$51&gt;=6,G$50=1),N(INDEX(MinFrei,MATCH(4,ArbeitNr,0))),N(INDEX(MinWerktag,MATCH(4,ArbeitNr,0)))))</f>
      </c>
      <c r="H89" s="1">
        <f>IF($AM41="","",IF(OR(H$51&gt;=6,H$50=1),N(INDEX(MinFrei,MATCH(4,ArbeitNr,0))),N(INDEX(MinWerktag,MATCH(4,ArbeitNr,0)))))</f>
      </c>
      <c r="I89" s="1">
        <f>IF($AM41="","",IF(OR(I$51&gt;=6,I$50=1),N(INDEX(MinFrei,MATCH(4,ArbeitNr,0))),N(INDEX(MinWerktag,MATCH(4,ArbeitNr,0)))))</f>
      </c>
      <c r="J89" s="1">
        <f>IF($AM41="","",IF(OR(J$51&gt;=6,J$50=1),N(INDEX(MinFrei,MATCH(4,ArbeitNr,0))),N(INDEX(MinWerktag,MATCH(4,ArbeitNr,0)))))</f>
      </c>
      <c r="K89" s="1">
        <f>IF($AM41="","",IF(OR(K$51&gt;=6,K$50=1),N(INDEX(MinFrei,MATCH(4,ArbeitNr,0))),N(INDEX(MinWerktag,MATCH(4,ArbeitNr,0)))))</f>
      </c>
      <c r="L89" s="1">
        <f>IF($AM41="","",IF(OR(L$51&gt;=6,L$50=1),N(INDEX(MinFrei,MATCH(4,ArbeitNr,0))),N(INDEX(MinWerktag,MATCH(4,ArbeitNr,0)))))</f>
      </c>
      <c r="M89" s="1">
        <f>IF($AM41="","",IF(OR(M$51&gt;=6,M$50=1),N(INDEX(MinFrei,MATCH(4,ArbeitNr,0))),N(INDEX(MinWerktag,MATCH(4,ArbeitNr,0)))))</f>
      </c>
      <c r="N89" s="1">
        <f>IF($AM41="","",IF(OR(N$51&gt;=6,N$50=1),N(INDEX(MinFrei,MATCH(4,ArbeitNr,0))),N(INDEX(MinWerktag,MATCH(4,ArbeitNr,0)))))</f>
      </c>
      <c r="O89" s="1">
        <f>IF($AM41="","",IF(OR(O$51&gt;=6,O$50=1),N(INDEX(MinFrei,MATCH(4,ArbeitNr,0))),N(INDEX(MinWerktag,MATCH(4,ArbeitNr,0)))))</f>
      </c>
      <c r="P89" s="1">
        <f>IF($AM41="","",IF(OR(P$51&gt;=6,P$50=1),N(INDEX(MinFrei,MATCH(4,ArbeitNr,0))),N(INDEX(MinWerktag,MATCH(4,ArbeitNr,0)))))</f>
      </c>
      <c r="Q89" s="1">
        <f>IF($AM41="","",IF(OR(Q$51&gt;=6,Q$50=1),N(INDEX(MinFrei,MATCH(4,ArbeitNr,0))),N(INDEX(MinWerktag,MATCH(4,ArbeitNr,0)))))</f>
      </c>
      <c r="R89" s="1">
        <f>IF($AM41="","",IF(OR(R$51&gt;=6,R$50=1),N(INDEX(MinFrei,MATCH(4,ArbeitNr,0))),N(INDEX(MinWerktag,MATCH(4,ArbeitNr,0)))))</f>
      </c>
      <c r="S89" s="1">
        <f>IF($AM41="","",IF(OR(S$51&gt;=6,S$50=1),N(INDEX(MinFrei,MATCH(4,ArbeitNr,0))),N(INDEX(MinWerktag,MATCH(4,ArbeitNr,0)))))</f>
      </c>
      <c r="T89" s="1">
        <f>IF($AM41="","",IF(OR(T$51&gt;=6,T$50=1),N(INDEX(MinFrei,MATCH(4,ArbeitNr,0))),N(INDEX(MinWerktag,MATCH(4,ArbeitNr,0)))))</f>
      </c>
      <c r="U89" s="1">
        <f>IF($AM41="","",IF(OR(U$51&gt;=6,U$50=1),N(INDEX(MinFrei,MATCH(4,ArbeitNr,0))),N(INDEX(MinWerktag,MATCH(4,ArbeitNr,0)))))</f>
      </c>
      <c r="V89" s="1">
        <f>IF($AM41="","",IF(OR(V$51&gt;=6,V$50=1),N(INDEX(MinFrei,MATCH(4,ArbeitNr,0))),N(INDEX(MinWerktag,MATCH(4,ArbeitNr,0)))))</f>
      </c>
      <c r="W89" s="1">
        <f>IF($AM41="","",IF(OR(W$51&gt;=6,W$50=1),N(INDEX(MinFrei,MATCH(4,ArbeitNr,0))),N(INDEX(MinWerktag,MATCH(4,ArbeitNr,0)))))</f>
      </c>
      <c r="X89" s="1">
        <f>IF($AM41="","",IF(OR(X$51&gt;=6,X$50=1),N(INDEX(MinFrei,MATCH(4,ArbeitNr,0))),N(INDEX(MinWerktag,MATCH(4,ArbeitNr,0)))))</f>
      </c>
      <c r="Y89" s="1">
        <f>IF($AM41="","",IF(OR(Y$51&gt;=6,Y$50=1),N(INDEX(MinFrei,MATCH(4,ArbeitNr,0))),N(INDEX(MinWerktag,MATCH(4,ArbeitNr,0)))))</f>
      </c>
      <c r="Z89" s="1">
        <f>IF($AM41="","",IF(OR(Z$51&gt;=6,Z$50=1),N(INDEX(MinFrei,MATCH(4,ArbeitNr,0))),N(INDEX(MinWerktag,MATCH(4,ArbeitNr,0)))))</f>
      </c>
      <c r="AA89" s="1">
        <f>IF($AM41="","",IF(OR(AA$51&gt;=6,AA$50=1),N(INDEX(MinFrei,MATCH(4,ArbeitNr,0))),N(INDEX(MinWerktag,MATCH(4,ArbeitNr,0)))))</f>
      </c>
      <c r="AB89" s="1">
        <f>IF($AM41="","",IF(OR(AB$51&gt;=6,AB$50=1),N(INDEX(MinFrei,MATCH(4,ArbeitNr,0))),N(INDEX(MinWerktag,MATCH(4,ArbeitNr,0)))))</f>
      </c>
      <c r="AC89" s="1">
        <f>IF($AM41="","",IF(OR(AC$51&gt;=6,AC$50=1),N(INDEX(MinFrei,MATCH(4,ArbeitNr,0))),N(INDEX(MinWerktag,MATCH(4,ArbeitNr,0)))))</f>
      </c>
      <c r="AD89" s="1">
        <f>IF($AM41="","",IF(OR(AD$51&gt;=6,AD$50=1),N(INDEX(MinFrei,MATCH(4,ArbeitNr,0))),N(INDEX(MinWerktag,MATCH(4,ArbeitNr,0)))))</f>
      </c>
      <c r="AE89" s="1">
        <f>IF($AM41="","",IF(OR(AE$51&gt;=6,AE$50=1),N(INDEX(MinFrei,MATCH(4,ArbeitNr,0))),N(INDEX(MinWerktag,MATCH(4,ArbeitNr,0)))))</f>
      </c>
      <c r="AF89" s="1">
        <f>IF($AM41="","",IF(OR(AF$51&gt;=6,AF$50=1),N(INDEX(MinFrei,MATCH(4,ArbeitNr,0))),N(INDEX(MinWerktag,MATCH(4,ArbeitNr,0)))))</f>
      </c>
    </row>
    <row r="90" hidden="1" spans="1:32" x14ac:dyDescent="0.25">
      <c r="A90" s="1"/>
      <c r="B90" s="1">
        <f>IF($AM42="","",IF(OR(B$51&gt;=6,B$50=1),N(INDEX(MinFrei,MATCH(5,ArbeitNr,0))),N(INDEX(MinWerktag,MATCH(5,ArbeitNr,0)))))</f>
      </c>
      <c r="C90" s="1">
        <f>IF($AM42="","",IF(OR(C$51&gt;=6,C$50=1),N(INDEX(MinFrei,MATCH(5,ArbeitNr,0))),N(INDEX(MinWerktag,MATCH(5,ArbeitNr,0)))))</f>
      </c>
      <c r="D90" s="1">
        <f>IF($AM42="","",IF(OR(D$51&gt;=6,D$50=1),N(INDEX(MinFrei,MATCH(5,ArbeitNr,0))),N(INDEX(MinWerktag,MATCH(5,ArbeitNr,0)))))</f>
      </c>
      <c r="E90" s="1">
        <f>IF($AM42="","",IF(OR(E$51&gt;=6,E$50=1),N(INDEX(MinFrei,MATCH(5,ArbeitNr,0))),N(INDEX(MinWerktag,MATCH(5,ArbeitNr,0)))))</f>
      </c>
      <c r="F90" s="1">
        <f>IF($AM42="","",IF(OR(F$51&gt;=6,F$50=1),N(INDEX(MinFrei,MATCH(5,ArbeitNr,0))),N(INDEX(MinWerktag,MATCH(5,ArbeitNr,0)))))</f>
      </c>
      <c r="G90" s="1">
        <f>IF($AM42="","",IF(OR(G$51&gt;=6,G$50=1),N(INDEX(MinFrei,MATCH(5,ArbeitNr,0))),N(INDEX(MinWerktag,MATCH(5,ArbeitNr,0)))))</f>
      </c>
      <c r="H90" s="1">
        <f>IF($AM42="","",IF(OR(H$51&gt;=6,H$50=1),N(INDEX(MinFrei,MATCH(5,ArbeitNr,0))),N(INDEX(MinWerktag,MATCH(5,ArbeitNr,0)))))</f>
      </c>
      <c r="I90" s="1">
        <f>IF($AM42="","",IF(OR(I$51&gt;=6,I$50=1),N(INDEX(MinFrei,MATCH(5,ArbeitNr,0))),N(INDEX(MinWerktag,MATCH(5,ArbeitNr,0)))))</f>
      </c>
      <c r="J90" s="1">
        <f>IF($AM42="","",IF(OR(J$51&gt;=6,J$50=1),N(INDEX(MinFrei,MATCH(5,ArbeitNr,0))),N(INDEX(MinWerktag,MATCH(5,ArbeitNr,0)))))</f>
      </c>
      <c r="K90" s="1">
        <f>IF($AM42="","",IF(OR(K$51&gt;=6,K$50=1),N(INDEX(MinFrei,MATCH(5,ArbeitNr,0))),N(INDEX(MinWerktag,MATCH(5,ArbeitNr,0)))))</f>
      </c>
      <c r="L90" s="1">
        <f>IF($AM42="","",IF(OR(L$51&gt;=6,L$50=1),N(INDEX(MinFrei,MATCH(5,ArbeitNr,0))),N(INDEX(MinWerktag,MATCH(5,ArbeitNr,0)))))</f>
      </c>
      <c r="M90" s="1">
        <f>IF($AM42="","",IF(OR(M$51&gt;=6,M$50=1),N(INDEX(MinFrei,MATCH(5,ArbeitNr,0))),N(INDEX(MinWerktag,MATCH(5,ArbeitNr,0)))))</f>
      </c>
      <c r="N90" s="1">
        <f>IF($AM42="","",IF(OR(N$51&gt;=6,N$50=1),N(INDEX(MinFrei,MATCH(5,ArbeitNr,0))),N(INDEX(MinWerktag,MATCH(5,ArbeitNr,0)))))</f>
      </c>
      <c r="O90" s="1">
        <f>IF($AM42="","",IF(OR(O$51&gt;=6,O$50=1),N(INDEX(MinFrei,MATCH(5,ArbeitNr,0))),N(INDEX(MinWerktag,MATCH(5,ArbeitNr,0)))))</f>
      </c>
      <c r="P90" s="1">
        <f>IF($AM42="","",IF(OR(P$51&gt;=6,P$50=1),N(INDEX(MinFrei,MATCH(5,ArbeitNr,0))),N(INDEX(MinWerktag,MATCH(5,ArbeitNr,0)))))</f>
      </c>
      <c r="Q90" s="1">
        <f>IF($AM42="","",IF(OR(Q$51&gt;=6,Q$50=1),N(INDEX(MinFrei,MATCH(5,ArbeitNr,0))),N(INDEX(MinWerktag,MATCH(5,ArbeitNr,0)))))</f>
      </c>
      <c r="R90" s="1">
        <f>IF($AM42="","",IF(OR(R$51&gt;=6,R$50=1),N(INDEX(MinFrei,MATCH(5,ArbeitNr,0))),N(INDEX(MinWerktag,MATCH(5,ArbeitNr,0)))))</f>
      </c>
      <c r="S90" s="1">
        <f>IF($AM42="","",IF(OR(S$51&gt;=6,S$50=1),N(INDEX(MinFrei,MATCH(5,ArbeitNr,0))),N(INDEX(MinWerktag,MATCH(5,ArbeitNr,0)))))</f>
      </c>
      <c r="T90" s="1">
        <f>IF($AM42="","",IF(OR(T$51&gt;=6,T$50=1),N(INDEX(MinFrei,MATCH(5,ArbeitNr,0))),N(INDEX(MinWerktag,MATCH(5,ArbeitNr,0)))))</f>
      </c>
      <c r="U90" s="1">
        <f>IF($AM42="","",IF(OR(U$51&gt;=6,U$50=1),N(INDEX(MinFrei,MATCH(5,ArbeitNr,0))),N(INDEX(MinWerktag,MATCH(5,ArbeitNr,0)))))</f>
      </c>
      <c r="V90" s="1">
        <f>IF($AM42="","",IF(OR(V$51&gt;=6,V$50=1),N(INDEX(MinFrei,MATCH(5,ArbeitNr,0))),N(INDEX(MinWerktag,MATCH(5,ArbeitNr,0)))))</f>
      </c>
      <c r="W90" s="1">
        <f>IF($AM42="","",IF(OR(W$51&gt;=6,W$50=1),N(INDEX(MinFrei,MATCH(5,ArbeitNr,0))),N(INDEX(MinWerktag,MATCH(5,ArbeitNr,0)))))</f>
      </c>
      <c r="X90" s="1">
        <f>IF($AM42="","",IF(OR(X$51&gt;=6,X$50=1),N(INDEX(MinFrei,MATCH(5,ArbeitNr,0))),N(INDEX(MinWerktag,MATCH(5,ArbeitNr,0)))))</f>
      </c>
      <c r="Y90" s="1">
        <f>IF($AM42="","",IF(OR(Y$51&gt;=6,Y$50=1),N(INDEX(MinFrei,MATCH(5,ArbeitNr,0))),N(INDEX(MinWerktag,MATCH(5,ArbeitNr,0)))))</f>
      </c>
      <c r="Z90" s="1">
        <f>IF($AM42="","",IF(OR(Z$51&gt;=6,Z$50=1),N(INDEX(MinFrei,MATCH(5,ArbeitNr,0))),N(INDEX(MinWerktag,MATCH(5,ArbeitNr,0)))))</f>
      </c>
      <c r="AA90" s="1">
        <f>IF($AM42="","",IF(OR(AA$51&gt;=6,AA$50=1),N(INDEX(MinFrei,MATCH(5,ArbeitNr,0))),N(INDEX(MinWerktag,MATCH(5,ArbeitNr,0)))))</f>
      </c>
      <c r="AB90" s="1">
        <f>IF($AM42="","",IF(OR(AB$51&gt;=6,AB$50=1),N(INDEX(MinFrei,MATCH(5,ArbeitNr,0))),N(INDEX(MinWerktag,MATCH(5,ArbeitNr,0)))))</f>
      </c>
      <c r="AC90" s="1">
        <f>IF($AM42="","",IF(OR(AC$51&gt;=6,AC$50=1),N(INDEX(MinFrei,MATCH(5,ArbeitNr,0))),N(INDEX(MinWerktag,MATCH(5,ArbeitNr,0)))))</f>
      </c>
      <c r="AD90" s="1">
        <f>IF($AM42="","",IF(OR(AD$51&gt;=6,AD$50=1),N(INDEX(MinFrei,MATCH(5,ArbeitNr,0))),N(INDEX(MinWerktag,MATCH(5,ArbeitNr,0)))))</f>
      </c>
      <c r="AE90" s="1">
        <f>IF($AM42="","",IF(OR(AE$51&gt;=6,AE$50=1),N(INDEX(MinFrei,MATCH(5,ArbeitNr,0))),N(INDEX(MinWerktag,MATCH(5,ArbeitNr,0)))))</f>
      </c>
      <c r="AF90" s="1">
        <f>IF($AM42="","",IF(OR(AF$51&gt;=6,AF$50=1),N(INDEX(MinFrei,MATCH(5,ArbeitNr,0))),N(INDEX(MinWerktag,MATCH(5,ArbeitNr,0)))))</f>
      </c>
    </row>
    <row r="91" hidden="1" spans="1:32" x14ac:dyDescent="0.25">
      <c r="A91" s="1"/>
      <c r="B91" s="1">
        <f>IF($AM43="","",IF(OR(B$51&gt;=6,B$50=1),N(INDEX(MinFrei,MATCH(6,ArbeitNr,0))),N(INDEX(MinWerktag,MATCH(6,ArbeitNr,0)))))</f>
      </c>
      <c r="C91" s="1">
        <f>IF($AM43="","",IF(OR(C$51&gt;=6,C$50=1),N(INDEX(MinFrei,MATCH(6,ArbeitNr,0))),N(INDEX(MinWerktag,MATCH(6,ArbeitNr,0)))))</f>
      </c>
      <c r="D91" s="1">
        <f>IF($AM43="","",IF(OR(D$51&gt;=6,D$50=1),N(INDEX(MinFrei,MATCH(6,ArbeitNr,0))),N(INDEX(MinWerktag,MATCH(6,ArbeitNr,0)))))</f>
      </c>
      <c r="E91" s="1">
        <f>IF($AM43="","",IF(OR(E$51&gt;=6,E$50=1),N(INDEX(MinFrei,MATCH(6,ArbeitNr,0))),N(INDEX(MinWerktag,MATCH(6,ArbeitNr,0)))))</f>
      </c>
      <c r="F91" s="1">
        <f>IF($AM43="","",IF(OR(F$51&gt;=6,F$50=1),N(INDEX(MinFrei,MATCH(6,ArbeitNr,0))),N(INDEX(MinWerktag,MATCH(6,ArbeitNr,0)))))</f>
      </c>
      <c r="G91" s="1">
        <f>IF($AM43="","",IF(OR(G$51&gt;=6,G$50=1),N(INDEX(MinFrei,MATCH(6,ArbeitNr,0))),N(INDEX(MinWerktag,MATCH(6,ArbeitNr,0)))))</f>
      </c>
      <c r="H91" s="1">
        <f>IF($AM43="","",IF(OR(H$51&gt;=6,H$50=1),N(INDEX(MinFrei,MATCH(6,ArbeitNr,0))),N(INDEX(MinWerktag,MATCH(6,ArbeitNr,0)))))</f>
      </c>
      <c r="I91" s="1">
        <f>IF($AM43="","",IF(OR(I$51&gt;=6,I$50=1),N(INDEX(MinFrei,MATCH(6,ArbeitNr,0))),N(INDEX(MinWerktag,MATCH(6,ArbeitNr,0)))))</f>
      </c>
      <c r="J91" s="1">
        <f>IF($AM43="","",IF(OR(J$51&gt;=6,J$50=1),N(INDEX(MinFrei,MATCH(6,ArbeitNr,0))),N(INDEX(MinWerktag,MATCH(6,ArbeitNr,0)))))</f>
      </c>
      <c r="K91" s="1">
        <f>IF($AM43="","",IF(OR(K$51&gt;=6,K$50=1),N(INDEX(MinFrei,MATCH(6,ArbeitNr,0))),N(INDEX(MinWerktag,MATCH(6,ArbeitNr,0)))))</f>
      </c>
      <c r="L91" s="1">
        <f>IF($AM43="","",IF(OR(L$51&gt;=6,L$50=1),N(INDEX(MinFrei,MATCH(6,ArbeitNr,0))),N(INDEX(MinWerktag,MATCH(6,ArbeitNr,0)))))</f>
      </c>
      <c r="M91" s="1">
        <f>IF($AM43="","",IF(OR(M$51&gt;=6,M$50=1),N(INDEX(MinFrei,MATCH(6,ArbeitNr,0))),N(INDEX(MinWerktag,MATCH(6,ArbeitNr,0)))))</f>
      </c>
      <c r="N91" s="1">
        <f>IF($AM43="","",IF(OR(N$51&gt;=6,N$50=1),N(INDEX(MinFrei,MATCH(6,ArbeitNr,0))),N(INDEX(MinWerktag,MATCH(6,ArbeitNr,0)))))</f>
      </c>
      <c r="O91" s="1">
        <f>IF($AM43="","",IF(OR(O$51&gt;=6,O$50=1),N(INDEX(MinFrei,MATCH(6,ArbeitNr,0))),N(INDEX(MinWerktag,MATCH(6,ArbeitNr,0)))))</f>
      </c>
      <c r="P91" s="1">
        <f>IF($AM43="","",IF(OR(P$51&gt;=6,P$50=1),N(INDEX(MinFrei,MATCH(6,ArbeitNr,0))),N(INDEX(MinWerktag,MATCH(6,ArbeitNr,0)))))</f>
      </c>
      <c r="Q91" s="1">
        <f>IF($AM43="","",IF(OR(Q$51&gt;=6,Q$50=1),N(INDEX(MinFrei,MATCH(6,ArbeitNr,0))),N(INDEX(MinWerktag,MATCH(6,ArbeitNr,0)))))</f>
      </c>
      <c r="R91" s="1">
        <f>IF($AM43="","",IF(OR(R$51&gt;=6,R$50=1),N(INDEX(MinFrei,MATCH(6,ArbeitNr,0))),N(INDEX(MinWerktag,MATCH(6,ArbeitNr,0)))))</f>
      </c>
      <c r="S91" s="1">
        <f>IF($AM43="","",IF(OR(S$51&gt;=6,S$50=1),N(INDEX(MinFrei,MATCH(6,ArbeitNr,0))),N(INDEX(MinWerktag,MATCH(6,ArbeitNr,0)))))</f>
      </c>
      <c r="T91" s="1">
        <f>IF($AM43="","",IF(OR(T$51&gt;=6,T$50=1),N(INDEX(MinFrei,MATCH(6,ArbeitNr,0))),N(INDEX(MinWerktag,MATCH(6,ArbeitNr,0)))))</f>
      </c>
      <c r="U91" s="1">
        <f>IF($AM43="","",IF(OR(U$51&gt;=6,U$50=1),N(INDEX(MinFrei,MATCH(6,ArbeitNr,0))),N(INDEX(MinWerktag,MATCH(6,ArbeitNr,0)))))</f>
      </c>
      <c r="V91" s="1">
        <f>IF($AM43="","",IF(OR(V$51&gt;=6,V$50=1),N(INDEX(MinFrei,MATCH(6,ArbeitNr,0))),N(INDEX(MinWerktag,MATCH(6,ArbeitNr,0)))))</f>
      </c>
      <c r="W91" s="1">
        <f>IF($AM43="","",IF(OR(W$51&gt;=6,W$50=1),N(INDEX(MinFrei,MATCH(6,ArbeitNr,0))),N(INDEX(MinWerktag,MATCH(6,ArbeitNr,0)))))</f>
      </c>
      <c r="X91" s="1">
        <f>IF($AM43="","",IF(OR(X$51&gt;=6,X$50=1),N(INDEX(MinFrei,MATCH(6,ArbeitNr,0))),N(INDEX(MinWerktag,MATCH(6,ArbeitNr,0)))))</f>
      </c>
      <c r="Y91" s="1">
        <f>IF($AM43="","",IF(OR(Y$51&gt;=6,Y$50=1),N(INDEX(MinFrei,MATCH(6,ArbeitNr,0))),N(INDEX(MinWerktag,MATCH(6,ArbeitNr,0)))))</f>
      </c>
      <c r="Z91" s="1">
        <f>IF($AM43="","",IF(OR(Z$51&gt;=6,Z$50=1),N(INDEX(MinFrei,MATCH(6,ArbeitNr,0))),N(INDEX(MinWerktag,MATCH(6,ArbeitNr,0)))))</f>
      </c>
      <c r="AA91" s="1">
        <f>IF($AM43="","",IF(OR(AA$51&gt;=6,AA$50=1),N(INDEX(MinFrei,MATCH(6,ArbeitNr,0))),N(INDEX(MinWerktag,MATCH(6,ArbeitNr,0)))))</f>
      </c>
      <c r="AB91" s="1">
        <f>IF($AM43="","",IF(OR(AB$51&gt;=6,AB$50=1),N(INDEX(MinFrei,MATCH(6,ArbeitNr,0))),N(INDEX(MinWerktag,MATCH(6,ArbeitNr,0)))))</f>
      </c>
      <c r="AC91" s="1">
        <f>IF($AM43="","",IF(OR(AC$51&gt;=6,AC$50=1),N(INDEX(MinFrei,MATCH(6,ArbeitNr,0))),N(INDEX(MinWerktag,MATCH(6,ArbeitNr,0)))))</f>
      </c>
      <c r="AD91" s="1">
        <f>IF($AM43="","",IF(OR(AD$51&gt;=6,AD$50=1),N(INDEX(MinFrei,MATCH(6,ArbeitNr,0))),N(INDEX(MinWerktag,MATCH(6,ArbeitNr,0)))))</f>
      </c>
      <c r="AE91" s="1">
        <f>IF($AM43="","",IF(OR(AE$51&gt;=6,AE$50=1),N(INDEX(MinFrei,MATCH(6,ArbeitNr,0))),N(INDEX(MinWerktag,MATCH(6,ArbeitNr,0)))))</f>
      </c>
      <c r="AF91" s="1">
        <f>IF($AM43="","",IF(OR(AF$51&gt;=6,AF$50=1),N(INDEX(MinFrei,MATCH(6,ArbeitNr,0))),N(INDEX(MinWerktag,MATCH(6,ArbeitNr,0)))))</f>
      </c>
    </row>
    <row r="92" hidden="1" spans="1:32" x14ac:dyDescent="0.25">
      <c r="A92" s="1"/>
      <c r="B92" s="1">
        <f>IF($AM44="","",IF(OR(B$51&gt;=6,B$50=1),N(INDEX(MinFrei,MATCH(7,ArbeitNr,0))),N(INDEX(MinWerktag,MATCH(7,ArbeitNr,0)))))</f>
      </c>
      <c r="C92" s="1">
        <f>IF($AM44="","",IF(OR(C$51&gt;=6,C$50=1),N(INDEX(MinFrei,MATCH(7,ArbeitNr,0))),N(INDEX(MinWerktag,MATCH(7,ArbeitNr,0)))))</f>
      </c>
      <c r="D92" s="1">
        <f>IF($AM44="","",IF(OR(D$51&gt;=6,D$50=1),N(INDEX(MinFrei,MATCH(7,ArbeitNr,0))),N(INDEX(MinWerktag,MATCH(7,ArbeitNr,0)))))</f>
      </c>
      <c r="E92" s="1">
        <f>IF($AM44="","",IF(OR(E$51&gt;=6,E$50=1),N(INDEX(MinFrei,MATCH(7,ArbeitNr,0))),N(INDEX(MinWerktag,MATCH(7,ArbeitNr,0)))))</f>
      </c>
      <c r="F92" s="1">
        <f>IF($AM44="","",IF(OR(F$51&gt;=6,F$50=1),N(INDEX(MinFrei,MATCH(7,ArbeitNr,0))),N(INDEX(MinWerktag,MATCH(7,ArbeitNr,0)))))</f>
      </c>
      <c r="G92" s="1">
        <f>IF($AM44="","",IF(OR(G$51&gt;=6,G$50=1),N(INDEX(MinFrei,MATCH(7,ArbeitNr,0))),N(INDEX(MinWerktag,MATCH(7,ArbeitNr,0)))))</f>
      </c>
      <c r="H92" s="1">
        <f>IF($AM44="","",IF(OR(H$51&gt;=6,H$50=1),N(INDEX(MinFrei,MATCH(7,ArbeitNr,0))),N(INDEX(MinWerktag,MATCH(7,ArbeitNr,0)))))</f>
      </c>
      <c r="I92" s="1">
        <f>IF($AM44="","",IF(OR(I$51&gt;=6,I$50=1),N(INDEX(MinFrei,MATCH(7,ArbeitNr,0))),N(INDEX(MinWerktag,MATCH(7,ArbeitNr,0)))))</f>
      </c>
      <c r="J92" s="1">
        <f>IF($AM44="","",IF(OR(J$51&gt;=6,J$50=1),N(INDEX(MinFrei,MATCH(7,ArbeitNr,0))),N(INDEX(MinWerktag,MATCH(7,ArbeitNr,0)))))</f>
      </c>
      <c r="K92" s="1">
        <f>IF($AM44="","",IF(OR(K$51&gt;=6,K$50=1),N(INDEX(MinFrei,MATCH(7,ArbeitNr,0))),N(INDEX(MinWerktag,MATCH(7,ArbeitNr,0)))))</f>
      </c>
      <c r="L92" s="1">
        <f>IF($AM44="","",IF(OR(L$51&gt;=6,L$50=1),N(INDEX(MinFrei,MATCH(7,ArbeitNr,0))),N(INDEX(MinWerktag,MATCH(7,ArbeitNr,0)))))</f>
      </c>
      <c r="M92" s="1">
        <f>IF($AM44="","",IF(OR(M$51&gt;=6,M$50=1),N(INDEX(MinFrei,MATCH(7,ArbeitNr,0))),N(INDEX(MinWerktag,MATCH(7,ArbeitNr,0)))))</f>
      </c>
      <c r="N92" s="1">
        <f>IF($AM44="","",IF(OR(N$51&gt;=6,N$50=1),N(INDEX(MinFrei,MATCH(7,ArbeitNr,0))),N(INDEX(MinWerktag,MATCH(7,ArbeitNr,0)))))</f>
      </c>
      <c r="O92" s="1">
        <f>IF($AM44="","",IF(OR(O$51&gt;=6,O$50=1),N(INDEX(MinFrei,MATCH(7,ArbeitNr,0))),N(INDEX(MinWerktag,MATCH(7,ArbeitNr,0)))))</f>
      </c>
      <c r="P92" s="1">
        <f>IF($AM44="","",IF(OR(P$51&gt;=6,P$50=1),N(INDEX(MinFrei,MATCH(7,ArbeitNr,0))),N(INDEX(MinWerktag,MATCH(7,ArbeitNr,0)))))</f>
      </c>
      <c r="Q92" s="1">
        <f>IF($AM44="","",IF(OR(Q$51&gt;=6,Q$50=1),N(INDEX(MinFrei,MATCH(7,ArbeitNr,0))),N(INDEX(MinWerktag,MATCH(7,ArbeitNr,0)))))</f>
      </c>
      <c r="R92" s="1">
        <f>IF($AM44="","",IF(OR(R$51&gt;=6,R$50=1),N(INDEX(MinFrei,MATCH(7,ArbeitNr,0))),N(INDEX(MinWerktag,MATCH(7,ArbeitNr,0)))))</f>
      </c>
      <c r="S92" s="1">
        <f>IF($AM44="","",IF(OR(S$51&gt;=6,S$50=1),N(INDEX(MinFrei,MATCH(7,ArbeitNr,0))),N(INDEX(MinWerktag,MATCH(7,ArbeitNr,0)))))</f>
      </c>
      <c r="T92" s="1">
        <f>IF($AM44="","",IF(OR(T$51&gt;=6,T$50=1),N(INDEX(MinFrei,MATCH(7,ArbeitNr,0))),N(INDEX(MinWerktag,MATCH(7,ArbeitNr,0)))))</f>
      </c>
      <c r="U92" s="1">
        <f>IF($AM44="","",IF(OR(U$51&gt;=6,U$50=1),N(INDEX(MinFrei,MATCH(7,ArbeitNr,0))),N(INDEX(MinWerktag,MATCH(7,ArbeitNr,0)))))</f>
      </c>
      <c r="V92" s="1">
        <f>IF($AM44="","",IF(OR(V$51&gt;=6,V$50=1),N(INDEX(MinFrei,MATCH(7,ArbeitNr,0))),N(INDEX(MinWerktag,MATCH(7,ArbeitNr,0)))))</f>
      </c>
      <c r="W92" s="1">
        <f>IF($AM44="","",IF(OR(W$51&gt;=6,W$50=1),N(INDEX(MinFrei,MATCH(7,ArbeitNr,0))),N(INDEX(MinWerktag,MATCH(7,ArbeitNr,0)))))</f>
      </c>
      <c r="X92" s="1">
        <f>IF($AM44="","",IF(OR(X$51&gt;=6,X$50=1),N(INDEX(MinFrei,MATCH(7,ArbeitNr,0))),N(INDEX(MinWerktag,MATCH(7,ArbeitNr,0)))))</f>
      </c>
      <c r="Y92" s="1">
        <f>IF($AM44="","",IF(OR(Y$51&gt;=6,Y$50=1),N(INDEX(MinFrei,MATCH(7,ArbeitNr,0))),N(INDEX(MinWerktag,MATCH(7,ArbeitNr,0)))))</f>
      </c>
      <c r="Z92" s="1">
        <f>IF($AM44="","",IF(OR(Z$51&gt;=6,Z$50=1),N(INDEX(MinFrei,MATCH(7,ArbeitNr,0))),N(INDEX(MinWerktag,MATCH(7,ArbeitNr,0)))))</f>
      </c>
      <c r="AA92" s="1">
        <f>IF($AM44="","",IF(OR(AA$51&gt;=6,AA$50=1),N(INDEX(MinFrei,MATCH(7,ArbeitNr,0))),N(INDEX(MinWerktag,MATCH(7,ArbeitNr,0)))))</f>
      </c>
      <c r="AB92" s="1">
        <f>IF($AM44="","",IF(OR(AB$51&gt;=6,AB$50=1),N(INDEX(MinFrei,MATCH(7,ArbeitNr,0))),N(INDEX(MinWerktag,MATCH(7,ArbeitNr,0)))))</f>
      </c>
      <c r="AC92" s="1">
        <f>IF($AM44="","",IF(OR(AC$51&gt;=6,AC$50=1),N(INDEX(MinFrei,MATCH(7,ArbeitNr,0))),N(INDEX(MinWerktag,MATCH(7,ArbeitNr,0)))))</f>
      </c>
      <c r="AD92" s="1">
        <f>IF($AM44="","",IF(OR(AD$51&gt;=6,AD$50=1),N(INDEX(MinFrei,MATCH(7,ArbeitNr,0))),N(INDEX(MinWerktag,MATCH(7,ArbeitNr,0)))))</f>
      </c>
      <c r="AE92" s="1">
        <f>IF($AM44="","",IF(OR(AE$51&gt;=6,AE$50=1),N(INDEX(MinFrei,MATCH(7,ArbeitNr,0))),N(INDEX(MinWerktag,MATCH(7,ArbeitNr,0)))))</f>
      </c>
      <c r="AF92" s="1">
        <f>IF($AM44="","",IF(OR(AF$51&gt;=6,AF$50=1),N(INDEX(MinFrei,MATCH(7,ArbeitNr,0))),N(INDEX(MinWerktag,MATCH(7,ArbeitNr,0)))))</f>
      </c>
    </row>
    <row r="93" hidden="1" spans="1:32" x14ac:dyDescent="0.25">
      <c r="A93" s="1"/>
      <c r="B93" s="1">
        <f>IF($AM45="","",IF(OR(B$51&gt;=6,B$50=1),N(INDEX(MinFrei,MATCH(8,ArbeitNr,0))),N(INDEX(MinWerktag,MATCH(8,ArbeitNr,0)))))</f>
      </c>
      <c r="C93" s="1">
        <f>IF($AM45="","",IF(OR(C$51&gt;=6,C$50=1),N(INDEX(MinFrei,MATCH(8,ArbeitNr,0))),N(INDEX(MinWerktag,MATCH(8,ArbeitNr,0)))))</f>
      </c>
      <c r="D93" s="1">
        <f>IF($AM45="","",IF(OR(D$51&gt;=6,D$50=1),N(INDEX(MinFrei,MATCH(8,ArbeitNr,0))),N(INDEX(MinWerktag,MATCH(8,ArbeitNr,0)))))</f>
      </c>
      <c r="E93" s="1">
        <f>IF($AM45="","",IF(OR(E$51&gt;=6,E$50=1),N(INDEX(MinFrei,MATCH(8,ArbeitNr,0))),N(INDEX(MinWerktag,MATCH(8,ArbeitNr,0)))))</f>
      </c>
      <c r="F93" s="1">
        <f>IF($AM45="","",IF(OR(F$51&gt;=6,F$50=1),N(INDEX(MinFrei,MATCH(8,ArbeitNr,0))),N(INDEX(MinWerktag,MATCH(8,ArbeitNr,0)))))</f>
      </c>
      <c r="G93" s="1">
        <f>IF($AM45="","",IF(OR(G$51&gt;=6,G$50=1),N(INDEX(MinFrei,MATCH(8,ArbeitNr,0))),N(INDEX(MinWerktag,MATCH(8,ArbeitNr,0)))))</f>
      </c>
      <c r="H93" s="1">
        <f>IF($AM45="","",IF(OR(H$51&gt;=6,H$50=1),N(INDEX(MinFrei,MATCH(8,ArbeitNr,0))),N(INDEX(MinWerktag,MATCH(8,ArbeitNr,0)))))</f>
      </c>
      <c r="I93" s="1">
        <f>IF($AM45="","",IF(OR(I$51&gt;=6,I$50=1),N(INDEX(MinFrei,MATCH(8,ArbeitNr,0))),N(INDEX(MinWerktag,MATCH(8,ArbeitNr,0)))))</f>
      </c>
      <c r="J93" s="1">
        <f>IF($AM45="","",IF(OR(J$51&gt;=6,J$50=1),N(INDEX(MinFrei,MATCH(8,ArbeitNr,0))),N(INDEX(MinWerktag,MATCH(8,ArbeitNr,0)))))</f>
      </c>
      <c r="K93" s="1">
        <f>IF($AM45="","",IF(OR(K$51&gt;=6,K$50=1),N(INDEX(MinFrei,MATCH(8,ArbeitNr,0))),N(INDEX(MinWerktag,MATCH(8,ArbeitNr,0)))))</f>
      </c>
      <c r="L93" s="1">
        <f>IF($AM45="","",IF(OR(L$51&gt;=6,L$50=1),N(INDEX(MinFrei,MATCH(8,ArbeitNr,0))),N(INDEX(MinWerktag,MATCH(8,ArbeitNr,0)))))</f>
      </c>
      <c r="M93" s="1">
        <f>IF($AM45="","",IF(OR(M$51&gt;=6,M$50=1),N(INDEX(MinFrei,MATCH(8,ArbeitNr,0))),N(INDEX(MinWerktag,MATCH(8,ArbeitNr,0)))))</f>
      </c>
      <c r="N93" s="1">
        <f>IF($AM45="","",IF(OR(N$51&gt;=6,N$50=1),N(INDEX(MinFrei,MATCH(8,ArbeitNr,0))),N(INDEX(MinWerktag,MATCH(8,ArbeitNr,0)))))</f>
      </c>
      <c r="O93" s="1">
        <f>IF($AM45="","",IF(OR(O$51&gt;=6,O$50=1),N(INDEX(MinFrei,MATCH(8,ArbeitNr,0))),N(INDEX(MinWerktag,MATCH(8,ArbeitNr,0)))))</f>
      </c>
      <c r="P93" s="1">
        <f>IF($AM45="","",IF(OR(P$51&gt;=6,P$50=1),N(INDEX(MinFrei,MATCH(8,ArbeitNr,0))),N(INDEX(MinWerktag,MATCH(8,ArbeitNr,0)))))</f>
      </c>
      <c r="Q93" s="1">
        <f>IF($AM45="","",IF(OR(Q$51&gt;=6,Q$50=1),N(INDEX(MinFrei,MATCH(8,ArbeitNr,0))),N(INDEX(MinWerktag,MATCH(8,ArbeitNr,0)))))</f>
      </c>
      <c r="R93" s="1">
        <f>IF($AM45="","",IF(OR(R$51&gt;=6,R$50=1),N(INDEX(MinFrei,MATCH(8,ArbeitNr,0))),N(INDEX(MinWerktag,MATCH(8,ArbeitNr,0)))))</f>
      </c>
      <c r="S93" s="1">
        <f>IF($AM45="","",IF(OR(S$51&gt;=6,S$50=1),N(INDEX(MinFrei,MATCH(8,ArbeitNr,0))),N(INDEX(MinWerktag,MATCH(8,ArbeitNr,0)))))</f>
      </c>
      <c r="T93" s="1">
        <f>IF($AM45="","",IF(OR(T$51&gt;=6,T$50=1),N(INDEX(MinFrei,MATCH(8,ArbeitNr,0))),N(INDEX(MinWerktag,MATCH(8,ArbeitNr,0)))))</f>
      </c>
      <c r="U93" s="1">
        <f>IF($AM45="","",IF(OR(U$51&gt;=6,U$50=1),N(INDEX(MinFrei,MATCH(8,ArbeitNr,0))),N(INDEX(MinWerktag,MATCH(8,ArbeitNr,0)))))</f>
      </c>
      <c r="V93" s="1">
        <f>IF($AM45="","",IF(OR(V$51&gt;=6,V$50=1),N(INDEX(MinFrei,MATCH(8,ArbeitNr,0))),N(INDEX(MinWerktag,MATCH(8,ArbeitNr,0)))))</f>
      </c>
      <c r="W93" s="1">
        <f>IF($AM45="","",IF(OR(W$51&gt;=6,W$50=1),N(INDEX(MinFrei,MATCH(8,ArbeitNr,0))),N(INDEX(MinWerktag,MATCH(8,ArbeitNr,0)))))</f>
      </c>
      <c r="X93" s="1">
        <f>IF($AM45="","",IF(OR(X$51&gt;=6,X$50=1),N(INDEX(MinFrei,MATCH(8,ArbeitNr,0))),N(INDEX(MinWerktag,MATCH(8,ArbeitNr,0)))))</f>
      </c>
      <c r="Y93" s="1">
        <f>IF($AM45="","",IF(OR(Y$51&gt;=6,Y$50=1),N(INDEX(MinFrei,MATCH(8,ArbeitNr,0))),N(INDEX(MinWerktag,MATCH(8,ArbeitNr,0)))))</f>
      </c>
      <c r="Z93" s="1">
        <f>IF($AM45="","",IF(OR(Z$51&gt;=6,Z$50=1),N(INDEX(MinFrei,MATCH(8,ArbeitNr,0))),N(INDEX(MinWerktag,MATCH(8,ArbeitNr,0)))))</f>
      </c>
      <c r="AA93" s="1">
        <f>IF($AM45="","",IF(OR(AA$51&gt;=6,AA$50=1),N(INDEX(MinFrei,MATCH(8,ArbeitNr,0))),N(INDEX(MinWerktag,MATCH(8,ArbeitNr,0)))))</f>
      </c>
      <c r="AB93" s="1">
        <f>IF($AM45="","",IF(OR(AB$51&gt;=6,AB$50=1),N(INDEX(MinFrei,MATCH(8,ArbeitNr,0))),N(INDEX(MinWerktag,MATCH(8,ArbeitNr,0)))))</f>
      </c>
      <c r="AC93" s="1">
        <f>IF($AM45="","",IF(OR(AC$51&gt;=6,AC$50=1),N(INDEX(MinFrei,MATCH(8,ArbeitNr,0))),N(INDEX(MinWerktag,MATCH(8,ArbeitNr,0)))))</f>
      </c>
      <c r="AD93" s="1">
        <f>IF($AM45="","",IF(OR(AD$51&gt;=6,AD$50=1),N(INDEX(MinFrei,MATCH(8,ArbeitNr,0))),N(INDEX(MinWerktag,MATCH(8,ArbeitNr,0)))))</f>
      </c>
      <c r="AE93" s="1">
        <f>IF($AM45="","",IF(OR(AE$51&gt;=6,AE$50=1),N(INDEX(MinFrei,MATCH(8,ArbeitNr,0))),N(INDEX(MinWerktag,MATCH(8,ArbeitNr,0)))))</f>
      </c>
      <c r="AF93" s="1">
        <f>IF($AM45="","",IF(OR(AF$51&gt;=6,AF$50=1),N(INDEX(MinFrei,MATCH(8,ArbeitNr,0))),N(INDEX(MinWerktag,MATCH(8,ArbeitNr,0)))))</f>
      </c>
    </row>
  </sheetData>
  <sheetProtection sheet="1" formatCells="0" formatColumns="0" formatRows="0"/>
  <mergeCells count="1">
    <mergeCell ref="B48:U48"/>
  </mergeCells>
  <conditionalFormatting sqref="B6:AF35">
    <cfRule type="expression" dxfId="220" priority="1">
      <formula>B$52=0</formula>
    </cfRule>
    <cfRule type="expression" dxfId="221" priority="2">
      <formula>B55=1</formula>
    </cfRule>
    <cfRule type="expression" dxfId="222" priority="3">
      <formula>AND(B6&lt;&gt;"",UPPER(B6)=UPPER(Einstellungen!$A$9))</formula>
    </cfRule>
    <cfRule type="expression" dxfId="223" priority="4">
      <formula>AND(B6&lt;&gt;"",UPPER(B6)=UPPER(Einstellungen!$A$10))</formula>
    </cfRule>
    <cfRule type="expression" dxfId="224" priority="5">
      <formula>AND(B6&lt;&gt;"",UPPER(B6)=UPPER(Einstellungen!$A$11))</formula>
    </cfRule>
    <cfRule type="expression" dxfId="225" priority="6">
      <formula>AND(B6&lt;&gt;"",UPPER(B6)=UPPER(Einstellungen!$A$12))</formula>
    </cfRule>
    <cfRule type="expression" dxfId="226" priority="7">
      <formula>AND(B6&lt;&gt;"",UPPER(B6)=UPPER(Einstellungen!$A$13))</formula>
    </cfRule>
    <cfRule type="expression" dxfId="227" priority="8">
      <formula>AND(B6&lt;&gt;"",UPPER(B6)=UPPER(Einstellungen!$A$14))</formula>
    </cfRule>
    <cfRule type="expression" dxfId="228" priority="9">
      <formula>AND(B6&lt;&gt;"",UPPER(B6)=UPPER(Einstellungen!$A$15))</formula>
    </cfRule>
    <cfRule type="expression" dxfId="229" priority="10">
      <formula>AND(B6&lt;&gt;"",UPPER(B6)=UPPER(Einstellungen!$A$16))</formula>
    </cfRule>
    <cfRule type="expression" dxfId="230" priority="11">
      <formula>AND(B6&lt;&gt;"",UPPER(B6)=UPPER(Einstellungen!$A$17))</formula>
    </cfRule>
    <cfRule type="expression" dxfId="231" priority="12">
      <formula>AND(B6&lt;&gt;"",UPPER(B6)=UPPER(Einstellungen!$A$18))</formula>
    </cfRule>
    <cfRule type="expression" dxfId="232" priority="13">
      <formula>AND(B6&lt;&gt;"",UPPER(B6)=UPPER(Einstellungen!$A$19))</formula>
    </cfRule>
    <cfRule type="expression" dxfId="233" priority="14">
      <formula>AND(B6&lt;&gt;"",UPPER(B6)=UPPER(Einstellungen!$A$20))</formula>
    </cfRule>
    <cfRule type="expression" dxfId="234" priority="20">
      <formula>B$50=1</formula>
    </cfRule>
    <cfRule type="expression" dxfId="235" priority="21">
      <formula>B$51&gt;=6</formula>
    </cfRule>
  </conditionalFormatting>
  <conditionalFormatting sqref="B4:AF5">
    <cfRule type="expression" dxfId="236" priority="22">
      <formula>B$52=0</formula>
    </cfRule>
    <cfRule type="expression" dxfId="237" priority="23">
      <formula>B$50=1</formula>
    </cfRule>
    <cfRule type="expression" dxfId="238" priority="24">
      <formula>B$51&gt;=6</formula>
    </cfRule>
  </conditionalFormatting>
  <conditionalFormatting sqref="B38:AF45">
    <cfRule type="expression" dxfId="239" priority="25">
      <formula>AND(B38&lt;&gt;"",N(B38)&lt;N(B86))</formula>
    </cfRule>
  </conditionalFormatting>
  <dataValidations count="4">
    <dataValidation type="list" allowBlank="1" showErrorMessage="1" errorTitle="Schicht" error="Bitte ein Kürzel aus den Einstellungen wählen (z. B. F, S, N, U, K)." sqref="AA10:AF35">
      <formula1>Codes</formula1>
    </dataValidation>
    <dataValidation type="list" allowBlank="1" showErrorMessage="1" errorTitle="Schicht" error="Bitte ein Kürzel aus den Einstellungen wählen (z. B. F, S, N, U, K)." sqref="AA6:AF35">
      <formula1>Codes</formula1>
    </dataValidation>
    <dataValidation type="list" allowBlank="1" showErrorMessage="1" errorTitle="Schicht" error="Bitte ein Kürzel aus den Einstellungen wählen (z. B. F, S, N, U, K)." sqref="B10:AF35">
      <formula1>Codes</formula1>
    </dataValidation>
    <dataValidation type="list" allowBlank="1" showErrorMessage="1" errorTitle="Schicht" error="Bitte ein Kürzel aus den Einstellungen wählen (z. B. F, S, N, U, K)." sqref="B6:AF35">
      <formula1>Codes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workbookViewId="0" showGridLines="0"/>
  </sheetViews>
  <sheetFormatPr defaultRowHeight="15" outlineLevelRow="0" outlineLevelCol="0" x14ac:dyDescent="55"/>
  <cols>
    <col min="1" max="1" width="24" customWidth="1"/>
    <col min="2" max="8" width="15" customWidth="1"/>
    <col min="9" max="9" width="1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</cols>
  <sheetData>
    <row r="1" spans="1:1" x14ac:dyDescent="0.25">
      <c r="A1" s="5">
        <f>"Wochenplan KW "&amp;TEXT(INT((B2-DATE(YEAR(B2-WEEKDAY(B2-1)+4),1,3)+WEEKDAY(DATE(YEAR(B2-WEEKDAY(B2-1)+4),1,3))+5)/7),"00")&amp;IF(Team="",""," · "&amp;Team)</f>
      </c>
    </row>
    <row r="2" spans="1:3" x14ac:dyDescent="0.25">
      <c r="A2" s="45" t="s">
        <v>67</v>
      </c>
      <c r="B2" s="46">
        <f>IF(YEAR(TODAY())=Jahr,TODAY()-WEEKDAY(TODAY(),2)+1,DATE(Jahr,1,1)+MOD(8-WEEKDAY(DATE(Jahr,1,1),2),7))</f>
      </c>
      <c r="C2" s="14">
        <f>IF(WEEKDAY(B2,2)&lt;&gt;1,"Bitte einen Montag eintragen.",IF(YEAR(B2+6)&lt;&gt;Jahr,"Tage außerhalb von "&amp;Jahr&amp;" bleiben leer.",""))</f>
      </c>
    </row>
    <row r="3" spans="1:1" x14ac:dyDescent="0.25">
      <c r="A3" s="30">
        <f>Legende</f>
      </c>
    </row>
    <row r="4" hidden="1" spans="1:8" x14ac:dyDescent="0.25">
      <c r="A4" s="1"/>
      <c r="B4" s="47">
        <f>$B$2+0</f>
      </c>
      <c r="C4" s="47">
        <f>$B$2+1</f>
      </c>
      <c r="D4" s="47">
        <f>$B$2+2</f>
      </c>
      <c r="E4" s="47">
        <f>$B$2+3</f>
      </c>
      <c r="F4" s="47">
        <f>$B$2+4</f>
      </c>
      <c r="G4" s="47">
        <f>$B$2+5</f>
      </c>
      <c r="H4" s="47">
        <f>$B$2+6</f>
      </c>
    </row>
    <row r="5" spans="1:9" x14ac:dyDescent="0.25">
      <c r="A5" s="10" t="s">
        <v>52</v>
      </c>
      <c r="B5" s="48">
        <f>CHOOSE(WEEKDAY(B$4,2),"Mo","Di","Mi","Do","Fr","Sa","So")&amp;" "&amp;TEXT(DAY(B$4),"00")&amp;"."&amp;TEXT(MONTH(B$4),"00")&amp;"."</f>
      </c>
      <c r="C5" s="48">
        <f>CHOOSE(WEEKDAY(C$4,2),"Mo","Di","Mi","Do","Fr","Sa","So")&amp;" "&amp;TEXT(DAY(C$4),"00")&amp;"."&amp;TEXT(MONTH(C$4),"00")&amp;"."</f>
      </c>
      <c r="D5" s="48">
        <f>CHOOSE(WEEKDAY(D$4,2),"Mo","Di","Mi","Do","Fr","Sa","So")&amp;" "&amp;TEXT(DAY(D$4),"00")&amp;"."&amp;TEXT(MONTH(D$4),"00")&amp;"."</f>
      </c>
      <c r="E5" s="48">
        <f>CHOOSE(WEEKDAY(E$4,2),"Mo","Di","Mi","Do","Fr","Sa","So")&amp;" "&amp;TEXT(DAY(E$4),"00")&amp;"."&amp;TEXT(MONTH(E$4),"00")&amp;"."</f>
      </c>
      <c r="F5" s="48">
        <f>CHOOSE(WEEKDAY(F$4,2),"Mo","Di","Mi","Do","Fr","Sa","So")&amp;" "&amp;TEXT(DAY(F$4),"00")&amp;"."&amp;TEXT(MONTH(F$4),"00")&amp;"."</f>
      </c>
      <c r="G5" s="48">
        <f>CHOOSE(WEEKDAY(G$4,2),"Mo","Di","Mi","Do","Fr","Sa","So")&amp;" "&amp;TEXT(DAY(G$4),"00")&amp;"."&amp;TEXT(MONTH(G$4),"00")&amp;"."</f>
      </c>
      <c r="H5" s="48">
        <f>CHOOSE(WEEKDAY(H$4,2),"Mo","Di","Mi","Do","Fr","Sa","So")&amp;" "&amp;TEXT(DAY(H$4),"00")&amp;"."&amp;TEXT(MONTH(H$4),"00")&amp;"."</f>
      </c>
      <c r="I5" s="10" t="s">
        <v>68</v>
      </c>
    </row>
    <row r="6" ht="17" customHeight="1" spans="1:16" x14ac:dyDescent="0.25">
      <c r="A6" s="49">
        <f>Mitarbeiter!$A$5&amp;""</f>
      </c>
      <c r="B6" s="50">
        <f>IF(J6="","",J6&amp;IFERROR(IF(AND(INDEX(Arten,MATCH(J6,Codes,0))="Arbeit",ISNUMBER(INDEX(Beginne,MATCH(J6,Codes,0)))),"  "&amp;TEXT(INDEX(Beginne,MATCH(J6,Codes,0)),"hh:mm")&amp;"–"&amp;TEXT(INDEX(Enden,MATCH(J6,Codes,0)),"hh:mm"),""),""))</f>
      </c>
      <c r="C6" s="50">
        <f>IF(K6="","",K6&amp;IFERROR(IF(AND(INDEX(Arten,MATCH(K6,Codes,0))="Arbeit",ISNUMBER(INDEX(Beginne,MATCH(K6,Codes,0)))),"  "&amp;TEXT(INDEX(Beginne,MATCH(K6,Codes,0)),"hh:mm")&amp;"–"&amp;TEXT(INDEX(Enden,MATCH(K6,Codes,0)),"hh:mm"),""),""))</f>
      </c>
      <c r="D6" s="50">
        <f>IF(L6="","",L6&amp;IFERROR(IF(AND(INDEX(Arten,MATCH(L6,Codes,0))="Arbeit",ISNUMBER(INDEX(Beginne,MATCH(L6,Codes,0)))),"  "&amp;TEXT(INDEX(Beginne,MATCH(L6,Codes,0)),"hh:mm")&amp;"–"&amp;TEXT(INDEX(Enden,MATCH(L6,Codes,0)),"hh:mm"),""),""))</f>
      </c>
      <c r="E6" s="50">
        <f>IF(M6="","",M6&amp;IFERROR(IF(AND(INDEX(Arten,MATCH(M6,Codes,0))="Arbeit",ISNUMBER(INDEX(Beginne,MATCH(M6,Codes,0)))),"  "&amp;TEXT(INDEX(Beginne,MATCH(M6,Codes,0)),"hh:mm")&amp;"–"&amp;TEXT(INDEX(Enden,MATCH(M6,Codes,0)),"hh:mm"),""),""))</f>
      </c>
      <c r="F6" s="50">
        <f>IF(N6="","",N6&amp;IFERROR(IF(AND(INDEX(Arten,MATCH(N6,Codes,0))="Arbeit",ISNUMBER(INDEX(Beginne,MATCH(N6,Codes,0)))),"  "&amp;TEXT(INDEX(Beginne,MATCH(N6,Codes,0)),"hh:mm")&amp;"–"&amp;TEXT(INDEX(Enden,MATCH(N6,Codes,0)),"hh:mm"),""),""))</f>
      </c>
      <c r="G6" s="50">
        <f>IF(O6="","",O6&amp;IFERROR(IF(AND(INDEX(Arten,MATCH(O6,Codes,0))="Arbeit",ISNUMBER(INDEX(Beginne,MATCH(O6,Codes,0)))),"  "&amp;TEXT(INDEX(Beginne,MATCH(O6,Codes,0)),"hh:mm")&amp;"–"&amp;TEXT(INDEX(Enden,MATCH(O6,Codes,0)),"hh:mm"),""),""))</f>
      </c>
      <c r="H6" s="50">
        <f>IF(P6="","",P6&amp;IFERROR(IF(AND(INDEX(Arten,MATCH(P6,Codes,0))="Arbeit",ISNUMBER(INDEX(Beginne,MATCH(P6,Codes,0)))),"  "&amp;TEXT(INDEX(Beginne,MATCH(P6,Codes,0)),"hh:mm")&amp;"–"&amp;TEXT(INDEX(Enden,MATCH(P6,Codes,0)),"hh:mm"),""),""))</f>
      </c>
      <c r="I6" s="51">
        <f>IF($A6="","",SUMPRODUCT(COUNTIF(J6:P6,Codes)*(Arten="Arbeit")*Erste*NettoTage))</f>
      </c>
      <c r="J6" s="1">
        <f>IF(OR($A6="",YEAR(B$4)&lt;&gt;Jahr),"",CHOOSE(MONTH(B$4),INDEX('Januar'!$B$6:$AF$6,DAY(B$4)),INDEX('Februar'!$B$6:$AF$6,DAY(B$4)),INDEX('März'!$B$6:$AF$6,DAY(B$4)),INDEX('April'!$B$6:$AF$6,DAY(B$4)),INDEX('Mai'!$B$6:$AF$6,DAY(B$4)),INDEX('Juni'!$B$6:$AF$6,DAY(B$4)),INDEX('Juli'!$B$6:$AF$6,DAY(B$4)),INDEX('August'!$B$6:$AF$6,DAY(B$4)),INDEX('September'!$B$6:$AF$6,DAY(B$4)),INDEX('Oktober'!$B$6:$AF$6,DAY(B$4)),INDEX('November'!$B$6:$AF$6,DAY(B$4)),INDEX('Dezember'!$B$6:$AF$6,DAY(B$4)))&amp;"")</f>
      </c>
      <c r="K6" s="1">
        <f>IF(OR($A6="",YEAR(C$4)&lt;&gt;Jahr),"",CHOOSE(MONTH(C$4),INDEX('Januar'!$B$6:$AF$6,DAY(C$4)),INDEX('Februar'!$B$6:$AF$6,DAY(C$4)),INDEX('März'!$B$6:$AF$6,DAY(C$4)),INDEX('April'!$B$6:$AF$6,DAY(C$4)),INDEX('Mai'!$B$6:$AF$6,DAY(C$4)),INDEX('Juni'!$B$6:$AF$6,DAY(C$4)),INDEX('Juli'!$B$6:$AF$6,DAY(C$4)),INDEX('August'!$B$6:$AF$6,DAY(C$4)),INDEX('September'!$B$6:$AF$6,DAY(C$4)),INDEX('Oktober'!$B$6:$AF$6,DAY(C$4)),INDEX('November'!$B$6:$AF$6,DAY(C$4)),INDEX('Dezember'!$B$6:$AF$6,DAY(C$4)))&amp;"")</f>
      </c>
      <c r="L6" s="1">
        <f>IF(OR($A6="",YEAR(D$4)&lt;&gt;Jahr),"",CHOOSE(MONTH(D$4),INDEX('Januar'!$B$6:$AF$6,DAY(D$4)),INDEX('Februar'!$B$6:$AF$6,DAY(D$4)),INDEX('März'!$B$6:$AF$6,DAY(D$4)),INDEX('April'!$B$6:$AF$6,DAY(D$4)),INDEX('Mai'!$B$6:$AF$6,DAY(D$4)),INDEX('Juni'!$B$6:$AF$6,DAY(D$4)),INDEX('Juli'!$B$6:$AF$6,DAY(D$4)),INDEX('August'!$B$6:$AF$6,DAY(D$4)),INDEX('September'!$B$6:$AF$6,DAY(D$4)),INDEX('Oktober'!$B$6:$AF$6,DAY(D$4)),INDEX('November'!$B$6:$AF$6,DAY(D$4)),INDEX('Dezember'!$B$6:$AF$6,DAY(D$4)))&amp;"")</f>
      </c>
      <c r="M6" s="1">
        <f>IF(OR($A6="",YEAR(E$4)&lt;&gt;Jahr),"",CHOOSE(MONTH(E$4),INDEX('Januar'!$B$6:$AF$6,DAY(E$4)),INDEX('Februar'!$B$6:$AF$6,DAY(E$4)),INDEX('März'!$B$6:$AF$6,DAY(E$4)),INDEX('April'!$B$6:$AF$6,DAY(E$4)),INDEX('Mai'!$B$6:$AF$6,DAY(E$4)),INDEX('Juni'!$B$6:$AF$6,DAY(E$4)),INDEX('Juli'!$B$6:$AF$6,DAY(E$4)),INDEX('August'!$B$6:$AF$6,DAY(E$4)),INDEX('September'!$B$6:$AF$6,DAY(E$4)),INDEX('Oktober'!$B$6:$AF$6,DAY(E$4)),INDEX('November'!$B$6:$AF$6,DAY(E$4)),INDEX('Dezember'!$B$6:$AF$6,DAY(E$4)))&amp;"")</f>
      </c>
      <c r="N6" s="1">
        <f>IF(OR($A6="",YEAR(F$4)&lt;&gt;Jahr),"",CHOOSE(MONTH(F$4),INDEX('Januar'!$B$6:$AF$6,DAY(F$4)),INDEX('Februar'!$B$6:$AF$6,DAY(F$4)),INDEX('März'!$B$6:$AF$6,DAY(F$4)),INDEX('April'!$B$6:$AF$6,DAY(F$4)),INDEX('Mai'!$B$6:$AF$6,DAY(F$4)),INDEX('Juni'!$B$6:$AF$6,DAY(F$4)),INDEX('Juli'!$B$6:$AF$6,DAY(F$4)),INDEX('August'!$B$6:$AF$6,DAY(F$4)),INDEX('September'!$B$6:$AF$6,DAY(F$4)),INDEX('Oktober'!$B$6:$AF$6,DAY(F$4)),INDEX('November'!$B$6:$AF$6,DAY(F$4)),INDEX('Dezember'!$B$6:$AF$6,DAY(F$4)))&amp;"")</f>
      </c>
      <c r="O6" s="1">
        <f>IF(OR($A6="",YEAR(G$4)&lt;&gt;Jahr),"",CHOOSE(MONTH(G$4),INDEX('Januar'!$B$6:$AF$6,DAY(G$4)),INDEX('Februar'!$B$6:$AF$6,DAY(G$4)),INDEX('März'!$B$6:$AF$6,DAY(G$4)),INDEX('April'!$B$6:$AF$6,DAY(G$4)),INDEX('Mai'!$B$6:$AF$6,DAY(G$4)),INDEX('Juni'!$B$6:$AF$6,DAY(G$4)),INDEX('Juli'!$B$6:$AF$6,DAY(G$4)),INDEX('August'!$B$6:$AF$6,DAY(G$4)),INDEX('September'!$B$6:$AF$6,DAY(G$4)),INDEX('Oktober'!$B$6:$AF$6,DAY(G$4)),INDEX('November'!$B$6:$AF$6,DAY(G$4)),INDEX('Dezember'!$B$6:$AF$6,DAY(G$4)))&amp;"")</f>
      </c>
      <c r="P6" s="1">
        <f>IF(OR($A6="",YEAR(H$4)&lt;&gt;Jahr),"",CHOOSE(MONTH(H$4),INDEX('Januar'!$B$6:$AF$6,DAY(H$4)),INDEX('Februar'!$B$6:$AF$6,DAY(H$4)),INDEX('März'!$B$6:$AF$6,DAY(H$4)),INDEX('April'!$B$6:$AF$6,DAY(H$4)),INDEX('Mai'!$B$6:$AF$6,DAY(H$4)),INDEX('Juni'!$B$6:$AF$6,DAY(H$4)),INDEX('Juli'!$B$6:$AF$6,DAY(H$4)),INDEX('August'!$B$6:$AF$6,DAY(H$4)),INDEX('September'!$B$6:$AF$6,DAY(H$4)),INDEX('Oktober'!$B$6:$AF$6,DAY(H$4)),INDEX('November'!$B$6:$AF$6,DAY(H$4)),INDEX('Dezember'!$B$6:$AF$6,DAY(H$4)))&amp;"")</f>
      </c>
    </row>
    <row r="7" ht="17" customHeight="1" spans="1:16" x14ac:dyDescent="0.25">
      <c r="A7" s="49">
        <f>Mitarbeiter!$A$6&amp;""</f>
      </c>
      <c r="B7" s="50">
        <f>IF(J7="","",J7&amp;IFERROR(IF(AND(INDEX(Arten,MATCH(J7,Codes,0))="Arbeit",ISNUMBER(INDEX(Beginne,MATCH(J7,Codes,0)))),"  "&amp;TEXT(INDEX(Beginne,MATCH(J7,Codes,0)),"hh:mm")&amp;"–"&amp;TEXT(INDEX(Enden,MATCH(J7,Codes,0)),"hh:mm"),""),""))</f>
      </c>
      <c r="C7" s="50">
        <f>IF(K7="","",K7&amp;IFERROR(IF(AND(INDEX(Arten,MATCH(K7,Codes,0))="Arbeit",ISNUMBER(INDEX(Beginne,MATCH(K7,Codes,0)))),"  "&amp;TEXT(INDEX(Beginne,MATCH(K7,Codes,0)),"hh:mm")&amp;"–"&amp;TEXT(INDEX(Enden,MATCH(K7,Codes,0)),"hh:mm"),""),""))</f>
      </c>
      <c r="D7" s="50">
        <f>IF(L7="","",L7&amp;IFERROR(IF(AND(INDEX(Arten,MATCH(L7,Codes,0))="Arbeit",ISNUMBER(INDEX(Beginne,MATCH(L7,Codes,0)))),"  "&amp;TEXT(INDEX(Beginne,MATCH(L7,Codes,0)),"hh:mm")&amp;"–"&amp;TEXT(INDEX(Enden,MATCH(L7,Codes,0)),"hh:mm"),""),""))</f>
      </c>
      <c r="E7" s="50">
        <f>IF(M7="","",M7&amp;IFERROR(IF(AND(INDEX(Arten,MATCH(M7,Codes,0))="Arbeit",ISNUMBER(INDEX(Beginne,MATCH(M7,Codes,0)))),"  "&amp;TEXT(INDEX(Beginne,MATCH(M7,Codes,0)),"hh:mm")&amp;"–"&amp;TEXT(INDEX(Enden,MATCH(M7,Codes,0)),"hh:mm"),""),""))</f>
      </c>
      <c r="F7" s="50">
        <f>IF(N7="","",N7&amp;IFERROR(IF(AND(INDEX(Arten,MATCH(N7,Codes,0))="Arbeit",ISNUMBER(INDEX(Beginne,MATCH(N7,Codes,0)))),"  "&amp;TEXT(INDEX(Beginne,MATCH(N7,Codes,0)),"hh:mm")&amp;"–"&amp;TEXT(INDEX(Enden,MATCH(N7,Codes,0)),"hh:mm"),""),""))</f>
      </c>
      <c r="G7" s="50">
        <f>IF(O7="","",O7&amp;IFERROR(IF(AND(INDEX(Arten,MATCH(O7,Codes,0))="Arbeit",ISNUMBER(INDEX(Beginne,MATCH(O7,Codes,0)))),"  "&amp;TEXT(INDEX(Beginne,MATCH(O7,Codes,0)),"hh:mm")&amp;"–"&amp;TEXT(INDEX(Enden,MATCH(O7,Codes,0)),"hh:mm"),""),""))</f>
      </c>
      <c r="H7" s="50">
        <f>IF(P7="","",P7&amp;IFERROR(IF(AND(INDEX(Arten,MATCH(P7,Codes,0))="Arbeit",ISNUMBER(INDEX(Beginne,MATCH(P7,Codes,0)))),"  "&amp;TEXT(INDEX(Beginne,MATCH(P7,Codes,0)),"hh:mm")&amp;"–"&amp;TEXT(INDEX(Enden,MATCH(P7,Codes,0)),"hh:mm"),""),""))</f>
      </c>
      <c r="I7" s="51">
        <f>IF($A7="","",SUMPRODUCT(COUNTIF(J7:P7,Codes)*(Arten="Arbeit")*Erste*NettoTage))</f>
      </c>
      <c r="J7" s="1">
        <f>IF(OR($A7="",YEAR(B$4)&lt;&gt;Jahr),"",CHOOSE(MONTH(B$4),INDEX('Januar'!$B$7:$AF$7,DAY(B$4)),INDEX('Februar'!$B$7:$AF$7,DAY(B$4)),INDEX('März'!$B$7:$AF$7,DAY(B$4)),INDEX('April'!$B$7:$AF$7,DAY(B$4)),INDEX('Mai'!$B$7:$AF$7,DAY(B$4)),INDEX('Juni'!$B$7:$AF$7,DAY(B$4)),INDEX('Juli'!$B$7:$AF$7,DAY(B$4)),INDEX('August'!$B$7:$AF$7,DAY(B$4)),INDEX('September'!$B$7:$AF$7,DAY(B$4)),INDEX('Oktober'!$B$7:$AF$7,DAY(B$4)),INDEX('November'!$B$7:$AF$7,DAY(B$4)),INDEX('Dezember'!$B$7:$AF$7,DAY(B$4)))&amp;"")</f>
      </c>
      <c r="K7" s="1">
        <f>IF(OR($A7="",YEAR(C$4)&lt;&gt;Jahr),"",CHOOSE(MONTH(C$4),INDEX('Januar'!$B$7:$AF$7,DAY(C$4)),INDEX('Februar'!$B$7:$AF$7,DAY(C$4)),INDEX('März'!$B$7:$AF$7,DAY(C$4)),INDEX('April'!$B$7:$AF$7,DAY(C$4)),INDEX('Mai'!$B$7:$AF$7,DAY(C$4)),INDEX('Juni'!$B$7:$AF$7,DAY(C$4)),INDEX('Juli'!$B$7:$AF$7,DAY(C$4)),INDEX('August'!$B$7:$AF$7,DAY(C$4)),INDEX('September'!$B$7:$AF$7,DAY(C$4)),INDEX('Oktober'!$B$7:$AF$7,DAY(C$4)),INDEX('November'!$B$7:$AF$7,DAY(C$4)),INDEX('Dezember'!$B$7:$AF$7,DAY(C$4)))&amp;"")</f>
      </c>
      <c r="L7" s="1">
        <f>IF(OR($A7="",YEAR(D$4)&lt;&gt;Jahr),"",CHOOSE(MONTH(D$4),INDEX('Januar'!$B$7:$AF$7,DAY(D$4)),INDEX('Februar'!$B$7:$AF$7,DAY(D$4)),INDEX('März'!$B$7:$AF$7,DAY(D$4)),INDEX('April'!$B$7:$AF$7,DAY(D$4)),INDEX('Mai'!$B$7:$AF$7,DAY(D$4)),INDEX('Juni'!$B$7:$AF$7,DAY(D$4)),INDEX('Juli'!$B$7:$AF$7,DAY(D$4)),INDEX('August'!$B$7:$AF$7,DAY(D$4)),INDEX('September'!$B$7:$AF$7,DAY(D$4)),INDEX('Oktober'!$B$7:$AF$7,DAY(D$4)),INDEX('November'!$B$7:$AF$7,DAY(D$4)),INDEX('Dezember'!$B$7:$AF$7,DAY(D$4)))&amp;"")</f>
      </c>
      <c r="M7" s="1">
        <f>IF(OR($A7="",YEAR(E$4)&lt;&gt;Jahr),"",CHOOSE(MONTH(E$4),INDEX('Januar'!$B$7:$AF$7,DAY(E$4)),INDEX('Februar'!$B$7:$AF$7,DAY(E$4)),INDEX('März'!$B$7:$AF$7,DAY(E$4)),INDEX('April'!$B$7:$AF$7,DAY(E$4)),INDEX('Mai'!$B$7:$AF$7,DAY(E$4)),INDEX('Juni'!$B$7:$AF$7,DAY(E$4)),INDEX('Juli'!$B$7:$AF$7,DAY(E$4)),INDEX('August'!$B$7:$AF$7,DAY(E$4)),INDEX('September'!$B$7:$AF$7,DAY(E$4)),INDEX('Oktober'!$B$7:$AF$7,DAY(E$4)),INDEX('November'!$B$7:$AF$7,DAY(E$4)),INDEX('Dezember'!$B$7:$AF$7,DAY(E$4)))&amp;"")</f>
      </c>
      <c r="N7" s="1">
        <f>IF(OR($A7="",YEAR(F$4)&lt;&gt;Jahr),"",CHOOSE(MONTH(F$4),INDEX('Januar'!$B$7:$AF$7,DAY(F$4)),INDEX('Februar'!$B$7:$AF$7,DAY(F$4)),INDEX('März'!$B$7:$AF$7,DAY(F$4)),INDEX('April'!$B$7:$AF$7,DAY(F$4)),INDEX('Mai'!$B$7:$AF$7,DAY(F$4)),INDEX('Juni'!$B$7:$AF$7,DAY(F$4)),INDEX('Juli'!$B$7:$AF$7,DAY(F$4)),INDEX('August'!$B$7:$AF$7,DAY(F$4)),INDEX('September'!$B$7:$AF$7,DAY(F$4)),INDEX('Oktober'!$B$7:$AF$7,DAY(F$4)),INDEX('November'!$B$7:$AF$7,DAY(F$4)),INDEX('Dezember'!$B$7:$AF$7,DAY(F$4)))&amp;"")</f>
      </c>
      <c r="O7" s="1">
        <f>IF(OR($A7="",YEAR(G$4)&lt;&gt;Jahr),"",CHOOSE(MONTH(G$4),INDEX('Januar'!$B$7:$AF$7,DAY(G$4)),INDEX('Februar'!$B$7:$AF$7,DAY(G$4)),INDEX('März'!$B$7:$AF$7,DAY(G$4)),INDEX('April'!$B$7:$AF$7,DAY(G$4)),INDEX('Mai'!$B$7:$AF$7,DAY(G$4)),INDEX('Juni'!$B$7:$AF$7,DAY(G$4)),INDEX('Juli'!$B$7:$AF$7,DAY(G$4)),INDEX('August'!$B$7:$AF$7,DAY(G$4)),INDEX('September'!$B$7:$AF$7,DAY(G$4)),INDEX('Oktober'!$B$7:$AF$7,DAY(G$4)),INDEX('November'!$B$7:$AF$7,DAY(G$4)),INDEX('Dezember'!$B$7:$AF$7,DAY(G$4)))&amp;"")</f>
      </c>
      <c r="P7" s="1">
        <f>IF(OR($A7="",YEAR(H$4)&lt;&gt;Jahr),"",CHOOSE(MONTH(H$4),INDEX('Januar'!$B$7:$AF$7,DAY(H$4)),INDEX('Februar'!$B$7:$AF$7,DAY(H$4)),INDEX('März'!$B$7:$AF$7,DAY(H$4)),INDEX('April'!$B$7:$AF$7,DAY(H$4)),INDEX('Mai'!$B$7:$AF$7,DAY(H$4)),INDEX('Juni'!$B$7:$AF$7,DAY(H$4)),INDEX('Juli'!$B$7:$AF$7,DAY(H$4)),INDEX('August'!$B$7:$AF$7,DAY(H$4)),INDEX('September'!$B$7:$AF$7,DAY(H$4)),INDEX('Oktober'!$B$7:$AF$7,DAY(H$4)),INDEX('November'!$B$7:$AF$7,DAY(H$4)),INDEX('Dezember'!$B$7:$AF$7,DAY(H$4)))&amp;"")</f>
      </c>
    </row>
    <row r="8" ht="17" customHeight="1" spans="1:16" x14ac:dyDescent="0.25">
      <c r="A8" s="49">
        <f>Mitarbeiter!$A$7&amp;""</f>
      </c>
      <c r="B8" s="50">
        <f>IF(J8="","",J8&amp;IFERROR(IF(AND(INDEX(Arten,MATCH(J8,Codes,0))="Arbeit",ISNUMBER(INDEX(Beginne,MATCH(J8,Codes,0)))),"  "&amp;TEXT(INDEX(Beginne,MATCH(J8,Codes,0)),"hh:mm")&amp;"–"&amp;TEXT(INDEX(Enden,MATCH(J8,Codes,0)),"hh:mm"),""),""))</f>
      </c>
      <c r="C8" s="50">
        <f>IF(K8="","",K8&amp;IFERROR(IF(AND(INDEX(Arten,MATCH(K8,Codes,0))="Arbeit",ISNUMBER(INDEX(Beginne,MATCH(K8,Codes,0)))),"  "&amp;TEXT(INDEX(Beginne,MATCH(K8,Codes,0)),"hh:mm")&amp;"–"&amp;TEXT(INDEX(Enden,MATCH(K8,Codes,0)),"hh:mm"),""),""))</f>
      </c>
      <c r="D8" s="50">
        <f>IF(L8="","",L8&amp;IFERROR(IF(AND(INDEX(Arten,MATCH(L8,Codes,0))="Arbeit",ISNUMBER(INDEX(Beginne,MATCH(L8,Codes,0)))),"  "&amp;TEXT(INDEX(Beginne,MATCH(L8,Codes,0)),"hh:mm")&amp;"–"&amp;TEXT(INDEX(Enden,MATCH(L8,Codes,0)),"hh:mm"),""),""))</f>
      </c>
      <c r="E8" s="50">
        <f>IF(M8="","",M8&amp;IFERROR(IF(AND(INDEX(Arten,MATCH(M8,Codes,0))="Arbeit",ISNUMBER(INDEX(Beginne,MATCH(M8,Codes,0)))),"  "&amp;TEXT(INDEX(Beginne,MATCH(M8,Codes,0)),"hh:mm")&amp;"–"&amp;TEXT(INDEX(Enden,MATCH(M8,Codes,0)),"hh:mm"),""),""))</f>
      </c>
      <c r="F8" s="50">
        <f>IF(N8="","",N8&amp;IFERROR(IF(AND(INDEX(Arten,MATCH(N8,Codes,0))="Arbeit",ISNUMBER(INDEX(Beginne,MATCH(N8,Codes,0)))),"  "&amp;TEXT(INDEX(Beginne,MATCH(N8,Codes,0)),"hh:mm")&amp;"–"&amp;TEXT(INDEX(Enden,MATCH(N8,Codes,0)),"hh:mm"),""),""))</f>
      </c>
      <c r="G8" s="50">
        <f>IF(O8="","",O8&amp;IFERROR(IF(AND(INDEX(Arten,MATCH(O8,Codes,0))="Arbeit",ISNUMBER(INDEX(Beginne,MATCH(O8,Codes,0)))),"  "&amp;TEXT(INDEX(Beginne,MATCH(O8,Codes,0)),"hh:mm")&amp;"–"&amp;TEXT(INDEX(Enden,MATCH(O8,Codes,0)),"hh:mm"),""),""))</f>
      </c>
      <c r="H8" s="50">
        <f>IF(P8="","",P8&amp;IFERROR(IF(AND(INDEX(Arten,MATCH(P8,Codes,0))="Arbeit",ISNUMBER(INDEX(Beginne,MATCH(P8,Codes,0)))),"  "&amp;TEXT(INDEX(Beginne,MATCH(P8,Codes,0)),"hh:mm")&amp;"–"&amp;TEXT(INDEX(Enden,MATCH(P8,Codes,0)),"hh:mm"),""),""))</f>
      </c>
      <c r="I8" s="51">
        <f>IF($A8="","",SUMPRODUCT(COUNTIF(J8:P8,Codes)*(Arten="Arbeit")*Erste*NettoTage))</f>
      </c>
      <c r="J8" s="1">
        <f>IF(OR($A8="",YEAR(B$4)&lt;&gt;Jahr),"",CHOOSE(MONTH(B$4),INDEX('Januar'!$B$8:$AF$8,DAY(B$4)),INDEX('Februar'!$B$8:$AF$8,DAY(B$4)),INDEX('März'!$B$8:$AF$8,DAY(B$4)),INDEX('April'!$B$8:$AF$8,DAY(B$4)),INDEX('Mai'!$B$8:$AF$8,DAY(B$4)),INDEX('Juni'!$B$8:$AF$8,DAY(B$4)),INDEX('Juli'!$B$8:$AF$8,DAY(B$4)),INDEX('August'!$B$8:$AF$8,DAY(B$4)),INDEX('September'!$B$8:$AF$8,DAY(B$4)),INDEX('Oktober'!$B$8:$AF$8,DAY(B$4)),INDEX('November'!$B$8:$AF$8,DAY(B$4)),INDEX('Dezember'!$B$8:$AF$8,DAY(B$4)))&amp;"")</f>
      </c>
      <c r="K8" s="1">
        <f>IF(OR($A8="",YEAR(C$4)&lt;&gt;Jahr),"",CHOOSE(MONTH(C$4),INDEX('Januar'!$B$8:$AF$8,DAY(C$4)),INDEX('Februar'!$B$8:$AF$8,DAY(C$4)),INDEX('März'!$B$8:$AF$8,DAY(C$4)),INDEX('April'!$B$8:$AF$8,DAY(C$4)),INDEX('Mai'!$B$8:$AF$8,DAY(C$4)),INDEX('Juni'!$B$8:$AF$8,DAY(C$4)),INDEX('Juli'!$B$8:$AF$8,DAY(C$4)),INDEX('August'!$B$8:$AF$8,DAY(C$4)),INDEX('September'!$B$8:$AF$8,DAY(C$4)),INDEX('Oktober'!$B$8:$AF$8,DAY(C$4)),INDEX('November'!$B$8:$AF$8,DAY(C$4)),INDEX('Dezember'!$B$8:$AF$8,DAY(C$4)))&amp;"")</f>
      </c>
      <c r="L8" s="1">
        <f>IF(OR($A8="",YEAR(D$4)&lt;&gt;Jahr),"",CHOOSE(MONTH(D$4),INDEX('Januar'!$B$8:$AF$8,DAY(D$4)),INDEX('Februar'!$B$8:$AF$8,DAY(D$4)),INDEX('März'!$B$8:$AF$8,DAY(D$4)),INDEX('April'!$B$8:$AF$8,DAY(D$4)),INDEX('Mai'!$B$8:$AF$8,DAY(D$4)),INDEX('Juni'!$B$8:$AF$8,DAY(D$4)),INDEX('Juli'!$B$8:$AF$8,DAY(D$4)),INDEX('August'!$B$8:$AF$8,DAY(D$4)),INDEX('September'!$B$8:$AF$8,DAY(D$4)),INDEX('Oktober'!$B$8:$AF$8,DAY(D$4)),INDEX('November'!$B$8:$AF$8,DAY(D$4)),INDEX('Dezember'!$B$8:$AF$8,DAY(D$4)))&amp;"")</f>
      </c>
      <c r="M8" s="1">
        <f>IF(OR($A8="",YEAR(E$4)&lt;&gt;Jahr),"",CHOOSE(MONTH(E$4),INDEX('Januar'!$B$8:$AF$8,DAY(E$4)),INDEX('Februar'!$B$8:$AF$8,DAY(E$4)),INDEX('März'!$B$8:$AF$8,DAY(E$4)),INDEX('April'!$B$8:$AF$8,DAY(E$4)),INDEX('Mai'!$B$8:$AF$8,DAY(E$4)),INDEX('Juni'!$B$8:$AF$8,DAY(E$4)),INDEX('Juli'!$B$8:$AF$8,DAY(E$4)),INDEX('August'!$B$8:$AF$8,DAY(E$4)),INDEX('September'!$B$8:$AF$8,DAY(E$4)),INDEX('Oktober'!$B$8:$AF$8,DAY(E$4)),INDEX('November'!$B$8:$AF$8,DAY(E$4)),INDEX('Dezember'!$B$8:$AF$8,DAY(E$4)))&amp;"")</f>
      </c>
      <c r="N8" s="1">
        <f>IF(OR($A8="",YEAR(F$4)&lt;&gt;Jahr),"",CHOOSE(MONTH(F$4),INDEX('Januar'!$B$8:$AF$8,DAY(F$4)),INDEX('Februar'!$B$8:$AF$8,DAY(F$4)),INDEX('März'!$B$8:$AF$8,DAY(F$4)),INDEX('April'!$B$8:$AF$8,DAY(F$4)),INDEX('Mai'!$B$8:$AF$8,DAY(F$4)),INDEX('Juni'!$B$8:$AF$8,DAY(F$4)),INDEX('Juli'!$B$8:$AF$8,DAY(F$4)),INDEX('August'!$B$8:$AF$8,DAY(F$4)),INDEX('September'!$B$8:$AF$8,DAY(F$4)),INDEX('Oktober'!$B$8:$AF$8,DAY(F$4)),INDEX('November'!$B$8:$AF$8,DAY(F$4)),INDEX('Dezember'!$B$8:$AF$8,DAY(F$4)))&amp;"")</f>
      </c>
      <c r="O8" s="1">
        <f>IF(OR($A8="",YEAR(G$4)&lt;&gt;Jahr),"",CHOOSE(MONTH(G$4),INDEX('Januar'!$B$8:$AF$8,DAY(G$4)),INDEX('Februar'!$B$8:$AF$8,DAY(G$4)),INDEX('März'!$B$8:$AF$8,DAY(G$4)),INDEX('April'!$B$8:$AF$8,DAY(G$4)),INDEX('Mai'!$B$8:$AF$8,DAY(G$4)),INDEX('Juni'!$B$8:$AF$8,DAY(G$4)),INDEX('Juli'!$B$8:$AF$8,DAY(G$4)),INDEX('August'!$B$8:$AF$8,DAY(G$4)),INDEX('September'!$B$8:$AF$8,DAY(G$4)),INDEX('Oktober'!$B$8:$AF$8,DAY(G$4)),INDEX('November'!$B$8:$AF$8,DAY(G$4)),INDEX('Dezember'!$B$8:$AF$8,DAY(G$4)))&amp;"")</f>
      </c>
      <c r="P8" s="1">
        <f>IF(OR($A8="",YEAR(H$4)&lt;&gt;Jahr),"",CHOOSE(MONTH(H$4),INDEX('Januar'!$B$8:$AF$8,DAY(H$4)),INDEX('Februar'!$B$8:$AF$8,DAY(H$4)),INDEX('März'!$B$8:$AF$8,DAY(H$4)),INDEX('April'!$B$8:$AF$8,DAY(H$4)),INDEX('Mai'!$B$8:$AF$8,DAY(H$4)),INDEX('Juni'!$B$8:$AF$8,DAY(H$4)),INDEX('Juli'!$B$8:$AF$8,DAY(H$4)),INDEX('August'!$B$8:$AF$8,DAY(H$4)),INDEX('September'!$B$8:$AF$8,DAY(H$4)),INDEX('Oktober'!$B$8:$AF$8,DAY(H$4)),INDEX('November'!$B$8:$AF$8,DAY(H$4)),INDEX('Dezember'!$B$8:$AF$8,DAY(H$4)))&amp;"")</f>
      </c>
    </row>
    <row r="9" ht="17" customHeight="1" spans="1:16" x14ac:dyDescent="0.25">
      <c r="A9" s="49">
        <f>Mitarbeiter!$A$8&amp;""</f>
      </c>
      <c r="B9" s="50">
        <f>IF(J9="","",J9&amp;IFERROR(IF(AND(INDEX(Arten,MATCH(J9,Codes,0))="Arbeit",ISNUMBER(INDEX(Beginne,MATCH(J9,Codes,0)))),"  "&amp;TEXT(INDEX(Beginne,MATCH(J9,Codes,0)),"hh:mm")&amp;"–"&amp;TEXT(INDEX(Enden,MATCH(J9,Codes,0)),"hh:mm"),""),""))</f>
      </c>
      <c r="C9" s="50">
        <f>IF(K9="","",K9&amp;IFERROR(IF(AND(INDEX(Arten,MATCH(K9,Codes,0))="Arbeit",ISNUMBER(INDEX(Beginne,MATCH(K9,Codes,0)))),"  "&amp;TEXT(INDEX(Beginne,MATCH(K9,Codes,0)),"hh:mm")&amp;"–"&amp;TEXT(INDEX(Enden,MATCH(K9,Codes,0)),"hh:mm"),""),""))</f>
      </c>
      <c r="D9" s="50">
        <f>IF(L9="","",L9&amp;IFERROR(IF(AND(INDEX(Arten,MATCH(L9,Codes,0))="Arbeit",ISNUMBER(INDEX(Beginne,MATCH(L9,Codes,0)))),"  "&amp;TEXT(INDEX(Beginne,MATCH(L9,Codes,0)),"hh:mm")&amp;"–"&amp;TEXT(INDEX(Enden,MATCH(L9,Codes,0)),"hh:mm"),""),""))</f>
      </c>
      <c r="E9" s="50">
        <f>IF(M9="","",M9&amp;IFERROR(IF(AND(INDEX(Arten,MATCH(M9,Codes,0))="Arbeit",ISNUMBER(INDEX(Beginne,MATCH(M9,Codes,0)))),"  "&amp;TEXT(INDEX(Beginne,MATCH(M9,Codes,0)),"hh:mm")&amp;"–"&amp;TEXT(INDEX(Enden,MATCH(M9,Codes,0)),"hh:mm"),""),""))</f>
      </c>
      <c r="F9" s="50">
        <f>IF(N9="","",N9&amp;IFERROR(IF(AND(INDEX(Arten,MATCH(N9,Codes,0))="Arbeit",ISNUMBER(INDEX(Beginne,MATCH(N9,Codes,0)))),"  "&amp;TEXT(INDEX(Beginne,MATCH(N9,Codes,0)),"hh:mm")&amp;"–"&amp;TEXT(INDEX(Enden,MATCH(N9,Codes,0)),"hh:mm"),""),""))</f>
      </c>
      <c r="G9" s="50">
        <f>IF(O9="","",O9&amp;IFERROR(IF(AND(INDEX(Arten,MATCH(O9,Codes,0))="Arbeit",ISNUMBER(INDEX(Beginne,MATCH(O9,Codes,0)))),"  "&amp;TEXT(INDEX(Beginne,MATCH(O9,Codes,0)),"hh:mm")&amp;"–"&amp;TEXT(INDEX(Enden,MATCH(O9,Codes,0)),"hh:mm"),""),""))</f>
      </c>
      <c r="H9" s="50">
        <f>IF(P9="","",P9&amp;IFERROR(IF(AND(INDEX(Arten,MATCH(P9,Codes,0))="Arbeit",ISNUMBER(INDEX(Beginne,MATCH(P9,Codes,0)))),"  "&amp;TEXT(INDEX(Beginne,MATCH(P9,Codes,0)),"hh:mm")&amp;"–"&amp;TEXT(INDEX(Enden,MATCH(P9,Codes,0)),"hh:mm"),""),""))</f>
      </c>
      <c r="I9" s="51">
        <f>IF($A9="","",SUMPRODUCT(COUNTIF(J9:P9,Codes)*(Arten="Arbeit")*Erste*NettoTage))</f>
      </c>
      <c r="J9" s="1">
        <f>IF(OR($A9="",YEAR(B$4)&lt;&gt;Jahr),"",CHOOSE(MONTH(B$4),INDEX('Januar'!$B$9:$AF$9,DAY(B$4)),INDEX('Februar'!$B$9:$AF$9,DAY(B$4)),INDEX('März'!$B$9:$AF$9,DAY(B$4)),INDEX('April'!$B$9:$AF$9,DAY(B$4)),INDEX('Mai'!$B$9:$AF$9,DAY(B$4)),INDEX('Juni'!$B$9:$AF$9,DAY(B$4)),INDEX('Juli'!$B$9:$AF$9,DAY(B$4)),INDEX('August'!$B$9:$AF$9,DAY(B$4)),INDEX('September'!$B$9:$AF$9,DAY(B$4)),INDEX('Oktober'!$B$9:$AF$9,DAY(B$4)),INDEX('November'!$B$9:$AF$9,DAY(B$4)),INDEX('Dezember'!$B$9:$AF$9,DAY(B$4)))&amp;"")</f>
      </c>
      <c r="K9" s="1">
        <f>IF(OR($A9="",YEAR(C$4)&lt;&gt;Jahr),"",CHOOSE(MONTH(C$4),INDEX('Januar'!$B$9:$AF$9,DAY(C$4)),INDEX('Februar'!$B$9:$AF$9,DAY(C$4)),INDEX('März'!$B$9:$AF$9,DAY(C$4)),INDEX('April'!$B$9:$AF$9,DAY(C$4)),INDEX('Mai'!$B$9:$AF$9,DAY(C$4)),INDEX('Juni'!$B$9:$AF$9,DAY(C$4)),INDEX('Juli'!$B$9:$AF$9,DAY(C$4)),INDEX('August'!$B$9:$AF$9,DAY(C$4)),INDEX('September'!$B$9:$AF$9,DAY(C$4)),INDEX('Oktober'!$B$9:$AF$9,DAY(C$4)),INDEX('November'!$B$9:$AF$9,DAY(C$4)),INDEX('Dezember'!$B$9:$AF$9,DAY(C$4)))&amp;"")</f>
      </c>
      <c r="L9" s="1">
        <f>IF(OR($A9="",YEAR(D$4)&lt;&gt;Jahr),"",CHOOSE(MONTH(D$4),INDEX('Januar'!$B$9:$AF$9,DAY(D$4)),INDEX('Februar'!$B$9:$AF$9,DAY(D$4)),INDEX('März'!$B$9:$AF$9,DAY(D$4)),INDEX('April'!$B$9:$AF$9,DAY(D$4)),INDEX('Mai'!$B$9:$AF$9,DAY(D$4)),INDEX('Juni'!$B$9:$AF$9,DAY(D$4)),INDEX('Juli'!$B$9:$AF$9,DAY(D$4)),INDEX('August'!$B$9:$AF$9,DAY(D$4)),INDEX('September'!$B$9:$AF$9,DAY(D$4)),INDEX('Oktober'!$B$9:$AF$9,DAY(D$4)),INDEX('November'!$B$9:$AF$9,DAY(D$4)),INDEX('Dezember'!$B$9:$AF$9,DAY(D$4)))&amp;"")</f>
      </c>
      <c r="M9" s="1">
        <f>IF(OR($A9="",YEAR(E$4)&lt;&gt;Jahr),"",CHOOSE(MONTH(E$4),INDEX('Januar'!$B$9:$AF$9,DAY(E$4)),INDEX('Februar'!$B$9:$AF$9,DAY(E$4)),INDEX('März'!$B$9:$AF$9,DAY(E$4)),INDEX('April'!$B$9:$AF$9,DAY(E$4)),INDEX('Mai'!$B$9:$AF$9,DAY(E$4)),INDEX('Juni'!$B$9:$AF$9,DAY(E$4)),INDEX('Juli'!$B$9:$AF$9,DAY(E$4)),INDEX('August'!$B$9:$AF$9,DAY(E$4)),INDEX('September'!$B$9:$AF$9,DAY(E$4)),INDEX('Oktober'!$B$9:$AF$9,DAY(E$4)),INDEX('November'!$B$9:$AF$9,DAY(E$4)),INDEX('Dezember'!$B$9:$AF$9,DAY(E$4)))&amp;"")</f>
      </c>
      <c r="N9" s="1">
        <f>IF(OR($A9="",YEAR(F$4)&lt;&gt;Jahr),"",CHOOSE(MONTH(F$4),INDEX('Januar'!$B$9:$AF$9,DAY(F$4)),INDEX('Februar'!$B$9:$AF$9,DAY(F$4)),INDEX('März'!$B$9:$AF$9,DAY(F$4)),INDEX('April'!$B$9:$AF$9,DAY(F$4)),INDEX('Mai'!$B$9:$AF$9,DAY(F$4)),INDEX('Juni'!$B$9:$AF$9,DAY(F$4)),INDEX('Juli'!$B$9:$AF$9,DAY(F$4)),INDEX('August'!$B$9:$AF$9,DAY(F$4)),INDEX('September'!$B$9:$AF$9,DAY(F$4)),INDEX('Oktober'!$B$9:$AF$9,DAY(F$4)),INDEX('November'!$B$9:$AF$9,DAY(F$4)),INDEX('Dezember'!$B$9:$AF$9,DAY(F$4)))&amp;"")</f>
      </c>
      <c r="O9" s="1">
        <f>IF(OR($A9="",YEAR(G$4)&lt;&gt;Jahr),"",CHOOSE(MONTH(G$4),INDEX('Januar'!$B$9:$AF$9,DAY(G$4)),INDEX('Februar'!$B$9:$AF$9,DAY(G$4)),INDEX('März'!$B$9:$AF$9,DAY(G$4)),INDEX('April'!$B$9:$AF$9,DAY(G$4)),INDEX('Mai'!$B$9:$AF$9,DAY(G$4)),INDEX('Juni'!$B$9:$AF$9,DAY(G$4)),INDEX('Juli'!$B$9:$AF$9,DAY(G$4)),INDEX('August'!$B$9:$AF$9,DAY(G$4)),INDEX('September'!$B$9:$AF$9,DAY(G$4)),INDEX('Oktober'!$B$9:$AF$9,DAY(G$4)),INDEX('November'!$B$9:$AF$9,DAY(G$4)),INDEX('Dezember'!$B$9:$AF$9,DAY(G$4)))&amp;"")</f>
      </c>
      <c r="P9" s="1">
        <f>IF(OR($A9="",YEAR(H$4)&lt;&gt;Jahr),"",CHOOSE(MONTH(H$4),INDEX('Januar'!$B$9:$AF$9,DAY(H$4)),INDEX('Februar'!$B$9:$AF$9,DAY(H$4)),INDEX('März'!$B$9:$AF$9,DAY(H$4)),INDEX('April'!$B$9:$AF$9,DAY(H$4)),INDEX('Mai'!$B$9:$AF$9,DAY(H$4)),INDEX('Juni'!$B$9:$AF$9,DAY(H$4)),INDEX('Juli'!$B$9:$AF$9,DAY(H$4)),INDEX('August'!$B$9:$AF$9,DAY(H$4)),INDEX('September'!$B$9:$AF$9,DAY(H$4)),INDEX('Oktober'!$B$9:$AF$9,DAY(H$4)),INDEX('November'!$B$9:$AF$9,DAY(H$4)),INDEX('Dezember'!$B$9:$AF$9,DAY(H$4)))&amp;"")</f>
      </c>
    </row>
    <row r="10" ht="17" customHeight="1" spans="1:16" x14ac:dyDescent="0.25">
      <c r="A10" s="49">
        <f>Mitarbeiter!$A$9&amp;""</f>
      </c>
      <c r="B10" s="50">
        <f>IF(J10="","",J10&amp;IFERROR(IF(AND(INDEX(Arten,MATCH(J10,Codes,0))="Arbeit",ISNUMBER(INDEX(Beginne,MATCH(J10,Codes,0)))),"  "&amp;TEXT(INDEX(Beginne,MATCH(J10,Codes,0)),"hh:mm")&amp;"–"&amp;TEXT(INDEX(Enden,MATCH(J10,Codes,0)),"hh:mm"),""),""))</f>
      </c>
      <c r="C10" s="50">
        <f>IF(K10="","",K10&amp;IFERROR(IF(AND(INDEX(Arten,MATCH(K10,Codes,0))="Arbeit",ISNUMBER(INDEX(Beginne,MATCH(K10,Codes,0)))),"  "&amp;TEXT(INDEX(Beginne,MATCH(K10,Codes,0)),"hh:mm")&amp;"–"&amp;TEXT(INDEX(Enden,MATCH(K10,Codes,0)),"hh:mm"),""),""))</f>
      </c>
      <c r="D10" s="50">
        <f>IF(L10="","",L10&amp;IFERROR(IF(AND(INDEX(Arten,MATCH(L10,Codes,0))="Arbeit",ISNUMBER(INDEX(Beginne,MATCH(L10,Codes,0)))),"  "&amp;TEXT(INDEX(Beginne,MATCH(L10,Codes,0)),"hh:mm")&amp;"–"&amp;TEXT(INDEX(Enden,MATCH(L10,Codes,0)),"hh:mm"),""),""))</f>
      </c>
      <c r="E10" s="50">
        <f>IF(M10="","",M10&amp;IFERROR(IF(AND(INDEX(Arten,MATCH(M10,Codes,0))="Arbeit",ISNUMBER(INDEX(Beginne,MATCH(M10,Codes,0)))),"  "&amp;TEXT(INDEX(Beginne,MATCH(M10,Codes,0)),"hh:mm")&amp;"–"&amp;TEXT(INDEX(Enden,MATCH(M10,Codes,0)),"hh:mm"),""),""))</f>
      </c>
      <c r="F10" s="50">
        <f>IF(N10="","",N10&amp;IFERROR(IF(AND(INDEX(Arten,MATCH(N10,Codes,0))="Arbeit",ISNUMBER(INDEX(Beginne,MATCH(N10,Codes,0)))),"  "&amp;TEXT(INDEX(Beginne,MATCH(N10,Codes,0)),"hh:mm")&amp;"–"&amp;TEXT(INDEX(Enden,MATCH(N10,Codes,0)),"hh:mm"),""),""))</f>
      </c>
      <c r="G10" s="50">
        <f>IF(O10="","",O10&amp;IFERROR(IF(AND(INDEX(Arten,MATCH(O10,Codes,0))="Arbeit",ISNUMBER(INDEX(Beginne,MATCH(O10,Codes,0)))),"  "&amp;TEXT(INDEX(Beginne,MATCH(O10,Codes,0)),"hh:mm")&amp;"–"&amp;TEXT(INDEX(Enden,MATCH(O10,Codes,0)),"hh:mm"),""),""))</f>
      </c>
      <c r="H10" s="50">
        <f>IF(P10="","",P10&amp;IFERROR(IF(AND(INDEX(Arten,MATCH(P10,Codes,0))="Arbeit",ISNUMBER(INDEX(Beginne,MATCH(P10,Codes,0)))),"  "&amp;TEXT(INDEX(Beginne,MATCH(P10,Codes,0)),"hh:mm")&amp;"–"&amp;TEXT(INDEX(Enden,MATCH(P10,Codes,0)),"hh:mm"),""),""))</f>
      </c>
      <c r="I10" s="51">
        <f>IF($A10="","",SUMPRODUCT(COUNTIF(J10:P10,Codes)*(Arten="Arbeit")*Erste*NettoTage))</f>
      </c>
      <c r="J10" s="1">
        <f>IF(OR($A10="",YEAR(B$4)&lt;&gt;Jahr),"",CHOOSE(MONTH(B$4),INDEX('Januar'!$B$10:$AF$10,DAY(B$4)),INDEX('Februar'!$B$10:$AF$10,DAY(B$4)),INDEX('März'!$B$10:$AF$10,DAY(B$4)),INDEX('April'!$B$10:$AF$10,DAY(B$4)),INDEX('Mai'!$B$10:$AF$10,DAY(B$4)),INDEX('Juni'!$B$10:$AF$10,DAY(B$4)),INDEX('Juli'!$B$10:$AF$10,DAY(B$4)),INDEX('August'!$B$10:$AF$10,DAY(B$4)),INDEX('September'!$B$10:$AF$10,DAY(B$4)),INDEX('Oktober'!$B$10:$AF$10,DAY(B$4)),INDEX('November'!$B$10:$AF$10,DAY(B$4)),INDEX('Dezember'!$B$10:$AF$10,DAY(B$4)))&amp;"")</f>
      </c>
      <c r="K10" s="1">
        <f>IF(OR($A10="",YEAR(C$4)&lt;&gt;Jahr),"",CHOOSE(MONTH(C$4),INDEX('Januar'!$B$10:$AF$10,DAY(C$4)),INDEX('Februar'!$B$10:$AF$10,DAY(C$4)),INDEX('März'!$B$10:$AF$10,DAY(C$4)),INDEX('April'!$B$10:$AF$10,DAY(C$4)),INDEX('Mai'!$B$10:$AF$10,DAY(C$4)),INDEX('Juni'!$B$10:$AF$10,DAY(C$4)),INDEX('Juli'!$B$10:$AF$10,DAY(C$4)),INDEX('August'!$B$10:$AF$10,DAY(C$4)),INDEX('September'!$B$10:$AF$10,DAY(C$4)),INDEX('Oktober'!$B$10:$AF$10,DAY(C$4)),INDEX('November'!$B$10:$AF$10,DAY(C$4)),INDEX('Dezember'!$B$10:$AF$10,DAY(C$4)))&amp;"")</f>
      </c>
      <c r="L10" s="1">
        <f>IF(OR($A10="",YEAR(D$4)&lt;&gt;Jahr),"",CHOOSE(MONTH(D$4),INDEX('Januar'!$B$10:$AF$10,DAY(D$4)),INDEX('Februar'!$B$10:$AF$10,DAY(D$4)),INDEX('März'!$B$10:$AF$10,DAY(D$4)),INDEX('April'!$B$10:$AF$10,DAY(D$4)),INDEX('Mai'!$B$10:$AF$10,DAY(D$4)),INDEX('Juni'!$B$10:$AF$10,DAY(D$4)),INDEX('Juli'!$B$10:$AF$10,DAY(D$4)),INDEX('August'!$B$10:$AF$10,DAY(D$4)),INDEX('September'!$B$10:$AF$10,DAY(D$4)),INDEX('Oktober'!$B$10:$AF$10,DAY(D$4)),INDEX('November'!$B$10:$AF$10,DAY(D$4)),INDEX('Dezember'!$B$10:$AF$10,DAY(D$4)))&amp;"")</f>
      </c>
      <c r="M10" s="1">
        <f>IF(OR($A10="",YEAR(E$4)&lt;&gt;Jahr),"",CHOOSE(MONTH(E$4),INDEX('Januar'!$B$10:$AF$10,DAY(E$4)),INDEX('Februar'!$B$10:$AF$10,DAY(E$4)),INDEX('März'!$B$10:$AF$10,DAY(E$4)),INDEX('April'!$B$10:$AF$10,DAY(E$4)),INDEX('Mai'!$B$10:$AF$10,DAY(E$4)),INDEX('Juni'!$B$10:$AF$10,DAY(E$4)),INDEX('Juli'!$B$10:$AF$10,DAY(E$4)),INDEX('August'!$B$10:$AF$10,DAY(E$4)),INDEX('September'!$B$10:$AF$10,DAY(E$4)),INDEX('Oktober'!$B$10:$AF$10,DAY(E$4)),INDEX('November'!$B$10:$AF$10,DAY(E$4)),INDEX('Dezember'!$B$10:$AF$10,DAY(E$4)))&amp;"")</f>
      </c>
      <c r="N10" s="1">
        <f>IF(OR($A10="",YEAR(F$4)&lt;&gt;Jahr),"",CHOOSE(MONTH(F$4),INDEX('Januar'!$B$10:$AF$10,DAY(F$4)),INDEX('Februar'!$B$10:$AF$10,DAY(F$4)),INDEX('März'!$B$10:$AF$10,DAY(F$4)),INDEX('April'!$B$10:$AF$10,DAY(F$4)),INDEX('Mai'!$B$10:$AF$10,DAY(F$4)),INDEX('Juni'!$B$10:$AF$10,DAY(F$4)),INDEX('Juli'!$B$10:$AF$10,DAY(F$4)),INDEX('August'!$B$10:$AF$10,DAY(F$4)),INDEX('September'!$B$10:$AF$10,DAY(F$4)),INDEX('Oktober'!$B$10:$AF$10,DAY(F$4)),INDEX('November'!$B$10:$AF$10,DAY(F$4)),INDEX('Dezember'!$B$10:$AF$10,DAY(F$4)))&amp;"")</f>
      </c>
      <c r="O10" s="1">
        <f>IF(OR($A10="",YEAR(G$4)&lt;&gt;Jahr),"",CHOOSE(MONTH(G$4),INDEX('Januar'!$B$10:$AF$10,DAY(G$4)),INDEX('Februar'!$B$10:$AF$10,DAY(G$4)),INDEX('März'!$B$10:$AF$10,DAY(G$4)),INDEX('April'!$B$10:$AF$10,DAY(G$4)),INDEX('Mai'!$B$10:$AF$10,DAY(G$4)),INDEX('Juni'!$B$10:$AF$10,DAY(G$4)),INDEX('Juli'!$B$10:$AF$10,DAY(G$4)),INDEX('August'!$B$10:$AF$10,DAY(G$4)),INDEX('September'!$B$10:$AF$10,DAY(G$4)),INDEX('Oktober'!$B$10:$AF$10,DAY(G$4)),INDEX('November'!$B$10:$AF$10,DAY(G$4)),INDEX('Dezember'!$B$10:$AF$10,DAY(G$4)))&amp;"")</f>
      </c>
      <c r="P10" s="1">
        <f>IF(OR($A10="",YEAR(H$4)&lt;&gt;Jahr),"",CHOOSE(MONTH(H$4),INDEX('Januar'!$B$10:$AF$10,DAY(H$4)),INDEX('Februar'!$B$10:$AF$10,DAY(H$4)),INDEX('März'!$B$10:$AF$10,DAY(H$4)),INDEX('April'!$B$10:$AF$10,DAY(H$4)),INDEX('Mai'!$B$10:$AF$10,DAY(H$4)),INDEX('Juni'!$B$10:$AF$10,DAY(H$4)),INDEX('Juli'!$B$10:$AF$10,DAY(H$4)),INDEX('August'!$B$10:$AF$10,DAY(H$4)),INDEX('September'!$B$10:$AF$10,DAY(H$4)),INDEX('Oktober'!$B$10:$AF$10,DAY(H$4)),INDEX('November'!$B$10:$AF$10,DAY(H$4)),INDEX('Dezember'!$B$10:$AF$10,DAY(H$4)))&amp;"")</f>
      </c>
    </row>
    <row r="11" ht="17" customHeight="1" spans="1:16" x14ac:dyDescent="0.25">
      <c r="A11" s="49">
        <f>Mitarbeiter!$A$10&amp;""</f>
      </c>
      <c r="B11" s="50">
        <f>IF(J11="","",J11&amp;IFERROR(IF(AND(INDEX(Arten,MATCH(J11,Codes,0))="Arbeit",ISNUMBER(INDEX(Beginne,MATCH(J11,Codes,0)))),"  "&amp;TEXT(INDEX(Beginne,MATCH(J11,Codes,0)),"hh:mm")&amp;"–"&amp;TEXT(INDEX(Enden,MATCH(J11,Codes,0)),"hh:mm"),""),""))</f>
      </c>
      <c r="C11" s="50">
        <f>IF(K11="","",K11&amp;IFERROR(IF(AND(INDEX(Arten,MATCH(K11,Codes,0))="Arbeit",ISNUMBER(INDEX(Beginne,MATCH(K11,Codes,0)))),"  "&amp;TEXT(INDEX(Beginne,MATCH(K11,Codes,0)),"hh:mm")&amp;"–"&amp;TEXT(INDEX(Enden,MATCH(K11,Codes,0)),"hh:mm"),""),""))</f>
      </c>
      <c r="D11" s="50">
        <f>IF(L11="","",L11&amp;IFERROR(IF(AND(INDEX(Arten,MATCH(L11,Codes,0))="Arbeit",ISNUMBER(INDEX(Beginne,MATCH(L11,Codes,0)))),"  "&amp;TEXT(INDEX(Beginne,MATCH(L11,Codes,0)),"hh:mm")&amp;"–"&amp;TEXT(INDEX(Enden,MATCH(L11,Codes,0)),"hh:mm"),""),""))</f>
      </c>
      <c r="E11" s="50">
        <f>IF(M11="","",M11&amp;IFERROR(IF(AND(INDEX(Arten,MATCH(M11,Codes,0))="Arbeit",ISNUMBER(INDEX(Beginne,MATCH(M11,Codes,0)))),"  "&amp;TEXT(INDEX(Beginne,MATCH(M11,Codes,0)),"hh:mm")&amp;"–"&amp;TEXT(INDEX(Enden,MATCH(M11,Codes,0)),"hh:mm"),""),""))</f>
      </c>
      <c r="F11" s="50">
        <f>IF(N11="","",N11&amp;IFERROR(IF(AND(INDEX(Arten,MATCH(N11,Codes,0))="Arbeit",ISNUMBER(INDEX(Beginne,MATCH(N11,Codes,0)))),"  "&amp;TEXT(INDEX(Beginne,MATCH(N11,Codes,0)),"hh:mm")&amp;"–"&amp;TEXT(INDEX(Enden,MATCH(N11,Codes,0)),"hh:mm"),""),""))</f>
      </c>
      <c r="G11" s="50">
        <f>IF(O11="","",O11&amp;IFERROR(IF(AND(INDEX(Arten,MATCH(O11,Codes,0))="Arbeit",ISNUMBER(INDEX(Beginne,MATCH(O11,Codes,0)))),"  "&amp;TEXT(INDEX(Beginne,MATCH(O11,Codes,0)),"hh:mm")&amp;"–"&amp;TEXT(INDEX(Enden,MATCH(O11,Codes,0)),"hh:mm"),""),""))</f>
      </c>
      <c r="H11" s="50">
        <f>IF(P11="","",P11&amp;IFERROR(IF(AND(INDEX(Arten,MATCH(P11,Codes,0))="Arbeit",ISNUMBER(INDEX(Beginne,MATCH(P11,Codes,0)))),"  "&amp;TEXT(INDEX(Beginne,MATCH(P11,Codes,0)),"hh:mm")&amp;"–"&amp;TEXT(INDEX(Enden,MATCH(P11,Codes,0)),"hh:mm"),""),""))</f>
      </c>
      <c r="I11" s="51">
        <f>IF($A11="","",SUMPRODUCT(COUNTIF(J11:P11,Codes)*(Arten="Arbeit")*Erste*NettoTage))</f>
      </c>
      <c r="J11" s="1">
        <f>IF(OR($A11="",YEAR(B$4)&lt;&gt;Jahr),"",CHOOSE(MONTH(B$4),INDEX('Januar'!$B$11:$AF$11,DAY(B$4)),INDEX('Februar'!$B$11:$AF$11,DAY(B$4)),INDEX('März'!$B$11:$AF$11,DAY(B$4)),INDEX('April'!$B$11:$AF$11,DAY(B$4)),INDEX('Mai'!$B$11:$AF$11,DAY(B$4)),INDEX('Juni'!$B$11:$AF$11,DAY(B$4)),INDEX('Juli'!$B$11:$AF$11,DAY(B$4)),INDEX('August'!$B$11:$AF$11,DAY(B$4)),INDEX('September'!$B$11:$AF$11,DAY(B$4)),INDEX('Oktober'!$B$11:$AF$11,DAY(B$4)),INDEX('November'!$B$11:$AF$11,DAY(B$4)),INDEX('Dezember'!$B$11:$AF$11,DAY(B$4)))&amp;"")</f>
      </c>
      <c r="K11" s="1">
        <f>IF(OR($A11="",YEAR(C$4)&lt;&gt;Jahr),"",CHOOSE(MONTH(C$4),INDEX('Januar'!$B$11:$AF$11,DAY(C$4)),INDEX('Februar'!$B$11:$AF$11,DAY(C$4)),INDEX('März'!$B$11:$AF$11,DAY(C$4)),INDEX('April'!$B$11:$AF$11,DAY(C$4)),INDEX('Mai'!$B$11:$AF$11,DAY(C$4)),INDEX('Juni'!$B$11:$AF$11,DAY(C$4)),INDEX('Juli'!$B$11:$AF$11,DAY(C$4)),INDEX('August'!$B$11:$AF$11,DAY(C$4)),INDEX('September'!$B$11:$AF$11,DAY(C$4)),INDEX('Oktober'!$B$11:$AF$11,DAY(C$4)),INDEX('November'!$B$11:$AF$11,DAY(C$4)),INDEX('Dezember'!$B$11:$AF$11,DAY(C$4)))&amp;"")</f>
      </c>
      <c r="L11" s="1">
        <f>IF(OR($A11="",YEAR(D$4)&lt;&gt;Jahr),"",CHOOSE(MONTH(D$4),INDEX('Januar'!$B$11:$AF$11,DAY(D$4)),INDEX('Februar'!$B$11:$AF$11,DAY(D$4)),INDEX('März'!$B$11:$AF$11,DAY(D$4)),INDEX('April'!$B$11:$AF$11,DAY(D$4)),INDEX('Mai'!$B$11:$AF$11,DAY(D$4)),INDEX('Juni'!$B$11:$AF$11,DAY(D$4)),INDEX('Juli'!$B$11:$AF$11,DAY(D$4)),INDEX('August'!$B$11:$AF$11,DAY(D$4)),INDEX('September'!$B$11:$AF$11,DAY(D$4)),INDEX('Oktober'!$B$11:$AF$11,DAY(D$4)),INDEX('November'!$B$11:$AF$11,DAY(D$4)),INDEX('Dezember'!$B$11:$AF$11,DAY(D$4)))&amp;"")</f>
      </c>
      <c r="M11" s="1">
        <f>IF(OR($A11="",YEAR(E$4)&lt;&gt;Jahr),"",CHOOSE(MONTH(E$4),INDEX('Januar'!$B$11:$AF$11,DAY(E$4)),INDEX('Februar'!$B$11:$AF$11,DAY(E$4)),INDEX('März'!$B$11:$AF$11,DAY(E$4)),INDEX('April'!$B$11:$AF$11,DAY(E$4)),INDEX('Mai'!$B$11:$AF$11,DAY(E$4)),INDEX('Juni'!$B$11:$AF$11,DAY(E$4)),INDEX('Juli'!$B$11:$AF$11,DAY(E$4)),INDEX('August'!$B$11:$AF$11,DAY(E$4)),INDEX('September'!$B$11:$AF$11,DAY(E$4)),INDEX('Oktober'!$B$11:$AF$11,DAY(E$4)),INDEX('November'!$B$11:$AF$11,DAY(E$4)),INDEX('Dezember'!$B$11:$AF$11,DAY(E$4)))&amp;"")</f>
      </c>
      <c r="N11" s="1">
        <f>IF(OR($A11="",YEAR(F$4)&lt;&gt;Jahr),"",CHOOSE(MONTH(F$4),INDEX('Januar'!$B$11:$AF$11,DAY(F$4)),INDEX('Februar'!$B$11:$AF$11,DAY(F$4)),INDEX('März'!$B$11:$AF$11,DAY(F$4)),INDEX('April'!$B$11:$AF$11,DAY(F$4)),INDEX('Mai'!$B$11:$AF$11,DAY(F$4)),INDEX('Juni'!$B$11:$AF$11,DAY(F$4)),INDEX('Juli'!$B$11:$AF$11,DAY(F$4)),INDEX('August'!$B$11:$AF$11,DAY(F$4)),INDEX('September'!$B$11:$AF$11,DAY(F$4)),INDEX('Oktober'!$B$11:$AF$11,DAY(F$4)),INDEX('November'!$B$11:$AF$11,DAY(F$4)),INDEX('Dezember'!$B$11:$AF$11,DAY(F$4)))&amp;"")</f>
      </c>
      <c r="O11" s="1">
        <f>IF(OR($A11="",YEAR(G$4)&lt;&gt;Jahr),"",CHOOSE(MONTH(G$4),INDEX('Januar'!$B$11:$AF$11,DAY(G$4)),INDEX('Februar'!$B$11:$AF$11,DAY(G$4)),INDEX('März'!$B$11:$AF$11,DAY(G$4)),INDEX('April'!$B$11:$AF$11,DAY(G$4)),INDEX('Mai'!$B$11:$AF$11,DAY(G$4)),INDEX('Juni'!$B$11:$AF$11,DAY(G$4)),INDEX('Juli'!$B$11:$AF$11,DAY(G$4)),INDEX('August'!$B$11:$AF$11,DAY(G$4)),INDEX('September'!$B$11:$AF$11,DAY(G$4)),INDEX('Oktober'!$B$11:$AF$11,DAY(G$4)),INDEX('November'!$B$11:$AF$11,DAY(G$4)),INDEX('Dezember'!$B$11:$AF$11,DAY(G$4)))&amp;"")</f>
      </c>
      <c r="P11" s="1">
        <f>IF(OR($A11="",YEAR(H$4)&lt;&gt;Jahr),"",CHOOSE(MONTH(H$4),INDEX('Januar'!$B$11:$AF$11,DAY(H$4)),INDEX('Februar'!$B$11:$AF$11,DAY(H$4)),INDEX('März'!$B$11:$AF$11,DAY(H$4)),INDEX('April'!$B$11:$AF$11,DAY(H$4)),INDEX('Mai'!$B$11:$AF$11,DAY(H$4)),INDEX('Juni'!$B$11:$AF$11,DAY(H$4)),INDEX('Juli'!$B$11:$AF$11,DAY(H$4)),INDEX('August'!$B$11:$AF$11,DAY(H$4)),INDEX('September'!$B$11:$AF$11,DAY(H$4)),INDEX('Oktober'!$B$11:$AF$11,DAY(H$4)),INDEX('November'!$B$11:$AF$11,DAY(H$4)),INDEX('Dezember'!$B$11:$AF$11,DAY(H$4)))&amp;"")</f>
      </c>
    </row>
    <row r="12" ht="17" customHeight="1" spans="1:16" x14ac:dyDescent="0.25">
      <c r="A12" s="49">
        <f>Mitarbeiter!$A$11&amp;""</f>
      </c>
      <c r="B12" s="50">
        <f>IF(J12="","",J12&amp;IFERROR(IF(AND(INDEX(Arten,MATCH(J12,Codes,0))="Arbeit",ISNUMBER(INDEX(Beginne,MATCH(J12,Codes,0)))),"  "&amp;TEXT(INDEX(Beginne,MATCH(J12,Codes,0)),"hh:mm")&amp;"–"&amp;TEXT(INDEX(Enden,MATCH(J12,Codes,0)),"hh:mm"),""),""))</f>
      </c>
      <c r="C12" s="50">
        <f>IF(K12="","",K12&amp;IFERROR(IF(AND(INDEX(Arten,MATCH(K12,Codes,0))="Arbeit",ISNUMBER(INDEX(Beginne,MATCH(K12,Codes,0)))),"  "&amp;TEXT(INDEX(Beginne,MATCH(K12,Codes,0)),"hh:mm")&amp;"–"&amp;TEXT(INDEX(Enden,MATCH(K12,Codes,0)),"hh:mm"),""),""))</f>
      </c>
      <c r="D12" s="50">
        <f>IF(L12="","",L12&amp;IFERROR(IF(AND(INDEX(Arten,MATCH(L12,Codes,0))="Arbeit",ISNUMBER(INDEX(Beginne,MATCH(L12,Codes,0)))),"  "&amp;TEXT(INDEX(Beginne,MATCH(L12,Codes,0)),"hh:mm")&amp;"–"&amp;TEXT(INDEX(Enden,MATCH(L12,Codes,0)),"hh:mm"),""),""))</f>
      </c>
      <c r="E12" s="50">
        <f>IF(M12="","",M12&amp;IFERROR(IF(AND(INDEX(Arten,MATCH(M12,Codes,0))="Arbeit",ISNUMBER(INDEX(Beginne,MATCH(M12,Codes,0)))),"  "&amp;TEXT(INDEX(Beginne,MATCH(M12,Codes,0)),"hh:mm")&amp;"–"&amp;TEXT(INDEX(Enden,MATCH(M12,Codes,0)),"hh:mm"),""),""))</f>
      </c>
      <c r="F12" s="50">
        <f>IF(N12="","",N12&amp;IFERROR(IF(AND(INDEX(Arten,MATCH(N12,Codes,0))="Arbeit",ISNUMBER(INDEX(Beginne,MATCH(N12,Codes,0)))),"  "&amp;TEXT(INDEX(Beginne,MATCH(N12,Codes,0)),"hh:mm")&amp;"–"&amp;TEXT(INDEX(Enden,MATCH(N12,Codes,0)),"hh:mm"),""),""))</f>
      </c>
      <c r="G12" s="50">
        <f>IF(O12="","",O12&amp;IFERROR(IF(AND(INDEX(Arten,MATCH(O12,Codes,0))="Arbeit",ISNUMBER(INDEX(Beginne,MATCH(O12,Codes,0)))),"  "&amp;TEXT(INDEX(Beginne,MATCH(O12,Codes,0)),"hh:mm")&amp;"–"&amp;TEXT(INDEX(Enden,MATCH(O12,Codes,0)),"hh:mm"),""),""))</f>
      </c>
      <c r="H12" s="50">
        <f>IF(P12="","",P12&amp;IFERROR(IF(AND(INDEX(Arten,MATCH(P12,Codes,0))="Arbeit",ISNUMBER(INDEX(Beginne,MATCH(P12,Codes,0)))),"  "&amp;TEXT(INDEX(Beginne,MATCH(P12,Codes,0)),"hh:mm")&amp;"–"&amp;TEXT(INDEX(Enden,MATCH(P12,Codes,0)),"hh:mm"),""),""))</f>
      </c>
      <c r="I12" s="51">
        <f>IF($A12="","",SUMPRODUCT(COUNTIF(J12:P12,Codes)*(Arten="Arbeit")*Erste*NettoTage))</f>
      </c>
      <c r="J12" s="1">
        <f>IF(OR($A12="",YEAR(B$4)&lt;&gt;Jahr),"",CHOOSE(MONTH(B$4),INDEX('Januar'!$B$12:$AF$12,DAY(B$4)),INDEX('Februar'!$B$12:$AF$12,DAY(B$4)),INDEX('März'!$B$12:$AF$12,DAY(B$4)),INDEX('April'!$B$12:$AF$12,DAY(B$4)),INDEX('Mai'!$B$12:$AF$12,DAY(B$4)),INDEX('Juni'!$B$12:$AF$12,DAY(B$4)),INDEX('Juli'!$B$12:$AF$12,DAY(B$4)),INDEX('August'!$B$12:$AF$12,DAY(B$4)),INDEX('September'!$B$12:$AF$12,DAY(B$4)),INDEX('Oktober'!$B$12:$AF$12,DAY(B$4)),INDEX('November'!$B$12:$AF$12,DAY(B$4)),INDEX('Dezember'!$B$12:$AF$12,DAY(B$4)))&amp;"")</f>
      </c>
      <c r="K12" s="1">
        <f>IF(OR($A12="",YEAR(C$4)&lt;&gt;Jahr),"",CHOOSE(MONTH(C$4),INDEX('Januar'!$B$12:$AF$12,DAY(C$4)),INDEX('Februar'!$B$12:$AF$12,DAY(C$4)),INDEX('März'!$B$12:$AF$12,DAY(C$4)),INDEX('April'!$B$12:$AF$12,DAY(C$4)),INDEX('Mai'!$B$12:$AF$12,DAY(C$4)),INDEX('Juni'!$B$12:$AF$12,DAY(C$4)),INDEX('Juli'!$B$12:$AF$12,DAY(C$4)),INDEX('August'!$B$12:$AF$12,DAY(C$4)),INDEX('September'!$B$12:$AF$12,DAY(C$4)),INDEX('Oktober'!$B$12:$AF$12,DAY(C$4)),INDEX('November'!$B$12:$AF$12,DAY(C$4)),INDEX('Dezember'!$B$12:$AF$12,DAY(C$4)))&amp;"")</f>
      </c>
      <c r="L12" s="1">
        <f>IF(OR($A12="",YEAR(D$4)&lt;&gt;Jahr),"",CHOOSE(MONTH(D$4),INDEX('Januar'!$B$12:$AF$12,DAY(D$4)),INDEX('Februar'!$B$12:$AF$12,DAY(D$4)),INDEX('März'!$B$12:$AF$12,DAY(D$4)),INDEX('April'!$B$12:$AF$12,DAY(D$4)),INDEX('Mai'!$B$12:$AF$12,DAY(D$4)),INDEX('Juni'!$B$12:$AF$12,DAY(D$4)),INDEX('Juli'!$B$12:$AF$12,DAY(D$4)),INDEX('August'!$B$12:$AF$12,DAY(D$4)),INDEX('September'!$B$12:$AF$12,DAY(D$4)),INDEX('Oktober'!$B$12:$AF$12,DAY(D$4)),INDEX('November'!$B$12:$AF$12,DAY(D$4)),INDEX('Dezember'!$B$12:$AF$12,DAY(D$4)))&amp;"")</f>
      </c>
      <c r="M12" s="1">
        <f>IF(OR($A12="",YEAR(E$4)&lt;&gt;Jahr),"",CHOOSE(MONTH(E$4),INDEX('Januar'!$B$12:$AF$12,DAY(E$4)),INDEX('Februar'!$B$12:$AF$12,DAY(E$4)),INDEX('März'!$B$12:$AF$12,DAY(E$4)),INDEX('April'!$B$12:$AF$12,DAY(E$4)),INDEX('Mai'!$B$12:$AF$12,DAY(E$4)),INDEX('Juni'!$B$12:$AF$12,DAY(E$4)),INDEX('Juli'!$B$12:$AF$12,DAY(E$4)),INDEX('August'!$B$12:$AF$12,DAY(E$4)),INDEX('September'!$B$12:$AF$12,DAY(E$4)),INDEX('Oktober'!$B$12:$AF$12,DAY(E$4)),INDEX('November'!$B$12:$AF$12,DAY(E$4)),INDEX('Dezember'!$B$12:$AF$12,DAY(E$4)))&amp;"")</f>
      </c>
      <c r="N12" s="1">
        <f>IF(OR($A12="",YEAR(F$4)&lt;&gt;Jahr),"",CHOOSE(MONTH(F$4),INDEX('Januar'!$B$12:$AF$12,DAY(F$4)),INDEX('Februar'!$B$12:$AF$12,DAY(F$4)),INDEX('März'!$B$12:$AF$12,DAY(F$4)),INDEX('April'!$B$12:$AF$12,DAY(F$4)),INDEX('Mai'!$B$12:$AF$12,DAY(F$4)),INDEX('Juni'!$B$12:$AF$12,DAY(F$4)),INDEX('Juli'!$B$12:$AF$12,DAY(F$4)),INDEX('August'!$B$12:$AF$12,DAY(F$4)),INDEX('September'!$B$12:$AF$12,DAY(F$4)),INDEX('Oktober'!$B$12:$AF$12,DAY(F$4)),INDEX('November'!$B$12:$AF$12,DAY(F$4)),INDEX('Dezember'!$B$12:$AF$12,DAY(F$4)))&amp;"")</f>
      </c>
      <c r="O12" s="1">
        <f>IF(OR($A12="",YEAR(G$4)&lt;&gt;Jahr),"",CHOOSE(MONTH(G$4),INDEX('Januar'!$B$12:$AF$12,DAY(G$4)),INDEX('Februar'!$B$12:$AF$12,DAY(G$4)),INDEX('März'!$B$12:$AF$12,DAY(G$4)),INDEX('April'!$B$12:$AF$12,DAY(G$4)),INDEX('Mai'!$B$12:$AF$12,DAY(G$4)),INDEX('Juni'!$B$12:$AF$12,DAY(G$4)),INDEX('Juli'!$B$12:$AF$12,DAY(G$4)),INDEX('August'!$B$12:$AF$12,DAY(G$4)),INDEX('September'!$B$12:$AF$12,DAY(G$4)),INDEX('Oktober'!$B$12:$AF$12,DAY(G$4)),INDEX('November'!$B$12:$AF$12,DAY(G$4)),INDEX('Dezember'!$B$12:$AF$12,DAY(G$4)))&amp;"")</f>
      </c>
      <c r="P12" s="1">
        <f>IF(OR($A12="",YEAR(H$4)&lt;&gt;Jahr),"",CHOOSE(MONTH(H$4),INDEX('Januar'!$B$12:$AF$12,DAY(H$4)),INDEX('Februar'!$B$12:$AF$12,DAY(H$4)),INDEX('März'!$B$12:$AF$12,DAY(H$4)),INDEX('April'!$B$12:$AF$12,DAY(H$4)),INDEX('Mai'!$B$12:$AF$12,DAY(H$4)),INDEX('Juni'!$B$12:$AF$12,DAY(H$4)),INDEX('Juli'!$B$12:$AF$12,DAY(H$4)),INDEX('August'!$B$12:$AF$12,DAY(H$4)),INDEX('September'!$B$12:$AF$12,DAY(H$4)),INDEX('Oktober'!$B$12:$AF$12,DAY(H$4)),INDEX('November'!$B$12:$AF$12,DAY(H$4)),INDEX('Dezember'!$B$12:$AF$12,DAY(H$4)))&amp;"")</f>
      </c>
    </row>
    <row r="13" ht="17" customHeight="1" spans="1:16" x14ac:dyDescent="0.25">
      <c r="A13" s="49">
        <f>Mitarbeiter!$A$12&amp;""</f>
      </c>
      <c r="B13" s="50">
        <f>IF(J13="","",J13&amp;IFERROR(IF(AND(INDEX(Arten,MATCH(J13,Codes,0))="Arbeit",ISNUMBER(INDEX(Beginne,MATCH(J13,Codes,0)))),"  "&amp;TEXT(INDEX(Beginne,MATCH(J13,Codes,0)),"hh:mm")&amp;"–"&amp;TEXT(INDEX(Enden,MATCH(J13,Codes,0)),"hh:mm"),""),""))</f>
      </c>
      <c r="C13" s="50">
        <f>IF(K13="","",K13&amp;IFERROR(IF(AND(INDEX(Arten,MATCH(K13,Codes,0))="Arbeit",ISNUMBER(INDEX(Beginne,MATCH(K13,Codes,0)))),"  "&amp;TEXT(INDEX(Beginne,MATCH(K13,Codes,0)),"hh:mm")&amp;"–"&amp;TEXT(INDEX(Enden,MATCH(K13,Codes,0)),"hh:mm"),""),""))</f>
      </c>
      <c r="D13" s="50">
        <f>IF(L13="","",L13&amp;IFERROR(IF(AND(INDEX(Arten,MATCH(L13,Codes,0))="Arbeit",ISNUMBER(INDEX(Beginne,MATCH(L13,Codes,0)))),"  "&amp;TEXT(INDEX(Beginne,MATCH(L13,Codes,0)),"hh:mm")&amp;"–"&amp;TEXT(INDEX(Enden,MATCH(L13,Codes,0)),"hh:mm"),""),""))</f>
      </c>
      <c r="E13" s="50">
        <f>IF(M13="","",M13&amp;IFERROR(IF(AND(INDEX(Arten,MATCH(M13,Codes,0))="Arbeit",ISNUMBER(INDEX(Beginne,MATCH(M13,Codes,0)))),"  "&amp;TEXT(INDEX(Beginne,MATCH(M13,Codes,0)),"hh:mm")&amp;"–"&amp;TEXT(INDEX(Enden,MATCH(M13,Codes,0)),"hh:mm"),""),""))</f>
      </c>
      <c r="F13" s="50">
        <f>IF(N13="","",N13&amp;IFERROR(IF(AND(INDEX(Arten,MATCH(N13,Codes,0))="Arbeit",ISNUMBER(INDEX(Beginne,MATCH(N13,Codes,0)))),"  "&amp;TEXT(INDEX(Beginne,MATCH(N13,Codes,0)),"hh:mm")&amp;"–"&amp;TEXT(INDEX(Enden,MATCH(N13,Codes,0)),"hh:mm"),""),""))</f>
      </c>
      <c r="G13" s="50">
        <f>IF(O13="","",O13&amp;IFERROR(IF(AND(INDEX(Arten,MATCH(O13,Codes,0))="Arbeit",ISNUMBER(INDEX(Beginne,MATCH(O13,Codes,0)))),"  "&amp;TEXT(INDEX(Beginne,MATCH(O13,Codes,0)),"hh:mm")&amp;"–"&amp;TEXT(INDEX(Enden,MATCH(O13,Codes,0)),"hh:mm"),""),""))</f>
      </c>
      <c r="H13" s="50">
        <f>IF(P13="","",P13&amp;IFERROR(IF(AND(INDEX(Arten,MATCH(P13,Codes,0))="Arbeit",ISNUMBER(INDEX(Beginne,MATCH(P13,Codes,0)))),"  "&amp;TEXT(INDEX(Beginne,MATCH(P13,Codes,0)),"hh:mm")&amp;"–"&amp;TEXT(INDEX(Enden,MATCH(P13,Codes,0)),"hh:mm"),""),""))</f>
      </c>
      <c r="I13" s="51">
        <f>IF($A13="","",SUMPRODUCT(COUNTIF(J13:P13,Codes)*(Arten="Arbeit")*Erste*NettoTage))</f>
      </c>
      <c r="J13" s="1">
        <f>IF(OR($A13="",YEAR(B$4)&lt;&gt;Jahr),"",CHOOSE(MONTH(B$4),INDEX('Januar'!$B$13:$AF$13,DAY(B$4)),INDEX('Februar'!$B$13:$AF$13,DAY(B$4)),INDEX('März'!$B$13:$AF$13,DAY(B$4)),INDEX('April'!$B$13:$AF$13,DAY(B$4)),INDEX('Mai'!$B$13:$AF$13,DAY(B$4)),INDEX('Juni'!$B$13:$AF$13,DAY(B$4)),INDEX('Juli'!$B$13:$AF$13,DAY(B$4)),INDEX('August'!$B$13:$AF$13,DAY(B$4)),INDEX('September'!$B$13:$AF$13,DAY(B$4)),INDEX('Oktober'!$B$13:$AF$13,DAY(B$4)),INDEX('November'!$B$13:$AF$13,DAY(B$4)),INDEX('Dezember'!$B$13:$AF$13,DAY(B$4)))&amp;"")</f>
      </c>
      <c r="K13" s="1">
        <f>IF(OR($A13="",YEAR(C$4)&lt;&gt;Jahr),"",CHOOSE(MONTH(C$4),INDEX('Januar'!$B$13:$AF$13,DAY(C$4)),INDEX('Februar'!$B$13:$AF$13,DAY(C$4)),INDEX('März'!$B$13:$AF$13,DAY(C$4)),INDEX('April'!$B$13:$AF$13,DAY(C$4)),INDEX('Mai'!$B$13:$AF$13,DAY(C$4)),INDEX('Juni'!$B$13:$AF$13,DAY(C$4)),INDEX('Juli'!$B$13:$AF$13,DAY(C$4)),INDEX('August'!$B$13:$AF$13,DAY(C$4)),INDEX('September'!$B$13:$AF$13,DAY(C$4)),INDEX('Oktober'!$B$13:$AF$13,DAY(C$4)),INDEX('November'!$B$13:$AF$13,DAY(C$4)),INDEX('Dezember'!$B$13:$AF$13,DAY(C$4)))&amp;"")</f>
      </c>
      <c r="L13" s="1">
        <f>IF(OR($A13="",YEAR(D$4)&lt;&gt;Jahr),"",CHOOSE(MONTH(D$4),INDEX('Januar'!$B$13:$AF$13,DAY(D$4)),INDEX('Februar'!$B$13:$AF$13,DAY(D$4)),INDEX('März'!$B$13:$AF$13,DAY(D$4)),INDEX('April'!$B$13:$AF$13,DAY(D$4)),INDEX('Mai'!$B$13:$AF$13,DAY(D$4)),INDEX('Juni'!$B$13:$AF$13,DAY(D$4)),INDEX('Juli'!$B$13:$AF$13,DAY(D$4)),INDEX('August'!$B$13:$AF$13,DAY(D$4)),INDEX('September'!$B$13:$AF$13,DAY(D$4)),INDEX('Oktober'!$B$13:$AF$13,DAY(D$4)),INDEX('November'!$B$13:$AF$13,DAY(D$4)),INDEX('Dezember'!$B$13:$AF$13,DAY(D$4)))&amp;"")</f>
      </c>
      <c r="M13" s="1">
        <f>IF(OR($A13="",YEAR(E$4)&lt;&gt;Jahr),"",CHOOSE(MONTH(E$4),INDEX('Januar'!$B$13:$AF$13,DAY(E$4)),INDEX('Februar'!$B$13:$AF$13,DAY(E$4)),INDEX('März'!$B$13:$AF$13,DAY(E$4)),INDEX('April'!$B$13:$AF$13,DAY(E$4)),INDEX('Mai'!$B$13:$AF$13,DAY(E$4)),INDEX('Juni'!$B$13:$AF$13,DAY(E$4)),INDEX('Juli'!$B$13:$AF$13,DAY(E$4)),INDEX('August'!$B$13:$AF$13,DAY(E$4)),INDEX('September'!$B$13:$AF$13,DAY(E$4)),INDEX('Oktober'!$B$13:$AF$13,DAY(E$4)),INDEX('November'!$B$13:$AF$13,DAY(E$4)),INDEX('Dezember'!$B$13:$AF$13,DAY(E$4)))&amp;"")</f>
      </c>
      <c r="N13" s="1">
        <f>IF(OR($A13="",YEAR(F$4)&lt;&gt;Jahr),"",CHOOSE(MONTH(F$4),INDEX('Januar'!$B$13:$AF$13,DAY(F$4)),INDEX('Februar'!$B$13:$AF$13,DAY(F$4)),INDEX('März'!$B$13:$AF$13,DAY(F$4)),INDEX('April'!$B$13:$AF$13,DAY(F$4)),INDEX('Mai'!$B$13:$AF$13,DAY(F$4)),INDEX('Juni'!$B$13:$AF$13,DAY(F$4)),INDEX('Juli'!$B$13:$AF$13,DAY(F$4)),INDEX('August'!$B$13:$AF$13,DAY(F$4)),INDEX('September'!$B$13:$AF$13,DAY(F$4)),INDEX('Oktober'!$B$13:$AF$13,DAY(F$4)),INDEX('November'!$B$13:$AF$13,DAY(F$4)),INDEX('Dezember'!$B$13:$AF$13,DAY(F$4)))&amp;"")</f>
      </c>
      <c r="O13" s="1">
        <f>IF(OR($A13="",YEAR(G$4)&lt;&gt;Jahr),"",CHOOSE(MONTH(G$4),INDEX('Januar'!$B$13:$AF$13,DAY(G$4)),INDEX('Februar'!$B$13:$AF$13,DAY(G$4)),INDEX('März'!$B$13:$AF$13,DAY(G$4)),INDEX('April'!$B$13:$AF$13,DAY(G$4)),INDEX('Mai'!$B$13:$AF$13,DAY(G$4)),INDEX('Juni'!$B$13:$AF$13,DAY(G$4)),INDEX('Juli'!$B$13:$AF$13,DAY(G$4)),INDEX('August'!$B$13:$AF$13,DAY(G$4)),INDEX('September'!$B$13:$AF$13,DAY(G$4)),INDEX('Oktober'!$B$13:$AF$13,DAY(G$4)),INDEX('November'!$B$13:$AF$13,DAY(G$4)),INDEX('Dezember'!$B$13:$AF$13,DAY(G$4)))&amp;"")</f>
      </c>
      <c r="P13" s="1">
        <f>IF(OR($A13="",YEAR(H$4)&lt;&gt;Jahr),"",CHOOSE(MONTH(H$4),INDEX('Januar'!$B$13:$AF$13,DAY(H$4)),INDEX('Februar'!$B$13:$AF$13,DAY(H$4)),INDEX('März'!$B$13:$AF$13,DAY(H$4)),INDEX('April'!$B$13:$AF$13,DAY(H$4)),INDEX('Mai'!$B$13:$AF$13,DAY(H$4)),INDEX('Juni'!$B$13:$AF$13,DAY(H$4)),INDEX('Juli'!$B$13:$AF$13,DAY(H$4)),INDEX('August'!$B$13:$AF$13,DAY(H$4)),INDEX('September'!$B$13:$AF$13,DAY(H$4)),INDEX('Oktober'!$B$13:$AF$13,DAY(H$4)),INDEX('November'!$B$13:$AF$13,DAY(H$4)),INDEX('Dezember'!$B$13:$AF$13,DAY(H$4)))&amp;"")</f>
      </c>
    </row>
    <row r="14" ht="17" customHeight="1" spans="1:16" x14ac:dyDescent="0.25">
      <c r="A14" s="49">
        <f>Mitarbeiter!$A$13&amp;""</f>
      </c>
      <c r="B14" s="50">
        <f>IF(J14="","",J14&amp;IFERROR(IF(AND(INDEX(Arten,MATCH(J14,Codes,0))="Arbeit",ISNUMBER(INDEX(Beginne,MATCH(J14,Codes,0)))),"  "&amp;TEXT(INDEX(Beginne,MATCH(J14,Codes,0)),"hh:mm")&amp;"–"&amp;TEXT(INDEX(Enden,MATCH(J14,Codes,0)),"hh:mm"),""),""))</f>
      </c>
      <c r="C14" s="50">
        <f>IF(K14="","",K14&amp;IFERROR(IF(AND(INDEX(Arten,MATCH(K14,Codes,0))="Arbeit",ISNUMBER(INDEX(Beginne,MATCH(K14,Codes,0)))),"  "&amp;TEXT(INDEX(Beginne,MATCH(K14,Codes,0)),"hh:mm")&amp;"–"&amp;TEXT(INDEX(Enden,MATCH(K14,Codes,0)),"hh:mm"),""),""))</f>
      </c>
      <c r="D14" s="50">
        <f>IF(L14="","",L14&amp;IFERROR(IF(AND(INDEX(Arten,MATCH(L14,Codes,0))="Arbeit",ISNUMBER(INDEX(Beginne,MATCH(L14,Codes,0)))),"  "&amp;TEXT(INDEX(Beginne,MATCH(L14,Codes,0)),"hh:mm")&amp;"–"&amp;TEXT(INDEX(Enden,MATCH(L14,Codes,0)),"hh:mm"),""),""))</f>
      </c>
      <c r="E14" s="50">
        <f>IF(M14="","",M14&amp;IFERROR(IF(AND(INDEX(Arten,MATCH(M14,Codes,0))="Arbeit",ISNUMBER(INDEX(Beginne,MATCH(M14,Codes,0)))),"  "&amp;TEXT(INDEX(Beginne,MATCH(M14,Codes,0)),"hh:mm")&amp;"–"&amp;TEXT(INDEX(Enden,MATCH(M14,Codes,0)),"hh:mm"),""),""))</f>
      </c>
      <c r="F14" s="50">
        <f>IF(N14="","",N14&amp;IFERROR(IF(AND(INDEX(Arten,MATCH(N14,Codes,0))="Arbeit",ISNUMBER(INDEX(Beginne,MATCH(N14,Codes,0)))),"  "&amp;TEXT(INDEX(Beginne,MATCH(N14,Codes,0)),"hh:mm")&amp;"–"&amp;TEXT(INDEX(Enden,MATCH(N14,Codes,0)),"hh:mm"),""),""))</f>
      </c>
      <c r="G14" s="50">
        <f>IF(O14="","",O14&amp;IFERROR(IF(AND(INDEX(Arten,MATCH(O14,Codes,0))="Arbeit",ISNUMBER(INDEX(Beginne,MATCH(O14,Codes,0)))),"  "&amp;TEXT(INDEX(Beginne,MATCH(O14,Codes,0)),"hh:mm")&amp;"–"&amp;TEXT(INDEX(Enden,MATCH(O14,Codes,0)),"hh:mm"),""),""))</f>
      </c>
      <c r="H14" s="50">
        <f>IF(P14="","",P14&amp;IFERROR(IF(AND(INDEX(Arten,MATCH(P14,Codes,0))="Arbeit",ISNUMBER(INDEX(Beginne,MATCH(P14,Codes,0)))),"  "&amp;TEXT(INDEX(Beginne,MATCH(P14,Codes,0)),"hh:mm")&amp;"–"&amp;TEXT(INDEX(Enden,MATCH(P14,Codes,0)),"hh:mm"),""),""))</f>
      </c>
      <c r="I14" s="51">
        <f>IF($A14="","",SUMPRODUCT(COUNTIF(J14:P14,Codes)*(Arten="Arbeit")*Erste*NettoTage))</f>
      </c>
      <c r="J14" s="1">
        <f>IF(OR($A14="",YEAR(B$4)&lt;&gt;Jahr),"",CHOOSE(MONTH(B$4),INDEX('Januar'!$B$14:$AF$14,DAY(B$4)),INDEX('Februar'!$B$14:$AF$14,DAY(B$4)),INDEX('März'!$B$14:$AF$14,DAY(B$4)),INDEX('April'!$B$14:$AF$14,DAY(B$4)),INDEX('Mai'!$B$14:$AF$14,DAY(B$4)),INDEX('Juni'!$B$14:$AF$14,DAY(B$4)),INDEX('Juli'!$B$14:$AF$14,DAY(B$4)),INDEX('August'!$B$14:$AF$14,DAY(B$4)),INDEX('September'!$B$14:$AF$14,DAY(B$4)),INDEX('Oktober'!$B$14:$AF$14,DAY(B$4)),INDEX('November'!$B$14:$AF$14,DAY(B$4)),INDEX('Dezember'!$B$14:$AF$14,DAY(B$4)))&amp;"")</f>
      </c>
      <c r="K14" s="1">
        <f>IF(OR($A14="",YEAR(C$4)&lt;&gt;Jahr),"",CHOOSE(MONTH(C$4),INDEX('Januar'!$B$14:$AF$14,DAY(C$4)),INDEX('Februar'!$B$14:$AF$14,DAY(C$4)),INDEX('März'!$B$14:$AF$14,DAY(C$4)),INDEX('April'!$B$14:$AF$14,DAY(C$4)),INDEX('Mai'!$B$14:$AF$14,DAY(C$4)),INDEX('Juni'!$B$14:$AF$14,DAY(C$4)),INDEX('Juli'!$B$14:$AF$14,DAY(C$4)),INDEX('August'!$B$14:$AF$14,DAY(C$4)),INDEX('September'!$B$14:$AF$14,DAY(C$4)),INDEX('Oktober'!$B$14:$AF$14,DAY(C$4)),INDEX('November'!$B$14:$AF$14,DAY(C$4)),INDEX('Dezember'!$B$14:$AF$14,DAY(C$4)))&amp;"")</f>
      </c>
      <c r="L14" s="1">
        <f>IF(OR($A14="",YEAR(D$4)&lt;&gt;Jahr),"",CHOOSE(MONTH(D$4),INDEX('Januar'!$B$14:$AF$14,DAY(D$4)),INDEX('Februar'!$B$14:$AF$14,DAY(D$4)),INDEX('März'!$B$14:$AF$14,DAY(D$4)),INDEX('April'!$B$14:$AF$14,DAY(D$4)),INDEX('Mai'!$B$14:$AF$14,DAY(D$4)),INDEX('Juni'!$B$14:$AF$14,DAY(D$4)),INDEX('Juli'!$B$14:$AF$14,DAY(D$4)),INDEX('August'!$B$14:$AF$14,DAY(D$4)),INDEX('September'!$B$14:$AF$14,DAY(D$4)),INDEX('Oktober'!$B$14:$AF$14,DAY(D$4)),INDEX('November'!$B$14:$AF$14,DAY(D$4)),INDEX('Dezember'!$B$14:$AF$14,DAY(D$4)))&amp;"")</f>
      </c>
      <c r="M14" s="1">
        <f>IF(OR($A14="",YEAR(E$4)&lt;&gt;Jahr),"",CHOOSE(MONTH(E$4),INDEX('Januar'!$B$14:$AF$14,DAY(E$4)),INDEX('Februar'!$B$14:$AF$14,DAY(E$4)),INDEX('März'!$B$14:$AF$14,DAY(E$4)),INDEX('April'!$B$14:$AF$14,DAY(E$4)),INDEX('Mai'!$B$14:$AF$14,DAY(E$4)),INDEX('Juni'!$B$14:$AF$14,DAY(E$4)),INDEX('Juli'!$B$14:$AF$14,DAY(E$4)),INDEX('August'!$B$14:$AF$14,DAY(E$4)),INDEX('September'!$B$14:$AF$14,DAY(E$4)),INDEX('Oktober'!$B$14:$AF$14,DAY(E$4)),INDEX('November'!$B$14:$AF$14,DAY(E$4)),INDEX('Dezember'!$B$14:$AF$14,DAY(E$4)))&amp;"")</f>
      </c>
      <c r="N14" s="1">
        <f>IF(OR($A14="",YEAR(F$4)&lt;&gt;Jahr),"",CHOOSE(MONTH(F$4),INDEX('Januar'!$B$14:$AF$14,DAY(F$4)),INDEX('Februar'!$B$14:$AF$14,DAY(F$4)),INDEX('März'!$B$14:$AF$14,DAY(F$4)),INDEX('April'!$B$14:$AF$14,DAY(F$4)),INDEX('Mai'!$B$14:$AF$14,DAY(F$4)),INDEX('Juni'!$B$14:$AF$14,DAY(F$4)),INDEX('Juli'!$B$14:$AF$14,DAY(F$4)),INDEX('August'!$B$14:$AF$14,DAY(F$4)),INDEX('September'!$B$14:$AF$14,DAY(F$4)),INDEX('Oktober'!$B$14:$AF$14,DAY(F$4)),INDEX('November'!$B$14:$AF$14,DAY(F$4)),INDEX('Dezember'!$B$14:$AF$14,DAY(F$4)))&amp;"")</f>
      </c>
      <c r="O14" s="1">
        <f>IF(OR($A14="",YEAR(G$4)&lt;&gt;Jahr),"",CHOOSE(MONTH(G$4),INDEX('Januar'!$B$14:$AF$14,DAY(G$4)),INDEX('Februar'!$B$14:$AF$14,DAY(G$4)),INDEX('März'!$B$14:$AF$14,DAY(G$4)),INDEX('April'!$B$14:$AF$14,DAY(G$4)),INDEX('Mai'!$B$14:$AF$14,DAY(G$4)),INDEX('Juni'!$B$14:$AF$14,DAY(G$4)),INDEX('Juli'!$B$14:$AF$14,DAY(G$4)),INDEX('August'!$B$14:$AF$14,DAY(G$4)),INDEX('September'!$B$14:$AF$14,DAY(G$4)),INDEX('Oktober'!$B$14:$AF$14,DAY(G$4)),INDEX('November'!$B$14:$AF$14,DAY(G$4)),INDEX('Dezember'!$B$14:$AF$14,DAY(G$4)))&amp;"")</f>
      </c>
      <c r="P14" s="1">
        <f>IF(OR($A14="",YEAR(H$4)&lt;&gt;Jahr),"",CHOOSE(MONTH(H$4),INDEX('Januar'!$B$14:$AF$14,DAY(H$4)),INDEX('Februar'!$B$14:$AF$14,DAY(H$4)),INDEX('März'!$B$14:$AF$14,DAY(H$4)),INDEX('April'!$B$14:$AF$14,DAY(H$4)),INDEX('Mai'!$B$14:$AF$14,DAY(H$4)),INDEX('Juni'!$B$14:$AF$14,DAY(H$4)),INDEX('Juli'!$B$14:$AF$14,DAY(H$4)),INDEX('August'!$B$14:$AF$14,DAY(H$4)),INDEX('September'!$B$14:$AF$14,DAY(H$4)),INDEX('Oktober'!$B$14:$AF$14,DAY(H$4)),INDEX('November'!$B$14:$AF$14,DAY(H$4)),INDEX('Dezember'!$B$14:$AF$14,DAY(H$4)))&amp;"")</f>
      </c>
    </row>
    <row r="15" ht="17" customHeight="1" spans="1:16" x14ac:dyDescent="0.25">
      <c r="A15" s="49">
        <f>Mitarbeiter!$A$14&amp;""</f>
      </c>
      <c r="B15" s="50">
        <f>IF(J15="","",J15&amp;IFERROR(IF(AND(INDEX(Arten,MATCH(J15,Codes,0))="Arbeit",ISNUMBER(INDEX(Beginne,MATCH(J15,Codes,0)))),"  "&amp;TEXT(INDEX(Beginne,MATCH(J15,Codes,0)),"hh:mm")&amp;"–"&amp;TEXT(INDEX(Enden,MATCH(J15,Codes,0)),"hh:mm"),""),""))</f>
      </c>
      <c r="C15" s="50">
        <f>IF(K15="","",K15&amp;IFERROR(IF(AND(INDEX(Arten,MATCH(K15,Codes,0))="Arbeit",ISNUMBER(INDEX(Beginne,MATCH(K15,Codes,0)))),"  "&amp;TEXT(INDEX(Beginne,MATCH(K15,Codes,0)),"hh:mm")&amp;"–"&amp;TEXT(INDEX(Enden,MATCH(K15,Codes,0)),"hh:mm"),""),""))</f>
      </c>
      <c r="D15" s="50">
        <f>IF(L15="","",L15&amp;IFERROR(IF(AND(INDEX(Arten,MATCH(L15,Codes,0))="Arbeit",ISNUMBER(INDEX(Beginne,MATCH(L15,Codes,0)))),"  "&amp;TEXT(INDEX(Beginne,MATCH(L15,Codes,0)),"hh:mm")&amp;"–"&amp;TEXT(INDEX(Enden,MATCH(L15,Codes,0)),"hh:mm"),""),""))</f>
      </c>
      <c r="E15" s="50">
        <f>IF(M15="","",M15&amp;IFERROR(IF(AND(INDEX(Arten,MATCH(M15,Codes,0))="Arbeit",ISNUMBER(INDEX(Beginne,MATCH(M15,Codes,0)))),"  "&amp;TEXT(INDEX(Beginne,MATCH(M15,Codes,0)),"hh:mm")&amp;"–"&amp;TEXT(INDEX(Enden,MATCH(M15,Codes,0)),"hh:mm"),""),""))</f>
      </c>
      <c r="F15" s="50">
        <f>IF(N15="","",N15&amp;IFERROR(IF(AND(INDEX(Arten,MATCH(N15,Codes,0))="Arbeit",ISNUMBER(INDEX(Beginne,MATCH(N15,Codes,0)))),"  "&amp;TEXT(INDEX(Beginne,MATCH(N15,Codes,0)),"hh:mm")&amp;"–"&amp;TEXT(INDEX(Enden,MATCH(N15,Codes,0)),"hh:mm"),""),""))</f>
      </c>
      <c r="G15" s="50">
        <f>IF(O15="","",O15&amp;IFERROR(IF(AND(INDEX(Arten,MATCH(O15,Codes,0))="Arbeit",ISNUMBER(INDEX(Beginne,MATCH(O15,Codes,0)))),"  "&amp;TEXT(INDEX(Beginne,MATCH(O15,Codes,0)),"hh:mm")&amp;"–"&amp;TEXT(INDEX(Enden,MATCH(O15,Codes,0)),"hh:mm"),""),""))</f>
      </c>
      <c r="H15" s="50">
        <f>IF(P15="","",P15&amp;IFERROR(IF(AND(INDEX(Arten,MATCH(P15,Codes,0))="Arbeit",ISNUMBER(INDEX(Beginne,MATCH(P15,Codes,0)))),"  "&amp;TEXT(INDEX(Beginne,MATCH(P15,Codes,0)),"hh:mm")&amp;"–"&amp;TEXT(INDEX(Enden,MATCH(P15,Codes,0)),"hh:mm"),""),""))</f>
      </c>
      <c r="I15" s="51">
        <f>IF($A15="","",SUMPRODUCT(COUNTIF(J15:P15,Codes)*(Arten="Arbeit")*Erste*NettoTage))</f>
      </c>
      <c r="J15" s="1">
        <f>IF(OR($A15="",YEAR(B$4)&lt;&gt;Jahr),"",CHOOSE(MONTH(B$4),INDEX('Januar'!$B$15:$AF$15,DAY(B$4)),INDEX('Februar'!$B$15:$AF$15,DAY(B$4)),INDEX('März'!$B$15:$AF$15,DAY(B$4)),INDEX('April'!$B$15:$AF$15,DAY(B$4)),INDEX('Mai'!$B$15:$AF$15,DAY(B$4)),INDEX('Juni'!$B$15:$AF$15,DAY(B$4)),INDEX('Juli'!$B$15:$AF$15,DAY(B$4)),INDEX('August'!$B$15:$AF$15,DAY(B$4)),INDEX('September'!$B$15:$AF$15,DAY(B$4)),INDEX('Oktober'!$B$15:$AF$15,DAY(B$4)),INDEX('November'!$B$15:$AF$15,DAY(B$4)),INDEX('Dezember'!$B$15:$AF$15,DAY(B$4)))&amp;"")</f>
      </c>
      <c r="K15" s="1">
        <f>IF(OR($A15="",YEAR(C$4)&lt;&gt;Jahr),"",CHOOSE(MONTH(C$4),INDEX('Januar'!$B$15:$AF$15,DAY(C$4)),INDEX('Februar'!$B$15:$AF$15,DAY(C$4)),INDEX('März'!$B$15:$AF$15,DAY(C$4)),INDEX('April'!$B$15:$AF$15,DAY(C$4)),INDEX('Mai'!$B$15:$AF$15,DAY(C$4)),INDEX('Juni'!$B$15:$AF$15,DAY(C$4)),INDEX('Juli'!$B$15:$AF$15,DAY(C$4)),INDEX('August'!$B$15:$AF$15,DAY(C$4)),INDEX('September'!$B$15:$AF$15,DAY(C$4)),INDEX('Oktober'!$B$15:$AF$15,DAY(C$4)),INDEX('November'!$B$15:$AF$15,DAY(C$4)),INDEX('Dezember'!$B$15:$AF$15,DAY(C$4)))&amp;"")</f>
      </c>
      <c r="L15" s="1">
        <f>IF(OR($A15="",YEAR(D$4)&lt;&gt;Jahr),"",CHOOSE(MONTH(D$4),INDEX('Januar'!$B$15:$AF$15,DAY(D$4)),INDEX('Februar'!$B$15:$AF$15,DAY(D$4)),INDEX('März'!$B$15:$AF$15,DAY(D$4)),INDEX('April'!$B$15:$AF$15,DAY(D$4)),INDEX('Mai'!$B$15:$AF$15,DAY(D$4)),INDEX('Juni'!$B$15:$AF$15,DAY(D$4)),INDEX('Juli'!$B$15:$AF$15,DAY(D$4)),INDEX('August'!$B$15:$AF$15,DAY(D$4)),INDEX('September'!$B$15:$AF$15,DAY(D$4)),INDEX('Oktober'!$B$15:$AF$15,DAY(D$4)),INDEX('November'!$B$15:$AF$15,DAY(D$4)),INDEX('Dezember'!$B$15:$AF$15,DAY(D$4)))&amp;"")</f>
      </c>
      <c r="M15" s="1">
        <f>IF(OR($A15="",YEAR(E$4)&lt;&gt;Jahr),"",CHOOSE(MONTH(E$4),INDEX('Januar'!$B$15:$AF$15,DAY(E$4)),INDEX('Februar'!$B$15:$AF$15,DAY(E$4)),INDEX('März'!$B$15:$AF$15,DAY(E$4)),INDEX('April'!$B$15:$AF$15,DAY(E$4)),INDEX('Mai'!$B$15:$AF$15,DAY(E$4)),INDEX('Juni'!$B$15:$AF$15,DAY(E$4)),INDEX('Juli'!$B$15:$AF$15,DAY(E$4)),INDEX('August'!$B$15:$AF$15,DAY(E$4)),INDEX('September'!$B$15:$AF$15,DAY(E$4)),INDEX('Oktober'!$B$15:$AF$15,DAY(E$4)),INDEX('November'!$B$15:$AF$15,DAY(E$4)),INDEX('Dezember'!$B$15:$AF$15,DAY(E$4)))&amp;"")</f>
      </c>
      <c r="N15" s="1">
        <f>IF(OR($A15="",YEAR(F$4)&lt;&gt;Jahr),"",CHOOSE(MONTH(F$4),INDEX('Januar'!$B$15:$AF$15,DAY(F$4)),INDEX('Februar'!$B$15:$AF$15,DAY(F$4)),INDEX('März'!$B$15:$AF$15,DAY(F$4)),INDEX('April'!$B$15:$AF$15,DAY(F$4)),INDEX('Mai'!$B$15:$AF$15,DAY(F$4)),INDEX('Juni'!$B$15:$AF$15,DAY(F$4)),INDEX('Juli'!$B$15:$AF$15,DAY(F$4)),INDEX('August'!$B$15:$AF$15,DAY(F$4)),INDEX('September'!$B$15:$AF$15,DAY(F$4)),INDEX('Oktober'!$B$15:$AF$15,DAY(F$4)),INDEX('November'!$B$15:$AF$15,DAY(F$4)),INDEX('Dezember'!$B$15:$AF$15,DAY(F$4)))&amp;"")</f>
      </c>
      <c r="O15" s="1">
        <f>IF(OR($A15="",YEAR(G$4)&lt;&gt;Jahr),"",CHOOSE(MONTH(G$4),INDEX('Januar'!$B$15:$AF$15,DAY(G$4)),INDEX('Februar'!$B$15:$AF$15,DAY(G$4)),INDEX('März'!$B$15:$AF$15,DAY(G$4)),INDEX('April'!$B$15:$AF$15,DAY(G$4)),INDEX('Mai'!$B$15:$AF$15,DAY(G$4)),INDEX('Juni'!$B$15:$AF$15,DAY(G$4)),INDEX('Juli'!$B$15:$AF$15,DAY(G$4)),INDEX('August'!$B$15:$AF$15,DAY(G$4)),INDEX('September'!$B$15:$AF$15,DAY(G$4)),INDEX('Oktober'!$B$15:$AF$15,DAY(G$4)),INDEX('November'!$B$15:$AF$15,DAY(G$4)),INDEX('Dezember'!$B$15:$AF$15,DAY(G$4)))&amp;"")</f>
      </c>
      <c r="P15" s="1">
        <f>IF(OR($A15="",YEAR(H$4)&lt;&gt;Jahr),"",CHOOSE(MONTH(H$4),INDEX('Januar'!$B$15:$AF$15,DAY(H$4)),INDEX('Februar'!$B$15:$AF$15,DAY(H$4)),INDEX('März'!$B$15:$AF$15,DAY(H$4)),INDEX('April'!$B$15:$AF$15,DAY(H$4)),INDEX('Mai'!$B$15:$AF$15,DAY(H$4)),INDEX('Juni'!$B$15:$AF$15,DAY(H$4)),INDEX('Juli'!$B$15:$AF$15,DAY(H$4)),INDEX('August'!$B$15:$AF$15,DAY(H$4)),INDEX('September'!$B$15:$AF$15,DAY(H$4)),INDEX('Oktober'!$B$15:$AF$15,DAY(H$4)),INDEX('November'!$B$15:$AF$15,DAY(H$4)),INDEX('Dezember'!$B$15:$AF$15,DAY(H$4)))&amp;"")</f>
      </c>
    </row>
    <row r="16" ht="17" customHeight="1" spans="1:16" x14ac:dyDescent="0.25">
      <c r="A16" s="49">
        <f>Mitarbeiter!$A$15&amp;""</f>
      </c>
      <c r="B16" s="50">
        <f>IF(J16="","",J16&amp;IFERROR(IF(AND(INDEX(Arten,MATCH(J16,Codes,0))="Arbeit",ISNUMBER(INDEX(Beginne,MATCH(J16,Codes,0)))),"  "&amp;TEXT(INDEX(Beginne,MATCH(J16,Codes,0)),"hh:mm")&amp;"–"&amp;TEXT(INDEX(Enden,MATCH(J16,Codes,0)),"hh:mm"),""),""))</f>
      </c>
      <c r="C16" s="50">
        <f>IF(K16="","",K16&amp;IFERROR(IF(AND(INDEX(Arten,MATCH(K16,Codes,0))="Arbeit",ISNUMBER(INDEX(Beginne,MATCH(K16,Codes,0)))),"  "&amp;TEXT(INDEX(Beginne,MATCH(K16,Codes,0)),"hh:mm")&amp;"–"&amp;TEXT(INDEX(Enden,MATCH(K16,Codes,0)),"hh:mm"),""),""))</f>
      </c>
      <c r="D16" s="50">
        <f>IF(L16="","",L16&amp;IFERROR(IF(AND(INDEX(Arten,MATCH(L16,Codes,0))="Arbeit",ISNUMBER(INDEX(Beginne,MATCH(L16,Codes,0)))),"  "&amp;TEXT(INDEX(Beginne,MATCH(L16,Codes,0)),"hh:mm")&amp;"–"&amp;TEXT(INDEX(Enden,MATCH(L16,Codes,0)),"hh:mm"),""),""))</f>
      </c>
      <c r="E16" s="50">
        <f>IF(M16="","",M16&amp;IFERROR(IF(AND(INDEX(Arten,MATCH(M16,Codes,0))="Arbeit",ISNUMBER(INDEX(Beginne,MATCH(M16,Codes,0)))),"  "&amp;TEXT(INDEX(Beginne,MATCH(M16,Codes,0)),"hh:mm")&amp;"–"&amp;TEXT(INDEX(Enden,MATCH(M16,Codes,0)),"hh:mm"),""),""))</f>
      </c>
      <c r="F16" s="50">
        <f>IF(N16="","",N16&amp;IFERROR(IF(AND(INDEX(Arten,MATCH(N16,Codes,0))="Arbeit",ISNUMBER(INDEX(Beginne,MATCH(N16,Codes,0)))),"  "&amp;TEXT(INDEX(Beginne,MATCH(N16,Codes,0)),"hh:mm")&amp;"–"&amp;TEXT(INDEX(Enden,MATCH(N16,Codes,0)),"hh:mm"),""),""))</f>
      </c>
      <c r="G16" s="50">
        <f>IF(O16="","",O16&amp;IFERROR(IF(AND(INDEX(Arten,MATCH(O16,Codes,0))="Arbeit",ISNUMBER(INDEX(Beginne,MATCH(O16,Codes,0)))),"  "&amp;TEXT(INDEX(Beginne,MATCH(O16,Codes,0)),"hh:mm")&amp;"–"&amp;TEXT(INDEX(Enden,MATCH(O16,Codes,0)),"hh:mm"),""),""))</f>
      </c>
      <c r="H16" s="50">
        <f>IF(P16="","",P16&amp;IFERROR(IF(AND(INDEX(Arten,MATCH(P16,Codes,0))="Arbeit",ISNUMBER(INDEX(Beginne,MATCH(P16,Codes,0)))),"  "&amp;TEXT(INDEX(Beginne,MATCH(P16,Codes,0)),"hh:mm")&amp;"–"&amp;TEXT(INDEX(Enden,MATCH(P16,Codes,0)),"hh:mm"),""),""))</f>
      </c>
      <c r="I16" s="51">
        <f>IF($A16="","",SUMPRODUCT(COUNTIF(J16:P16,Codes)*(Arten="Arbeit")*Erste*NettoTage))</f>
      </c>
      <c r="J16" s="1">
        <f>IF(OR($A16="",YEAR(B$4)&lt;&gt;Jahr),"",CHOOSE(MONTH(B$4),INDEX('Januar'!$B$16:$AF$16,DAY(B$4)),INDEX('Februar'!$B$16:$AF$16,DAY(B$4)),INDEX('März'!$B$16:$AF$16,DAY(B$4)),INDEX('April'!$B$16:$AF$16,DAY(B$4)),INDEX('Mai'!$B$16:$AF$16,DAY(B$4)),INDEX('Juni'!$B$16:$AF$16,DAY(B$4)),INDEX('Juli'!$B$16:$AF$16,DAY(B$4)),INDEX('August'!$B$16:$AF$16,DAY(B$4)),INDEX('September'!$B$16:$AF$16,DAY(B$4)),INDEX('Oktober'!$B$16:$AF$16,DAY(B$4)),INDEX('November'!$B$16:$AF$16,DAY(B$4)),INDEX('Dezember'!$B$16:$AF$16,DAY(B$4)))&amp;"")</f>
      </c>
      <c r="K16" s="1">
        <f>IF(OR($A16="",YEAR(C$4)&lt;&gt;Jahr),"",CHOOSE(MONTH(C$4),INDEX('Januar'!$B$16:$AF$16,DAY(C$4)),INDEX('Februar'!$B$16:$AF$16,DAY(C$4)),INDEX('März'!$B$16:$AF$16,DAY(C$4)),INDEX('April'!$B$16:$AF$16,DAY(C$4)),INDEX('Mai'!$B$16:$AF$16,DAY(C$4)),INDEX('Juni'!$B$16:$AF$16,DAY(C$4)),INDEX('Juli'!$B$16:$AF$16,DAY(C$4)),INDEX('August'!$B$16:$AF$16,DAY(C$4)),INDEX('September'!$B$16:$AF$16,DAY(C$4)),INDEX('Oktober'!$B$16:$AF$16,DAY(C$4)),INDEX('November'!$B$16:$AF$16,DAY(C$4)),INDEX('Dezember'!$B$16:$AF$16,DAY(C$4)))&amp;"")</f>
      </c>
      <c r="L16" s="1">
        <f>IF(OR($A16="",YEAR(D$4)&lt;&gt;Jahr),"",CHOOSE(MONTH(D$4),INDEX('Januar'!$B$16:$AF$16,DAY(D$4)),INDEX('Februar'!$B$16:$AF$16,DAY(D$4)),INDEX('März'!$B$16:$AF$16,DAY(D$4)),INDEX('April'!$B$16:$AF$16,DAY(D$4)),INDEX('Mai'!$B$16:$AF$16,DAY(D$4)),INDEX('Juni'!$B$16:$AF$16,DAY(D$4)),INDEX('Juli'!$B$16:$AF$16,DAY(D$4)),INDEX('August'!$B$16:$AF$16,DAY(D$4)),INDEX('September'!$B$16:$AF$16,DAY(D$4)),INDEX('Oktober'!$B$16:$AF$16,DAY(D$4)),INDEX('November'!$B$16:$AF$16,DAY(D$4)),INDEX('Dezember'!$B$16:$AF$16,DAY(D$4)))&amp;"")</f>
      </c>
      <c r="M16" s="1">
        <f>IF(OR($A16="",YEAR(E$4)&lt;&gt;Jahr),"",CHOOSE(MONTH(E$4),INDEX('Januar'!$B$16:$AF$16,DAY(E$4)),INDEX('Februar'!$B$16:$AF$16,DAY(E$4)),INDEX('März'!$B$16:$AF$16,DAY(E$4)),INDEX('April'!$B$16:$AF$16,DAY(E$4)),INDEX('Mai'!$B$16:$AF$16,DAY(E$4)),INDEX('Juni'!$B$16:$AF$16,DAY(E$4)),INDEX('Juli'!$B$16:$AF$16,DAY(E$4)),INDEX('August'!$B$16:$AF$16,DAY(E$4)),INDEX('September'!$B$16:$AF$16,DAY(E$4)),INDEX('Oktober'!$B$16:$AF$16,DAY(E$4)),INDEX('November'!$B$16:$AF$16,DAY(E$4)),INDEX('Dezember'!$B$16:$AF$16,DAY(E$4)))&amp;"")</f>
      </c>
      <c r="N16" s="1">
        <f>IF(OR($A16="",YEAR(F$4)&lt;&gt;Jahr),"",CHOOSE(MONTH(F$4),INDEX('Januar'!$B$16:$AF$16,DAY(F$4)),INDEX('Februar'!$B$16:$AF$16,DAY(F$4)),INDEX('März'!$B$16:$AF$16,DAY(F$4)),INDEX('April'!$B$16:$AF$16,DAY(F$4)),INDEX('Mai'!$B$16:$AF$16,DAY(F$4)),INDEX('Juni'!$B$16:$AF$16,DAY(F$4)),INDEX('Juli'!$B$16:$AF$16,DAY(F$4)),INDEX('August'!$B$16:$AF$16,DAY(F$4)),INDEX('September'!$B$16:$AF$16,DAY(F$4)),INDEX('Oktober'!$B$16:$AF$16,DAY(F$4)),INDEX('November'!$B$16:$AF$16,DAY(F$4)),INDEX('Dezember'!$B$16:$AF$16,DAY(F$4)))&amp;"")</f>
      </c>
      <c r="O16" s="1">
        <f>IF(OR($A16="",YEAR(G$4)&lt;&gt;Jahr),"",CHOOSE(MONTH(G$4),INDEX('Januar'!$B$16:$AF$16,DAY(G$4)),INDEX('Februar'!$B$16:$AF$16,DAY(G$4)),INDEX('März'!$B$16:$AF$16,DAY(G$4)),INDEX('April'!$B$16:$AF$16,DAY(G$4)),INDEX('Mai'!$B$16:$AF$16,DAY(G$4)),INDEX('Juni'!$B$16:$AF$16,DAY(G$4)),INDEX('Juli'!$B$16:$AF$16,DAY(G$4)),INDEX('August'!$B$16:$AF$16,DAY(G$4)),INDEX('September'!$B$16:$AF$16,DAY(G$4)),INDEX('Oktober'!$B$16:$AF$16,DAY(G$4)),INDEX('November'!$B$16:$AF$16,DAY(G$4)),INDEX('Dezember'!$B$16:$AF$16,DAY(G$4)))&amp;"")</f>
      </c>
      <c r="P16" s="1">
        <f>IF(OR($A16="",YEAR(H$4)&lt;&gt;Jahr),"",CHOOSE(MONTH(H$4),INDEX('Januar'!$B$16:$AF$16,DAY(H$4)),INDEX('Februar'!$B$16:$AF$16,DAY(H$4)),INDEX('März'!$B$16:$AF$16,DAY(H$4)),INDEX('April'!$B$16:$AF$16,DAY(H$4)),INDEX('Mai'!$B$16:$AF$16,DAY(H$4)),INDEX('Juni'!$B$16:$AF$16,DAY(H$4)),INDEX('Juli'!$B$16:$AF$16,DAY(H$4)),INDEX('August'!$B$16:$AF$16,DAY(H$4)),INDEX('September'!$B$16:$AF$16,DAY(H$4)),INDEX('Oktober'!$B$16:$AF$16,DAY(H$4)),INDEX('November'!$B$16:$AF$16,DAY(H$4)),INDEX('Dezember'!$B$16:$AF$16,DAY(H$4)))&amp;"")</f>
      </c>
    </row>
    <row r="17" ht="17" customHeight="1" spans="1:16" x14ac:dyDescent="0.25">
      <c r="A17" s="49">
        <f>Mitarbeiter!$A$16&amp;""</f>
      </c>
      <c r="B17" s="50">
        <f>IF(J17="","",J17&amp;IFERROR(IF(AND(INDEX(Arten,MATCH(J17,Codes,0))="Arbeit",ISNUMBER(INDEX(Beginne,MATCH(J17,Codes,0)))),"  "&amp;TEXT(INDEX(Beginne,MATCH(J17,Codes,0)),"hh:mm")&amp;"–"&amp;TEXT(INDEX(Enden,MATCH(J17,Codes,0)),"hh:mm"),""),""))</f>
      </c>
      <c r="C17" s="50">
        <f>IF(K17="","",K17&amp;IFERROR(IF(AND(INDEX(Arten,MATCH(K17,Codes,0))="Arbeit",ISNUMBER(INDEX(Beginne,MATCH(K17,Codes,0)))),"  "&amp;TEXT(INDEX(Beginne,MATCH(K17,Codes,0)),"hh:mm")&amp;"–"&amp;TEXT(INDEX(Enden,MATCH(K17,Codes,0)),"hh:mm"),""),""))</f>
      </c>
      <c r="D17" s="50">
        <f>IF(L17="","",L17&amp;IFERROR(IF(AND(INDEX(Arten,MATCH(L17,Codes,0))="Arbeit",ISNUMBER(INDEX(Beginne,MATCH(L17,Codes,0)))),"  "&amp;TEXT(INDEX(Beginne,MATCH(L17,Codes,0)),"hh:mm")&amp;"–"&amp;TEXT(INDEX(Enden,MATCH(L17,Codes,0)),"hh:mm"),""),""))</f>
      </c>
      <c r="E17" s="50">
        <f>IF(M17="","",M17&amp;IFERROR(IF(AND(INDEX(Arten,MATCH(M17,Codes,0))="Arbeit",ISNUMBER(INDEX(Beginne,MATCH(M17,Codes,0)))),"  "&amp;TEXT(INDEX(Beginne,MATCH(M17,Codes,0)),"hh:mm")&amp;"–"&amp;TEXT(INDEX(Enden,MATCH(M17,Codes,0)),"hh:mm"),""),""))</f>
      </c>
      <c r="F17" s="50">
        <f>IF(N17="","",N17&amp;IFERROR(IF(AND(INDEX(Arten,MATCH(N17,Codes,0))="Arbeit",ISNUMBER(INDEX(Beginne,MATCH(N17,Codes,0)))),"  "&amp;TEXT(INDEX(Beginne,MATCH(N17,Codes,0)),"hh:mm")&amp;"–"&amp;TEXT(INDEX(Enden,MATCH(N17,Codes,0)),"hh:mm"),""),""))</f>
      </c>
      <c r="G17" s="50">
        <f>IF(O17="","",O17&amp;IFERROR(IF(AND(INDEX(Arten,MATCH(O17,Codes,0))="Arbeit",ISNUMBER(INDEX(Beginne,MATCH(O17,Codes,0)))),"  "&amp;TEXT(INDEX(Beginne,MATCH(O17,Codes,0)),"hh:mm")&amp;"–"&amp;TEXT(INDEX(Enden,MATCH(O17,Codes,0)),"hh:mm"),""),""))</f>
      </c>
      <c r="H17" s="50">
        <f>IF(P17="","",P17&amp;IFERROR(IF(AND(INDEX(Arten,MATCH(P17,Codes,0))="Arbeit",ISNUMBER(INDEX(Beginne,MATCH(P17,Codes,0)))),"  "&amp;TEXT(INDEX(Beginne,MATCH(P17,Codes,0)),"hh:mm")&amp;"–"&amp;TEXT(INDEX(Enden,MATCH(P17,Codes,0)),"hh:mm"),""),""))</f>
      </c>
      <c r="I17" s="51">
        <f>IF($A17="","",SUMPRODUCT(COUNTIF(J17:P17,Codes)*(Arten="Arbeit")*Erste*NettoTage))</f>
      </c>
      <c r="J17" s="1">
        <f>IF(OR($A17="",YEAR(B$4)&lt;&gt;Jahr),"",CHOOSE(MONTH(B$4),INDEX('Januar'!$B$17:$AF$17,DAY(B$4)),INDEX('Februar'!$B$17:$AF$17,DAY(B$4)),INDEX('März'!$B$17:$AF$17,DAY(B$4)),INDEX('April'!$B$17:$AF$17,DAY(B$4)),INDEX('Mai'!$B$17:$AF$17,DAY(B$4)),INDEX('Juni'!$B$17:$AF$17,DAY(B$4)),INDEX('Juli'!$B$17:$AF$17,DAY(B$4)),INDEX('August'!$B$17:$AF$17,DAY(B$4)),INDEX('September'!$B$17:$AF$17,DAY(B$4)),INDEX('Oktober'!$B$17:$AF$17,DAY(B$4)),INDEX('November'!$B$17:$AF$17,DAY(B$4)),INDEX('Dezember'!$B$17:$AF$17,DAY(B$4)))&amp;"")</f>
      </c>
      <c r="K17" s="1">
        <f>IF(OR($A17="",YEAR(C$4)&lt;&gt;Jahr),"",CHOOSE(MONTH(C$4),INDEX('Januar'!$B$17:$AF$17,DAY(C$4)),INDEX('Februar'!$B$17:$AF$17,DAY(C$4)),INDEX('März'!$B$17:$AF$17,DAY(C$4)),INDEX('April'!$B$17:$AF$17,DAY(C$4)),INDEX('Mai'!$B$17:$AF$17,DAY(C$4)),INDEX('Juni'!$B$17:$AF$17,DAY(C$4)),INDEX('Juli'!$B$17:$AF$17,DAY(C$4)),INDEX('August'!$B$17:$AF$17,DAY(C$4)),INDEX('September'!$B$17:$AF$17,DAY(C$4)),INDEX('Oktober'!$B$17:$AF$17,DAY(C$4)),INDEX('November'!$B$17:$AF$17,DAY(C$4)),INDEX('Dezember'!$B$17:$AF$17,DAY(C$4)))&amp;"")</f>
      </c>
      <c r="L17" s="1">
        <f>IF(OR($A17="",YEAR(D$4)&lt;&gt;Jahr),"",CHOOSE(MONTH(D$4),INDEX('Januar'!$B$17:$AF$17,DAY(D$4)),INDEX('Februar'!$B$17:$AF$17,DAY(D$4)),INDEX('März'!$B$17:$AF$17,DAY(D$4)),INDEX('April'!$B$17:$AF$17,DAY(D$4)),INDEX('Mai'!$B$17:$AF$17,DAY(D$4)),INDEX('Juni'!$B$17:$AF$17,DAY(D$4)),INDEX('Juli'!$B$17:$AF$17,DAY(D$4)),INDEX('August'!$B$17:$AF$17,DAY(D$4)),INDEX('September'!$B$17:$AF$17,DAY(D$4)),INDEX('Oktober'!$B$17:$AF$17,DAY(D$4)),INDEX('November'!$B$17:$AF$17,DAY(D$4)),INDEX('Dezember'!$B$17:$AF$17,DAY(D$4)))&amp;"")</f>
      </c>
      <c r="M17" s="1">
        <f>IF(OR($A17="",YEAR(E$4)&lt;&gt;Jahr),"",CHOOSE(MONTH(E$4),INDEX('Januar'!$B$17:$AF$17,DAY(E$4)),INDEX('Februar'!$B$17:$AF$17,DAY(E$4)),INDEX('März'!$B$17:$AF$17,DAY(E$4)),INDEX('April'!$B$17:$AF$17,DAY(E$4)),INDEX('Mai'!$B$17:$AF$17,DAY(E$4)),INDEX('Juni'!$B$17:$AF$17,DAY(E$4)),INDEX('Juli'!$B$17:$AF$17,DAY(E$4)),INDEX('August'!$B$17:$AF$17,DAY(E$4)),INDEX('September'!$B$17:$AF$17,DAY(E$4)),INDEX('Oktober'!$B$17:$AF$17,DAY(E$4)),INDEX('November'!$B$17:$AF$17,DAY(E$4)),INDEX('Dezember'!$B$17:$AF$17,DAY(E$4)))&amp;"")</f>
      </c>
      <c r="N17" s="1">
        <f>IF(OR($A17="",YEAR(F$4)&lt;&gt;Jahr),"",CHOOSE(MONTH(F$4),INDEX('Januar'!$B$17:$AF$17,DAY(F$4)),INDEX('Februar'!$B$17:$AF$17,DAY(F$4)),INDEX('März'!$B$17:$AF$17,DAY(F$4)),INDEX('April'!$B$17:$AF$17,DAY(F$4)),INDEX('Mai'!$B$17:$AF$17,DAY(F$4)),INDEX('Juni'!$B$17:$AF$17,DAY(F$4)),INDEX('Juli'!$B$17:$AF$17,DAY(F$4)),INDEX('August'!$B$17:$AF$17,DAY(F$4)),INDEX('September'!$B$17:$AF$17,DAY(F$4)),INDEX('Oktober'!$B$17:$AF$17,DAY(F$4)),INDEX('November'!$B$17:$AF$17,DAY(F$4)),INDEX('Dezember'!$B$17:$AF$17,DAY(F$4)))&amp;"")</f>
      </c>
      <c r="O17" s="1">
        <f>IF(OR($A17="",YEAR(G$4)&lt;&gt;Jahr),"",CHOOSE(MONTH(G$4),INDEX('Januar'!$B$17:$AF$17,DAY(G$4)),INDEX('Februar'!$B$17:$AF$17,DAY(G$4)),INDEX('März'!$B$17:$AF$17,DAY(G$4)),INDEX('April'!$B$17:$AF$17,DAY(G$4)),INDEX('Mai'!$B$17:$AF$17,DAY(G$4)),INDEX('Juni'!$B$17:$AF$17,DAY(G$4)),INDEX('Juli'!$B$17:$AF$17,DAY(G$4)),INDEX('August'!$B$17:$AF$17,DAY(G$4)),INDEX('September'!$B$17:$AF$17,DAY(G$4)),INDEX('Oktober'!$B$17:$AF$17,DAY(G$4)),INDEX('November'!$B$17:$AF$17,DAY(G$4)),INDEX('Dezember'!$B$17:$AF$17,DAY(G$4)))&amp;"")</f>
      </c>
      <c r="P17" s="1">
        <f>IF(OR($A17="",YEAR(H$4)&lt;&gt;Jahr),"",CHOOSE(MONTH(H$4),INDEX('Januar'!$B$17:$AF$17,DAY(H$4)),INDEX('Februar'!$B$17:$AF$17,DAY(H$4)),INDEX('März'!$B$17:$AF$17,DAY(H$4)),INDEX('April'!$B$17:$AF$17,DAY(H$4)),INDEX('Mai'!$B$17:$AF$17,DAY(H$4)),INDEX('Juni'!$B$17:$AF$17,DAY(H$4)),INDEX('Juli'!$B$17:$AF$17,DAY(H$4)),INDEX('August'!$B$17:$AF$17,DAY(H$4)),INDEX('September'!$B$17:$AF$17,DAY(H$4)),INDEX('Oktober'!$B$17:$AF$17,DAY(H$4)),INDEX('November'!$B$17:$AF$17,DAY(H$4)),INDEX('Dezember'!$B$17:$AF$17,DAY(H$4)))&amp;"")</f>
      </c>
    </row>
    <row r="18" ht="17" customHeight="1" spans="1:16" x14ac:dyDescent="0.25">
      <c r="A18" s="49">
        <f>Mitarbeiter!$A$17&amp;""</f>
      </c>
      <c r="B18" s="50">
        <f>IF(J18="","",J18&amp;IFERROR(IF(AND(INDEX(Arten,MATCH(J18,Codes,0))="Arbeit",ISNUMBER(INDEX(Beginne,MATCH(J18,Codes,0)))),"  "&amp;TEXT(INDEX(Beginne,MATCH(J18,Codes,0)),"hh:mm")&amp;"–"&amp;TEXT(INDEX(Enden,MATCH(J18,Codes,0)),"hh:mm"),""),""))</f>
      </c>
      <c r="C18" s="50">
        <f>IF(K18="","",K18&amp;IFERROR(IF(AND(INDEX(Arten,MATCH(K18,Codes,0))="Arbeit",ISNUMBER(INDEX(Beginne,MATCH(K18,Codes,0)))),"  "&amp;TEXT(INDEX(Beginne,MATCH(K18,Codes,0)),"hh:mm")&amp;"–"&amp;TEXT(INDEX(Enden,MATCH(K18,Codes,0)),"hh:mm"),""),""))</f>
      </c>
      <c r="D18" s="50">
        <f>IF(L18="","",L18&amp;IFERROR(IF(AND(INDEX(Arten,MATCH(L18,Codes,0))="Arbeit",ISNUMBER(INDEX(Beginne,MATCH(L18,Codes,0)))),"  "&amp;TEXT(INDEX(Beginne,MATCH(L18,Codes,0)),"hh:mm")&amp;"–"&amp;TEXT(INDEX(Enden,MATCH(L18,Codes,0)),"hh:mm"),""),""))</f>
      </c>
      <c r="E18" s="50">
        <f>IF(M18="","",M18&amp;IFERROR(IF(AND(INDEX(Arten,MATCH(M18,Codes,0))="Arbeit",ISNUMBER(INDEX(Beginne,MATCH(M18,Codes,0)))),"  "&amp;TEXT(INDEX(Beginne,MATCH(M18,Codes,0)),"hh:mm")&amp;"–"&amp;TEXT(INDEX(Enden,MATCH(M18,Codes,0)),"hh:mm"),""),""))</f>
      </c>
      <c r="F18" s="50">
        <f>IF(N18="","",N18&amp;IFERROR(IF(AND(INDEX(Arten,MATCH(N18,Codes,0))="Arbeit",ISNUMBER(INDEX(Beginne,MATCH(N18,Codes,0)))),"  "&amp;TEXT(INDEX(Beginne,MATCH(N18,Codes,0)),"hh:mm")&amp;"–"&amp;TEXT(INDEX(Enden,MATCH(N18,Codes,0)),"hh:mm"),""),""))</f>
      </c>
      <c r="G18" s="50">
        <f>IF(O18="","",O18&amp;IFERROR(IF(AND(INDEX(Arten,MATCH(O18,Codes,0))="Arbeit",ISNUMBER(INDEX(Beginne,MATCH(O18,Codes,0)))),"  "&amp;TEXT(INDEX(Beginne,MATCH(O18,Codes,0)),"hh:mm")&amp;"–"&amp;TEXT(INDEX(Enden,MATCH(O18,Codes,0)),"hh:mm"),""),""))</f>
      </c>
      <c r="H18" s="50">
        <f>IF(P18="","",P18&amp;IFERROR(IF(AND(INDEX(Arten,MATCH(P18,Codes,0))="Arbeit",ISNUMBER(INDEX(Beginne,MATCH(P18,Codes,0)))),"  "&amp;TEXT(INDEX(Beginne,MATCH(P18,Codes,0)),"hh:mm")&amp;"–"&amp;TEXT(INDEX(Enden,MATCH(P18,Codes,0)),"hh:mm"),""),""))</f>
      </c>
      <c r="I18" s="51">
        <f>IF($A18="","",SUMPRODUCT(COUNTIF(J18:P18,Codes)*(Arten="Arbeit")*Erste*NettoTage))</f>
      </c>
      <c r="J18" s="1">
        <f>IF(OR($A18="",YEAR(B$4)&lt;&gt;Jahr),"",CHOOSE(MONTH(B$4),INDEX('Januar'!$B$18:$AF$18,DAY(B$4)),INDEX('Februar'!$B$18:$AF$18,DAY(B$4)),INDEX('März'!$B$18:$AF$18,DAY(B$4)),INDEX('April'!$B$18:$AF$18,DAY(B$4)),INDEX('Mai'!$B$18:$AF$18,DAY(B$4)),INDEX('Juni'!$B$18:$AF$18,DAY(B$4)),INDEX('Juli'!$B$18:$AF$18,DAY(B$4)),INDEX('August'!$B$18:$AF$18,DAY(B$4)),INDEX('September'!$B$18:$AF$18,DAY(B$4)),INDEX('Oktober'!$B$18:$AF$18,DAY(B$4)),INDEX('November'!$B$18:$AF$18,DAY(B$4)),INDEX('Dezember'!$B$18:$AF$18,DAY(B$4)))&amp;"")</f>
      </c>
      <c r="K18" s="1">
        <f>IF(OR($A18="",YEAR(C$4)&lt;&gt;Jahr),"",CHOOSE(MONTH(C$4),INDEX('Januar'!$B$18:$AF$18,DAY(C$4)),INDEX('Februar'!$B$18:$AF$18,DAY(C$4)),INDEX('März'!$B$18:$AF$18,DAY(C$4)),INDEX('April'!$B$18:$AF$18,DAY(C$4)),INDEX('Mai'!$B$18:$AF$18,DAY(C$4)),INDEX('Juni'!$B$18:$AF$18,DAY(C$4)),INDEX('Juli'!$B$18:$AF$18,DAY(C$4)),INDEX('August'!$B$18:$AF$18,DAY(C$4)),INDEX('September'!$B$18:$AF$18,DAY(C$4)),INDEX('Oktober'!$B$18:$AF$18,DAY(C$4)),INDEX('November'!$B$18:$AF$18,DAY(C$4)),INDEX('Dezember'!$B$18:$AF$18,DAY(C$4)))&amp;"")</f>
      </c>
      <c r="L18" s="1">
        <f>IF(OR($A18="",YEAR(D$4)&lt;&gt;Jahr),"",CHOOSE(MONTH(D$4),INDEX('Januar'!$B$18:$AF$18,DAY(D$4)),INDEX('Februar'!$B$18:$AF$18,DAY(D$4)),INDEX('März'!$B$18:$AF$18,DAY(D$4)),INDEX('April'!$B$18:$AF$18,DAY(D$4)),INDEX('Mai'!$B$18:$AF$18,DAY(D$4)),INDEX('Juni'!$B$18:$AF$18,DAY(D$4)),INDEX('Juli'!$B$18:$AF$18,DAY(D$4)),INDEX('August'!$B$18:$AF$18,DAY(D$4)),INDEX('September'!$B$18:$AF$18,DAY(D$4)),INDEX('Oktober'!$B$18:$AF$18,DAY(D$4)),INDEX('November'!$B$18:$AF$18,DAY(D$4)),INDEX('Dezember'!$B$18:$AF$18,DAY(D$4)))&amp;"")</f>
      </c>
      <c r="M18" s="1">
        <f>IF(OR($A18="",YEAR(E$4)&lt;&gt;Jahr),"",CHOOSE(MONTH(E$4),INDEX('Januar'!$B$18:$AF$18,DAY(E$4)),INDEX('Februar'!$B$18:$AF$18,DAY(E$4)),INDEX('März'!$B$18:$AF$18,DAY(E$4)),INDEX('April'!$B$18:$AF$18,DAY(E$4)),INDEX('Mai'!$B$18:$AF$18,DAY(E$4)),INDEX('Juni'!$B$18:$AF$18,DAY(E$4)),INDEX('Juli'!$B$18:$AF$18,DAY(E$4)),INDEX('August'!$B$18:$AF$18,DAY(E$4)),INDEX('September'!$B$18:$AF$18,DAY(E$4)),INDEX('Oktober'!$B$18:$AF$18,DAY(E$4)),INDEX('November'!$B$18:$AF$18,DAY(E$4)),INDEX('Dezember'!$B$18:$AF$18,DAY(E$4)))&amp;"")</f>
      </c>
      <c r="N18" s="1">
        <f>IF(OR($A18="",YEAR(F$4)&lt;&gt;Jahr),"",CHOOSE(MONTH(F$4),INDEX('Januar'!$B$18:$AF$18,DAY(F$4)),INDEX('Februar'!$B$18:$AF$18,DAY(F$4)),INDEX('März'!$B$18:$AF$18,DAY(F$4)),INDEX('April'!$B$18:$AF$18,DAY(F$4)),INDEX('Mai'!$B$18:$AF$18,DAY(F$4)),INDEX('Juni'!$B$18:$AF$18,DAY(F$4)),INDEX('Juli'!$B$18:$AF$18,DAY(F$4)),INDEX('August'!$B$18:$AF$18,DAY(F$4)),INDEX('September'!$B$18:$AF$18,DAY(F$4)),INDEX('Oktober'!$B$18:$AF$18,DAY(F$4)),INDEX('November'!$B$18:$AF$18,DAY(F$4)),INDEX('Dezember'!$B$18:$AF$18,DAY(F$4)))&amp;"")</f>
      </c>
      <c r="O18" s="1">
        <f>IF(OR($A18="",YEAR(G$4)&lt;&gt;Jahr),"",CHOOSE(MONTH(G$4),INDEX('Januar'!$B$18:$AF$18,DAY(G$4)),INDEX('Februar'!$B$18:$AF$18,DAY(G$4)),INDEX('März'!$B$18:$AF$18,DAY(G$4)),INDEX('April'!$B$18:$AF$18,DAY(G$4)),INDEX('Mai'!$B$18:$AF$18,DAY(G$4)),INDEX('Juni'!$B$18:$AF$18,DAY(G$4)),INDEX('Juli'!$B$18:$AF$18,DAY(G$4)),INDEX('August'!$B$18:$AF$18,DAY(G$4)),INDEX('September'!$B$18:$AF$18,DAY(G$4)),INDEX('Oktober'!$B$18:$AF$18,DAY(G$4)),INDEX('November'!$B$18:$AF$18,DAY(G$4)),INDEX('Dezember'!$B$18:$AF$18,DAY(G$4)))&amp;"")</f>
      </c>
      <c r="P18" s="1">
        <f>IF(OR($A18="",YEAR(H$4)&lt;&gt;Jahr),"",CHOOSE(MONTH(H$4),INDEX('Januar'!$B$18:$AF$18,DAY(H$4)),INDEX('Februar'!$B$18:$AF$18,DAY(H$4)),INDEX('März'!$B$18:$AF$18,DAY(H$4)),INDEX('April'!$B$18:$AF$18,DAY(H$4)),INDEX('Mai'!$B$18:$AF$18,DAY(H$4)),INDEX('Juni'!$B$18:$AF$18,DAY(H$4)),INDEX('Juli'!$B$18:$AF$18,DAY(H$4)),INDEX('August'!$B$18:$AF$18,DAY(H$4)),INDEX('September'!$B$18:$AF$18,DAY(H$4)),INDEX('Oktober'!$B$18:$AF$18,DAY(H$4)),INDEX('November'!$B$18:$AF$18,DAY(H$4)),INDEX('Dezember'!$B$18:$AF$18,DAY(H$4)))&amp;"")</f>
      </c>
    </row>
    <row r="19" ht="17" customHeight="1" spans="1:16" x14ac:dyDescent="0.25">
      <c r="A19" s="49">
        <f>Mitarbeiter!$A$18&amp;""</f>
      </c>
      <c r="B19" s="50">
        <f>IF(J19="","",J19&amp;IFERROR(IF(AND(INDEX(Arten,MATCH(J19,Codes,0))="Arbeit",ISNUMBER(INDEX(Beginne,MATCH(J19,Codes,0)))),"  "&amp;TEXT(INDEX(Beginne,MATCH(J19,Codes,0)),"hh:mm")&amp;"–"&amp;TEXT(INDEX(Enden,MATCH(J19,Codes,0)),"hh:mm"),""),""))</f>
      </c>
      <c r="C19" s="50">
        <f>IF(K19="","",K19&amp;IFERROR(IF(AND(INDEX(Arten,MATCH(K19,Codes,0))="Arbeit",ISNUMBER(INDEX(Beginne,MATCH(K19,Codes,0)))),"  "&amp;TEXT(INDEX(Beginne,MATCH(K19,Codes,0)),"hh:mm")&amp;"–"&amp;TEXT(INDEX(Enden,MATCH(K19,Codes,0)),"hh:mm"),""),""))</f>
      </c>
      <c r="D19" s="50">
        <f>IF(L19="","",L19&amp;IFERROR(IF(AND(INDEX(Arten,MATCH(L19,Codes,0))="Arbeit",ISNUMBER(INDEX(Beginne,MATCH(L19,Codes,0)))),"  "&amp;TEXT(INDEX(Beginne,MATCH(L19,Codes,0)),"hh:mm")&amp;"–"&amp;TEXT(INDEX(Enden,MATCH(L19,Codes,0)),"hh:mm"),""),""))</f>
      </c>
      <c r="E19" s="50">
        <f>IF(M19="","",M19&amp;IFERROR(IF(AND(INDEX(Arten,MATCH(M19,Codes,0))="Arbeit",ISNUMBER(INDEX(Beginne,MATCH(M19,Codes,0)))),"  "&amp;TEXT(INDEX(Beginne,MATCH(M19,Codes,0)),"hh:mm")&amp;"–"&amp;TEXT(INDEX(Enden,MATCH(M19,Codes,0)),"hh:mm"),""),""))</f>
      </c>
      <c r="F19" s="50">
        <f>IF(N19="","",N19&amp;IFERROR(IF(AND(INDEX(Arten,MATCH(N19,Codes,0))="Arbeit",ISNUMBER(INDEX(Beginne,MATCH(N19,Codes,0)))),"  "&amp;TEXT(INDEX(Beginne,MATCH(N19,Codes,0)),"hh:mm")&amp;"–"&amp;TEXT(INDEX(Enden,MATCH(N19,Codes,0)),"hh:mm"),""),""))</f>
      </c>
      <c r="G19" s="50">
        <f>IF(O19="","",O19&amp;IFERROR(IF(AND(INDEX(Arten,MATCH(O19,Codes,0))="Arbeit",ISNUMBER(INDEX(Beginne,MATCH(O19,Codes,0)))),"  "&amp;TEXT(INDEX(Beginne,MATCH(O19,Codes,0)),"hh:mm")&amp;"–"&amp;TEXT(INDEX(Enden,MATCH(O19,Codes,0)),"hh:mm"),""),""))</f>
      </c>
      <c r="H19" s="50">
        <f>IF(P19="","",P19&amp;IFERROR(IF(AND(INDEX(Arten,MATCH(P19,Codes,0))="Arbeit",ISNUMBER(INDEX(Beginne,MATCH(P19,Codes,0)))),"  "&amp;TEXT(INDEX(Beginne,MATCH(P19,Codes,0)),"hh:mm")&amp;"–"&amp;TEXT(INDEX(Enden,MATCH(P19,Codes,0)),"hh:mm"),""),""))</f>
      </c>
      <c r="I19" s="51">
        <f>IF($A19="","",SUMPRODUCT(COUNTIF(J19:P19,Codes)*(Arten="Arbeit")*Erste*NettoTage))</f>
      </c>
      <c r="J19" s="1">
        <f>IF(OR($A19="",YEAR(B$4)&lt;&gt;Jahr),"",CHOOSE(MONTH(B$4),INDEX('Januar'!$B$19:$AF$19,DAY(B$4)),INDEX('Februar'!$B$19:$AF$19,DAY(B$4)),INDEX('März'!$B$19:$AF$19,DAY(B$4)),INDEX('April'!$B$19:$AF$19,DAY(B$4)),INDEX('Mai'!$B$19:$AF$19,DAY(B$4)),INDEX('Juni'!$B$19:$AF$19,DAY(B$4)),INDEX('Juli'!$B$19:$AF$19,DAY(B$4)),INDEX('August'!$B$19:$AF$19,DAY(B$4)),INDEX('September'!$B$19:$AF$19,DAY(B$4)),INDEX('Oktober'!$B$19:$AF$19,DAY(B$4)),INDEX('November'!$B$19:$AF$19,DAY(B$4)),INDEX('Dezember'!$B$19:$AF$19,DAY(B$4)))&amp;"")</f>
      </c>
      <c r="K19" s="1">
        <f>IF(OR($A19="",YEAR(C$4)&lt;&gt;Jahr),"",CHOOSE(MONTH(C$4),INDEX('Januar'!$B$19:$AF$19,DAY(C$4)),INDEX('Februar'!$B$19:$AF$19,DAY(C$4)),INDEX('März'!$B$19:$AF$19,DAY(C$4)),INDEX('April'!$B$19:$AF$19,DAY(C$4)),INDEX('Mai'!$B$19:$AF$19,DAY(C$4)),INDEX('Juni'!$B$19:$AF$19,DAY(C$4)),INDEX('Juli'!$B$19:$AF$19,DAY(C$4)),INDEX('August'!$B$19:$AF$19,DAY(C$4)),INDEX('September'!$B$19:$AF$19,DAY(C$4)),INDEX('Oktober'!$B$19:$AF$19,DAY(C$4)),INDEX('November'!$B$19:$AF$19,DAY(C$4)),INDEX('Dezember'!$B$19:$AF$19,DAY(C$4)))&amp;"")</f>
      </c>
      <c r="L19" s="1">
        <f>IF(OR($A19="",YEAR(D$4)&lt;&gt;Jahr),"",CHOOSE(MONTH(D$4),INDEX('Januar'!$B$19:$AF$19,DAY(D$4)),INDEX('Februar'!$B$19:$AF$19,DAY(D$4)),INDEX('März'!$B$19:$AF$19,DAY(D$4)),INDEX('April'!$B$19:$AF$19,DAY(D$4)),INDEX('Mai'!$B$19:$AF$19,DAY(D$4)),INDEX('Juni'!$B$19:$AF$19,DAY(D$4)),INDEX('Juli'!$B$19:$AF$19,DAY(D$4)),INDEX('August'!$B$19:$AF$19,DAY(D$4)),INDEX('September'!$B$19:$AF$19,DAY(D$4)),INDEX('Oktober'!$B$19:$AF$19,DAY(D$4)),INDEX('November'!$B$19:$AF$19,DAY(D$4)),INDEX('Dezember'!$B$19:$AF$19,DAY(D$4)))&amp;"")</f>
      </c>
      <c r="M19" s="1">
        <f>IF(OR($A19="",YEAR(E$4)&lt;&gt;Jahr),"",CHOOSE(MONTH(E$4),INDEX('Januar'!$B$19:$AF$19,DAY(E$4)),INDEX('Februar'!$B$19:$AF$19,DAY(E$4)),INDEX('März'!$B$19:$AF$19,DAY(E$4)),INDEX('April'!$B$19:$AF$19,DAY(E$4)),INDEX('Mai'!$B$19:$AF$19,DAY(E$4)),INDEX('Juni'!$B$19:$AF$19,DAY(E$4)),INDEX('Juli'!$B$19:$AF$19,DAY(E$4)),INDEX('August'!$B$19:$AF$19,DAY(E$4)),INDEX('September'!$B$19:$AF$19,DAY(E$4)),INDEX('Oktober'!$B$19:$AF$19,DAY(E$4)),INDEX('November'!$B$19:$AF$19,DAY(E$4)),INDEX('Dezember'!$B$19:$AF$19,DAY(E$4)))&amp;"")</f>
      </c>
      <c r="N19" s="1">
        <f>IF(OR($A19="",YEAR(F$4)&lt;&gt;Jahr),"",CHOOSE(MONTH(F$4),INDEX('Januar'!$B$19:$AF$19,DAY(F$4)),INDEX('Februar'!$B$19:$AF$19,DAY(F$4)),INDEX('März'!$B$19:$AF$19,DAY(F$4)),INDEX('April'!$B$19:$AF$19,DAY(F$4)),INDEX('Mai'!$B$19:$AF$19,DAY(F$4)),INDEX('Juni'!$B$19:$AF$19,DAY(F$4)),INDEX('Juli'!$B$19:$AF$19,DAY(F$4)),INDEX('August'!$B$19:$AF$19,DAY(F$4)),INDEX('September'!$B$19:$AF$19,DAY(F$4)),INDEX('Oktober'!$B$19:$AF$19,DAY(F$4)),INDEX('November'!$B$19:$AF$19,DAY(F$4)),INDEX('Dezember'!$B$19:$AF$19,DAY(F$4)))&amp;"")</f>
      </c>
      <c r="O19" s="1">
        <f>IF(OR($A19="",YEAR(G$4)&lt;&gt;Jahr),"",CHOOSE(MONTH(G$4),INDEX('Januar'!$B$19:$AF$19,DAY(G$4)),INDEX('Februar'!$B$19:$AF$19,DAY(G$4)),INDEX('März'!$B$19:$AF$19,DAY(G$4)),INDEX('April'!$B$19:$AF$19,DAY(G$4)),INDEX('Mai'!$B$19:$AF$19,DAY(G$4)),INDEX('Juni'!$B$19:$AF$19,DAY(G$4)),INDEX('Juli'!$B$19:$AF$19,DAY(G$4)),INDEX('August'!$B$19:$AF$19,DAY(G$4)),INDEX('September'!$B$19:$AF$19,DAY(G$4)),INDEX('Oktober'!$B$19:$AF$19,DAY(G$4)),INDEX('November'!$B$19:$AF$19,DAY(G$4)),INDEX('Dezember'!$B$19:$AF$19,DAY(G$4)))&amp;"")</f>
      </c>
      <c r="P19" s="1">
        <f>IF(OR($A19="",YEAR(H$4)&lt;&gt;Jahr),"",CHOOSE(MONTH(H$4),INDEX('Januar'!$B$19:$AF$19,DAY(H$4)),INDEX('Februar'!$B$19:$AF$19,DAY(H$4)),INDEX('März'!$B$19:$AF$19,DAY(H$4)),INDEX('April'!$B$19:$AF$19,DAY(H$4)),INDEX('Mai'!$B$19:$AF$19,DAY(H$4)),INDEX('Juni'!$B$19:$AF$19,DAY(H$4)),INDEX('Juli'!$B$19:$AF$19,DAY(H$4)),INDEX('August'!$B$19:$AF$19,DAY(H$4)),INDEX('September'!$B$19:$AF$19,DAY(H$4)),INDEX('Oktober'!$B$19:$AF$19,DAY(H$4)),INDEX('November'!$B$19:$AF$19,DAY(H$4)),INDEX('Dezember'!$B$19:$AF$19,DAY(H$4)))&amp;"")</f>
      </c>
    </row>
    <row r="20" ht="17" customHeight="1" spans="1:16" x14ac:dyDescent="0.25">
      <c r="A20" s="49">
        <f>Mitarbeiter!$A$19&amp;""</f>
      </c>
      <c r="B20" s="50">
        <f>IF(J20="","",J20&amp;IFERROR(IF(AND(INDEX(Arten,MATCH(J20,Codes,0))="Arbeit",ISNUMBER(INDEX(Beginne,MATCH(J20,Codes,0)))),"  "&amp;TEXT(INDEX(Beginne,MATCH(J20,Codes,0)),"hh:mm")&amp;"–"&amp;TEXT(INDEX(Enden,MATCH(J20,Codes,0)),"hh:mm"),""),""))</f>
      </c>
      <c r="C20" s="50">
        <f>IF(K20="","",K20&amp;IFERROR(IF(AND(INDEX(Arten,MATCH(K20,Codes,0))="Arbeit",ISNUMBER(INDEX(Beginne,MATCH(K20,Codes,0)))),"  "&amp;TEXT(INDEX(Beginne,MATCH(K20,Codes,0)),"hh:mm")&amp;"–"&amp;TEXT(INDEX(Enden,MATCH(K20,Codes,0)),"hh:mm"),""),""))</f>
      </c>
      <c r="D20" s="50">
        <f>IF(L20="","",L20&amp;IFERROR(IF(AND(INDEX(Arten,MATCH(L20,Codes,0))="Arbeit",ISNUMBER(INDEX(Beginne,MATCH(L20,Codes,0)))),"  "&amp;TEXT(INDEX(Beginne,MATCH(L20,Codes,0)),"hh:mm")&amp;"–"&amp;TEXT(INDEX(Enden,MATCH(L20,Codes,0)),"hh:mm"),""),""))</f>
      </c>
      <c r="E20" s="50">
        <f>IF(M20="","",M20&amp;IFERROR(IF(AND(INDEX(Arten,MATCH(M20,Codes,0))="Arbeit",ISNUMBER(INDEX(Beginne,MATCH(M20,Codes,0)))),"  "&amp;TEXT(INDEX(Beginne,MATCH(M20,Codes,0)),"hh:mm")&amp;"–"&amp;TEXT(INDEX(Enden,MATCH(M20,Codes,0)),"hh:mm"),""),""))</f>
      </c>
      <c r="F20" s="50">
        <f>IF(N20="","",N20&amp;IFERROR(IF(AND(INDEX(Arten,MATCH(N20,Codes,0))="Arbeit",ISNUMBER(INDEX(Beginne,MATCH(N20,Codes,0)))),"  "&amp;TEXT(INDEX(Beginne,MATCH(N20,Codes,0)),"hh:mm")&amp;"–"&amp;TEXT(INDEX(Enden,MATCH(N20,Codes,0)),"hh:mm"),""),""))</f>
      </c>
      <c r="G20" s="50">
        <f>IF(O20="","",O20&amp;IFERROR(IF(AND(INDEX(Arten,MATCH(O20,Codes,0))="Arbeit",ISNUMBER(INDEX(Beginne,MATCH(O20,Codes,0)))),"  "&amp;TEXT(INDEX(Beginne,MATCH(O20,Codes,0)),"hh:mm")&amp;"–"&amp;TEXT(INDEX(Enden,MATCH(O20,Codes,0)),"hh:mm"),""),""))</f>
      </c>
      <c r="H20" s="50">
        <f>IF(P20="","",P20&amp;IFERROR(IF(AND(INDEX(Arten,MATCH(P20,Codes,0))="Arbeit",ISNUMBER(INDEX(Beginne,MATCH(P20,Codes,0)))),"  "&amp;TEXT(INDEX(Beginne,MATCH(P20,Codes,0)),"hh:mm")&amp;"–"&amp;TEXT(INDEX(Enden,MATCH(P20,Codes,0)),"hh:mm"),""),""))</f>
      </c>
      <c r="I20" s="51">
        <f>IF($A20="","",SUMPRODUCT(COUNTIF(J20:P20,Codes)*(Arten="Arbeit")*Erste*NettoTage))</f>
      </c>
      <c r="J20" s="1">
        <f>IF(OR($A20="",YEAR(B$4)&lt;&gt;Jahr),"",CHOOSE(MONTH(B$4),INDEX('Januar'!$B$20:$AF$20,DAY(B$4)),INDEX('Februar'!$B$20:$AF$20,DAY(B$4)),INDEX('März'!$B$20:$AF$20,DAY(B$4)),INDEX('April'!$B$20:$AF$20,DAY(B$4)),INDEX('Mai'!$B$20:$AF$20,DAY(B$4)),INDEX('Juni'!$B$20:$AF$20,DAY(B$4)),INDEX('Juli'!$B$20:$AF$20,DAY(B$4)),INDEX('August'!$B$20:$AF$20,DAY(B$4)),INDEX('September'!$B$20:$AF$20,DAY(B$4)),INDEX('Oktober'!$B$20:$AF$20,DAY(B$4)),INDEX('November'!$B$20:$AF$20,DAY(B$4)),INDEX('Dezember'!$B$20:$AF$20,DAY(B$4)))&amp;"")</f>
      </c>
      <c r="K20" s="1">
        <f>IF(OR($A20="",YEAR(C$4)&lt;&gt;Jahr),"",CHOOSE(MONTH(C$4),INDEX('Januar'!$B$20:$AF$20,DAY(C$4)),INDEX('Februar'!$B$20:$AF$20,DAY(C$4)),INDEX('März'!$B$20:$AF$20,DAY(C$4)),INDEX('April'!$B$20:$AF$20,DAY(C$4)),INDEX('Mai'!$B$20:$AF$20,DAY(C$4)),INDEX('Juni'!$B$20:$AF$20,DAY(C$4)),INDEX('Juli'!$B$20:$AF$20,DAY(C$4)),INDEX('August'!$B$20:$AF$20,DAY(C$4)),INDEX('September'!$B$20:$AF$20,DAY(C$4)),INDEX('Oktober'!$B$20:$AF$20,DAY(C$4)),INDEX('November'!$B$20:$AF$20,DAY(C$4)),INDEX('Dezember'!$B$20:$AF$20,DAY(C$4)))&amp;"")</f>
      </c>
      <c r="L20" s="1">
        <f>IF(OR($A20="",YEAR(D$4)&lt;&gt;Jahr),"",CHOOSE(MONTH(D$4),INDEX('Januar'!$B$20:$AF$20,DAY(D$4)),INDEX('Februar'!$B$20:$AF$20,DAY(D$4)),INDEX('März'!$B$20:$AF$20,DAY(D$4)),INDEX('April'!$B$20:$AF$20,DAY(D$4)),INDEX('Mai'!$B$20:$AF$20,DAY(D$4)),INDEX('Juni'!$B$20:$AF$20,DAY(D$4)),INDEX('Juli'!$B$20:$AF$20,DAY(D$4)),INDEX('August'!$B$20:$AF$20,DAY(D$4)),INDEX('September'!$B$20:$AF$20,DAY(D$4)),INDEX('Oktober'!$B$20:$AF$20,DAY(D$4)),INDEX('November'!$B$20:$AF$20,DAY(D$4)),INDEX('Dezember'!$B$20:$AF$20,DAY(D$4)))&amp;"")</f>
      </c>
      <c r="M20" s="1">
        <f>IF(OR($A20="",YEAR(E$4)&lt;&gt;Jahr),"",CHOOSE(MONTH(E$4),INDEX('Januar'!$B$20:$AF$20,DAY(E$4)),INDEX('Februar'!$B$20:$AF$20,DAY(E$4)),INDEX('März'!$B$20:$AF$20,DAY(E$4)),INDEX('April'!$B$20:$AF$20,DAY(E$4)),INDEX('Mai'!$B$20:$AF$20,DAY(E$4)),INDEX('Juni'!$B$20:$AF$20,DAY(E$4)),INDEX('Juli'!$B$20:$AF$20,DAY(E$4)),INDEX('August'!$B$20:$AF$20,DAY(E$4)),INDEX('September'!$B$20:$AF$20,DAY(E$4)),INDEX('Oktober'!$B$20:$AF$20,DAY(E$4)),INDEX('November'!$B$20:$AF$20,DAY(E$4)),INDEX('Dezember'!$B$20:$AF$20,DAY(E$4)))&amp;"")</f>
      </c>
      <c r="N20" s="1">
        <f>IF(OR($A20="",YEAR(F$4)&lt;&gt;Jahr),"",CHOOSE(MONTH(F$4),INDEX('Januar'!$B$20:$AF$20,DAY(F$4)),INDEX('Februar'!$B$20:$AF$20,DAY(F$4)),INDEX('März'!$B$20:$AF$20,DAY(F$4)),INDEX('April'!$B$20:$AF$20,DAY(F$4)),INDEX('Mai'!$B$20:$AF$20,DAY(F$4)),INDEX('Juni'!$B$20:$AF$20,DAY(F$4)),INDEX('Juli'!$B$20:$AF$20,DAY(F$4)),INDEX('August'!$B$20:$AF$20,DAY(F$4)),INDEX('September'!$B$20:$AF$20,DAY(F$4)),INDEX('Oktober'!$B$20:$AF$20,DAY(F$4)),INDEX('November'!$B$20:$AF$20,DAY(F$4)),INDEX('Dezember'!$B$20:$AF$20,DAY(F$4)))&amp;"")</f>
      </c>
      <c r="O20" s="1">
        <f>IF(OR($A20="",YEAR(G$4)&lt;&gt;Jahr),"",CHOOSE(MONTH(G$4),INDEX('Januar'!$B$20:$AF$20,DAY(G$4)),INDEX('Februar'!$B$20:$AF$20,DAY(G$4)),INDEX('März'!$B$20:$AF$20,DAY(G$4)),INDEX('April'!$B$20:$AF$20,DAY(G$4)),INDEX('Mai'!$B$20:$AF$20,DAY(G$4)),INDEX('Juni'!$B$20:$AF$20,DAY(G$4)),INDEX('Juli'!$B$20:$AF$20,DAY(G$4)),INDEX('August'!$B$20:$AF$20,DAY(G$4)),INDEX('September'!$B$20:$AF$20,DAY(G$4)),INDEX('Oktober'!$B$20:$AF$20,DAY(G$4)),INDEX('November'!$B$20:$AF$20,DAY(G$4)),INDEX('Dezember'!$B$20:$AF$20,DAY(G$4)))&amp;"")</f>
      </c>
      <c r="P20" s="1">
        <f>IF(OR($A20="",YEAR(H$4)&lt;&gt;Jahr),"",CHOOSE(MONTH(H$4),INDEX('Januar'!$B$20:$AF$20,DAY(H$4)),INDEX('Februar'!$B$20:$AF$20,DAY(H$4)),INDEX('März'!$B$20:$AF$20,DAY(H$4)),INDEX('April'!$B$20:$AF$20,DAY(H$4)),INDEX('Mai'!$B$20:$AF$20,DAY(H$4)),INDEX('Juni'!$B$20:$AF$20,DAY(H$4)),INDEX('Juli'!$B$20:$AF$20,DAY(H$4)),INDEX('August'!$B$20:$AF$20,DAY(H$4)),INDEX('September'!$B$20:$AF$20,DAY(H$4)),INDEX('Oktober'!$B$20:$AF$20,DAY(H$4)),INDEX('November'!$B$20:$AF$20,DAY(H$4)),INDEX('Dezember'!$B$20:$AF$20,DAY(H$4)))&amp;"")</f>
      </c>
    </row>
    <row r="21" ht="17" customHeight="1" spans="1:16" x14ac:dyDescent="0.25">
      <c r="A21" s="49">
        <f>Mitarbeiter!$A$20&amp;""</f>
      </c>
      <c r="B21" s="50">
        <f>IF(J21="","",J21&amp;IFERROR(IF(AND(INDEX(Arten,MATCH(J21,Codes,0))="Arbeit",ISNUMBER(INDEX(Beginne,MATCH(J21,Codes,0)))),"  "&amp;TEXT(INDEX(Beginne,MATCH(J21,Codes,0)),"hh:mm")&amp;"–"&amp;TEXT(INDEX(Enden,MATCH(J21,Codes,0)),"hh:mm"),""),""))</f>
      </c>
      <c r="C21" s="50">
        <f>IF(K21="","",K21&amp;IFERROR(IF(AND(INDEX(Arten,MATCH(K21,Codes,0))="Arbeit",ISNUMBER(INDEX(Beginne,MATCH(K21,Codes,0)))),"  "&amp;TEXT(INDEX(Beginne,MATCH(K21,Codes,0)),"hh:mm")&amp;"–"&amp;TEXT(INDEX(Enden,MATCH(K21,Codes,0)),"hh:mm"),""),""))</f>
      </c>
      <c r="D21" s="50">
        <f>IF(L21="","",L21&amp;IFERROR(IF(AND(INDEX(Arten,MATCH(L21,Codes,0))="Arbeit",ISNUMBER(INDEX(Beginne,MATCH(L21,Codes,0)))),"  "&amp;TEXT(INDEX(Beginne,MATCH(L21,Codes,0)),"hh:mm")&amp;"–"&amp;TEXT(INDEX(Enden,MATCH(L21,Codes,0)),"hh:mm"),""),""))</f>
      </c>
      <c r="E21" s="50">
        <f>IF(M21="","",M21&amp;IFERROR(IF(AND(INDEX(Arten,MATCH(M21,Codes,0))="Arbeit",ISNUMBER(INDEX(Beginne,MATCH(M21,Codes,0)))),"  "&amp;TEXT(INDEX(Beginne,MATCH(M21,Codes,0)),"hh:mm")&amp;"–"&amp;TEXT(INDEX(Enden,MATCH(M21,Codes,0)),"hh:mm"),""),""))</f>
      </c>
      <c r="F21" s="50">
        <f>IF(N21="","",N21&amp;IFERROR(IF(AND(INDEX(Arten,MATCH(N21,Codes,0))="Arbeit",ISNUMBER(INDEX(Beginne,MATCH(N21,Codes,0)))),"  "&amp;TEXT(INDEX(Beginne,MATCH(N21,Codes,0)),"hh:mm")&amp;"–"&amp;TEXT(INDEX(Enden,MATCH(N21,Codes,0)),"hh:mm"),""),""))</f>
      </c>
      <c r="G21" s="50">
        <f>IF(O21="","",O21&amp;IFERROR(IF(AND(INDEX(Arten,MATCH(O21,Codes,0))="Arbeit",ISNUMBER(INDEX(Beginne,MATCH(O21,Codes,0)))),"  "&amp;TEXT(INDEX(Beginne,MATCH(O21,Codes,0)),"hh:mm")&amp;"–"&amp;TEXT(INDEX(Enden,MATCH(O21,Codes,0)),"hh:mm"),""),""))</f>
      </c>
      <c r="H21" s="50">
        <f>IF(P21="","",P21&amp;IFERROR(IF(AND(INDEX(Arten,MATCH(P21,Codes,0))="Arbeit",ISNUMBER(INDEX(Beginne,MATCH(P21,Codes,0)))),"  "&amp;TEXT(INDEX(Beginne,MATCH(P21,Codes,0)),"hh:mm")&amp;"–"&amp;TEXT(INDEX(Enden,MATCH(P21,Codes,0)),"hh:mm"),""),""))</f>
      </c>
      <c r="I21" s="51">
        <f>IF($A21="","",SUMPRODUCT(COUNTIF(J21:P21,Codes)*(Arten="Arbeit")*Erste*NettoTage))</f>
      </c>
      <c r="J21" s="1">
        <f>IF(OR($A21="",YEAR(B$4)&lt;&gt;Jahr),"",CHOOSE(MONTH(B$4),INDEX('Januar'!$B$21:$AF$21,DAY(B$4)),INDEX('Februar'!$B$21:$AF$21,DAY(B$4)),INDEX('März'!$B$21:$AF$21,DAY(B$4)),INDEX('April'!$B$21:$AF$21,DAY(B$4)),INDEX('Mai'!$B$21:$AF$21,DAY(B$4)),INDEX('Juni'!$B$21:$AF$21,DAY(B$4)),INDEX('Juli'!$B$21:$AF$21,DAY(B$4)),INDEX('August'!$B$21:$AF$21,DAY(B$4)),INDEX('September'!$B$21:$AF$21,DAY(B$4)),INDEX('Oktober'!$B$21:$AF$21,DAY(B$4)),INDEX('November'!$B$21:$AF$21,DAY(B$4)),INDEX('Dezember'!$B$21:$AF$21,DAY(B$4)))&amp;"")</f>
      </c>
      <c r="K21" s="1">
        <f>IF(OR($A21="",YEAR(C$4)&lt;&gt;Jahr),"",CHOOSE(MONTH(C$4),INDEX('Januar'!$B$21:$AF$21,DAY(C$4)),INDEX('Februar'!$B$21:$AF$21,DAY(C$4)),INDEX('März'!$B$21:$AF$21,DAY(C$4)),INDEX('April'!$B$21:$AF$21,DAY(C$4)),INDEX('Mai'!$B$21:$AF$21,DAY(C$4)),INDEX('Juni'!$B$21:$AF$21,DAY(C$4)),INDEX('Juli'!$B$21:$AF$21,DAY(C$4)),INDEX('August'!$B$21:$AF$21,DAY(C$4)),INDEX('September'!$B$21:$AF$21,DAY(C$4)),INDEX('Oktober'!$B$21:$AF$21,DAY(C$4)),INDEX('November'!$B$21:$AF$21,DAY(C$4)),INDEX('Dezember'!$B$21:$AF$21,DAY(C$4)))&amp;"")</f>
      </c>
      <c r="L21" s="1">
        <f>IF(OR($A21="",YEAR(D$4)&lt;&gt;Jahr),"",CHOOSE(MONTH(D$4),INDEX('Januar'!$B$21:$AF$21,DAY(D$4)),INDEX('Februar'!$B$21:$AF$21,DAY(D$4)),INDEX('März'!$B$21:$AF$21,DAY(D$4)),INDEX('April'!$B$21:$AF$21,DAY(D$4)),INDEX('Mai'!$B$21:$AF$21,DAY(D$4)),INDEX('Juni'!$B$21:$AF$21,DAY(D$4)),INDEX('Juli'!$B$21:$AF$21,DAY(D$4)),INDEX('August'!$B$21:$AF$21,DAY(D$4)),INDEX('September'!$B$21:$AF$21,DAY(D$4)),INDEX('Oktober'!$B$21:$AF$21,DAY(D$4)),INDEX('November'!$B$21:$AF$21,DAY(D$4)),INDEX('Dezember'!$B$21:$AF$21,DAY(D$4)))&amp;"")</f>
      </c>
      <c r="M21" s="1">
        <f>IF(OR($A21="",YEAR(E$4)&lt;&gt;Jahr),"",CHOOSE(MONTH(E$4),INDEX('Januar'!$B$21:$AF$21,DAY(E$4)),INDEX('Februar'!$B$21:$AF$21,DAY(E$4)),INDEX('März'!$B$21:$AF$21,DAY(E$4)),INDEX('April'!$B$21:$AF$21,DAY(E$4)),INDEX('Mai'!$B$21:$AF$21,DAY(E$4)),INDEX('Juni'!$B$21:$AF$21,DAY(E$4)),INDEX('Juli'!$B$21:$AF$21,DAY(E$4)),INDEX('August'!$B$21:$AF$21,DAY(E$4)),INDEX('September'!$B$21:$AF$21,DAY(E$4)),INDEX('Oktober'!$B$21:$AF$21,DAY(E$4)),INDEX('November'!$B$21:$AF$21,DAY(E$4)),INDEX('Dezember'!$B$21:$AF$21,DAY(E$4)))&amp;"")</f>
      </c>
      <c r="N21" s="1">
        <f>IF(OR($A21="",YEAR(F$4)&lt;&gt;Jahr),"",CHOOSE(MONTH(F$4),INDEX('Januar'!$B$21:$AF$21,DAY(F$4)),INDEX('Februar'!$B$21:$AF$21,DAY(F$4)),INDEX('März'!$B$21:$AF$21,DAY(F$4)),INDEX('April'!$B$21:$AF$21,DAY(F$4)),INDEX('Mai'!$B$21:$AF$21,DAY(F$4)),INDEX('Juni'!$B$21:$AF$21,DAY(F$4)),INDEX('Juli'!$B$21:$AF$21,DAY(F$4)),INDEX('August'!$B$21:$AF$21,DAY(F$4)),INDEX('September'!$B$21:$AF$21,DAY(F$4)),INDEX('Oktober'!$B$21:$AF$21,DAY(F$4)),INDEX('November'!$B$21:$AF$21,DAY(F$4)),INDEX('Dezember'!$B$21:$AF$21,DAY(F$4)))&amp;"")</f>
      </c>
      <c r="O21" s="1">
        <f>IF(OR($A21="",YEAR(G$4)&lt;&gt;Jahr),"",CHOOSE(MONTH(G$4),INDEX('Januar'!$B$21:$AF$21,DAY(G$4)),INDEX('Februar'!$B$21:$AF$21,DAY(G$4)),INDEX('März'!$B$21:$AF$21,DAY(G$4)),INDEX('April'!$B$21:$AF$21,DAY(G$4)),INDEX('Mai'!$B$21:$AF$21,DAY(G$4)),INDEX('Juni'!$B$21:$AF$21,DAY(G$4)),INDEX('Juli'!$B$21:$AF$21,DAY(G$4)),INDEX('August'!$B$21:$AF$21,DAY(G$4)),INDEX('September'!$B$21:$AF$21,DAY(G$4)),INDEX('Oktober'!$B$21:$AF$21,DAY(G$4)),INDEX('November'!$B$21:$AF$21,DAY(G$4)),INDEX('Dezember'!$B$21:$AF$21,DAY(G$4)))&amp;"")</f>
      </c>
      <c r="P21" s="1">
        <f>IF(OR($A21="",YEAR(H$4)&lt;&gt;Jahr),"",CHOOSE(MONTH(H$4),INDEX('Januar'!$B$21:$AF$21,DAY(H$4)),INDEX('Februar'!$B$21:$AF$21,DAY(H$4)),INDEX('März'!$B$21:$AF$21,DAY(H$4)),INDEX('April'!$B$21:$AF$21,DAY(H$4)),INDEX('Mai'!$B$21:$AF$21,DAY(H$4)),INDEX('Juni'!$B$21:$AF$21,DAY(H$4)),INDEX('Juli'!$B$21:$AF$21,DAY(H$4)),INDEX('August'!$B$21:$AF$21,DAY(H$4)),INDEX('September'!$B$21:$AF$21,DAY(H$4)),INDEX('Oktober'!$B$21:$AF$21,DAY(H$4)),INDEX('November'!$B$21:$AF$21,DAY(H$4)),INDEX('Dezember'!$B$21:$AF$21,DAY(H$4)))&amp;"")</f>
      </c>
    </row>
    <row r="22" ht="17" customHeight="1" spans="1:16" x14ac:dyDescent="0.25">
      <c r="A22" s="49">
        <f>Mitarbeiter!$A$21&amp;""</f>
      </c>
      <c r="B22" s="50">
        <f>IF(J22="","",J22&amp;IFERROR(IF(AND(INDEX(Arten,MATCH(J22,Codes,0))="Arbeit",ISNUMBER(INDEX(Beginne,MATCH(J22,Codes,0)))),"  "&amp;TEXT(INDEX(Beginne,MATCH(J22,Codes,0)),"hh:mm")&amp;"–"&amp;TEXT(INDEX(Enden,MATCH(J22,Codes,0)),"hh:mm"),""),""))</f>
      </c>
      <c r="C22" s="50">
        <f>IF(K22="","",K22&amp;IFERROR(IF(AND(INDEX(Arten,MATCH(K22,Codes,0))="Arbeit",ISNUMBER(INDEX(Beginne,MATCH(K22,Codes,0)))),"  "&amp;TEXT(INDEX(Beginne,MATCH(K22,Codes,0)),"hh:mm")&amp;"–"&amp;TEXT(INDEX(Enden,MATCH(K22,Codes,0)),"hh:mm"),""),""))</f>
      </c>
      <c r="D22" s="50">
        <f>IF(L22="","",L22&amp;IFERROR(IF(AND(INDEX(Arten,MATCH(L22,Codes,0))="Arbeit",ISNUMBER(INDEX(Beginne,MATCH(L22,Codes,0)))),"  "&amp;TEXT(INDEX(Beginne,MATCH(L22,Codes,0)),"hh:mm")&amp;"–"&amp;TEXT(INDEX(Enden,MATCH(L22,Codes,0)),"hh:mm"),""),""))</f>
      </c>
      <c r="E22" s="50">
        <f>IF(M22="","",M22&amp;IFERROR(IF(AND(INDEX(Arten,MATCH(M22,Codes,0))="Arbeit",ISNUMBER(INDEX(Beginne,MATCH(M22,Codes,0)))),"  "&amp;TEXT(INDEX(Beginne,MATCH(M22,Codes,0)),"hh:mm")&amp;"–"&amp;TEXT(INDEX(Enden,MATCH(M22,Codes,0)),"hh:mm"),""),""))</f>
      </c>
      <c r="F22" s="50">
        <f>IF(N22="","",N22&amp;IFERROR(IF(AND(INDEX(Arten,MATCH(N22,Codes,0))="Arbeit",ISNUMBER(INDEX(Beginne,MATCH(N22,Codes,0)))),"  "&amp;TEXT(INDEX(Beginne,MATCH(N22,Codes,0)),"hh:mm")&amp;"–"&amp;TEXT(INDEX(Enden,MATCH(N22,Codes,0)),"hh:mm"),""),""))</f>
      </c>
      <c r="G22" s="50">
        <f>IF(O22="","",O22&amp;IFERROR(IF(AND(INDEX(Arten,MATCH(O22,Codes,0))="Arbeit",ISNUMBER(INDEX(Beginne,MATCH(O22,Codes,0)))),"  "&amp;TEXT(INDEX(Beginne,MATCH(O22,Codes,0)),"hh:mm")&amp;"–"&amp;TEXT(INDEX(Enden,MATCH(O22,Codes,0)),"hh:mm"),""),""))</f>
      </c>
      <c r="H22" s="50">
        <f>IF(P22="","",P22&amp;IFERROR(IF(AND(INDEX(Arten,MATCH(P22,Codes,0))="Arbeit",ISNUMBER(INDEX(Beginne,MATCH(P22,Codes,0)))),"  "&amp;TEXT(INDEX(Beginne,MATCH(P22,Codes,0)),"hh:mm")&amp;"–"&amp;TEXT(INDEX(Enden,MATCH(P22,Codes,0)),"hh:mm"),""),""))</f>
      </c>
      <c r="I22" s="51">
        <f>IF($A22="","",SUMPRODUCT(COUNTIF(J22:P22,Codes)*(Arten="Arbeit")*Erste*NettoTage))</f>
      </c>
      <c r="J22" s="1">
        <f>IF(OR($A22="",YEAR(B$4)&lt;&gt;Jahr),"",CHOOSE(MONTH(B$4),INDEX('Januar'!$B$22:$AF$22,DAY(B$4)),INDEX('Februar'!$B$22:$AF$22,DAY(B$4)),INDEX('März'!$B$22:$AF$22,DAY(B$4)),INDEX('April'!$B$22:$AF$22,DAY(B$4)),INDEX('Mai'!$B$22:$AF$22,DAY(B$4)),INDEX('Juni'!$B$22:$AF$22,DAY(B$4)),INDEX('Juli'!$B$22:$AF$22,DAY(B$4)),INDEX('August'!$B$22:$AF$22,DAY(B$4)),INDEX('September'!$B$22:$AF$22,DAY(B$4)),INDEX('Oktober'!$B$22:$AF$22,DAY(B$4)),INDEX('November'!$B$22:$AF$22,DAY(B$4)),INDEX('Dezember'!$B$22:$AF$22,DAY(B$4)))&amp;"")</f>
      </c>
      <c r="K22" s="1">
        <f>IF(OR($A22="",YEAR(C$4)&lt;&gt;Jahr),"",CHOOSE(MONTH(C$4),INDEX('Januar'!$B$22:$AF$22,DAY(C$4)),INDEX('Februar'!$B$22:$AF$22,DAY(C$4)),INDEX('März'!$B$22:$AF$22,DAY(C$4)),INDEX('April'!$B$22:$AF$22,DAY(C$4)),INDEX('Mai'!$B$22:$AF$22,DAY(C$4)),INDEX('Juni'!$B$22:$AF$22,DAY(C$4)),INDEX('Juli'!$B$22:$AF$22,DAY(C$4)),INDEX('August'!$B$22:$AF$22,DAY(C$4)),INDEX('September'!$B$22:$AF$22,DAY(C$4)),INDEX('Oktober'!$B$22:$AF$22,DAY(C$4)),INDEX('November'!$B$22:$AF$22,DAY(C$4)),INDEX('Dezember'!$B$22:$AF$22,DAY(C$4)))&amp;"")</f>
      </c>
      <c r="L22" s="1">
        <f>IF(OR($A22="",YEAR(D$4)&lt;&gt;Jahr),"",CHOOSE(MONTH(D$4),INDEX('Januar'!$B$22:$AF$22,DAY(D$4)),INDEX('Februar'!$B$22:$AF$22,DAY(D$4)),INDEX('März'!$B$22:$AF$22,DAY(D$4)),INDEX('April'!$B$22:$AF$22,DAY(D$4)),INDEX('Mai'!$B$22:$AF$22,DAY(D$4)),INDEX('Juni'!$B$22:$AF$22,DAY(D$4)),INDEX('Juli'!$B$22:$AF$22,DAY(D$4)),INDEX('August'!$B$22:$AF$22,DAY(D$4)),INDEX('September'!$B$22:$AF$22,DAY(D$4)),INDEX('Oktober'!$B$22:$AF$22,DAY(D$4)),INDEX('November'!$B$22:$AF$22,DAY(D$4)),INDEX('Dezember'!$B$22:$AF$22,DAY(D$4)))&amp;"")</f>
      </c>
      <c r="M22" s="1">
        <f>IF(OR($A22="",YEAR(E$4)&lt;&gt;Jahr),"",CHOOSE(MONTH(E$4),INDEX('Januar'!$B$22:$AF$22,DAY(E$4)),INDEX('Februar'!$B$22:$AF$22,DAY(E$4)),INDEX('März'!$B$22:$AF$22,DAY(E$4)),INDEX('April'!$B$22:$AF$22,DAY(E$4)),INDEX('Mai'!$B$22:$AF$22,DAY(E$4)),INDEX('Juni'!$B$22:$AF$22,DAY(E$4)),INDEX('Juli'!$B$22:$AF$22,DAY(E$4)),INDEX('August'!$B$22:$AF$22,DAY(E$4)),INDEX('September'!$B$22:$AF$22,DAY(E$4)),INDEX('Oktober'!$B$22:$AF$22,DAY(E$4)),INDEX('November'!$B$22:$AF$22,DAY(E$4)),INDEX('Dezember'!$B$22:$AF$22,DAY(E$4)))&amp;"")</f>
      </c>
      <c r="N22" s="1">
        <f>IF(OR($A22="",YEAR(F$4)&lt;&gt;Jahr),"",CHOOSE(MONTH(F$4),INDEX('Januar'!$B$22:$AF$22,DAY(F$4)),INDEX('Februar'!$B$22:$AF$22,DAY(F$4)),INDEX('März'!$B$22:$AF$22,DAY(F$4)),INDEX('April'!$B$22:$AF$22,DAY(F$4)),INDEX('Mai'!$B$22:$AF$22,DAY(F$4)),INDEX('Juni'!$B$22:$AF$22,DAY(F$4)),INDEX('Juli'!$B$22:$AF$22,DAY(F$4)),INDEX('August'!$B$22:$AF$22,DAY(F$4)),INDEX('September'!$B$22:$AF$22,DAY(F$4)),INDEX('Oktober'!$B$22:$AF$22,DAY(F$4)),INDEX('November'!$B$22:$AF$22,DAY(F$4)),INDEX('Dezember'!$B$22:$AF$22,DAY(F$4)))&amp;"")</f>
      </c>
      <c r="O22" s="1">
        <f>IF(OR($A22="",YEAR(G$4)&lt;&gt;Jahr),"",CHOOSE(MONTH(G$4),INDEX('Januar'!$B$22:$AF$22,DAY(G$4)),INDEX('Februar'!$B$22:$AF$22,DAY(G$4)),INDEX('März'!$B$22:$AF$22,DAY(G$4)),INDEX('April'!$B$22:$AF$22,DAY(G$4)),INDEX('Mai'!$B$22:$AF$22,DAY(G$4)),INDEX('Juni'!$B$22:$AF$22,DAY(G$4)),INDEX('Juli'!$B$22:$AF$22,DAY(G$4)),INDEX('August'!$B$22:$AF$22,DAY(G$4)),INDEX('September'!$B$22:$AF$22,DAY(G$4)),INDEX('Oktober'!$B$22:$AF$22,DAY(G$4)),INDEX('November'!$B$22:$AF$22,DAY(G$4)),INDEX('Dezember'!$B$22:$AF$22,DAY(G$4)))&amp;"")</f>
      </c>
      <c r="P22" s="1">
        <f>IF(OR($A22="",YEAR(H$4)&lt;&gt;Jahr),"",CHOOSE(MONTH(H$4),INDEX('Januar'!$B$22:$AF$22,DAY(H$4)),INDEX('Februar'!$B$22:$AF$22,DAY(H$4)),INDEX('März'!$B$22:$AF$22,DAY(H$4)),INDEX('April'!$B$22:$AF$22,DAY(H$4)),INDEX('Mai'!$B$22:$AF$22,DAY(H$4)),INDEX('Juni'!$B$22:$AF$22,DAY(H$4)),INDEX('Juli'!$B$22:$AF$22,DAY(H$4)),INDEX('August'!$B$22:$AF$22,DAY(H$4)),INDEX('September'!$B$22:$AF$22,DAY(H$4)),INDEX('Oktober'!$B$22:$AF$22,DAY(H$4)),INDEX('November'!$B$22:$AF$22,DAY(H$4)),INDEX('Dezember'!$B$22:$AF$22,DAY(H$4)))&amp;"")</f>
      </c>
    </row>
    <row r="23" ht="17" customHeight="1" spans="1:16" x14ac:dyDescent="0.25">
      <c r="A23" s="49">
        <f>Mitarbeiter!$A$22&amp;""</f>
      </c>
      <c r="B23" s="50">
        <f>IF(J23="","",J23&amp;IFERROR(IF(AND(INDEX(Arten,MATCH(J23,Codes,0))="Arbeit",ISNUMBER(INDEX(Beginne,MATCH(J23,Codes,0)))),"  "&amp;TEXT(INDEX(Beginne,MATCH(J23,Codes,0)),"hh:mm")&amp;"–"&amp;TEXT(INDEX(Enden,MATCH(J23,Codes,0)),"hh:mm"),""),""))</f>
      </c>
      <c r="C23" s="50">
        <f>IF(K23="","",K23&amp;IFERROR(IF(AND(INDEX(Arten,MATCH(K23,Codes,0))="Arbeit",ISNUMBER(INDEX(Beginne,MATCH(K23,Codes,0)))),"  "&amp;TEXT(INDEX(Beginne,MATCH(K23,Codes,0)),"hh:mm")&amp;"–"&amp;TEXT(INDEX(Enden,MATCH(K23,Codes,0)),"hh:mm"),""),""))</f>
      </c>
      <c r="D23" s="50">
        <f>IF(L23="","",L23&amp;IFERROR(IF(AND(INDEX(Arten,MATCH(L23,Codes,0))="Arbeit",ISNUMBER(INDEX(Beginne,MATCH(L23,Codes,0)))),"  "&amp;TEXT(INDEX(Beginne,MATCH(L23,Codes,0)),"hh:mm")&amp;"–"&amp;TEXT(INDEX(Enden,MATCH(L23,Codes,0)),"hh:mm"),""),""))</f>
      </c>
      <c r="E23" s="50">
        <f>IF(M23="","",M23&amp;IFERROR(IF(AND(INDEX(Arten,MATCH(M23,Codes,0))="Arbeit",ISNUMBER(INDEX(Beginne,MATCH(M23,Codes,0)))),"  "&amp;TEXT(INDEX(Beginne,MATCH(M23,Codes,0)),"hh:mm")&amp;"–"&amp;TEXT(INDEX(Enden,MATCH(M23,Codes,0)),"hh:mm"),""),""))</f>
      </c>
      <c r="F23" s="50">
        <f>IF(N23="","",N23&amp;IFERROR(IF(AND(INDEX(Arten,MATCH(N23,Codes,0))="Arbeit",ISNUMBER(INDEX(Beginne,MATCH(N23,Codes,0)))),"  "&amp;TEXT(INDEX(Beginne,MATCH(N23,Codes,0)),"hh:mm")&amp;"–"&amp;TEXT(INDEX(Enden,MATCH(N23,Codes,0)),"hh:mm"),""),""))</f>
      </c>
      <c r="G23" s="50">
        <f>IF(O23="","",O23&amp;IFERROR(IF(AND(INDEX(Arten,MATCH(O23,Codes,0))="Arbeit",ISNUMBER(INDEX(Beginne,MATCH(O23,Codes,0)))),"  "&amp;TEXT(INDEX(Beginne,MATCH(O23,Codes,0)),"hh:mm")&amp;"–"&amp;TEXT(INDEX(Enden,MATCH(O23,Codes,0)),"hh:mm"),""),""))</f>
      </c>
      <c r="H23" s="50">
        <f>IF(P23="","",P23&amp;IFERROR(IF(AND(INDEX(Arten,MATCH(P23,Codes,0))="Arbeit",ISNUMBER(INDEX(Beginne,MATCH(P23,Codes,0)))),"  "&amp;TEXT(INDEX(Beginne,MATCH(P23,Codes,0)),"hh:mm")&amp;"–"&amp;TEXT(INDEX(Enden,MATCH(P23,Codes,0)),"hh:mm"),""),""))</f>
      </c>
      <c r="I23" s="51">
        <f>IF($A23="","",SUMPRODUCT(COUNTIF(J23:P23,Codes)*(Arten="Arbeit")*Erste*NettoTage))</f>
      </c>
      <c r="J23" s="1">
        <f>IF(OR($A23="",YEAR(B$4)&lt;&gt;Jahr),"",CHOOSE(MONTH(B$4),INDEX('Januar'!$B$23:$AF$23,DAY(B$4)),INDEX('Februar'!$B$23:$AF$23,DAY(B$4)),INDEX('März'!$B$23:$AF$23,DAY(B$4)),INDEX('April'!$B$23:$AF$23,DAY(B$4)),INDEX('Mai'!$B$23:$AF$23,DAY(B$4)),INDEX('Juni'!$B$23:$AF$23,DAY(B$4)),INDEX('Juli'!$B$23:$AF$23,DAY(B$4)),INDEX('August'!$B$23:$AF$23,DAY(B$4)),INDEX('September'!$B$23:$AF$23,DAY(B$4)),INDEX('Oktober'!$B$23:$AF$23,DAY(B$4)),INDEX('November'!$B$23:$AF$23,DAY(B$4)),INDEX('Dezember'!$B$23:$AF$23,DAY(B$4)))&amp;"")</f>
      </c>
      <c r="K23" s="1">
        <f>IF(OR($A23="",YEAR(C$4)&lt;&gt;Jahr),"",CHOOSE(MONTH(C$4),INDEX('Januar'!$B$23:$AF$23,DAY(C$4)),INDEX('Februar'!$B$23:$AF$23,DAY(C$4)),INDEX('März'!$B$23:$AF$23,DAY(C$4)),INDEX('April'!$B$23:$AF$23,DAY(C$4)),INDEX('Mai'!$B$23:$AF$23,DAY(C$4)),INDEX('Juni'!$B$23:$AF$23,DAY(C$4)),INDEX('Juli'!$B$23:$AF$23,DAY(C$4)),INDEX('August'!$B$23:$AF$23,DAY(C$4)),INDEX('September'!$B$23:$AF$23,DAY(C$4)),INDEX('Oktober'!$B$23:$AF$23,DAY(C$4)),INDEX('November'!$B$23:$AF$23,DAY(C$4)),INDEX('Dezember'!$B$23:$AF$23,DAY(C$4)))&amp;"")</f>
      </c>
      <c r="L23" s="1">
        <f>IF(OR($A23="",YEAR(D$4)&lt;&gt;Jahr),"",CHOOSE(MONTH(D$4),INDEX('Januar'!$B$23:$AF$23,DAY(D$4)),INDEX('Februar'!$B$23:$AF$23,DAY(D$4)),INDEX('März'!$B$23:$AF$23,DAY(D$4)),INDEX('April'!$B$23:$AF$23,DAY(D$4)),INDEX('Mai'!$B$23:$AF$23,DAY(D$4)),INDEX('Juni'!$B$23:$AF$23,DAY(D$4)),INDEX('Juli'!$B$23:$AF$23,DAY(D$4)),INDEX('August'!$B$23:$AF$23,DAY(D$4)),INDEX('September'!$B$23:$AF$23,DAY(D$4)),INDEX('Oktober'!$B$23:$AF$23,DAY(D$4)),INDEX('November'!$B$23:$AF$23,DAY(D$4)),INDEX('Dezember'!$B$23:$AF$23,DAY(D$4)))&amp;"")</f>
      </c>
      <c r="M23" s="1">
        <f>IF(OR($A23="",YEAR(E$4)&lt;&gt;Jahr),"",CHOOSE(MONTH(E$4),INDEX('Januar'!$B$23:$AF$23,DAY(E$4)),INDEX('Februar'!$B$23:$AF$23,DAY(E$4)),INDEX('März'!$B$23:$AF$23,DAY(E$4)),INDEX('April'!$B$23:$AF$23,DAY(E$4)),INDEX('Mai'!$B$23:$AF$23,DAY(E$4)),INDEX('Juni'!$B$23:$AF$23,DAY(E$4)),INDEX('Juli'!$B$23:$AF$23,DAY(E$4)),INDEX('August'!$B$23:$AF$23,DAY(E$4)),INDEX('September'!$B$23:$AF$23,DAY(E$4)),INDEX('Oktober'!$B$23:$AF$23,DAY(E$4)),INDEX('November'!$B$23:$AF$23,DAY(E$4)),INDEX('Dezember'!$B$23:$AF$23,DAY(E$4)))&amp;"")</f>
      </c>
      <c r="N23" s="1">
        <f>IF(OR($A23="",YEAR(F$4)&lt;&gt;Jahr),"",CHOOSE(MONTH(F$4),INDEX('Januar'!$B$23:$AF$23,DAY(F$4)),INDEX('Februar'!$B$23:$AF$23,DAY(F$4)),INDEX('März'!$B$23:$AF$23,DAY(F$4)),INDEX('April'!$B$23:$AF$23,DAY(F$4)),INDEX('Mai'!$B$23:$AF$23,DAY(F$4)),INDEX('Juni'!$B$23:$AF$23,DAY(F$4)),INDEX('Juli'!$B$23:$AF$23,DAY(F$4)),INDEX('August'!$B$23:$AF$23,DAY(F$4)),INDEX('September'!$B$23:$AF$23,DAY(F$4)),INDEX('Oktober'!$B$23:$AF$23,DAY(F$4)),INDEX('November'!$B$23:$AF$23,DAY(F$4)),INDEX('Dezember'!$B$23:$AF$23,DAY(F$4)))&amp;"")</f>
      </c>
      <c r="O23" s="1">
        <f>IF(OR($A23="",YEAR(G$4)&lt;&gt;Jahr),"",CHOOSE(MONTH(G$4),INDEX('Januar'!$B$23:$AF$23,DAY(G$4)),INDEX('Februar'!$B$23:$AF$23,DAY(G$4)),INDEX('März'!$B$23:$AF$23,DAY(G$4)),INDEX('April'!$B$23:$AF$23,DAY(G$4)),INDEX('Mai'!$B$23:$AF$23,DAY(G$4)),INDEX('Juni'!$B$23:$AF$23,DAY(G$4)),INDEX('Juli'!$B$23:$AF$23,DAY(G$4)),INDEX('August'!$B$23:$AF$23,DAY(G$4)),INDEX('September'!$B$23:$AF$23,DAY(G$4)),INDEX('Oktober'!$B$23:$AF$23,DAY(G$4)),INDEX('November'!$B$23:$AF$23,DAY(G$4)),INDEX('Dezember'!$B$23:$AF$23,DAY(G$4)))&amp;"")</f>
      </c>
      <c r="P23" s="1">
        <f>IF(OR($A23="",YEAR(H$4)&lt;&gt;Jahr),"",CHOOSE(MONTH(H$4),INDEX('Januar'!$B$23:$AF$23,DAY(H$4)),INDEX('Februar'!$B$23:$AF$23,DAY(H$4)),INDEX('März'!$B$23:$AF$23,DAY(H$4)),INDEX('April'!$B$23:$AF$23,DAY(H$4)),INDEX('Mai'!$B$23:$AF$23,DAY(H$4)),INDEX('Juni'!$B$23:$AF$23,DAY(H$4)),INDEX('Juli'!$B$23:$AF$23,DAY(H$4)),INDEX('August'!$B$23:$AF$23,DAY(H$4)),INDEX('September'!$B$23:$AF$23,DAY(H$4)),INDEX('Oktober'!$B$23:$AF$23,DAY(H$4)),INDEX('November'!$B$23:$AF$23,DAY(H$4)),INDEX('Dezember'!$B$23:$AF$23,DAY(H$4)))&amp;"")</f>
      </c>
    </row>
    <row r="24" ht="17" customHeight="1" spans="1:16" x14ac:dyDescent="0.25">
      <c r="A24" s="49">
        <f>Mitarbeiter!$A$23&amp;""</f>
      </c>
      <c r="B24" s="50">
        <f>IF(J24="","",J24&amp;IFERROR(IF(AND(INDEX(Arten,MATCH(J24,Codes,0))="Arbeit",ISNUMBER(INDEX(Beginne,MATCH(J24,Codes,0)))),"  "&amp;TEXT(INDEX(Beginne,MATCH(J24,Codes,0)),"hh:mm")&amp;"–"&amp;TEXT(INDEX(Enden,MATCH(J24,Codes,0)),"hh:mm"),""),""))</f>
      </c>
      <c r="C24" s="50">
        <f>IF(K24="","",K24&amp;IFERROR(IF(AND(INDEX(Arten,MATCH(K24,Codes,0))="Arbeit",ISNUMBER(INDEX(Beginne,MATCH(K24,Codes,0)))),"  "&amp;TEXT(INDEX(Beginne,MATCH(K24,Codes,0)),"hh:mm")&amp;"–"&amp;TEXT(INDEX(Enden,MATCH(K24,Codes,0)),"hh:mm"),""),""))</f>
      </c>
      <c r="D24" s="50">
        <f>IF(L24="","",L24&amp;IFERROR(IF(AND(INDEX(Arten,MATCH(L24,Codes,0))="Arbeit",ISNUMBER(INDEX(Beginne,MATCH(L24,Codes,0)))),"  "&amp;TEXT(INDEX(Beginne,MATCH(L24,Codes,0)),"hh:mm")&amp;"–"&amp;TEXT(INDEX(Enden,MATCH(L24,Codes,0)),"hh:mm"),""),""))</f>
      </c>
      <c r="E24" s="50">
        <f>IF(M24="","",M24&amp;IFERROR(IF(AND(INDEX(Arten,MATCH(M24,Codes,0))="Arbeit",ISNUMBER(INDEX(Beginne,MATCH(M24,Codes,0)))),"  "&amp;TEXT(INDEX(Beginne,MATCH(M24,Codes,0)),"hh:mm")&amp;"–"&amp;TEXT(INDEX(Enden,MATCH(M24,Codes,0)),"hh:mm"),""),""))</f>
      </c>
      <c r="F24" s="50">
        <f>IF(N24="","",N24&amp;IFERROR(IF(AND(INDEX(Arten,MATCH(N24,Codes,0))="Arbeit",ISNUMBER(INDEX(Beginne,MATCH(N24,Codes,0)))),"  "&amp;TEXT(INDEX(Beginne,MATCH(N24,Codes,0)),"hh:mm")&amp;"–"&amp;TEXT(INDEX(Enden,MATCH(N24,Codes,0)),"hh:mm"),""),""))</f>
      </c>
      <c r="G24" s="50">
        <f>IF(O24="","",O24&amp;IFERROR(IF(AND(INDEX(Arten,MATCH(O24,Codes,0))="Arbeit",ISNUMBER(INDEX(Beginne,MATCH(O24,Codes,0)))),"  "&amp;TEXT(INDEX(Beginne,MATCH(O24,Codes,0)),"hh:mm")&amp;"–"&amp;TEXT(INDEX(Enden,MATCH(O24,Codes,0)),"hh:mm"),""),""))</f>
      </c>
      <c r="H24" s="50">
        <f>IF(P24="","",P24&amp;IFERROR(IF(AND(INDEX(Arten,MATCH(P24,Codes,0))="Arbeit",ISNUMBER(INDEX(Beginne,MATCH(P24,Codes,0)))),"  "&amp;TEXT(INDEX(Beginne,MATCH(P24,Codes,0)),"hh:mm")&amp;"–"&amp;TEXT(INDEX(Enden,MATCH(P24,Codes,0)),"hh:mm"),""),""))</f>
      </c>
      <c r="I24" s="51">
        <f>IF($A24="","",SUMPRODUCT(COUNTIF(J24:P24,Codes)*(Arten="Arbeit")*Erste*NettoTage))</f>
      </c>
      <c r="J24" s="1">
        <f>IF(OR($A24="",YEAR(B$4)&lt;&gt;Jahr),"",CHOOSE(MONTH(B$4),INDEX('Januar'!$B$24:$AF$24,DAY(B$4)),INDEX('Februar'!$B$24:$AF$24,DAY(B$4)),INDEX('März'!$B$24:$AF$24,DAY(B$4)),INDEX('April'!$B$24:$AF$24,DAY(B$4)),INDEX('Mai'!$B$24:$AF$24,DAY(B$4)),INDEX('Juni'!$B$24:$AF$24,DAY(B$4)),INDEX('Juli'!$B$24:$AF$24,DAY(B$4)),INDEX('August'!$B$24:$AF$24,DAY(B$4)),INDEX('September'!$B$24:$AF$24,DAY(B$4)),INDEX('Oktober'!$B$24:$AF$24,DAY(B$4)),INDEX('November'!$B$24:$AF$24,DAY(B$4)),INDEX('Dezember'!$B$24:$AF$24,DAY(B$4)))&amp;"")</f>
      </c>
      <c r="K24" s="1">
        <f>IF(OR($A24="",YEAR(C$4)&lt;&gt;Jahr),"",CHOOSE(MONTH(C$4),INDEX('Januar'!$B$24:$AF$24,DAY(C$4)),INDEX('Februar'!$B$24:$AF$24,DAY(C$4)),INDEX('März'!$B$24:$AF$24,DAY(C$4)),INDEX('April'!$B$24:$AF$24,DAY(C$4)),INDEX('Mai'!$B$24:$AF$24,DAY(C$4)),INDEX('Juni'!$B$24:$AF$24,DAY(C$4)),INDEX('Juli'!$B$24:$AF$24,DAY(C$4)),INDEX('August'!$B$24:$AF$24,DAY(C$4)),INDEX('September'!$B$24:$AF$24,DAY(C$4)),INDEX('Oktober'!$B$24:$AF$24,DAY(C$4)),INDEX('November'!$B$24:$AF$24,DAY(C$4)),INDEX('Dezember'!$B$24:$AF$24,DAY(C$4)))&amp;"")</f>
      </c>
      <c r="L24" s="1">
        <f>IF(OR($A24="",YEAR(D$4)&lt;&gt;Jahr),"",CHOOSE(MONTH(D$4),INDEX('Januar'!$B$24:$AF$24,DAY(D$4)),INDEX('Februar'!$B$24:$AF$24,DAY(D$4)),INDEX('März'!$B$24:$AF$24,DAY(D$4)),INDEX('April'!$B$24:$AF$24,DAY(D$4)),INDEX('Mai'!$B$24:$AF$24,DAY(D$4)),INDEX('Juni'!$B$24:$AF$24,DAY(D$4)),INDEX('Juli'!$B$24:$AF$24,DAY(D$4)),INDEX('August'!$B$24:$AF$24,DAY(D$4)),INDEX('September'!$B$24:$AF$24,DAY(D$4)),INDEX('Oktober'!$B$24:$AF$24,DAY(D$4)),INDEX('November'!$B$24:$AF$24,DAY(D$4)),INDEX('Dezember'!$B$24:$AF$24,DAY(D$4)))&amp;"")</f>
      </c>
      <c r="M24" s="1">
        <f>IF(OR($A24="",YEAR(E$4)&lt;&gt;Jahr),"",CHOOSE(MONTH(E$4),INDEX('Januar'!$B$24:$AF$24,DAY(E$4)),INDEX('Februar'!$B$24:$AF$24,DAY(E$4)),INDEX('März'!$B$24:$AF$24,DAY(E$4)),INDEX('April'!$B$24:$AF$24,DAY(E$4)),INDEX('Mai'!$B$24:$AF$24,DAY(E$4)),INDEX('Juni'!$B$24:$AF$24,DAY(E$4)),INDEX('Juli'!$B$24:$AF$24,DAY(E$4)),INDEX('August'!$B$24:$AF$24,DAY(E$4)),INDEX('September'!$B$24:$AF$24,DAY(E$4)),INDEX('Oktober'!$B$24:$AF$24,DAY(E$4)),INDEX('November'!$B$24:$AF$24,DAY(E$4)),INDEX('Dezember'!$B$24:$AF$24,DAY(E$4)))&amp;"")</f>
      </c>
      <c r="N24" s="1">
        <f>IF(OR($A24="",YEAR(F$4)&lt;&gt;Jahr),"",CHOOSE(MONTH(F$4),INDEX('Januar'!$B$24:$AF$24,DAY(F$4)),INDEX('Februar'!$B$24:$AF$24,DAY(F$4)),INDEX('März'!$B$24:$AF$24,DAY(F$4)),INDEX('April'!$B$24:$AF$24,DAY(F$4)),INDEX('Mai'!$B$24:$AF$24,DAY(F$4)),INDEX('Juni'!$B$24:$AF$24,DAY(F$4)),INDEX('Juli'!$B$24:$AF$24,DAY(F$4)),INDEX('August'!$B$24:$AF$24,DAY(F$4)),INDEX('September'!$B$24:$AF$24,DAY(F$4)),INDEX('Oktober'!$B$24:$AF$24,DAY(F$4)),INDEX('November'!$B$24:$AF$24,DAY(F$4)),INDEX('Dezember'!$B$24:$AF$24,DAY(F$4)))&amp;"")</f>
      </c>
      <c r="O24" s="1">
        <f>IF(OR($A24="",YEAR(G$4)&lt;&gt;Jahr),"",CHOOSE(MONTH(G$4),INDEX('Januar'!$B$24:$AF$24,DAY(G$4)),INDEX('Februar'!$B$24:$AF$24,DAY(G$4)),INDEX('März'!$B$24:$AF$24,DAY(G$4)),INDEX('April'!$B$24:$AF$24,DAY(G$4)),INDEX('Mai'!$B$24:$AF$24,DAY(G$4)),INDEX('Juni'!$B$24:$AF$24,DAY(G$4)),INDEX('Juli'!$B$24:$AF$24,DAY(G$4)),INDEX('August'!$B$24:$AF$24,DAY(G$4)),INDEX('September'!$B$24:$AF$24,DAY(G$4)),INDEX('Oktober'!$B$24:$AF$24,DAY(G$4)),INDEX('November'!$B$24:$AF$24,DAY(G$4)),INDEX('Dezember'!$B$24:$AF$24,DAY(G$4)))&amp;"")</f>
      </c>
      <c r="P24" s="1">
        <f>IF(OR($A24="",YEAR(H$4)&lt;&gt;Jahr),"",CHOOSE(MONTH(H$4),INDEX('Januar'!$B$24:$AF$24,DAY(H$4)),INDEX('Februar'!$B$24:$AF$24,DAY(H$4)),INDEX('März'!$B$24:$AF$24,DAY(H$4)),INDEX('April'!$B$24:$AF$24,DAY(H$4)),INDEX('Mai'!$B$24:$AF$24,DAY(H$4)),INDEX('Juni'!$B$24:$AF$24,DAY(H$4)),INDEX('Juli'!$B$24:$AF$24,DAY(H$4)),INDEX('August'!$B$24:$AF$24,DAY(H$4)),INDEX('September'!$B$24:$AF$24,DAY(H$4)),INDEX('Oktober'!$B$24:$AF$24,DAY(H$4)),INDEX('November'!$B$24:$AF$24,DAY(H$4)),INDEX('Dezember'!$B$24:$AF$24,DAY(H$4)))&amp;"")</f>
      </c>
    </row>
    <row r="25" ht="17" customHeight="1" spans="1:16" x14ac:dyDescent="0.25">
      <c r="A25" s="49">
        <f>Mitarbeiter!$A$24&amp;""</f>
      </c>
      <c r="B25" s="50">
        <f>IF(J25="","",J25&amp;IFERROR(IF(AND(INDEX(Arten,MATCH(J25,Codes,0))="Arbeit",ISNUMBER(INDEX(Beginne,MATCH(J25,Codes,0)))),"  "&amp;TEXT(INDEX(Beginne,MATCH(J25,Codes,0)),"hh:mm")&amp;"–"&amp;TEXT(INDEX(Enden,MATCH(J25,Codes,0)),"hh:mm"),""),""))</f>
      </c>
      <c r="C25" s="50">
        <f>IF(K25="","",K25&amp;IFERROR(IF(AND(INDEX(Arten,MATCH(K25,Codes,0))="Arbeit",ISNUMBER(INDEX(Beginne,MATCH(K25,Codes,0)))),"  "&amp;TEXT(INDEX(Beginne,MATCH(K25,Codes,0)),"hh:mm")&amp;"–"&amp;TEXT(INDEX(Enden,MATCH(K25,Codes,0)),"hh:mm"),""),""))</f>
      </c>
      <c r="D25" s="50">
        <f>IF(L25="","",L25&amp;IFERROR(IF(AND(INDEX(Arten,MATCH(L25,Codes,0))="Arbeit",ISNUMBER(INDEX(Beginne,MATCH(L25,Codes,0)))),"  "&amp;TEXT(INDEX(Beginne,MATCH(L25,Codes,0)),"hh:mm")&amp;"–"&amp;TEXT(INDEX(Enden,MATCH(L25,Codes,0)),"hh:mm"),""),""))</f>
      </c>
      <c r="E25" s="50">
        <f>IF(M25="","",M25&amp;IFERROR(IF(AND(INDEX(Arten,MATCH(M25,Codes,0))="Arbeit",ISNUMBER(INDEX(Beginne,MATCH(M25,Codes,0)))),"  "&amp;TEXT(INDEX(Beginne,MATCH(M25,Codes,0)),"hh:mm")&amp;"–"&amp;TEXT(INDEX(Enden,MATCH(M25,Codes,0)),"hh:mm"),""),""))</f>
      </c>
      <c r="F25" s="50">
        <f>IF(N25="","",N25&amp;IFERROR(IF(AND(INDEX(Arten,MATCH(N25,Codes,0))="Arbeit",ISNUMBER(INDEX(Beginne,MATCH(N25,Codes,0)))),"  "&amp;TEXT(INDEX(Beginne,MATCH(N25,Codes,0)),"hh:mm")&amp;"–"&amp;TEXT(INDEX(Enden,MATCH(N25,Codes,0)),"hh:mm"),""),""))</f>
      </c>
      <c r="G25" s="50">
        <f>IF(O25="","",O25&amp;IFERROR(IF(AND(INDEX(Arten,MATCH(O25,Codes,0))="Arbeit",ISNUMBER(INDEX(Beginne,MATCH(O25,Codes,0)))),"  "&amp;TEXT(INDEX(Beginne,MATCH(O25,Codes,0)),"hh:mm")&amp;"–"&amp;TEXT(INDEX(Enden,MATCH(O25,Codes,0)),"hh:mm"),""),""))</f>
      </c>
      <c r="H25" s="50">
        <f>IF(P25="","",P25&amp;IFERROR(IF(AND(INDEX(Arten,MATCH(P25,Codes,0))="Arbeit",ISNUMBER(INDEX(Beginne,MATCH(P25,Codes,0)))),"  "&amp;TEXT(INDEX(Beginne,MATCH(P25,Codes,0)),"hh:mm")&amp;"–"&amp;TEXT(INDEX(Enden,MATCH(P25,Codes,0)),"hh:mm"),""),""))</f>
      </c>
      <c r="I25" s="51">
        <f>IF($A25="","",SUMPRODUCT(COUNTIF(J25:P25,Codes)*(Arten="Arbeit")*Erste*NettoTage))</f>
      </c>
      <c r="J25" s="1">
        <f>IF(OR($A25="",YEAR(B$4)&lt;&gt;Jahr),"",CHOOSE(MONTH(B$4),INDEX('Januar'!$B$25:$AF$25,DAY(B$4)),INDEX('Februar'!$B$25:$AF$25,DAY(B$4)),INDEX('März'!$B$25:$AF$25,DAY(B$4)),INDEX('April'!$B$25:$AF$25,DAY(B$4)),INDEX('Mai'!$B$25:$AF$25,DAY(B$4)),INDEX('Juni'!$B$25:$AF$25,DAY(B$4)),INDEX('Juli'!$B$25:$AF$25,DAY(B$4)),INDEX('August'!$B$25:$AF$25,DAY(B$4)),INDEX('September'!$B$25:$AF$25,DAY(B$4)),INDEX('Oktober'!$B$25:$AF$25,DAY(B$4)),INDEX('November'!$B$25:$AF$25,DAY(B$4)),INDEX('Dezember'!$B$25:$AF$25,DAY(B$4)))&amp;"")</f>
      </c>
      <c r="K25" s="1">
        <f>IF(OR($A25="",YEAR(C$4)&lt;&gt;Jahr),"",CHOOSE(MONTH(C$4),INDEX('Januar'!$B$25:$AF$25,DAY(C$4)),INDEX('Februar'!$B$25:$AF$25,DAY(C$4)),INDEX('März'!$B$25:$AF$25,DAY(C$4)),INDEX('April'!$B$25:$AF$25,DAY(C$4)),INDEX('Mai'!$B$25:$AF$25,DAY(C$4)),INDEX('Juni'!$B$25:$AF$25,DAY(C$4)),INDEX('Juli'!$B$25:$AF$25,DAY(C$4)),INDEX('August'!$B$25:$AF$25,DAY(C$4)),INDEX('September'!$B$25:$AF$25,DAY(C$4)),INDEX('Oktober'!$B$25:$AF$25,DAY(C$4)),INDEX('November'!$B$25:$AF$25,DAY(C$4)),INDEX('Dezember'!$B$25:$AF$25,DAY(C$4)))&amp;"")</f>
      </c>
      <c r="L25" s="1">
        <f>IF(OR($A25="",YEAR(D$4)&lt;&gt;Jahr),"",CHOOSE(MONTH(D$4),INDEX('Januar'!$B$25:$AF$25,DAY(D$4)),INDEX('Februar'!$B$25:$AF$25,DAY(D$4)),INDEX('März'!$B$25:$AF$25,DAY(D$4)),INDEX('April'!$B$25:$AF$25,DAY(D$4)),INDEX('Mai'!$B$25:$AF$25,DAY(D$4)),INDEX('Juni'!$B$25:$AF$25,DAY(D$4)),INDEX('Juli'!$B$25:$AF$25,DAY(D$4)),INDEX('August'!$B$25:$AF$25,DAY(D$4)),INDEX('September'!$B$25:$AF$25,DAY(D$4)),INDEX('Oktober'!$B$25:$AF$25,DAY(D$4)),INDEX('November'!$B$25:$AF$25,DAY(D$4)),INDEX('Dezember'!$B$25:$AF$25,DAY(D$4)))&amp;"")</f>
      </c>
      <c r="M25" s="1">
        <f>IF(OR($A25="",YEAR(E$4)&lt;&gt;Jahr),"",CHOOSE(MONTH(E$4),INDEX('Januar'!$B$25:$AF$25,DAY(E$4)),INDEX('Februar'!$B$25:$AF$25,DAY(E$4)),INDEX('März'!$B$25:$AF$25,DAY(E$4)),INDEX('April'!$B$25:$AF$25,DAY(E$4)),INDEX('Mai'!$B$25:$AF$25,DAY(E$4)),INDEX('Juni'!$B$25:$AF$25,DAY(E$4)),INDEX('Juli'!$B$25:$AF$25,DAY(E$4)),INDEX('August'!$B$25:$AF$25,DAY(E$4)),INDEX('September'!$B$25:$AF$25,DAY(E$4)),INDEX('Oktober'!$B$25:$AF$25,DAY(E$4)),INDEX('November'!$B$25:$AF$25,DAY(E$4)),INDEX('Dezember'!$B$25:$AF$25,DAY(E$4)))&amp;"")</f>
      </c>
      <c r="N25" s="1">
        <f>IF(OR($A25="",YEAR(F$4)&lt;&gt;Jahr),"",CHOOSE(MONTH(F$4),INDEX('Januar'!$B$25:$AF$25,DAY(F$4)),INDEX('Februar'!$B$25:$AF$25,DAY(F$4)),INDEX('März'!$B$25:$AF$25,DAY(F$4)),INDEX('April'!$B$25:$AF$25,DAY(F$4)),INDEX('Mai'!$B$25:$AF$25,DAY(F$4)),INDEX('Juni'!$B$25:$AF$25,DAY(F$4)),INDEX('Juli'!$B$25:$AF$25,DAY(F$4)),INDEX('August'!$B$25:$AF$25,DAY(F$4)),INDEX('September'!$B$25:$AF$25,DAY(F$4)),INDEX('Oktober'!$B$25:$AF$25,DAY(F$4)),INDEX('November'!$B$25:$AF$25,DAY(F$4)),INDEX('Dezember'!$B$25:$AF$25,DAY(F$4)))&amp;"")</f>
      </c>
      <c r="O25" s="1">
        <f>IF(OR($A25="",YEAR(G$4)&lt;&gt;Jahr),"",CHOOSE(MONTH(G$4),INDEX('Januar'!$B$25:$AF$25,DAY(G$4)),INDEX('Februar'!$B$25:$AF$25,DAY(G$4)),INDEX('März'!$B$25:$AF$25,DAY(G$4)),INDEX('April'!$B$25:$AF$25,DAY(G$4)),INDEX('Mai'!$B$25:$AF$25,DAY(G$4)),INDEX('Juni'!$B$25:$AF$25,DAY(G$4)),INDEX('Juli'!$B$25:$AF$25,DAY(G$4)),INDEX('August'!$B$25:$AF$25,DAY(G$4)),INDEX('September'!$B$25:$AF$25,DAY(G$4)),INDEX('Oktober'!$B$25:$AF$25,DAY(G$4)),INDEX('November'!$B$25:$AF$25,DAY(G$4)),INDEX('Dezember'!$B$25:$AF$25,DAY(G$4)))&amp;"")</f>
      </c>
      <c r="P25" s="1">
        <f>IF(OR($A25="",YEAR(H$4)&lt;&gt;Jahr),"",CHOOSE(MONTH(H$4),INDEX('Januar'!$B$25:$AF$25,DAY(H$4)),INDEX('Februar'!$B$25:$AF$25,DAY(H$4)),INDEX('März'!$B$25:$AF$25,DAY(H$4)),INDEX('April'!$B$25:$AF$25,DAY(H$4)),INDEX('Mai'!$B$25:$AF$25,DAY(H$4)),INDEX('Juni'!$B$25:$AF$25,DAY(H$4)),INDEX('Juli'!$B$25:$AF$25,DAY(H$4)),INDEX('August'!$B$25:$AF$25,DAY(H$4)),INDEX('September'!$B$25:$AF$25,DAY(H$4)),INDEX('Oktober'!$B$25:$AF$25,DAY(H$4)),INDEX('November'!$B$25:$AF$25,DAY(H$4)),INDEX('Dezember'!$B$25:$AF$25,DAY(H$4)))&amp;"")</f>
      </c>
    </row>
    <row r="26" ht="17" customHeight="1" spans="1:16" x14ac:dyDescent="0.25">
      <c r="A26" s="49">
        <f>Mitarbeiter!$A$25&amp;""</f>
      </c>
      <c r="B26" s="50">
        <f>IF(J26="","",J26&amp;IFERROR(IF(AND(INDEX(Arten,MATCH(J26,Codes,0))="Arbeit",ISNUMBER(INDEX(Beginne,MATCH(J26,Codes,0)))),"  "&amp;TEXT(INDEX(Beginne,MATCH(J26,Codes,0)),"hh:mm")&amp;"–"&amp;TEXT(INDEX(Enden,MATCH(J26,Codes,0)),"hh:mm"),""),""))</f>
      </c>
      <c r="C26" s="50">
        <f>IF(K26="","",K26&amp;IFERROR(IF(AND(INDEX(Arten,MATCH(K26,Codes,0))="Arbeit",ISNUMBER(INDEX(Beginne,MATCH(K26,Codes,0)))),"  "&amp;TEXT(INDEX(Beginne,MATCH(K26,Codes,0)),"hh:mm")&amp;"–"&amp;TEXT(INDEX(Enden,MATCH(K26,Codes,0)),"hh:mm"),""),""))</f>
      </c>
      <c r="D26" s="50">
        <f>IF(L26="","",L26&amp;IFERROR(IF(AND(INDEX(Arten,MATCH(L26,Codes,0))="Arbeit",ISNUMBER(INDEX(Beginne,MATCH(L26,Codes,0)))),"  "&amp;TEXT(INDEX(Beginne,MATCH(L26,Codes,0)),"hh:mm")&amp;"–"&amp;TEXT(INDEX(Enden,MATCH(L26,Codes,0)),"hh:mm"),""),""))</f>
      </c>
      <c r="E26" s="50">
        <f>IF(M26="","",M26&amp;IFERROR(IF(AND(INDEX(Arten,MATCH(M26,Codes,0))="Arbeit",ISNUMBER(INDEX(Beginne,MATCH(M26,Codes,0)))),"  "&amp;TEXT(INDEX(Beginne,MATCH(M26,Codes,0)),"hh:mm")&amp;"–"&amp;TEXT(INDEX(Enden,MATCH(M26,Codes,0)),"hh:mm"),""),""))</f>
      </c>
      <c r="F26" s="50">
        <f>IF(N26="","",N26&amp;IFERROR(IF(AND(INDEX(Arten,MATCH(N26,Codes,0))="Arbeit",ISNUMBER(INDEX(Beginne,MATCH(N26,Codes,0)))),"  "&amp;TEXT(INDEX(Beginne,MATCH(N26,Codes,0)),"hh:mm")&amp;"–"&amp;TEXT(INDEX(Enden,MATCH(N26,Codes,0)),"hh:mm"),""),""))</f>
      </c>
      <c r="G26" s="50">
        <f>IF(O26="","",O26&amp;IFERROR(IF(AND(INDEX(Arten,MATCH(O26,Codes,0))="Arbeit",ISNUMBER(INDEX(Beginne,MATCH(O26,Codes,0)))),"  "&amp;TEXT(INDEX(Beginne,MATCH(O26,Codes,0)),"hh:mm")&amp;"–"&amp;TEXT(INDEX(Enden,MATCH(O26,Codes,0)),"hh:mm"),""),""))</f>
      </c>
      <c r="H26" s="50">
        <f>IF(P26="","",P26&amp;IFERROR(IF(AND(INDEX(Arten,MATCH(P26,Codes,0))="Arbeit",ISNUMBER(INDEX(Beginne,MATCH(P26,Codes,0)))),"  "&amp;TEXT(INDEX(Beginne,MATCH(P26,Codes,0)),"hh:mm")&amp;"–"&amp;TEXT(INDEX(Enden,MATCH(P26,Codes,0)),"hh:mm"),""),""))</f>
      </c>
      <c r="I26" s="51">
        <f>IF($A26="","",SUMPRODUCT(COUNTIF(J26:P26,Codes)*(Arten="Arbeit")*Erste*NettoTage))</f>
      </c>
      <c r="J26" s="1">
        <f>IF(OR($A26="",YEAR(B$4)&lt;&gt;Jahr),"",CHOOSE(MONTH(B$4),INDEX('Januar'!$B$26:$AF$26,DAY(B$4)),INDEX('Februar'!$B$26:$AF$26,DAY(B$4)),INDEX('März'!$B$26:$AF$26,DAY(B$4)),INDEX('April'!$B$26:$AF$26,DAY(B$4)),INDEX('Mai'!$B$26:$AF$26,DAY(B$4)),INDEX('Juni'!$B$26:$AF$26,DAY(B$4)),INDEX('Juli'!$B$26:$AF$26,DAY(B$4)),INDEX('August'!$B$26:$AF$26,DAY(B$4)),INDEX('September'!$B$26:$AF$26,DAY(B$4)),INDEX('Oktober'!$B$26:$AF$26,DAY(B$4)),INDEX('November'!$B$26:$AF$26,DAY(B$4)),INDEX('Dezember'!$B$26:$AF$26,DAY(B$4)))&amp;"")</f>
      </c>
      <c r="K26" s="1">
        <f>IF(OR($A26="",YEAR(C$4)&lt;&gt;Jahr),"",CHOOSE(MONTH(C$4),INDEX('Januar'!$B$26:$AF$26,DAY(C$4)),INDEX('Februar'!$B$26:$AF$26,DAY(C$4)),INDEX('März'!$B$26:$AF$26,DAY(C$4)),INDEX('April'!$B$26:$AF$26,DAY(C$4)),INDEX('Mai'!$B$26:$AF$26,DAY(C$4)),INDEX('Juni'!$B$26:$AF$26,DAY(C$4)),INDEX('Juli'!$B$26:$AF$26,DAY(C$4)),INDEX('August'!$B$26:$AF$26,DAY(C$4)),INDEX('September'!$B$26:$AF$26,DAY(C$4)),INDEX('Oktober'!$B$26:$AF$26,DAY(C$4)),INDEX('November'!$B$26:$AF$26,DAY(C$4)),INDEX('Dezember'!$B$26:$AF$26,DAY(C$4)))&amp;"")</f>
      </c>
      <c r="L26" s="1">
        <f>IF(OR($A26="",YEAR(D$4)&lt;&gt;Jahr),"",CHOOSE(MONTH(D$4),INDEX('Januar'!$B$26:$AF$26,DAY(D$4)),INDEX('Februar'!$B$26:$AF$26,DAY(D$4)),INDEX('März'!$B$26:$AF$26,DAY(D$4)),INDEX('April'!$B$26:$AF$26,DAY(D$4)),INDEX('Mai'!$B$26:$AF$26,DAY(D$4)),INDEX('Juni'!$B$26:$AF$26,DAY(D$4)),INDEX('Juli'!$B$26:$AF$26,DAY(D$4)),INDEX('August'!$B$26:$AF$26,DAY(D$4)),INDEX('September'!$B$26:$AF$26,DAY(D$4)),INDEX('Oktober'!$B$26:$AF$26,DAY(D$4)),INDEX('November'!$B$26:$AF$26,DAY(D$4)),INDEX('Dezember'!$B$26:$AF$26,DAY(D$4)))&amp;"")</f>
      </c>
      <c r="M26" s="1">
        <f>IF(OR($A26="",YEAR(E$4)&lt;&gt;Jahr),"",CHOOSE(MONTH(E$4),INDEX('Januar'!$B$26:$AF$26,DAY(E$4)),INDEX('Februar'!$B$26:$AF$26,DAY(E$4)),INDEX('März'!$B$26:$AF$26,DAY(E$4)),INDEX('April'!$B$26:$AF$26,DAY(E$4)),INDEX('Mai'!$B$26:$AF$26,DAY(E$4)),INDEX('Juni'!$B$26:$AF$26,DAY(E$4)),INDEX('Juli'!$B$26:$AF$26,DAY(E$4)),INDEX('August'!$B$26:$AF$26,DAY(E$4)),INDEX('September'!$B$26:$AF$26,DAY(E$4)),INDEX('Oktober'!$B$26:$AF$26,DAY(E$4)),INDEX('November'!$B$26:$AF$26,DAY(E$4)),INDEX('Dezember'!$B$26:$AF$26,DAY(E$4)))&amp;"")</f>
      </c>
      <c r="N26" s="1">
        <f>IF(OR($A26="",YEAR(F$4)&lt;&gt;Jahr),"",CHOOSE(MONTH(F$4),INDEX('Januar'!$B$26:$AF$26,DAY(F$4)),INDEX('Februar'!$B$26:$AF$26,DAY(F$4)),INDEX('März'!$B$26:$AF$26,DAY(F$4)),INDEX('April'!$B$26:$AF$26,DAY(F$4)),INDEX('Mai'!$B$26:$AF$26,DAY(F$4)),INDEX('Juni'!$B$26:$AF$26,DAY(F$4)),INDEX('Juli'!$B$26:$AF$26,DAY(F$4)),INDEX('August'!$B$26:$AF$26,DAY(F$4)),INDEX('September'!$B$26:$AF$26,DAY(F$4)),INDEX('Oktober'!$B$26:$AF$26,DAY(F$4)),INDEX('November'!$B$26:$AF$26,DAY(F$4)),INDEX('Dezember'!$B$26:$AF$26,DAY(F$4)))&amp;"")</f>
      </c>
      <c r="O26" s="1">
        <f>IF(OR($A26="",YEAR(G$4)&lt;&gt;Jahr),"",CHOOSE(MONTH(G$4),INDEX('Januar'!$B$26:$AF$26,DAY(G$4)),INDEX('Februar'!$B$26:$AF$26,DAY(G$4)),INDEX('März'!$B$26:$AF$26,DAY(G$4)),INDEX('April'!$B$26:$AF$26,DAY(G$4)),INDEX('Mai'!$B$26:$AF$26,DAY(G$4)),INDEX('Juni'!$B$26:$AF$26,DAY(G$4)),INDEX('Juli'!$B$26:$AF$26,DAY(G$4)),INDEX('August'!$B$26:$AF$26,DAY(G$4)),INDEX('September'!$B$26:$AF$26,DAY(G$4)),INDEX('Oktober'!$B$26:$AF$26,DAY(G$4)),INDEX('November'!$B$26:$AF$26,DAY(G$4)),INDEX('Dezember'!$B$26:$AF$26,DAY(G$4)))&amp;"")</f>
      </c>
      <c r="P26" s="1">
        <f>IF(OR($A26="",YEAR(H$4)&lt;&gt;Jahr),"",CHOOSE(MONTH(H$4),INDEX('Januar'!$B$26:$AF$26,DAY(H$4)),INDEX('Februar'!$B$26:$AF$26,DAY(H$4)),INDEX('März'!$B$26:$AF$26,DAY(H$4)),INDEX('April'!$B$26:$AF$26,DAY(H$4)),INDEX('Mai'!$B$26:$AF$26,DAY(H$4)),INDEX('Juni'!$B$26:$AF$26,DAY(H$4)),INDEX('Juli'!$B$26:$AF$26,DAY(H$4)),INDEX('August'!$B$26:$AF$26,DAY(H$4)),INDEX('September'!$B$26:$AF$26,DAY(H$4)),INDEX('Oktober'!$B$26:$AF$26,DAY(H$4)),INDEX('November'!$B$26:$AF$26,DAY(H$4)),INDEX('Dezember'!$B$26:$AF$26,DAY(H$4)))&amp;"")</f>
      </c>
    </row>
    <row r="27" ht="17" customHeight="1" spans="1:16" x14ac:dyDescent="0.25">
      <c r="A27" s="49">
        <f>Mitarbeiter!$A$26&amp;""</f>
      </c>
      <c r="B27" s="50">
        <f>IF(J27="","",J27&amp;IFERROR(IF(AND(INDEX(Arten,MATCH(J27,Codes,0))="Arbeit",ISNUMBER(INDEX(Beginne,MATCH(J27,Codes,0)))),"  "&amp;TEXT(INDEX(Beginne,MATCH(J27,Codes,0)),"hh:mm")&amp;"–"&amp;TEXT(INDEX(Enden,MATCH(J27,Codes,0)),"hh:mm"),""),""))</f>
      </c>
      <c r="C27" s="50">
        <f>IF(K27="","",K27&amp;IFERROR(IF(AND(INDEX(Arten,MATCH(K27,Codes,0))="Arbeit",ISNUMBER(INDEX(Beginne,MATCH(K27,Codes,0)))),"  "&amp;TEXT(INDEX(Beginne,MATCH(K27,Codes,0)),"hh:mm")&amp;"–"&amp;TEXT(INDEX(Enden,MATCH(K27,Codes,0)),"hh:mm"),""),""))</f>
      </c>
      <c r="D27" s="50">
        <f>IF(L27="","",L27&amp;IFERROR(IF(AND(INDEX(Arten,MATCH(L27,Codes,0))="Arbeit",ISNUMBER(INDEX(Beginne,MATCH(L27,Codes,0)))),"  "&amp;TEXT(INDEX(Beginne,MATCH(L27,Codes,0)),"hh:mm")&amp;"–"&amp;TEXT(INDEX(Enden,MATCH(L27,Codes,0)),"hh:mm"),""),""))</f>
      </c>
      <c r="E27" s="50">
        <f>IF(M27="","",M27&amp;IFERROR(IF(AND(INDEX(Arten,MATCH(M27,Codes,0))="Arbeit",ISNUMBER(INDEX(Beginne,MATCH(M27,Codes,0)))),"  "&amp;TEXT(INDEX(Beginne,MATCH(M27,Codes,0)),"hh:mm")&amp;"–"&amp;TEXT(INDEX(Enden,MATCH(M27,Codes,0)),"hh:mm"),""),""))</f>
      </c>
      <c r="F27" s="50">
        <f>IF(N27="","",N27&amp;IFERROR(IF(AND(INDEX(Arten,MATCH(N27,Codes,0))="Arbeit",ISNUMBER(INDEX(Beginne,MATCH(N27,Codes,0)))),"  "&amp;TEXT(INDEX(Beginne,MATCH(N27,Codes,0)),"hh:mm")&amp;"–"&amp;TEXT(INDEX(Enden,MATCH(N27,Codes,0)),"hh:mm"),""),""))</f>
      </c>
      <c r="G27" s="50">
        <f>IF(O27="","",O27&amp;IFERROR(IF(AND(INDEX(Arten,MATCH(O27,Codes,0))="Arbeit",ISNUMBER(INDEX(Beginne,MATCH(O27,Codes,0)))),"  "&amp;TEXT(INDEX(Beginne,MATCH(O27,Codes,0)),"hh:mm")&amp;"–"&amp;TEXT(INDEX(Enden,MATCH(O27,Codes,0)),"hh:mm"),""),""))</f>
      </c>
      <c r="H27" s="50">
        <f>IF(P27="","",P27&amp;IFERROR(IF(AND(INDEX(Arten,MATCH(P27,Codes,0))="Arbeit",ISNUMBER(INDEX(Beginne,MATCH(P27,Codes,0)))),"  "&amp;TEXT(INDEX(Beginne,MATCH(P27,Codes,0)),"hh:mm")&amp;"–"&amp;TEXT(INDEX(Enden,MATCH(P27,Codes,0)),"hh:mm"),""),""))</f>
      </c>
      <c r="I27" s="51">
        <f>IF($A27="","",SUMPRODUCT(COUNTIF(J27:P27,Codes)*(Arten="Arbeit")*Erste*NettoTage))</f>
      </c>
      <c r="J27" s="1">
        <f>IF(OR($A27="",YEAR(B$4)&lt;&gt;Jahr),"",CHOOSE(MONTH(B$4),INDEX('Januar'!$B$27:$AF$27,DAY(B$4)),INDEX('Februar'!$B$27:$AF$27,DAY(B$4)),INDEX('März'!$B$27:$AF$27,DAY(B$4)),INDEX('April'!$B$27:$AF$27,DAY(B$4)),INDEX('Mai'!$B$27:$AF$27,DAY(B$4)),INDEX('Juni'!$B$27:$AF$27,DAY(B$4)),INDEX('Juli'!$B$27:$AF$27,DAY(B$4)),INDEX('August'!$B$27:$AF$27,DAY(B$4)),INDEX('September'!$B$27:$AF$27,DAY(B$4)),INDEX('Oktober'!$B$27:$AF$27,DAY(B$4)),INDEX('November'!$B$27:$AF$27,DAY(B$4)),INDEX('Dezember'!$B$27:$AF$27,DAY(B$4)))&amp;"")</f>
      </c>
      <c r="K27" s="1">
        <f>IF(OR($A27="",YEAR(C$4)&lt;&gt;Jahr),"",CHOOSE(MONTH(C$4),INDEX('Januar'!$B$27:$AF$27,DAY(C$4)),INDEX('Februar'!$B$27:$AF$27,DAY(C$4)),INDEX('März'!$B$27:$AF$27,DAY(C$4)),INDEX('April'!$B$27:$AF$27,DAY(C$4)),INDEX('Mai'!$B$27:$AF$27,DAY(C$4)),INDEX('Juni'!$B$27:$AF$27,DAY(C$4)),INDEX('Juli'!$B$27:$AF$27,DAY(C$4)),INDEX('August'!$B$27:$AF$27,DAY(C$4)),INDEX('September'!$B$27:$AF$27,DAY(C$4)),INDEX('Oktober'!$B$27:$AF$27,DAY(C$4)),INDEX('November'!$B$27:$AF$27,DAY(C$4)),INDEX('Dezember'!$B$27:$AF$27,DAY(C$4)))&amp;"")</f>
      </c>
      <c r="L27" s="1">
        <f>IF(OR($A27="",YEAR(D$4)&lt;&gt;Jahr),"",CHOOSE(MONTH(D$4),INDEX('Januar'!$B$27:$AF$27,DAY(D$4)),INDEX('Februar'!$B$27:$AF$27,DAY(D$4)),INDEX('März'!$B$27:$AF$27,DAY(D$4)),INDEX('April'!$B$27:$AF$27,DAY(D$4)),INDEX('Mai'!$B$27:$AF$27,DAY(D$4)),INDEX('Juni'!$B$27:$AF$27,DAY(D$4)),INDEX('Juli'!$B$27:$AF$27,DAY(D$4)),INDEX('August'!$B$27:$AF$27,DAY(D$4)),INDEX('September'!$B$27:$AF$27,DAY(D$4)),INDEX('Oktober'!$B$27:$AF$27,DAY(D$4)),INDEX('November'!$B$27:$AF$27,DAY(D$4)),INDEX('Dezember'!$B$27:$AF$27,DAY(D$4)))&amp;"")</f>
      </c>
      <c r="M27" s="1">
        <f>IF(OR($A27="",YEAR(E$4)&lt;&gt;Jahr),"",CHOOSE(MONTH(E$4),INDEX('Januar'!$B$27:$AF$27,DAY(E$4)),INDEX('Februar'!$B$27:$AF$27,DAY(E$4)),INDEX('März'!$B$27:$AF$27,DAY(E$4)),INDEX('April'!$B$27:$AF$27,DAY(E$4)),INDEX('Mai'!$B$27:$AF$27,DAY(E$4)),INDEX('Juni'!$B$27:$AF$27,DAY(E$4)),INDEX('Juli'!$B$27:$AF$27,DAY(E$4)),INDEX('August'!$B$27:$AF$27,DAY(E$4)),INDEX('September'!$B$27:$AF$27,DAY(E$4)),INDEX('Oktober'!$B$27:$AF$27,DAY(E$4)),INDEX('November'!$B$27:$AF$27,DAY(E$4)),INDEX('Dezember'!$B$27:$AF$27,DAY(E$4)))&amp;"")</f>
      </c>
      <c r="N27" s="1">
        <f>IF(OR($A27="",YEAR(F$4)&lt;&gt;Jahr),"",CHOOSE(MONTH(F$4),INDEX('Januar'!$B$27:$AF$27,DAY(F$4)),INDEX('Februar'!$B$27:$AF$27,DAY(F$4)),INDEX('März'!$B$27:$AF$27,DAY(F$4)),INDEX('April'!$B$27:$AF$27,DAY(F$4)),INDEX('Mai'!$B$27:$AF$27,DAY(F$4)),INDEX('Juni'!$B$27:$AF$27,DAY(F$4)),INDEX('Juli'!$B$27:$AF$27,DAY(F$4)),INDEX('August'!$B$27:$AF$27,DAY(F$4)),INDEX('September'!$B$27:$AF$27,DAY(F$4)),INDEX('Oktober'!$B$27:$AF$27,DAY(F$4)),INDEX('November'!$B$27:$AF$27,DAY(F$4)),INDEX('Dezember'!$B$27:$AF$27,DAY(F$4)))&amp;"")</f>
      </c>
      <c r="O27" s="1">
        <f>IF(OR($A27="",YEAR(G$4)&lt;&gt;Jahr),"",CHOOSE(MONTH(G$4),INDEX('Januar'!$B$27:$AF$27,DAY(G$4)),INDEX('Februar'!$B$27:$AF$27,DAY(G$4)),INDEX('März'!$B$27:$AF$27,DAY(G$4)),INDEX('April'!$B$27:$AF$27,DAY(G$4)),INDEX('Mai'!$B$27:$AF$27,DAY(G$4)),INDEX('Juni'!$B$27:$AF$27,DAY(G$4)),INDEX('Juli'!$B$27:$AF$27,DAY(G$4)),INDEX('August'!$B$27:$AF$27,DAY(G$4)),INDEX('September'!$B$27:$AF$27,DAY(G$4)),INDEX('Oktober'!$B$27:$AF$27,DAY(G$4)),INDEX('November'!$B$27:$AF$27,DAY(G$4)),INDEX('Dezember'!$B$27:$AF$27,DAY(G$4)))&amp;"")</f>
      </c>
      <c r="P27" s="1">
        <f>IF(OR($A27="",YEAR(H$4)&lt;&gt;Jahr),"",CHOOSE(MONTH(H$4),INDEX('Januar'!$B$27:$AF$27,DAY(H$4)),INDEX('Februar'!$B$27:$AF$27,DAY(H$4)),INDEX('März'!$B$27:$AF$27,DAY(H$4)),INDEX('April'!$B$27:$AF$27,DAY(H$4)),INDEX('Mai'!$B$27:$AF$27,DAY(H$4)),INDEX('Juni'!$B$27:$AF$27,DAY(H$4)),INDEX('Juli'!$B$27:$AF$27,DAY(H$4)),INDEX('August'!$B$27:$AF$27,DAY(H$4)),INDEX('September'!$B$27:$AF$27,DAY(H$4)),INDEX('Oktober'!$B$27:$AF$27,DAY(H$4)),INDEX('November'!$B$27:$AF$27,DAY(H$4)),INDEX('Dezember'!$B$27:$AF$27,DAY(H$4)))&amp;"")</f>
      </c>
    </row>
    <row r="28" ht="17" customHeight="1" spans="1:16" x14ac:dyDescent="0.25">
      <c r="A28" s="49">
        <f>Mitarbeiter!$A$27&amp;""</f>
      </c>
      <c r="B28" s="50">
        <f>IF(J28="","",J28&amp;IFERROR(IF(AND(INDEX(Arten,MATCH(J28,Codes,0))="Arbeit",ISNUMBER(INDEX(Beginne,MATCH(J28,Codes,0)))),"  "&amp;TEXT(INDEX(Beginne,MATCH(J28,Codes,0)),"hh:mm")&amp;"–"&amp;TEXT(INDEX(Enden,MATCH(J28,Codes,0)),"hh:mm"),""),""))</f>
      </c>
      <c r="C28" s="50">
        <f>IF(K28="","",K28&amp;IFERROR(IF(AND(INDEX(Arten,MATCH(K28,Codes,0))="Arbeit",ISNUMBER(INDEX(Beginne,MATCH(K28,Codes,0)))),"  "&amp;TEXT(INDEX(Beginne,MATCH(K28,Codes,0)),"hh:mm")&amp;"–"&amp;TEXT(INDEX(Enden,MATCH(K28,Codes,0)),"hh:mm"),""),""))</f>
      </c>
      <c r="D28" s="50">
        <f>IF(L28="","",L28&amp;IFERROR(IF(AND(INDEX(Arten,MATCH(L28,Codes,0))="Arbeit",ISNUMBER(INDEX(Beginne,MATCH(L28,Codes,0)))),"  "&amp;TEXT(INDEX(Beginne,MATCH(L28,Codes,0)),"hh:mm")&amp;"–"&amp;TEXT(INDEX(Enden,MATCH(L28,Codes,0)),"hh:mm"),""),""))</f>
      </c>
      <c r="E28" s="50">
        <f>IF(M28="","",M28&amp;IFERROR(IF(AND(INDEX(Arten,MATCH(M28,Codes,0))="Arbeit",ISNUMBER(INDEX(Beginne,MATCH(M28,Codes,0)))),"  "&amp;TEXT(INDEX(Beginne,MATCH(M28,Codes,0)),"hh:mm")&amp;"–"&amp;TEXT(INDEX(Enden,MATCH(M28,Codes,0)),"hh:mm"),""),""))</f>
      </c>
      <c r="F28" s="50">
        <f>IF(N28="","",N28&amp;IFERROR(IF(AND(INDEX(Arten,MATCH(N28,Codes,0))="Arbeit",ISNUMBER(INDEX(Beginne,MATCH(N28,Codes,0)))),"  "&amp;TEXT(INDEX(Beginne,MATCH(N28,Codes,0)),"hh:mm")&amp;"–"&amp;TEXT(INDEX(Enden,MATCH(N28,Codes,0)),"hh:mm"),""),""))</f>
      </c>
      <c r="G28" s="50">
        <f>IF(O28="","",O28&amp;IFERROR(IF(AND(INDEX(Arten,MATCH(O28,Codes,0))="Arbeit",ISNUMBER(INDEX(Beginne,MATCH(O28,Codes,0)))),"  "&amp;TEXT(INDEX(Beginne,MATCH(O28,Codes,0)),"hh:mm")&amp;"–"&amp;TEXT(INDEX(Enden,MATCH(O28,Codes,0)),"hh:mm"),""),""))</f>
      </c>
      <c r="H28" s="50">
        <f>IF(P28="","",P28&amp;IFERROR(IF(AND(INDEX(Arten,MATCH(P28,Codes,0))="Arbeit",ISNUMBER(INDEX(Beginne,MATCH(P28,Codes,0)))),"  "&amp;TEXT(INDEX(Beginne,MATCH(P28,Codes,0)),"hh:mm")&amp;"–"&amp;TEXT(INDEX(Enden,MATCH(P28,Codes,0)),"hh:mm"),""),""))</f>
      </c>
      <c r="I28" s="51">
        <f>IF($A28="","",SUMPRODUCT(COUNTIF(J28:P28,Codes)*(Arten="Arbeit")*Erste*NettoTage))</f>
      </c>
      <c r="J28" s="1">
        <f>IF(OR($A28="",YEAR(B$4)&lt;&gt;Jahr),"",CHOOSE(MONTH(B$4),INDEX('Januar'!$B$28:$AF$28,DAY(B$4)),INDEX('Februar'!$B$28:$AF$28,DAY(B$4)),INDEX('März'!$B$28:$AF$28,DAY(B$4)),INDEX('April'!$B$28:$AF$28,DAY(B$4)),INDEX('Mai'!$B$28:$AF$28,DAY(B$4)),INDEX('Juni'!$B$28:$AF$28,DAY(B$4)),INDEX('Juli'!$B$28:$AF$28,DAY(B$4)),INDEX('August'!$B$28:$AF$28,DAY(B$4)),INDEX('September'!$B$28:$AF$28,DAY(B$4)),INDEX('Oktober'!$B$28:$AF$28,DAY(B$4)),INDEX('November'!$B$28:$AF$28,DAY(B$4)),INDEX('Dezember'!$B$28:$AF$28,DAY(B$4)))&amp;"")</f>
      </c>
      <c r="K28" s="1">
        <f>IF(OR($A28="",YEAR(C$4)&lt;&gt;Jahr),"",CHOOSE(MONTH(C$4),INDEX('Januar'!$B$28:$AF$28,DAY(C$4)),INDEX('Februar'!$B$28:$AF$28,DAY(C$4)),INDEX('März'!$B$28:$AF$28,DAY(C$4)),INDEX('April'!$B$28:$AF$28,DAY(C$4)),INDEX('Mai'!$B$28:$AF$28,DAY(C$4)),INDEX('Juni'!$B$28:$AF$28,DAY(C$4)),INDEX('Juli'!$B$28:$AF$28,DAY(C$4)),INDEX('August'!$B$28:$AF$28,DAY(C$4)),INDEX('September'!$B$28:$AF$28,DAY(C$4)),INDEX('Oktober'!$B$28:$AF$28,DAY(C$4)),INDEX('November'!$B$28:$AF$28,DAY(C$4)),INDEX('Dezember'!$B$28:$AF$28,DAY(C$4)))&amp;"")</f>
      </c>
      <c r="L28" s="1">
        <f>IF(OR($A28="",YEAR(D$4)&lt;&gt;Jahr),"",CHOOSE(MONTH(D$4),INDEX('Januar'!$B$28:$AF$28,DAY(D$4)),INDEX('Februar'!$B$28:$AF$28,DAY(D$4)),INDEX('März'!$B$28:$AF$28,DAY(D$4)),INDEX('April'!$B$28:$AF$28,DAY(D$4)),INDEX('Mai'!$B$28:$AF$28,DAY(D$4)),INDEX('Juni'!$B$28:$AF$28,DAY(D$4)),INDEX('Juli'!$B$28:$AF$28,DAY(D$4)),INDEX('August'!$B$28:$AF$28,DAY(D$4)),INDEX('September'!$B$28:$AF$28,DAY(D$4)),INDEX('Oktober'!$B$28:$AF$28,DAY(D$4)),INDEX('November'!$B$28:$AF$28,DAY(D$4)),INDEX('Dezember'!$B$28:$AF$28,DAY(D$4)))&amp;"")</f>
      </c>
      <c r="M28" s="1">
        <f>IF(OR($A28="",YEAR(E$4)&lt;&gt;Jahr),"",CHOOSE(MONTH(E$4),INDEX('Januar'!$B$28:$AF$28,DAY(E$4)),INDEX('Februar'!$B$28:$AF$28,DAY(E$4)),INDEX('März'!$B$28:$AF$28,DAY(E$4)),INDEX('April'!$B$28:$AF$28,DAY(E$4)),INDEX('Mai'!$B$28:$AF$28,DAY(E$4)),INDEX('Juni'!$B$28:$AF$28,DAY(E$4)),INDEX('Juli'!$B$28:$AF$28,DAY(E$4)),INDEX('August'!$B$28:$AF$28,DAY(E$4)),INDEX('September'!$B$28:$AF$28,DAY(E$4)),INDEX('Oktober'!$B$28:$AF$28,DAY(E$4)),INDEX('November'!$B$28:$AF$28,DAY(E$4)),INDEX('Dezember'!$B$28:$AF$28,DAY(E$4)))&amp;"")</f>
      </c>
      <c r="N28" s="1">
        <f>IF(OR($A28="",YEAR(F$4)&lt;&gt;Jahr),"",CHOOSE(MONTH(F$4),INDEX('Januar'!$B$28:$AF$28,DAY(F$4)),INDEX('Februar'!$B$28:$AF$28,DAY(F$4)),INDEX('März'!$B$28:$AF$28,DAY(F$4)),INDEX('April'!$B$28:$AF$28,DAY(F$4)),INDEX('Mai'!$B$28:$AF$28,DAY(F$4)),INDEX('Juni'!$B$28:$AF$28,DAY(F$4)),INDEX('Juli'!$B$28:$AF$28,DAY(F$4)),INDEX('August'!$B$28:$AF$28,DAY(F$4)),INDEX('September'!$B$28:$AF$28,DAY(F$4)),INDEX('Oktober'!$B$28:$AF$28,DAY(F$4)),INDEX('November'!$B$28:$AF$28,DAY(F$4)),INDEX('Dezember'!$B$28:$AF$28,DAY(F$4)))&amp;"")</f>
      </c>
      <c r="O28" s="1">
        <f>IF(OR($A28="",YEAR(G$4)&lt;&gt;Jahr),"",CHOOSE(MONTH(G$4),INDEX('Januar'!$B$28:$AF$28,DAY(G$4)),INDEX('Februar'!$B$28:$AF$28,DAY(G$4)),INDEX('März'!$B$28:$AF$28,DAY(G$4)),INDEX('April'!$B$28:$AF$28,DAY(G$4)),INDEX('Mai'!$B$28:$AF$28,DAY(G$4)),INDEX('Juni'!$B$28:$AF$28,DAY(G$4)),INDEX('Juli'!$B$28:$AF$28,DAY(G$4)),INDEX('August'!$B$28:$AF$28,DAY(G$4)),INDEX('September'!$B$28:$AF$28,DAY(G$4)),INDEX('Oktober'!$B$28:$AF$28,DAY(G$4)),INDEX('November'!$B$28:$AF$28,DAY(G$4)),INDEX('Dezember'!$B$28:$AF$28,DAY(G$4)))&amp;"")</f>
      </c>
      <c r="P28" s="1">
        <f>IF(OR($A28="",YEAR(H$4)&lt;&gt;Jahr),"",CHOOSE(MONTH(H$4),INDEX('Januar'!$B$28:$AF$28,DAY(H$4)),INDEX('Februar'!$B$28:$AF$28,DAY(H$4)),INDEX('März'!$B$28:$AF$28,DAY(H$4)),INDEX('April'!$B$28:$AF$28,DAY(H$4)),INDEX('Mai'!$B$28:$AF$28,DAY(H$4)),INDEX('Juni'!$B$28:$AF$28,DAY(H$4)),INDEX('Juli'!$B$28:$AF$28,DAY(H$4)),INDEX('August'!$B$28:$AF$28,DAY(H$4)),INDEX('September'!$B$28:$AF$28,DAY(H$4)),INDEX('Oktober'!$B$28:$AF$28,DAY(H$4)),INDEX('November'!$B$28:$AF$28,DAY(H$4)),INDEX('Dezember'!$B$28:$AF$28,DAY(H$4)))&amp;"")</f>
      </c>
    </row>
    <row r="29" ht="17" customHeight="1" spans="1:16" x14ac:dyDescent="0.25">
      <c r="A29" s="49">
        <f>Mitarbeiter!$A$28&amp;""</f>
      </c>
      <c r="B29" s="50">
        <f>IF(J29="","",J29&amp;IFERROR(IF(AND(INDEX(Arten,MATCH(J29,Codes,0))="Arbeit",ISNUMBER(INDEX(Beginne,MATCH(J29,Codes,0)))),"  "&amp;TEXT(INDEX(Beginne,MATCH(J29,Codes,0)),"hh:mm")&amp;"–"&amp;TEXT(INDEX(Enden,MATCH(J29,Codes,0)),"hh:mm"),""),""))</f>
      </c>
      <c r="C29" s="50">
        <f>IF(K29="","",K29&amp;IFERROR(IF(AND(INDEX(Arten,MATCH(K29,Codes,0))="Arbeit",ISNUMBER(INDEX(Beginne,MATCH(K29,Codes,0)))),"  "&amp;TEXT(INDEX(Beginne,MATCH(K29,Codes,0)),"hh:mm")&amp;"–"&amp;TEXT(INDEX(Enden,MATCH(K29,Codes,0)),"hh:mm"),""),""))</f>
      </c>
      <c r="D29" s="50">
        <f>IF(L29="","",L29&amp;IFERROR(IF(AND(INDEX(Arten,MATCH(L29,Codes,0))="Arbeit",ISNUMBER(INDEX(Beginne,MATCH(L29,Codes,0)))),"  "&amp;TEXT(INDEX(Beginne,MATCH(L29,Codes,0)),"hh:mm")&amp;"–"&amp;TEXT(INDEX(Enden,MATCH(L29,Codes,0)),"hh:mm"),""),""))</f>
      </c>
      <c r="E29" s="50">
        <f>IF(M29="","",M29&amp;IFERROR(IF(AND(INDEX(Arten,MATCH(M29,Codes,0))="Arbeit",ISNUMBER(INDEX(Beginne,MATCH(M29,Codes,0)))),"  "&amp;TEXT(INDEX(Beginne,MATCH(M29,Codes,0)),"hh:mm")&amp;"–"&amp;TEXT(INDEX(Enden,MATCH(M29,Codes,0)),"hh:mm"),""),""))</f>
      </c>
      <c r="F29" s="50">
        <f>IF(N29="","",N29&amp;IFERROR(IF(AND(INDEX(Arten,MATCH(N29,Codes,0))="Arbeit",ISNUMBER(INDEX(Beginne,MATCH(N29,Codes,0)))),"  "&amp;TEXT(INDEX(Beginne,MATCH(N29,Codes,0)),"hh:mm")&amp;"–"&amp;TEXT(INDEX(Enden,MATCH(N29,Codes,0)),"hh:mm"),""),""))</f>
      </c>
      <c r="G29" s="50">
        <f>IF(O29="","",O29&amp;IFERROR(IF(AND(INDEX(Arten,MATCH(O29,Codes,0))="Arbeit",ISNUMBER(INDEX(Beginne,MATCH(O29,Codes,0)))),"  "&amp;TEXT(INDEX(Beginne,MATCH(O29,Codes,0)),"hh:mm")&amp;"–"&amp;TEXT(INDEX(Enden,MATCH(O29,Codes,0)),"hh:mm"),""),""))</f>
      </c>
      <c r="H29" s="50">
        <f>IF(P29="","",P29&amp;IFERROR(IF(AND(INDEX(Arten,MATCH(P29,Codes,0))="Arbeit",ISNUMBER(INDEX(Beginne,MATCH(P29,Codes,0)))),"  "&amp;TEXT(INDEX(Beginne,MATCH(P29,Codes,0)),"hh:mm")&amp;"–"&amp;TEXT(INDEX(Enden,MATCH(P29,Codes,0)),"hh:mm"),""),""))</f>
      </c>
      <c r="I29" s="51">
        <f>IF($A29="","",SUMPRODUCT(COUNTIF(J29:P29,Codes)*(Arten="Arbeit")*Erste*NettoTage))</f>
      </c>
      <c r="J29" s="1">
        <f>IF(OR($A29="",YEAR(B$4)&lt;&gt;Jahr),"",CHOOSE(MONTH(B$4),INDEX('Januar'!$B$29:$AF$29,DAY(B$4)),INDEX('Februar'!$B$29:$AF$29,DAY(B$4)),INDEX('März'!$B$29:$AF$29,DAY(B$4)),INDEX('April'!$B$29:$AF$29,DAY(B$4)),INDEX('Mai'!$B$29:$AF$29,DAY(B$4)),INDEX('Juni'!$B$29:$AF$29,DAY(B$4)),INDEX('Juli'!$B$29:$AF$29,DAY(B$4)),INDEX('August'!$B$29:$AF$29,DAY(B$4)),INDEX('September'!$B$29:$AF$29,DAY(B$4)),INDEX('Oktober'!$B$29:$AF$29,DAY(B$4)),INDEX('November'!$B$29:$AF$29,DAY(B$4)),INDEX('Dezember'!$B$29:$AF$29,DAY(B$4)))&amp;"")</f>
      </c>
      <c r="K29" s="1">
        <f>IF(OR($A29="",YEAR(C$4)&lt;&gt;Jahr),"",CHOOSE(MONTH(C$4),INDEX('Januar'!$B$29:$AF$29,DAY(C$4)),INDEX('Februar'!$B$29:$AF$29,DAY(C$4)),INDEX('März'!$B$29:$AF$29,DAY(C$4)),INDEX('April'!$B$29:$AF$29,DAY(C$4)),INDEX('Mai'!$B$29:$AF$29,DAY(C$4)),INDEX('Juni'!$B$29:$AF$29,DAY(C$4)),INDEX('Juli'!$B$29:$AF$29,DAY(C$4)),INDEX('August'!$B$29:$AF$29,DAY(C$4)),INDEX('September'!$B$29:$AF$29,DAY(C$4)),INDEX('Oktober'!$B$29:$AF$29,DAY(C$4)),INDEX('November'!$B$29:$AF$29,DAY(C$4)),INDEX('Dezember'!$B$29:$AF$29,DAY(C$4)))&amp;"")</f>
      </c>
      <c r="L29" s="1">
        <f>IF(OR($A29="",YEAR(D$4)&lt;&gt;Jahr),"",CHOOSE(MONTH(D$4),INDEX('Januar'!$B$29:$AF$29,DAY(D$4)),INDEX('Februar'!$B$29:$AF$29,DAY(D$4)),INDEX('März'!$B$29:$AF$29,DAY(D$4)),INDEX('April'!$B$29:$AF$29,DAY(D$4)),INDEX('Mai'!$B$29:$AF$29,DAY(D$4)),INDEX('Juni'!$B$29:$AF$29,DAY(D$4)),INDEX('Juli'!$B$29:$AF$29,DAY(D$4)),INDEX('August'!$B$29:$AF$29,DAY(D$4)),INDEX('September'!$B$29:$AF$29,DAY(D$4)),INDEX('Oktober'!$B$29:$AF$29,DAY(D$4)),INDEX('November'!$B$29:$AF$29,DAY(D$4)),INDEX('Dezember'!$B$29:$AF$29,DAY(D$4)))&amp;"")</f>
      </c>
      <c r="M29" s="1">
        <f>IF(OR($A29="",YEAR(E$4)&lt;&gt;Jahr),"",CHOOSE(MONTH(E$4),INDEX('Januar'!$B$29:$AF$29,DAY(E$4)),INDEX('Februar'!$B$29:$AF$29,DAY(E$4)),INDEX('März'!$B$29:$AF$29,DAY(E$4)),INDEX('April'!$B$29:$AF$29,DAY(E$4)),INDEX('Mai'!$B$29:$AF$29,DAY(E$4)),INDEX('Juni'!$B$29:$AF$29,DAY(E$4)),INDEX('Juli'!$B$29:$AF$29,DAY(E$4)),INDEX('August'!$B$29:$AF$29,DAY(E$4)),INDEX('September'!$B$29:$AF$29,DAY(E$4)),INDEX('Oktober'!$B$29:$AF$29,DAY(E$4)),INDEX('November'!$B$29:$AF$29,DAY(E$4)),INDEX('Dezember'!$B$29:$AF$29,DAY(E$4)))&amp;"")</f>
      </c>
      <c r="N29" s="1">
        <f>IF(OR($A29="",YEAR(F$4)&lt;&gt;Jahr),"",CHOOSE(MONTH(F$4),INDEX('Januar'!$B$29:$AF$29,DAY(F$4)),INDEX('Februar'!$B$29:$AF$29,DAY(F$4)),INDEX('März'!$B$29:$AF$29,DAY(F$4)),INDEX('April'!$B$29:$AF$29,DAY(F$4)),INDEX('Mai'!$B$29:$AF$29,DAY(F$4)),INDEX('Juni'!$B$29:$AF$29,DAY(F$4)),INDEX('Juli'!$B$29:$AF$29,DAY(F$4)),INDEX('August'!$B$29:$AF$29,DAY(F$4)),INDEX('September'!$B$29:$AF$29,DAY(F$4)),INDEX('Oktober'!$B$29:$AF$29,DAY(F$4)),INDEX('November'!$B$29:$AF$29,DAY(F$4)),INDEX('Dezember'!$B$29:$AF$29,DAY(F$4)))&amp;"")</f>
      </c>
      <c r="O29" s="1">
        <f>IF(OR($A29="",YEAR(G$4)&lt;&gt;Jahr),"",CHOOSE(MONTH(G$4),INDEX('Januar'!$B$29:$AF$29,DAY(G$4)),INDEX('Februar'!$B$29:$AF$29,DAY(G$4)),INDEX('März'!$B$29:$AF$29,DAY(G$4)),INDEX('April'!$B$29:$AF$29,DAY(G$4)),INDEX('Mai'!$B$29:$AF$29,DAY(G$4)),INDEX('Juni'!$B$29:$AF$29,DAY(G$4)),INDEX('Juli'!$B$29:$AF$29,DAY(G$4)),INDEX('August'!$B$29:$AF$29,DAY(G$4)),INDEX('September'!$B$29:$AF$29,DAY(G$4)),INDEX('Oktober'!$B$29:$AF$29,DAY(G$4)),INDEX('November'!$B$29:$AF$29,DAY(G$4)),INDEX('Dezember'!$B$29:$AF$29,DAY(G$4)))&amp;"")</f>
      </c>
      <c r="P29" s="1">
        <f>IF(OR($A29="",YEAR(H$4)&lt;&gt;Jahr),"",CHOOSE(MONTH(H$4),INDEX('Januar'!$B$29:$AF$29,DAY(H$4)),INDEX('Februar'!$B$29:$AF$29,DAY(H$4)),INDEX('März'!$B$29:$AF$29,DAY(H$4)),INDEX('April'!$B$29:$AF$29,DAY(H$4)),INDEX('Mai'!$B$29:$AF$29,DAY(H$4)),INDEX('Juni'!$B$29:$AF$29,DAY(H$4)),INDEX('Juli'!$B$29:$AF$29,DAY(H$4)),INDEX('August'!$B$29:$AF$29,DAY(H$4)),INDEX('September'!$B$29:$AF$29,DAY(H$4)),INDEX('Oktober'!$B$29:$AF$29,DAY(H$4)),INDEX('November'!$B$29:$AF$29,DAY(H$4)),INDEX('Dezember'!$B$29:$AF$29,DAY(H$4)))&amp;"")</f>
      </c>
    </row>
    <row r="30" ht="17" customHeight="1" spans="1:16" x14ac:dyDescent="0.25">
      <c r="A30" s="49">
        <f>Mitarbeiter!$A$29&amp;""</f>
      </c>
      <c r="B30" s="50">
        <f>IF(J30="","",J30&amp;IFERROR(IF(AND(INDEX(Arten,MATCH(J30,Codes,0))="Arbeit",ISNUMBER(INDEX(Beginne,MATCH(J30,Codes,0)))),"  "&amp;TEXT(INDEX(Beginne,MATCH(J30,Codes,0)),"hh:mm")&amp;"–"&amp;TEXT(INDEX(Enden,MATCH(J30,Codes,0)),"hh:mm"),""),""))</f>
      </c>
      <c r="C30" s="50">
        <f>IF(K30="","",K30&amp;IFERROR(IF(AND(INDEX(Arten,MATCH(K30,Codes,0))="Arbeit",ISNUMBER(INDEX(Beginne,MATCH(K30,Codes,0)))),"  "&amp;TEXT(INDEX(Beginne,MATCH(K30,Codes,0)),"hh:mm")&amp;"–"&amp;TEXT(INDEX(Enden,MATCH(K30,Codes,0)),"hh:mm"),""),""))</f>
      </c>
      <c r="D30" s="50">
        <f>IF(L30="","",L30&amp;IFERROR(IF(AND(INDEX(Arten,MATCH(L30,Codes,0))="Arbeit",ISNUMBER(INDEX(Beginne,MATCH(L30,Codes,0)))),"  "&amp;TEXT(INDEX(Beginne,MATCH(L30,Codes,0)),"hh:mm")&amp;"–"&amp;TEXT(INDEX(Enden,MATCH(L30,Codes,0)),"hh:mm"),""),""))</f>
      </c>
      <c r="E30" s="50">
        <f>IF(M30="","",M30&amp;IFERROR(IF(AND(INDEX(Arten,MATCH(M30,Codes,0))="Arbeit",ISNUMBER(INDEX(Beginne,MATCH(M30,Codes,0)))),"  "&amp;TEXT(INDEX(Beginne,MATCH(M30,Codes,0)),"hh:mm")&amp;"–"&amp;TEXT(INDEX(Enden,MATCH(M30,Codes,0)),"hh:mm"),""),""))</f>
      </c>
      <c r="F30" s="50">
        <f>IF(N30="","",N30&amp;IFERROR(IF(AND(INDEX(Arten,MATCH(N30,Codes,0))="Arbeit",ISNUMBER(INDEX(Beginne,MATCH(N30,Codes,0)))),"  "&amp;TEXT(INDEX(Beginne,MATCH(N30,Codes,0)),"hh:mm")&amp;"–"&amp;TEXT(INDEX(Enden,MATCH(N30,Codes,0)),"hh:mm"),""),""))</f>
      </c>
      <c r="G30" s="50">
        <f>IF(O30="","",O30&amp;IFERROR(IF(AND(INDEX(Arten,MATCH(O30,Codes,0))="Arbeit",ISNUMBER(INDEX(Beginne,MATCH(O30,Codes,0)))),"  "&amp;TEXT(INDEX(Beginne,MATCH(O30,Codes,0)),"hh:mm")&amp;"–"&amp;TEXT(INDEX(Enden,MATCH(O30,Codes,0)),"hh:mm"),""),""))</f>
      </c>
      <c r="H30" s="50">
        <f>IF(P30="","",P30&amp;IFERROR(IF(AND(INDEX(Arten,MATCH(P30,Codes,0))="Arbeit",ISNUMBER(INDEX(Beginne,MATCH(P30,Codes,0)))),"  "&amp;TEXT(INDEX(Beginne,MATCH(P30,Codes,0)),"hh:mm")&amp;"–"&amp;TEXT(INDEX(Enden,MATCH(P30,Codes,0)),"hh:mm"),""),""))</f>
      </c>
      <c r="I30" s="51">
        <f>IF($A30="","",SUMPRODUCT(COUNTIF(J30:P30,Codes)*(Arten="Arbeit")*Erste*NettoTage))</f>
      </c>
      <c r="J30" s="1">
        <f>IF(OR($A30="",YEAR(B$4)&lt;&gt;Jahr),"",CHOOSE(MONTH(B$4),INDEX('Januar'!$B$30:$AF$30,DAY(B$4)),INDEX('Februar'!$B$30:$AF$30,DAY(B$4)),INDEX('März'!$B$30:$AF$30,DAY(B$4)),INDEX('April'!$B$30:$AF$30,DAY(B$4)),INDEX('Mai'!$B$30:$AF$30,DAY(B$4)),INDEX('Juni'!$B$30:$AF$30,DAY(B$4)),INDEX('Juli'!$B$30:$AF$30,DAY(B$4)),INDEX('August'!$B$30:$AF$30,DAY(B$4)),INDEX('September'!$B$30:$AF$30,DAY(B$4)),INDEX('Oktober'!$B$30:$AF$30,DAY(B$4)),INDEX('November'!$B$30:$AF$30,DAY(B$4)),INDEX('Dezember'!$B$30:$AF$30,DAY(B$4)))&amp;"")</f>
      </c>
      <c r="K30" s="1">
        <f>IF(OR($A30="",YEAR(C$4)&lt;&gt;Jahr),"",CHOOSE(MONTH(C$4),INDEX('Januar'!$B$30:$AF$30,DAY(C$4)),INDEX('Februar'!$B$30:$AF$30,DAY(C$4)),INDEX('März'!$B$30:$AF$30,DAY(C$4)),INDEX('April'!$B$30:$AF$30,DAY(C$4)),INDEX('Mai'!$B$30:$AF$30,DAY(C$4)),INDEX('Juni'!$B$30:$AF$30,DAY(C$4)),INDEX('Juli'!$B$30:$AF$30,DAY(C$4)),INDEX('August'!$B$30:$AF$30,DAY(C$4)),INDEX('September'!$B$30:$AF$30,DAY(C$4)),INDEX('Oktober'!$B$30:$AF$30,DAY(C$4)),INDEX('November'!$B$30:$AF$30,DAY(C$4)),INDEX('Dezember'!$B$30:$AF$30,DAY(C$4)))&amp;"")</f>
      </c>
      <c r="L30" s="1">
        <f>IF(OR($A30="",YEAR(D$4)&lt;&gt;Jahr),"",CHOOSE(MONTH(D$4),INDEX('Januar'!$B$30:$AF$30,DAY(D$4)),INDEX('Februar'!$B$30:$AF$30,DAY(D$4)),INDEX('März'!$B$30:$AF$30,DAY(D$4)),INDEX('April'!$B$30:$AF$30,DAY(D$4)),INDEX('Mai'!$B$30:$AF$30,DAY(D$4)),INDEX('Juni'!$B$30:$AF$30,DAY(D$4)),INDEX('Juli'!$B$30:$AF$30,DAY(D$4)),INDEX('August'!$B$30:$AF$30,DAY(D$4)),INDEX('September'!$B$30:$AF$30,DAY(D$4)),INDEX('Oktober'!$B$30:$AF$30,DAY(D$4)),INDEX('November'!$B$30:$AF$30,DAY(D$4)),INDEX('Dezember'!$B$30:$AF$30,DAY(D$4)))&amp;"")</f>
      </c>
      <c r="M30" s="1">
        <f>IF(OR($A30="",YEAR(E$4)&lt;&gt;Jahr),"",CHOOSE(MONTH(E$4),INDEX('Januar'!$B$30:$AF$30,DAY(E$4)),INDEX('Februar'!$B$30:$AF$30,DAY(E$4)),INDEX('März'!$B$30:$AF$30,DAY(E$4)),INDEX('April'!$B$30:$AF$30,DAY(E$4)),INDEX('Mai'!$B$30:$AF$30,DAY(E$4)),INDEX('Juni'!$B$30:$AF$30,DAY(E$4)),INDEX('Juli'!$B$30:$AF$30,DAY(E$4)),INDEX('August'!$B$30:$AF$30,DAY(E$4)),INDEX('September'!$B$30:$AF$30,DAY(E$4)),INDEX('Oktober'!$B$30:$AF$30,DAY(E$4)),INDEX('November'!$B$30:$AF$30,DAY(E$4)),INDEX('Dezember'!$B$30:$AF$30,DAY(E$4)))&amp;"")</f>
      </c>
      <c r="N30" s="1">
        <f>IF(OR($A30="",YEAR(F$4)&lt;&gt;Jahr),"",CHOOSE(MONTH(F$4),INDEX('Januar'!$B$30:$AF$30,DAY(F$4)),INDEX('Februar'!$B$30:$AF$30,DAY(F$4)),INDEX('März'!$B$30:$AF$30,DAY(F$4)),INDEX('April'!$B$30:$AF$30,DAY(F$4)),INDEX('Mai'!$B$30:$AF$30,DAY(F$4)),INDEX('Juni'!$B$30:$AF$30,DAY(F$4)),INDEX('Juli'!$B$30:$AF$30,DAY(F$4)),INDEX('August'!$B$30:$AF$30,DAY(F$4)),INDEX('September'!$B$30:$AF$30,DAY(F$4)),INDEX('Oktober'!$B$30:$AF$30,DAY(F$4)),INDEX('November'!$B$30:$AF$30,DAY(F$4)),INDEX('Dezember'!$B$30:$AF$30,DAY(F$4)))&amp;"")</f>
      </c>
      <c r="O30" s="1">
        <f>IF(OR($A30="",YEAR(G$4)&lt;&gt;Jahr),"",CHOOSE(MONTH(G$4),INDEX('Januar'!$B$30:$AF$30,DAY(G$4)),INDEX('Februar'!$B$30:$AF$30,DAY(G$4)),INDEX('März'!$B$30:$AF$30,DAY(G$4)),INDEX('April'!$B$30:$AF$30,DAY(G$4)),INDEX('Mai'!$B$30:$AF$30,DAY(G$4)),INDEX('Juni'!$B$30:$AF$30,DAY(G$4)),INDEX('Juli'!$B$30:$AF$30,DAY(G$4)),INDEX('August'!$B$30:$AF$30,DAY(G$4)),INDEX('September'!$B$30:$AF$30,DAY(G$4)),INDEX('Oktober'!$B$30:$AF$30,DAY(G$4)),INDEX('November'!$B$30:$AF$30,DAY(G$4)),INDEX('Dezember'!$B$30:$AF$30,DAY(G$4)))&amp;"")</f>
      </c>
      <c r="P30" s="1">
        <f>IF(OR($A30="",YEAR(H$4)&lt;&gt;Jahr),"",CHOOSE(MONTH(H$4),INDEX('Januar'!$B$30:$AF$30,DAY(H$4)),INDEX('Februar'!$B$30:$AF$30,DAY(H$4)),INDEX('März'!$B$30:$AF$30,DAY(H$4)),INDEX('April'!$B$30:$AF$30,DAY(H$4)),INDEX('Mai'!$B$30:$AF$30,DAY(H$4)),INDEX('Juni'!$B$30:$AF$30,DAY(H$4)),INDEX('Juli'!$B$30:$AF$30,DAY(H$4)),INDEX('August'!$B$30:$AF$30,DAY(H$4)),INDEX('September'!$B$30:$AF$30,DAY(H$4)),INDEX('Oktober'!$B$30:$AF$30,DAY(H$4)),INDEX('November'!$B$30:$AF$30,DAY(H$4)),INDEX('Dezember'!$B$30:$AF$30,DAY(H$4)))&amp;"")</f>
      </c>
    </row>
    <row r="31" ht="17" customHeight="1" spans="1:16" x14ac:dyDescent="0.25">
      <c r="A31" s="49">
        <f>Mitarbeiter!$A$30&amp;""</f>
      </c>
      <c r="B31" s="50">
        <f>IF(J31="","",J31&amp;IFERROR(IF(AND(INDEX(Arten,MATCH(J31,Codes,0))="Arbeit",ISNUMBER(INDEX(Beginne,MATCH(J31,Codes,0)))),"  "&amp;TEXT(INDEX(Beginne,MATCH(J31,Codes,0)),"hh:mm")&amp;"–"&amp;TEXT(INDEX(Enden,MATCH(J31,Codes,0)),"hh:mm"),""),""))</f>
      </c>
      <c r="C31" s="50">
        <f>IF(K31="","",K31&amp;IFERROR(IF(AND(INDEX(Arten,MATCH(K31,Codes,0))="Arbeit",ISNUMBER(INDEX(Beginne,MATCH(K31,Codes,0)))),"  "&amp;TEXT(INDEX(Beginne,MATCH(K31,Codes,0)),"hh:mm")&amp;"–"&amp;TEXT(INDEX(Enden,MATCH(K31,Codes,0)),"hh:mm"),""),""))</f>
      </c>
      <c r="D31" s="50">
        <f>IF(L31="","",L31&amp;IFERROR(IF(AND(INDEX(Arten,MATCH(L31,Codes,0))="Arbeit",ISNUMBER(INDEX(Beginne,MATCH(L31,Codes,0)))),"  "&amp;TEXT(INDEX(Beginne,MATCH(L31,Codes,0)),"hh:mm")&amp;"–"&amp;TEXT(INDEX(Enden,MATCH(L31,Codes,0)),"hh:mm"),""),""))</f>
      </c>
      <c r="E31" s="50">
        <f>IF(M31="","",M31&amp;IFERROR(IF(AND(INDEX(Arten,MATCH(M31,Codes,0))="Arbeit",ISNUMBER(INDEX(Beginne,MATCH(M31,Codes,0)))),"  "&amp;TEXT(INDEX(Beginne,MATCH(M31,Codes,0)),"hh:mm")&amp;"–"&amp;TEXT(INDEX(Enden,MATCH(M31,Codes,0)),"hh:mm"),""),""))</f>
      </c>
      <c r="F31" s="50">
        <f>IF(N31="","",N31&amp;IFERROR(IF(AND(INDEX(Arten,MATCH(N31,Codes,0))="Arbeit",ISNUMBER(INDEX(Beginne,MATCH(N31,Codes,0)))),"  "&amp;TEXT(INDEX(Beginne,MATCH(N31,Codes,0)),"hh:mm")&amp;"–"&amp;TEXT(INDEX(Enden,MATCH(N31,Codes,0)),"hh:mm"),""),""))</f>
      </c>
      <c r="G31" s="50">
        <f>IF(O31="","",O31&amp;IFERROR(IF(AND(INDEX(Arten,MATCH(O31,Codes,0))="Arbeit",ISNUMBER(INDEX(Beginne,MATCH(O31,Codes,0)))),"  "&amp;TEXT(INDEX(Beginne,MATCH(O31,Codes,0)),"hh:mm")&amp;"–"&amp;TEXT(INDEX(Enden,MATCH(O31,Codes,0)),"hh:mm"),""),""))</f>
      </c>
      <c r="H31" s="50">
        <f>IF(P31="","",P31&amp;IFERROR(IF(AND(INDEX(Arten,MATCH(P31,Codes,0))="Arbeit",ISNUMBER(INDEX(Beginne,MATCH(P31,Codes,0)))),"  "&amp;TEXT(INDEX(Beginne,MATCH(P31,Codes,0)),"hh:mm")&amp;"–"&amp;TEXT(INDEX(Enden,MATCH(P31,Codes,0)),"hh:mm"),""),""))</f>
      </c>
      <c r="I31" s="51">
        <f>IF($A31="","",SUMPRODUCT(COUNTIF(J31:P31,Codes)*(Arten="Arbeit")*Erste*NettoTage))</f>
      </c>
      <c r="J31" s="1">
        <f>IF(OR($A31="",YEAR(B$4)&lt;&gt;Jahr),"",CHOOSE(MONTH(B$4),INDEX('Januar'!$B$31:$AF$31,DAY(B$4)),INDEX('Februar'!$B$31:$AF$31,DAY(B$4)),INDEX('März'!$B$31:$AF$31,DAY(B$4)),INDEX('April'!$B$31:$AF$31,DAY(B$4)),INDEX('Mai'!$B$31:$AF$31,DAY(B$4)),INDEX('Juni'!$B$31:$AF$31,DAY(B$4)),INDEX('Juli'!$B$31:$AF$31,DAY(B$4)),INDEX('August'!$B$31:$AF$31,DAY(B$4)),INDEX('September'!$B$31:$AF$31,DAY(B$4)),INDEX('Oktober'!$B$31:$AF$31,DAY(B$4)),INDEX('November'!$B$31:$AF$31,DAY(B$4)),INDEX('Dezember'!$B$31:$AF$31,DAY(B$4)))&amp;"")</f>
      </c>
      <c r="K31" s="1">
        <f>IF(OR($A31="",YEAR(C$4)&lt;&gt;Jahr),"",CHOOSE(MONTH(C$4),INDEX('Januar'!$B$31:$AF$31,DAY(C$4)),INDEX('Februar'!$B$31:$AF$31,DAY(C$4)),INDEX('März'!$B$31:$AF$31,DAY(C$4)),INDEX('April'!$B$31:$AF$31,DAY(C$4)),INDEX('Mai'!$B$31:$AF$31,DAY(C$4)),INDEX('Juni'!$B$31:$AF$31,DAY(C$4)),INDEX('Juli'!$B$31:$AF$31,DAY(C$4)),INDEX('August'!$B$31:$AF$31,DAY(C$4)),INDEX('September'!$B$31:$AF$31,DAY(C$4)),INDEX('Oktober'!$B$31:$AF$31,DAY(C$4)),INDEX('November'!$B$31:$AF$31,DAY(C$4)),INDEX('Dezember'!$B$31:$AF$31,DAY(C$4)))&amp;"")</f>
      </c>
      <c r="L31" s="1">
        <f>IF(OR($A31="",YEAR(D$4)&lt;&gt;Jahr),"",CHOOSE(MONTH(D$4),INDEX('Januar'!$B$31:$AF$31,DAY(D$4)),INDEX('Februar'!$B$31:$AF$31,DAY(D$4)),INDEX('März'!$B$31:$AF$31,DAY(D$4)),INDEX('April'!$B$31:$AF$31,DAY(D$4)),INDEX('Mai'!$B$31:$AF$31,DAY(D$4)),INDEX('Juni'!$B$31:$AF$31,DAY(D$4)),INDEX('Juli'!$B$31:$AF$31,DAY(D$4)),INDEX('August'!$B$31:$AF$31,DAY(D$4)),INDEX('September'!$B$31:$AF$31,DAY(D$4)),INDEX('Oktober'!$B$31:$AF$31,DAY(D$4)),INDEX('November'!$B$31:$AF$31,DAY(D$4)),INDEX('Dezember'!$B$31:$AF$31,DAY(D$4)))&amp;"")</f>
      </c>
      <c r="M31" s="1">
        <f>IF(OR($A31="",YEAR(E$4)&lt;&gt;Jahr),"",CHOOSE(MONTH(E$4),INDEX('Januar'!$B$31:$AF$31,DAY(E$4)),INDEX('Februar'!$B$31:$AF$31,DAY(E$4)),INDEX('März'!$B$31:$AF$31,DAY(E$4)),INDEX('April'!$B$31:$AF$31,DAY(E$4)),INDEX('Mai'!$B$31:$AF$31,DAY(E$4)),INDEX('Juni'!$B$31:$AF$31,DAY(E$4)),INDEX('Juli'!$B$31:$AF$31,DAY(E$4)),INDEX('August'!$B$31:$AF$31,DAY(E$4)),INDEX('September'!$B$31:$AF$31,DAY(E$4)),INDEX('Oktober'!$B$31:$AF$31,DAY(E$4)),INDEX('November'!$B$31:$AF$31,DAY(E$4)),INDEX('Dezember'!$B$31:$AF$31,DAY(E$4)))&amp;"")</f>
      </c>
      <c r="N31" s="1">
        <f>IF(OR($A31="",YEAR(F$4)&lt;&gt;Jahr),"",CHOOSE(MONTH(F$4),INDEX('Januar'!$B$31:$AF$31,DAY(F$4)),INDEX('Februar'!$B$31:$AF$31,DAY(F$4)),INDEX('März'!$B$31:$AF$31,DAY(F$4)),INDEX('April'!$B$31:$AF$31,DAY(F$4)),INDEX('Mai'!$B$31:$AF$31,DAY(F$4)),INDEX('Juni'!$B$31:$AF$31,DAY(F$4)),INDEX('Juli'!$B$31:$AF$31,DAY(F$4)),INDEX('August'!$B$31:$AF$31,DAY(F$4)),INDEX('September'!$B$31:$AF$31,DAY(F$4)),INDEX('Oktober'!$B$31:$AF$31,DAY(F$4)),INDEX('November'!$B$31:$AF$31,DAY(F$4)),INDEX('Dezember'!$B$31:$AF$31,DAY(F$4)))&amp;"")</f>
      </c>
      <c r="O31" s="1">
        <f>IF(OR($A31="",YEAR(G$4)&lt;&gt;Jahr),"",CHOOSE(MONTH(G$4),INDEX('Januar'!$B$31:$AF$31,DAY(G$4)),INDEX('Februar'!$B$31:$AF$31,DAY(G$4)),INDEX('März'!$B$31:$AF$31,DAY(G$4)),INDEX('April'!$B$31:$AF$31,DAY(G$4)),INDEX('Mai'!$B$31:$AF$31,DAY(G$4)),INDEX('Juni'!$B$31:$AF$31,DAY(G$4)),INDEX('Juli'!$B$31:$AF$31,DAY(G$4)),INDEX('August'!$B$31:$AF$31,DAY(G$4)),INDEX('September'!$B$31:$AF$31,DAY(G$4)),INDEX('Oktober'!$B$31:$AF$31,DAY(G$4)),INDEX('November'!$B$31:$AF$31,DAY(G$4)),INDEX('Dezember'!$B$31:$AF$31,DAY(G$4)))&amp;"")</f>
      </c>
      <c r="P31" s="1">
        <f>IF(OR($A31="",YEAR(H$4)&lt;&gt;Jahr),"",CHOOSE(MONTH(H$4),INDEX('Januar'!$B$31:$AF$31,DAY(H$4)),INDEX('Februar'!$B$31:$AF$31,DAY(H$4)),INDEX('März'!$B$31:$AF$31,DAY(H$4)),INDEX('April'!$B$31:$AF$31,DAY(H$4)),INDEX('Mai'!$B$31:$AF$31,DAY(H$4)),INDEX('Juni'!$B$31:$AF$31,DAY(H$4)),INDEX('Juli'!$B$31:$AF$31,DAY(H$4)),INDEX('August'!$B$31:$AF$31,DAY(H$4)),INDEX('September'!$B$31:$AF$31,DAY(H$4)),INDEX('Oktober'!$B$31:$AF$31,DAY(H$4)),INDEX('November'!$B$31:$AF$31,DAY(H$4)),INDEX('Dezember'!$B$31:$AF$31,DAY(H$4)))&amp;"")</f>
      </c>
    </row>
    <row r="32" ht="17" customHeight="1" spans="1:16" x14ac:dyDescent="0.25">
      <c r="A32" s="49">
        <f>Mitarbeiter!$A$31&amp;""</f>
      </c>
      <c r="B32" s="50">
        <f>IF(J32="","",J32&amp;IFERROR(IF(AND(INDEX(Arten,MATCH(J32,Codes,0))="Arbeit",ISNUMBER(INDEX(Beginne,MATCH(J32,Codes,0)))),"  "&amp;TEXT(INDEX(Beginne,MATCH(J32,Codes,0)),"hh:mm")&amp;"–"&amp;TEXT(INDEX(Enden,MATCH(J32,Codes,0)),"hh:mm"),""),""))</f>
      </c>
      <c r="C32" s="50">
        <f>IF(K32="","",K32&amp;IFERROR(IF(AND(INDEX(Arten,MATCH(K32,Codes,0))="Arbeit",ISNUMBER(INDEX(Beginne,MATCH(K32,Codes,0)))),"  "&amp;TEXT(INDEX(Beginne,MATCH(K32,Codes,0)),"hh:mm")&amp;"–"&amp;TEXT(INDEX(Enden,MATCH(K32,Codes,0)),"hh:mm"),""),""))</f>
      </c>
      <c r="D32" s="50">
        <f>IF(L32="","",L32&amp;IFERROR(IF(AND(INDEX(Arten,MATCH(L32,Codes,0))="Arbeit",ISNUMBER(INDEX(Beginne,MATCH(L32,Codes,0)))),"  "&amp;TEXT(INDEX(Beginne,MATCH(L32,Codes,0)),"hh:mm")&amp;"–"&amp;TEXT(INDEX(Enden,MATCH(L32,Codes,0)),"hh:mm"),""),""))</f>
      </c>
      <c r="E32" s="50">
        <f>IF(M32="","",M32&amp;IFERROR(IF(AND(INDEX(Arten,MATCH(M32,Codes,0))="Arbeit",ISNUMBER(INDEX(Beginne,MATCH(M32,Codes,0)))),"  "&amp;TEXT(INDEX(Beginne,MATCH(M32,Codes,0)),"hh:mm")&amp;"–"&amp;TEXT(INDEX(Enden,MATCH(M32,Codes,0)),"hh:mm"),""),""))</f>
      </c>
      <c r="F32" s="50">
        <f>IF(N32="","",N32&amp;IFERROR(IF(AND(INDEX(Arten,MATCH(N32,Codes,0))="Arbeit",ISNUMBER(INDEX(Beginne,MATCH(N32,Codes,0)))),"  "&amp;TEXT(INDEX(Beginne,MATCH(N32,Codes,0)),"hh:mm")&amp;"–"&amp;TEXT(INDEX(Enden,MATCH(N32,Codes,0)),"hh:mm"),""),""))</f>
      </c>
      <c r="G32" s="50">
        <f>IF(O32="","",O32&amp;IFERROR(IF(AND(INDEX(Arten,MATCH(O32,Codes,0))="Arbeit",ISNUMBER(INDEX(Beginne,MATCH(O32,Codes,0)))),"  "&amp;TEXT(INDEX(Beginne,MATCH(O32,Codes,0)),"hh:mm")&amp;"–"&amp;TEXT(INDEX(Enden,MATCH(O32,Codes,0)),"hh:mm"),""),""))</f>
      </c>
      <c r="H32" s="50">
        <f>IF(P32="","",P32&amp;IFERROR(IF(AND(INDEX(Arten,MATCH(P32,Codes,0))="Arbeit",ISNUMBER(INDEX(Beginne,MATCH(P32,Codes,0)))),"  "&amp;TEXT(INDEX(Beginne,MATCH(P32,Codes,0)),"hh:mm")&amp;"–"&amp;TEXT(INDEX(Enden,MATCH(P32,Codes,0)),"hh:mm"),""),""))</f>
      </c>
      <c r="I32" s="51">
        <f>IF($A32="","",SUMPRODUCT(COUNTIF(J32:P32,Codes)*(Arten="Arbeit")*Erste*NettoTage))</f>
      </c>
      <c r="J32" s="1">
        <f>IF(OR($A32="",YEAR(B$4)&lt;&gt;Jahr),"",CHOOSE(MONTH(B$4),INDEX('Januar'!$B$32:$AF$32,DAY(B$4)),INDEX('Februar'!$B$32:$AF$32,DAY(B$4)),INDEX('März'!$B$32:$AF$32,DAY(B$4)),INDEX('April'!$B$32:$AF$32,DAY(B$4)),INDEX('Mai'!$B$32:$AF$32,DAY(B$4)),INDEX('Juni'!$B$32:$AF$32,DAY(B$4)),INDEX('Juli'!$B$32:$AF$32,DAY(B$4)),INDEX('August'!$B$32:$AF$32,DAY(B$4)),INDEX('September'!$B$32:$AF$32,DAY(B$4)),INDEX('Oktober'!$B$32:$AF$32,DAY(B$4)),INDEX('November'!$B$32:$AF$32,DAY(B$4)),INDEX('Dezember'!$B$32:$AF$32,DAY(B$4)))&amp;"")</f>
      </c>
      <c r="K32" s="1">
        <f>IF(OR($A32="",YEAR(C$4)&lt;&gt;Jahr),"",CHOOSE(MONTH(C$4),INDEX('Januar'!$B$32:$AF$32,DAY(C$4)),INDEX('Februar'!$B$32:$AF$32,DAY(C$4)),INDEX('März'!$B$32:$AF$32,DAY(C$4)),INDEX('April'!$B$32:$AF$32,DAY(C$4)),INDEX('Mai'!$B$32:$AF$32,DAY(C$4)),INDEX('Juni'!$B$32:$AF$32,DAY(C$4)),INDEX('Juli'!$B$32:$AF$32,DAY(C$4)),INDEX('August'!$B$32:$AF$32,DAY(C$4)),INDEX('September'!$B$32:$AF$32,DAY(C$4)),INDEX('Oktober'!$B$32:$AF$32,DAY(C$4)),INDEX('November'!$B$32:$AF$32,DAY(C$4)),INDEX('Dezember'!$B$32:$AF$32,DAY(C$4)))&amp;"")</f>
      </c>
      <c r="L32" s="1">
        <f>IF(OR($A32="",YEAR(D$4)&lt;&gt;Jahr),"",CHOOSE(MONTH(D$4),INDEX('Januar'!$B$32:$AF$32,DAY(D$4)),INDEX('Februar'!$B$32:$AF$32,DAY(D$4)),INDEX('März'!$B$32:$AF$32,DAY(D$4)),INDEX('April'!$B$32:$AF$32,DAY(D$4)),INDEX('Mai'!$B$32:$AF$32,DAY(D$4)),INDEX('Juni'!$B$32:$AF$32,DAY(D$4)),INDEX('Juli'!$B$32:$AF$32,DAY(D$4)),INDEX('August'!$B$32:$AF$32,DAY(D$4)),INDEX('September'!$B$32:$AF$32,DAY(D$4)),INDEX('Oktober'!$B$32:$AF$32,DAY(D$4)),INDEX('November'!$B$32:$AF$32,DAY(D$4)),INDEX('Dezember'!$B$32:$AF$32,DAY(D$4)))&amp;"")</f>
      </c>
      <c r="M32" s="1">
        <f>IF(OR($A32="",YEAR(E$4)&lt;&gt;Jahr),"",CHOOSE(MONTH(E$4),INDEX('Januar'!$B$32:$AF$32,DAY(E$4)),INDEX('Februar'!$B$32:$AF$32,DAY(E$4)),INDEX('März'!$B$32:$AF$32,DAY(E$4)),INDEX('April'!$B$32:$AF$32,DAY(E$4)),INDEX('Mai'!$B$32:$AF$32,DAY(E$4)),INDEX('Juni'!$B$32:$AF$32,DAY(E$4)),INDEX('Juli'!$B$32:$AF$32,DAY(E$4)),INDEX('August'!$B$32:$AF$32,DAY(E$4)),INDEX('September'!$B$32:$AF$32,DAY(E$4)),INDEX('Oktober'!$B$32:$AF$32,DAY(E$4)),INDEX('November'!$B$32:$AF$32,DAY(E$4)),INDEX('Dezember'!$B$32:$AF$32,DAY(E$4)))&amp;"")</f>
      </c>
      <c r="N32" s="1">
        <f>IF(OR($A32="",YEAR(F$4)&lt;&gt;Jahr),"",CHOOSE(MONTH(F$4),INDEX('Januar'!$B$32:$AF$32,DAY(F$4)),INDEX('Februar'!$B$32:$AF$32,DAY(F$4)),INDEX('März'!$B$32:$AF$32,DAY(F$4)),INDEX('April'!$B$32:$AF$32,DAY(F$4)),INDEX('Mai'!$B$32:$AF$32,DAY(F$4)),INDEX('Juni'!$B$32:$AF$32,DAY(F$4)),INDEX('Juli'!$B$32:$AF$32,DAY(F$4)),INDEX('August'!$B$32:$AF$32,DAY(F$4)),INDEX('September'!$B$32:$AF$32,DAY(F$4)),INDEX('Oktober'!$B$32:$AF$32,DAY(F$4)),INDEX('November'!$B$32:$AF$32,DAY(F$4)),INDEX('Dezember'!$B$32:$AF$32,DAY(F$4)))&amp;"")</f>
      </c>
      <c r="O32" s="1">
        <f>IF(OR($A32="",YEAR(G$4)&lt;&gt;Jahr),"",CHOOSE(MONTH(G$4),INDEX('Januar'!$B$32:$AF$32,DAY(G$4)),INDEX('Februar'!$B$32:$AF$32,DAY(G$4)),INDEX('März'!$B$32:$AF$32,DAY(G$4)),INDEX('April'!$B$32:$AF$32,DAY(G$4)),INDEX('Mai'!$B$32:$AF$32,DAY(G$4)),INDEX('Juni'!$B$32:$AF$32,DAY(G$4)),INDEX('Juli'!$B$32:$AF$32,DAY(G$4)),INDEX('August'!$B$32:$AF$32,DAY(G$4)),INDEX('September'!$B$32:$AF$32,DAY(G$4)),INDEX('Oktober'!$B$32:$AF$32,DAY(G$4)),INDEX('November'!$B$32:$AF$32,DAY(G$4)),INDEX('Dezember'!$B$32:$AF$32,DAY(G$4)))&amp;"")</f>
      </c>
      <c r="P32" s="1">
        <f>IF(OR($A32="",YEAR(H$4)&lt;&gt;Jahr),"",CHOOSE(MONTH(H$4),INDEX('Januar'!$B$32:$AF$32,DAY(H$4)),INDEX('Februar'!$B$32:$AF$32,DAY(H$4)),INDEX('März'!$B$32:$AF$32,DAY(H$4)),INDEX('April'!$B$32:$AF$32,DAY(H$4)),INDEX('Mai'!$B$32:$AF$32,DAY(H$4)),INDEX('Juni'!$B$32:$AF$32,DAY(H$4)),INDEX('Juli'!$B$32:$AF$32,DAY(H$4)),INDEX('August'!$B$32:$AF$32,DAY(H$4)),INDEX('September'!$B$32:$AF$32,DAY(H$4)),INDEX('Oktober'!$B$32:$AF$32,DAY(H$4)),INDEX('November'!$B$32:$AF$32,DAY(H$4)),INDEX('Dezember'!$B$32:$AF$32,DAY(H$4)))&amp;"")</f>
      </c>
    </row>
    <row r="33" ht="17" customHeight="1" spans="1:16" x14ac:dyDescent="0.25">
      <c r="A33" s="49">
        <f>Mitarbeiter!$A$32&amp;""</f>
      </c>
      <c r="B33" s="50">
        <f>IF(J33="","",J33&amp;IFERROR(IF(AND(INDEX(Arten,MATCH(J33,Codes,0))="Arbeit",ISNUMBER(INDEX(Beginne,MATCH(J33,Codes,0)))),"  "&amp;TEXT(INDEX(Beginne,MATCH(J33,Codes,0)),"hh:mm")&amp;"–"&amp;TEXT(INDEX(Enden,MATCH(J33,Codes,0)),"hh:mm"),""),""))</f>
      </c>
      <c r="C33" s="50">
        <f>IF(K33="","",K33&amp;IFERROR(IF(AND(INDEX(Arten,MATCH(K33,Codes,0))="Arbeit",ISNUMBER(INDEX(Beginne,MATCH(K33,Codes,0)))),"  "&amp;TEXT(INDEX(Beginne,MATCH(K33,Codes,0)),"hh:mm")&amp;"–"&amp;TEXT(INDEX(Enden,MATCH(K33,Codes,0)),"hh:mm"),""),""))</f>
      </c>
      <c r="D33" s="50">
        <f>IF(L33="","",L33&amp;IFERROR(IF(AND(INDEX(Arten,MATCH(L33,Codes,0))="Arbeit",ISNUMBER(INDEX(Beginne,MATCH(L33,Codes,0)))),"  "&amp;TEXT(INDEX(Beginne,MATCH(L33,Codes,0)),"hh:mm")&amp;"–"&amp;TEXT(INDEX(Enden,MATCH(L33,Codes,0)),"hh:mm"),""),""))</f>
      </c>
      <c r="E33" s="50">
        <f>IF(M33="","",M33&amp;IFERROR(IF(AND(INDEX(Arten,MATCH(M33,Codes,0))="Arbeit",ISNUMBER(INDEX(Beginne,MATCH(M33,Codes,0)))),"  "&amp;TEXT(INDEX(Beginne,MATCH(M33,Codes,0)),"hh:mm")&amp;"–"&amp;TEXT(INDEX(Enden,MATCH(M33,Codes,0)),"hh:mm"),""),""))</f>
      </c>
      <c r="F33" s="50">
        <f>IF(N33="","",N33&amp;IFERROR(IF(AND(INDEX(Arten,MATCH(N33,Codes,0))="Arbeit",ISNUMBER(INDEX(Beginne,MATCH(N33,Codes,0)))),"  "&amp;TEXT(INDEX(Beginne,MATCH(N33,Codes,0)),"hh:mm")&amp;"–"&amp;TEXT(INDEX(Enden,MATCH(N33,Codes,0)),"hh:mm"),""),""))</f>
      </c>
      <c r="G33" s="50">
        <f>IF(O33="","",O33&amp;IFERROR(IF(AND(INDEX(Arten,MATCH(O33,Codes,0))="Arbeit",ISNUMBER(INDEX(Beginne,MATCH(O33,Codes,0)))),"  "&amp;TEXT(INDEX(Beginne,MATCH(O33,Codes,0)),"hh:mm")&amp;"–"&amp;TEXT(INDEX(Enden,MATCH(O33,Codes,0)),"hh:mm"),""),""))</f>
      </c>
      <c r="H33" s="50">
        <f>IF(P33="","",P33&amp;IFERROR(IF(AND(INDEX(Arten,MATCH(P33,Codes,0))="Arbeit",ISNUMBER(INDEX(Beginne,MATCH(P33,Codes,0)))),"  "&amp;TEXT(INDEX(Beginne,MATCH(P33,Codes,0)),"hh:mm")&amp;"–"&amp;TEXT(INDEX(Enden,MATCH(P33,Codes,0)),"hh:mm"),""),""))</f>
      </c>
      <c r="I33" s="51">
        <f>IF($A33="","",SUMPRODUCT(COUNTIF(J33:P33,Codes)*(Arten="Arbeit")*Erste*NettoTage))</f>
      </c>
      <c r="J33" s="1">
        <f>IF(OR($A33="",YEAR(B$4)&lt;&gt;Jahr),"",CHOOSE(MONTH(B$4),INDEX('Januar'!$B$33:$AF$33,DAY(B$4)),INDEX('Februar'!$B$33:$AF$33,DAY(B$4)),INDEX('März'!$B$33:$AF$33,DAY(B$4)),INDEX('April'!$B$33:$AF$33,DAY(B$4)),INDEX('Mai'!$B$33:$AF$33,DAY(B$4)),INDEX('Juni'!$B$33:$AF$33,DAY(B$4)),INDEX('Juli'!$B$33:$AF$33,DAY(B$4)),INDEX('August'!$B$33:$AF$33,DAY(B$4)),INDEX('September'!$B$33:$AF$33,DAY(B$4)),INDEX('Oktober'!$B$33:$AF$33,DAY(B$4)),INDEX('November'!$B$33:$AF$33,DAY(B$4)),INDEX('Dezember'!$B$33:$AF$33,DAY(B$4)))&amp;"")</f>
      </c>
      <c r="K33" s="1">
        <f>IF(OR($A33="",YEAR(C$4)&lt;&gt;Jahr),"",CHOOSE(MONTH(C$4),INDEX('Januar'!$B$33:$AF$33,DAY(C$4)),INDEX('Februar'!$B$33:$AF$33,DAY(C$4)),INDEX('März'!$B$33:$AF$33,DAY(C$4)),INDEX('April'!$B$33:$AF$33,DAY(C$4)),INDEX('Mai'!$B$33:$AF$33,DAY(C$4)),INDEX('Juni'!$B$33:$AF$33,DAY(C$4)),INDEX('Juli'!$B$33:$AF$33,DAY(C$4)),INDEX('August'!$B$33:$AF$33,DAY(C$4)),INDEX('September'!$B$33:$AF$33,DAY(C$4)),INDEX('Oktober'!$B$33:$AF$33,DAY(C$4)),INDEX('November'!$B$33:$AF$33,DAY(C$4)),INDEX('Dezember'!$B$33:$AF$33,DAY(C$4)))&amp;"")</f>
      </c>
      <c r="L33" s="1">
        <f>IF(OR($A33="",YEAR(D$4)&lt;&gt;Jahr),"",CHOOSE(MONTH(D$4),INDEX('Januar'!$B$33:$AF$33,DAY(D$4)),INDEX('Februar'!$B$33:$AF$33,DAY(D$4)),INDEX('März'!$B$33:$AF$33,DAY(D$4)),INDEX('April'!$B$33:$AF$33,DAY(D$4)),INDEX('Mai'!$B$33:$AF$33,DAY(D$4)),INDEX('Juni'!$B$33:$AF$33,DAY(D$4)),INDEX('Juli'!$B$33:$AF$33,DAY(D$4)),INDEX('August'!$B$33:$AF$33,DAY(D$4)),INDEX('September'!$B$33:$AF$33,DAY(D$4)),INDEX('Oktober'!$B$33:$AF$33,DAY(D$4)),INDEX('November'!$B$33:$AF$33,DAY(D$4)),INDEX('Dezember'!$B$33:$AF$33,DAY(D$4)))&amp;"")</f>
      </c>
      <c r="M33" s="1">
        <f>IF(OR($A33="",YEAR(E$4)&lt;&gt;Jahr),"",CHOOSE(MONTH(E$4),INDEX('Januar'!$B$33:$AF$33,DAY(E$4)),INDEX('Februar'!$B$33:$AF$33,DAY(E$4)),INDEX('März'!$B$33:$AF$33,DAY(E$4)),INDEX('April'!$B$33:$AF$33,DAY(E$4)),INDEX('Mai'!$B$33:$AF$33,DAY(E$4)),INDEX('Juni'!$B$33:$AF$33,DAY(E$4)),INDEX('Juli'!$B$33:$AF$33,DAY(E$4)),INDEX('August'!$B$33:$AF$33,DAY(E$4)),INDEX('September'!$B$33:$AF$33,DAY(E$4)),INDEX('Oktober'!$B$33:$AF$33,DAY(E$4)),INDEX('November'!$B$33:$AF$33,DAY(E$4)),INDEX('Dezember'!$B$33:$AF$33,DAY(E$4)))&amp;"")</f>
      </c>
      <c r="N33" s="1">
        <f>IF(OR($A33="",YEAR(F$4)&lt;&gt;Jahr),"",CHOOSE(MONTH(F$4),INDEX('Januar'!$B$33:$AF$33,DAY(F$4)),INDEX('Februar'!$B$33:$AF$33,DAY(F$4)),INDEX('März'!$B$33:$AF$33,DAY(F$4)),INDEX('April'!$B$33:$AF$33,DAY(F$4)),INDEX('Mai'!$B$33:$AF$33,DAY(F$4)),INDEX('Juni'!$B$33:$AF$33,DAY(F$4)),INDEX('Juli'!$B$33:$AF$33,DAY(F$4)),INDEX('August'!$B$33:$AF$33,DAY(F$4)),INDEX('September'!$B$33:$AF$33,DAY(F$4)),INDEX('Oktober'!$B$33:$AF$33,DAY(F$4)),INDEX('November'!$B$33:$AF$33,DAY(F$4)),INDEX('Dezember'!$B$33:$AF$33,DAY(F$4)))&amp;"")</f>
      </c>
      <c r="O33" s="1">
        <f>IF(OR($A33="",YEAR(G$4)&lt;&gt;Jahr),"",CHOOSE(MONTH(G$4),INDEX('Januar'!$B$33:$AF$33,DAY(G$4)),INDEX('Februar'!$B$33:$AF$33,DAY(G$4)),INDEX('März'!$B$33:$AF$33,DAY(G$4)),INDEX('April'!$B$33:$AF$33,DAY(G$4)),INDEX('Mai'!$B$33:$AF$33,DAY(G$4)),INDEX('Juni'!$B$33:$AF$33,DAY(G$4)),INDEX('Juli'!$B$33:$AF$33,DAY(G$4)),INDEX('August'!$B$33:$AF$33,DAY(G$4)),INDEX('September'!$B$33:$AF$33,DAY(G$4)),INDEX('Oktober'!$B$33:$AF$33,DAY(G$4)),INDEX('November'!$B$33:$AF$33,DAY(G$4)),INDEX('Dezember'!$B$33:$AF$33,DAY(G$4)))&amp;"")</f>
      </c>
      <c r="P33" s="1">
        <f>IF(OR($A33="",YEAR(H$4)&lt;&gt;Jahr),"",CHOOSE(MONTH(H$4),INDEX('Januar'!$B$33:$AF$33,DAY(H$4)),INDEX('Februar'!$B$33:$AF$33,DAY(H$4)),INDEX('März'!$B$33:$AF$33,DAY(H$4)),INDEX('April'!$B$33:$AF$33,DAY(H$4)),INDEX('Mai'!$B$33:$AF$33,DAY(H$4)),INDEX('Juni'!$B$33:$AF$33,DAY(H$4)),INDEX('Juli'!$B$33:$AF$33,DAY(H$4)),INDEX('August'!$B$33:$AF$33,DAY(H$4)),INDEX('September'!$B$33:$AF$33,DAY(H$4)),INDEX('Oktober'!$B$33:$AF$33,DAY(H$4)),INDEX('November'!$B$33:$AF$33,DAY(H$4)),INDEX('Dezember'!$B$33:$AF$33,DAY(H$4)))&amp;"")</f>
      </c>
    </row>
    <row r="34" ht="17" customHeight="1" spans="1:16" x14ac:dyDescent="0.25">
      <c r="A34" s="49">
        <f>Mitarbeiter!$A$33&amp;""</f>
      </c>
      <c r="B34" s="50">
        <f>IF(J34="","",J34&amp;IFERROR(IF(AND(INDEX(Arten,MATCH(J34,Codes,0))="Arbeit",ISNUMBER(INDEX(Beginne,MATCH(J34,Codes,0)))),"  "&amp;TEXT(INDEX(Beginne,MATCH(J34,Codes,0)),"hh:mm")&amp;"–"&amp;TEXT(INDEX(Enden,MATCH(J34,Codes,0)),"hh:mm"),""),""))</f>
      </c>
      <c r="C34" s="50">
        <f>IF(K34="","",K34&amp;IFERROR(IF(AND(INDEX(Arten,MATCH(K34,Codes,0))="Arbeit",ISNUMBER(INDEX(Beginne,MATCH(K34,Codes,0)))),"  "&amp;TEXT(INDEX(Beginne,MATCH(K34,Codes,0)),"hh:mm")&amp;"–"&amp;TEXT(INDEX(Enden,MATCH(K34,Codes,0)),"hh:mm"),""),""))</f>
      </c>
      <c r="D34" s="50">
        <f>IF(L34="","",L34&amp;IFERROR(IF(AND(INDEX(Arten,MATCH(L34,Codes,0))="Arbeit",ISNUMBER(INDEX(Beginne,MATCH(L34,Codes,0)))),"  "&amp;TEXT(INDEX(Beginne,MATCH(L34,Codes,0)),"hh:mm")&amp;"–"&amp;TEXT(INDEX(Enden,MATCH(L34,Codes,0)),"hh:mm"),""),""))</f>
      </c>
      <c r="E34" s="50">
        <f>IF(M34="","",M34&amp;IFERROR(IF(AND(INDEX(Arten,MATCH(M34,Codes,0))="Arbeit",ISNUMBER(INDEX(Beginne,MATCH(M34,Codes,0)))),"  "&amp;TEXT(INDEX(Beginne,MATCH(M34,Codes,0)),"hh:mm")&amp;"–"&amp;TEXT(INDEX(Enden,MATCH(M34,Codes,0)),"hh:mm"),""),""))</f>
      </c>
      <c r="F34" s="50">
        <f>IF(N34="","",N34&amp;IFERROR(IF(AND(INDEX(Arten,MATCH(N34,Codes,0))="Arbeit",ISNUMBER(INDEX(Beginne,MATCH(N34,Codes,0)))),"  "&amp;TEXT(INDEX(Beginne,MATCH(N34,Codes,0)),"hh:mm")&amp;"–"&amp;TEXT(INDEX(Enden,MATCH(N34,Codes,0)),"hh:mm"),""),""))</f>
      </c>
      <c r="G34" s="50">
        <f>IF(O34="","",O34&amp;IFERROR(IF(AND(INDEX(Arten,MATCH(O34,Codes,0))="Arbeit",ISNUMBER(INDEX(Beginne,MATCH(O34,Codes,0)))),"  "&amp;TEXT(INDEX(Beginne,MATCH(O34,Codes,0)),"hh:mm")&amp;"–"&amp;TEXT(INDEX(Enden,MATCH(O34,Codes,0)),"hh:mm"),""),""))</f>
      </c>
      <c r="H34" s="50">
        <f>IF(P34="","",P34&amp;IFERROR(IF(AND(INDEX(Arten,MATCH(P34,Codes,0))="Arbeit",ISNUMBER(INDEX(Beginne,MATCH(P34,Codes,0)))),"  "&amp;TEXT(INDEX(Beginne,MATCH(P34,Codes,0)),"hh:mm")&amp;"–"&amp;TEXT(INDEX(Enden,MATCH(P34,Codes,0)),"hh:mm"),""),""))</f>
      </c>
      <c r="I34" s="51">
        <f>IF($A34="","",SUMPRODUCT(COUNTIF(J34:P34,Codes)*(Arten="Arbeit")*Erste*NettoTage))</f>
      </c>
      <c r="J34" s="1">
        <f>IF(OR($A34="",YEAR(B$4)&lt;&gt;Jahr),"",CHOOSE(MONTH(B$4),INDEX('Januar'!$B$34:$AF$34,DAY(B$4)),INDEX('Februar'!$B$34:$AF$34,DAY(B$4)),INDEX('März'!$B$34:$AF$34,DAY(B$4)),INDEX('April'!$B$34:$AF$34,DAY(B$4)),INDEX('Mai'!$B$34:$AF$34,DAY(B$4)),INDEX('Juni'!$B$34:$AF$34,DAY(B$4)),INDEX('Juli'!$B$34:$AF$34,DAY(B$4)),INDEX('August'!$B$34:$AF$34,DAY(B$4)),INDEX('September'!$B$34:$AF$34,DAY(B$4)),INDEX('Oktober'!$B$34:$AF$34,DAY(B$4)),INDEX('November'!$B$34:$AF$34,DAY(B$4)),INDEX('Dezember'!$B$34:$AF$34,DAY(B$4)))&amp;"")</f>
      </c>
      <c r="K34" s="1">
        <f>IF(OR($A34="",YEAR(C$4)&lt;&gt;Jahr),"",CHOOSE(MONTH(C$4),INDEX('Januar'!$B$34:$AF$34,DAY(C$4)),INDEX('Februar'!$B$34:$AF$34,DAY(C$4)),INDEX('März'!$B$34:$AF$34,DAY(C$4)),INDEX('April'!$B$34:$AF$34,DAY(C$4)),INDEX('Mai'!$B$34:$AF$34,DAY(C$4)),INDEX('Juni'!$B$34:$AF$34,DAY(C$4)),INDEX('Juli'!$B$34:$AF$34,DAY(C$4)),INDEX('August'!$B$34:$AF$34,DAY(C$4)),INDEX('September'!$B$34:$AF$34,DAY(C$4)),INDEX('Oktober'!$B$34:$AF$34,DAY(C$4)),INDEX('November'!$B$34:$AF$34,DAY(C$4)),INDEX('Dezember'!$B$34:$AF$34,DAY(C$4)))&amp;"")</f>
      </c>
      <c r="L34" s="1">
        <f>IF(OR($A34="",YEAR(D$4)&lt;&gt;Jahr),"",CHOOSE(MONTH(D$4),INDEX('Januar'!$B$34:$AF$34,DAY(D$4)),INDEX('Februar'!$B$34:$AF$34,DAY(D$4)),INDEX('März'!$B$34:$AF$34,DAY(D$4)),INDEX('April'!$B$34:$AF$34,DAY(D$4)),INDEX('Mai'!$B$34:$AF$34,DAY(D$4)),INDEX('Juni'!$B$34:$AF$34,DAY(D$4)),INDEX('Juli'!$B$34:$AF$34,DAY(D$4)),INDEX('August'!$B$34:$AF$34,DAY(D$4)),INDEX('September'!$B$34:$AF$34,DAY(D$4)),INDEX('Oktober'!$B$34:$AF$34,DAY(D$4)),INDEX('November'!$B$34:$AF$34,DAY(D$4)),INDEX('Dezember'!$B$34:$AF$34,DAY(D$4)))&amp;"")</f>
      </c>
      <c r="M34" s="1">
        <f>IF(OR($A34="",YEAR(E$4)&lt;&gt;Jahr),"",CHOOSE(MONTH(E$4),INDEX('Januar'!$B$34:$AF$34,DAY(E$4)),INDEX('Februar'!$B$34:$AF$34,DAY(E$4)),INDEX('März'!$B$34:$AF$34,DAY(E$4)),INDEX('April'!$B$34:$AF$34,DAY(E$4)),INDEX('Mai'!$B$34:$AF$34,DAY(E$4)),INDEX('Juni'!$B$34:$AF$34,DAY(E$4)),INDEX('Juli'!$B$34:$AF$34,DAY(E$4)),INDEX('August'!$B$34:$AF$34,DAY(E$4)),INDEX('September'!$B$34:$AF$34,DAY(E$4)),INDEX('Oktober'!$B$34:$AF$34,DAY(E$4)),INDEX('November'!$B$34:$AF$34,DAY(E$4)),INDEX('Dezember'!$B$34:$AF$34,DAY(E$4)))&amp;"")</f>
      </c>
      <c r="N34" s="1">
        <f>IF(OR($A34="",YEAR(F$4)&lt;&gt;Jahr),"",CHOOSE(MONTH(F$4),INDEX('Januar'!$B$34:$AF$34,DAY(F$4)),INDEX('Februar'!$B$34:$AF$34,DAY(F$4)),INDEX('März'!$B$34:$AF$34,DAY(F$4)),INDEX('April'!$B$34:$AF$34,DAY(F$4)),INDEX('Mai'!$B$34:$AF$34,DAY(F$4)),INDEX('Juni'!$B$34:$AF$34,DAY(F$4)),INDEX('Juli'!$B$34:$AF$34,DAY(F$4)),INDEX('August'!$B$34:$AF$34,DAY(F$4)),INDEX('September'!$B$34:$AF$34,DAY(F$4)),INDEX('Oktober'!$B$34:$AF$34,DAY(F$4)),INDEX('November'!$B$34:$AF$34,DAY(F$4)),INDEX('Dezember'!$B$34:$AF$34,DAY(F$4)))&amp;"")</f>
      </c>
      <c r="O34" s="1">
        <f>IF(OR($A34="",YEAR(G$4)&lt;&gt;Jahr),"",CHOOSE(MONTH(G$4),INDEX('Januar'!$B$34:$AF$34,DAY(G$4)),INDEX('Februar'!$B$34:$AF$34,DAY(G$4)),INDEX('März'!$B$34:$AF$34,DAY(G$4)),INDEX('April'!$B$34:$AF$34,DAY(G$4)),INDEX('Mai'!$B$34:$AF$34,DAY(G$4)),INDEX('Juni'!$B$34:$AF$34,DAY(G$4)),INDEX('Juli'!$B$34:$AF$34,DAY(G$4)),INDEX('August'!$B$34:$AF$34,DAY(G$4)),INDEX('September'!$B$34:$AF$34,DAY(G$4)),INDEX('Oktober'!$B$34:$AF$34,DAY(G$4)),INDEX('November'!$B$34:$AF$34,DAY(G$4)),INDEX('Dezember'!$B$34:$AF$34,DAY(G$4)))&amp;"")</f>
      </c>
      <c r="P34" s="1">
        <f>IF(OR($A34="",YEAR(H$4)&lt;&gt;Jahr),"",CHOOSE(MONTH(H$4),INDEX('Januar'!$B$34:$AF$34,DAY(H$4)),INDEX('Februar'!$B$34:$AF$34,DAY(H$4)),INDEX('März'!$B$34:$AF$34,DAY(H$4)),INDEX('April'!$B$34:$AF$34,DAY(H$4)),INDEX('Mai'!$B$34:$AF$34,DAY(H$4)),INDEX('Juni'!$B$34:$AF$34,DAY(H$4)),INDEX('Juli'!$B$34:$AF$34,DAY(H$4)),INDEX('August'!$B$34:$AF$34,DAY(H$4)),INDEX('September'!$B$34:$AF$34,DAY(H$4)),INDEX('Oktober'!$B$34:$AF$34,DAY(H$4)),INDEX('November'!$B$34:$AF$34,DAY(H$4)),INDEX('Dezember'!$B$34:$AF$34,DAY(H$4)))&amp;"")</f>
      </c>
    </row>
    <row r="35" ht="17" customHeight="1" spans="1:16" x14ac:dyDescent="0.25">
      <c r="A35" s="49">
        <f>Mitarbeiter!$A$34&amp;""</f>
      </c>
      <c r="B35" s="50">
        <f>IF(J35="","",J35&amp;IFERROR(IF(AND(INDEX(Arten,MATCH(J35,Codes,0))="Arbeit",ISNUMBER(INDEX(Beginne,MATCH(J35,Codes,0)))),"  "&amp;TEXT(INDEX(Beginne,MATCH(J35,Codes,0)),"hh:mm")&amp;"–"&amp;TEXT(INDEX(Enden,MATCH(J35,Codes,0)),"hh:mm"),""),""))</f>
      </c>
      <c r="C35" s="50">
        <f>IF(K35="","",K35&amp;IFERROR(IF(AND(INDEX(Arten,MATCH(K35,Codes,0))="Arbeit",ISNUMBER(INDEX(Beginne,MATCH(K35,Codes,0)))),"  "&amp;TEXT(INDEX(Beginne,MATCH(K35,Codes,0)),"hh:mm")&amp;"–"&amp;TEXT(INDEX(Enden,MATCH(K35,Codes,0)),"hh:mm"),""),""))</f>
      </c>
      <c r="D35" s="50">
        <f>IF(L35="","",L35&amp;IFERROR(IF(AND(INDEX(Arten,MATCH(L35,Codes,0))="Arbeit",ISNUMBER(INDEX(Beginne,MATCH(L35,Codes,0)))),"  "&amp;TEXT(INDEX(Beginne,MATCH(L35,Codes,0)),"hh:mm")&amp;"–"&amp;TEXT(INDEX(Enden,MATCH(L35,Codes,0)),"hh:mm"),""),""))</f>
      </c>
      <c r="E35" s="50">
        <f>IF(M35="","",M35&amp;IFERROR(IF(AND(INDEX(Arten,MATCH(M35,Codes,0))="Arbeit",ISNUMBER(INDEX(Beginne,MATCH(M35,Codes,0)))),"  "&amp;TEXT(INDEX(Beginne,MATCH(M35,Codes,0)),"hh:mm")&amp;"–"&amp;TEXT(INDEX(Enden,MATCH(M35,Codes,0)),"hh:mm"),""),""))</f>
      </c>
      <c r="F35" s="50">
        <f>IF(N35="","",N35&amp;IFERROR(IF(AND(INDEX(Arten,MATCH(N35,Codes,0))="Arbeit",ISNUMBER(INDEX(Beginne,MATCH(N35,Codes,0)))),"  "&amp;TEXT(INDEX(Beginne,MATCH(N35,Codes,0)),"hh:mm")&amp;"–"&amp;TEXT(INDEX(Enden,MATCH(N35,Codes,0)),"hh:mm"),""),""))</f>
      </c>
      <c r="G35" s="50">
        <f>IF(O35="","",O35&amp;IFERROR(IF(AND(INDEX(Arten,MATCH(O35,Codes,0))="Arbeit",ISNUMBER(INDEX(Beginne,MATCH(O35,Codes,0)))),"  "&amp;TEXT(INDEX(Beginne,MATCH(O35,Codes,0)),"hh:mm")&amp;"–"&amp;TEXT(INDEX(Enden,MATCH(O35,Codes,0)),"hh:mm"),""),""))</f>
      </c>
      <c r="H35" s="50">
        <f>IF(P35="","",P35&amp;IFERROR(IF(AND(INDEX(Arten,MATCH(P35,Codes,0))="Arbeit",ISNUMBER(INDEX(Beginne,MATCH(P35,Codes,0)))),"  "&amp;TEXT(INDEX(Beginne,MATCH(P35,Codes,0)),"hh:mm")&amp;"–"&amp;TEXT(INDEX(Enden,MATCH(P35,Codes,0)),"hh:mm"),""),""))</f>
      </c>
      <c r="I35" s="51">
        <f>IF($A35="","",SUMPRODUCT(COUNTIF(J35:P35,Codes)*(Arten="Arbeit")*Erste*NettoTage))</f>
      </c>
      <c r="J35" s="1">
        <f>IF(OR($A35="",YEAR(B$4)&lt;&gt;Jahr),"",CHOOSE(MONTH(B$4),INDEX('Januar'!$B$35:$AF$35,DAY(B$4)),INDEX('Februar'!$B$35:$AF$35,DAY(B$4)),INDEX('März'!$B$35:$AF$35,DAY(B$4)),INDEX('April'!$B$35:$AF$35,DAY(B$4)),INDEX('Mai'!$B$35:$AF$35,DAY(B$4)),INDEX('Juni'!$B$35:$AF$35,DAY(B$4)),INDEX('Juli'!$B$35:$AF$35,DAY(B$4)),INDEX('August'!$B$35:$AF$35,DAY(B$4)),INDEX('September'!$B$35:$AF$35,DAY(B$4)),INDEX('Oktober'!$B$35:$AF$35,DAY(B$4)),INDEX('November'!$B$35:$AF$35,DAY(B$4)),INDEX('Dezember'!$B$35:$AF$35,DAY(B$4)))&amp;"")</f>
      </c>
      <c r="K35" s="1">
        <f>IF(OR($A35="",YEAR(C$4)&lt;&gt;Jahr),"",CHOOSE(MONTH(C$4),INDEX('Januar'!$B$35:$AF$35,DAY(C$4)),INDEX('Februar'!$B$35:$AF$35,DAY(C$4)),INDEX('März'!$B$35:$AF$35,DAY(C$4)),INDEX('April'!$B$35:$AF$35,DAY(C$4)),INDEX('Mai'!$B$35:$AF$35,DAY(C$4)),INDEX('Juni'!$B$35:$AF$35,DAY(C$4)),INDEX('Juli'!$B$35:$AF$35,DAY(C$4)),INDEX('August'!$B$35:$AF$35,DAY(C$4)),INDEX('September'!$B$35:$AF$35,DAY(C$4)),INDEX('Oktober'!$B$35:$AF$35,DAY(C$4)),INDEX('November'!$B$35:$AF$35,DAY(C$4)),INDEX('Dezember'!$B$35:$AF$35,DAY(C$4)))&amp;"")</f>
      </c>
      <c r="L35" s="1">
        <f>IF(OR($A35="",YEAR(D$4)&lt;&gt;Jahr),"",CHOOSE(MONTH(D$4),INDEX('Januar'!$B$35:$AF$35,DAY(D$4)),INDEX('Februar'!$B$35:$AF$35,DAY(D$4)),INDEX('März'!$B$35:$AF$35,DAY(D$4)),INDEX('April'!$B$35:$AF$35,DAY(D$4)),INDEX('Mai'!$B$35:$AF$35,DAY(D$4)),INDEX('Juni'!$B$35:$AF$35,DAY(D$4)),INDEX('Juli'!$B$35:$AF$35,DAY(D$4)),INDEX('August'!$B$35:$AF$35,DAY(D$4)),INDEX('September'!$B$35:$AF$35,DAY(D$4)),INDEX('Oktober'!$B$35:$AF$35,DAY(D$4)),INDEX('November'!$B$35:$AF$35,DAY(D$4)),INDEX('Dezember'!$B$35:$AF$35,DAY(D$4)))&amp;"")</f>
      </c>
      <c r="M35" s="1">
        <f>IF(OR($A35="",YEAR(E$4)&lt;&gt;Jahr),"",CHOOSE(MONTH(E$4),INDEX('Januar'!$B$35:$AF$35,DAY(E$4)),INDEX('Februar'!$B$35:$AF$35,DAY(E$4)),INDEX('März'!$B$35:$AF$35,DAY(E$4)),INDEX('April'!$B$35:$AF$35,DAY(E$4)),INDEX('Mai'!$B$35:$AF$35,DAY(E$4)),INDEX('Juni'!$B$35:$AF$35,DAY(E$4)),INDEX('Juli'!$B$35:$AF$35,DAY(E$4)),INDEX('August'!$B$35:$AF$35,DAY(E$4)),INDEX('September'!$B$35:$AF$35,DAY(E$4)),INDEX('Oktober'!$B$35:$AF$35,DAY(E$4)),INDEX('November'!$B$35:$AF$35,DAY(E$4)),INDEX('Dezember'!$B$35:$AF$35,DAY(E$4)))&amp;"")</f>
      </c>
      <c r="N35" s="1">
        <f>IF(OR($A35="",YEAR(F$4)&lt;&gt;Jahr),"",CHOOSE(MONTH(F$4),INDEX('Januar'!$B$35:$AF$35,DAY(F$4)),INDEX('Februar'!$B$35:$AF$35,DAY(F$4)),INDEX('März'!$B$35:$AF$35,DAY(F$4)),INDEX('April'!$B$35:$AF$35,DAY(F$4)),INDEX('Mai'!$B$35:$AF$35,DAY(F$4)),INDEX('Juni'!$B$35:$AF$35,DAY(F$4)),INDEX('Juli'!$B$35:$AF$35,DAY(F$4)),INDEX('August'!$B$35:$AF$35,DAY(F$4)),INDEX('September'!$B$35:$AF$35,DAY(F$4)),INDEX('Oktober'!$B$35:$AF$35,DAY(F$4)),INDEX('November'!$B$35:$AF$35,DAY(F$4)),INDEX('Dezember'!$B$35:$AF$35,DAY(F$4)))&amp;"")</f>
      </c>
      <c r="O35" s="1">
        <f>IF(OR($A35="",YEAR(G$4)&lt;&gt;Jahr),"",CHOOSE(MONTH(G$4),INDEX('Januar'!$B$35:$AF$35,DAY(G$4)),INDEX('Februar'!$B$35:$AF$35,DAY(G$4)),INDEX('März'!$B$35:$AF$35,DAY(G$4)),INDEX('April'!$B$35:$AF$35,DAY(G$4)),INDEX('Mai'!$B$35:$AF$35,DAY(G$4)),INDEX('Juni'!$B$35:$AF$35,DAY(G$4)),INDEX('Juli'!$B$35:$AF$35,DAY(G$4)),INDEX('August'!$B$35:$AF$35,DAY(G$4)),INDEX('September'!$B$35:$AF$35,DAY(G$4)),INDEX('Oktober'!$B$35:$AF$35,DAY(G$4)),INDEX('November'!$B$35:$AF$35,DAY(G$4)),INDEX('Dezember'!$B$35:$AF$35,DAY(G$4)))&amp;"")</f>
      </c>
      <c r="P35" s="1">
        <f>IF(OR($A35="",YEAR(H$4)&lt;&gt;Jahr),"",CHOOSE(MONTH(H$4),INDEX('Januar'!$B$35:$AF$35,DAY(H$4)),INDEX('Februar'!$B$35:$AF$35,DAY(H$4)),INDEX('März'!$B$35:$AF$35,DAY(H$4)),INDEX('April'!$B$35:$AF$35,DAY(H$4)),INDEX('Mai'!$B$35:$AF$35,DAY(H$4)),INDEX('Juni'!$B$35:$AF$35,DAY(H$4)),INDEX('Juli'!$B$35:$AF$35,DAY(H$4)),INDEX('August'!$B$35:$AF$35,DAY(H$4)),INDEX('September'!$B$35:$AF$35,DAY(H$4)),INDEX('Oktober'!$B$35:$AF$35,DAY(H$4)),INDEX('November'!$B$35:$AF$35,DAY(H$4)),INDEX('Dezember'!$B$35:$AF$35,DAY(H$4)))&amp;"")</f>
      </c>
    </row>
    <row r="37" spans="1:1" x14ac:dyDescent="0.25">
      <c r="A37" s="52" t="s">
        <v>63</v>
      </c>
    </row>
    <row r="38" spans="1:8" x14ac:dyDescent="0.25">
      <c r="A38" s="40">
        <f>IFERROR(INDEX(Codes,MATCH(1,ArbeitNr,0))&amp;" "&amp;INDEX(Bezeichnungen,MATCH(1,ArbeitNr,0)),"")</f>
      </c>
      <c r="B38" s="53">
        <f>IF(OR($A38="",YEAR(B$4)&lt;&gt;Jahr),"",COUNTIF(J$6:J$35,INDEX(Codes,MATCH(1,ArbeitNr,0))))</f>
      </c>
      <c r="C38" s="53">
        <f>IF(OR($A38="",YEAR(C$4)&lt;&gt;Jahr),"",COUNTIF(K$6:K$35,INDEX(Codes,MATCH(1,ArbeitNr,0))))</f>
      </c>
      <c r="D38" s="53">
        <f>IF(OR($A38="",YEAR(D$4)&lt;&gt;Jahr),"",COUNTIF(L$6:L$35,INDEX(Codes,MATCH(1,ArbeitNr,0))))</f>
      </c>
      <c r="E38" s="53">
        <f>IF(OR($A38="",YEAR(E$4)&lt;&gt;Jahr),"",COUNTIF(M$6:M$35,INDEX(Codes,MATCH(1,ArbeitNr,0))))</f>
      </c>
      <c r="F38" s="53">
        <f>IF(OR($A38="",YEAR(F$4)&lt;&gt;Jahr),"",COUNTIF(N$6:N$35,INDEX(Codes,MATCH(1,ArbeitNr,0))))</f>
      </c>
      <c r="G38" s="53">
        <f>IF(OR($A38="",YEAR(G$4)&lt;&gt;Jahr),"",COUNTIF(O$6:O$35,INDEX(Codes,MATCH(1,ArbeitNr,0))))</f>
      </c>
      <c r="H38" s="53">
        <f>IF(OR($A38="",YEAR(H$4)&lt;&gt;Jahr),"",COUNTIF(P$6:P$35,INDEX(Codes,MATCH(1,ArbeitNr,0))))</f>
      </c>
    </row>
    <row r="39" spans="1:8" x14ac:dyDescent="0.25">
      <c r="A39" s="40">
        <f>IFERROR(INDEX(Codes,MATCH(2,ArbeitNr,0))&amp;" "&amp;INDEX(Bezeichnungen,MATCH(2,ArbeitNr,0)),"")</f>
      </c>
      <c r="B39" s="53">
        <f>IF(OR($A39="",YEAR(B$4)&lt;&gt;Jahr),"",COUNTIF(J$6:J$35,INDEX(Codes,MATCH(2,ArbeitNr,0))))</f>
      </c>
      <c r="C39" s="53">
        <f>IF(OR($A39="",YEAR(C$4)&lt;&gt;Jahr),"",COUNTIF(K$6:K$35,INDEX(Codes,MATCH(2,ArbeitNr,0))))</f>
      </c>
      <c r="D39" s="53">
        <f>IF(OR($A39="",YEAR(D$4)&lt;&gt;Jahr),"",COUNTIF(L$6:L$35,INDEX(Codes,MATCH(2,ArbeitNr,0))))</f>
      </c>
      <c r="E39" s="53">
        <f>IF(OR($A39="",YEAR(E$4)&lt;&gt;Jahr),"",COUNTIF(M$6:M$35,INDEX(Codes,MATCH(2,ArbeitNr,0))))</f>
      </c>
      <c r="F39" s="53">
        <f>IF(OR($A39="",YEAR(F$4)&lt;&gt;Jahr),"",COUNTIF(N$6:N$35,INDEX(Codes,MATCH(2,ArbeitNr,0))))</f>
      </c>
      <c r="G39" s="53">
        <f>IF(OR($A39="",YEAR(G$4)&lt;&gt;Jahr),"",COUNTIF(O$6:O$35,INDEX(Codes,MATCH(2,ArbeitNr,0))))</f>
      </c>
      <c r="H39" s="53">
        <f>IF(OR($A39="",YEAR(H$4)&lt;&gt;Jahr),"",COUNTIF(P$6:P$35,INDEX(Codes,MATCH(2,ArbeitNr,0))))</f>
      </c>
    </row>
    <row r="40" spans="1:8" x14ac:dyDescent="0.25">
      <c r="A40" s="40">
        <f>IFERROR(INDEX(Codes,MATCH(3,ArbeitNr,0))&amp;" "&amp;INDEX(Bezeichnungen,MATCH(3,ArbeitNr,0)),"")</f>
      </c>
      <c r="B40" s="53">
        <f>IF(OR($A40="",YEAR(B$4)&lt;&gt;Jahr),"",COUNTIF(J$6:J$35,INDEX(Codes,MATCH(3,ArbeitNr,0))))</f>
      </c>
      <c r="C40" s="53">
        <f>IF(OR($A40="",YEAR(C$4)&lt;&gt;Jahr),"",COUNTIF(K$6:K$35,INDEX(Codes,MATCH(3,ArbeitNr,0))))</f>
      </c>
      <c r="D40" s="53">
        <f>IF(OR($A40="",YEAR(D$4)&lt;&gt;Jahr),"",COUNTIF(L$6:L$35,INDEX(Codes,MATCH(3,ArbeitNr,0))))</f>
      </c>
      <c r="E40" s="53">
        <f>IF(OR($A40="",YEAR(E$4)&lt;&gt;Jahr),"",COUNTIF(M$6:M$35,INDEX(Codes,MATCH(3,ArbeitNr,0))))</f>
      </c>
      <c r="F40" s="53">
        <f>IF(OR($A40="",YEAR(F$4)&lt;&gt;Jahr),"",COUNTIF(N$6:N$35,INDEX(Codes,MATCH(3,ArbeitNr,0))))</f>
      </c>
      <c r="G40" s="53">
        <f>IF(OR($A40="",YEAR(G$4)&lt;&gt;Jahr),"",COUNTIF(O$6:O$35,INDEX(Codes,MATCH(3,ArbeitNr,0))))</f>
      </c>
      <c r="H40" s="53">
        <f>IF(OR($A40="",YEAR(H$4)&lt;&gt;Jahr),"",COUNTIF(P$6:P$35,INDEX(Codes,MATCH(3,ArbeitNr,0))))</f>
      </c>
    </row>
    <row r="41" spans="1:8" x14ac:dyDescent="0.25">
      <c r="A41" s="40">
        <f>IFERROR(INDEX(Codes,MATCH(4,ArbeitNr,0))&amp;" "&amp;INDEX(Bezeichnungen,MATCH(4,ArbeitNr,0)),"")</f>
      </c>
      <c r="B41" s="53">
        <f>IF(OR($A41="",YEAR(B$4)&lt;&gt;Jahr),"",COUNTIF(J$6:J$35,INDEX(Codes,MATCH(4,ArbeitNr,0))))</f>
      </c>
      <c r="C41" s="53">
        <f>IF(OR($A41="",YEAR(C$4)&lt;&gt;Jahr),"",COUNTIF(K$6:K$35,INDEX(Codes,MATCH(4,ArbeitNr,0))))</f>
      </c>
      <c r="D41" s="53">
        <f>IF(OR($A41="",YEAR(D$4)&lt;&gt;Jahr),"",COUNTIF(L$6:L$35,INDEX(Codes,MATCH(4,ArbeitNr,0))))</f>
      </c>
      <c r="E41" s="53">
        <f>IF(OR($A41="",YEAR(E$4)&lt;&gt;Jahr),"",COUNTIF(M$6:M$35,INDEX(Codes,MATCH(4,ArbeitNr,0))))</f>
      </c>
      <c r="F41" s="53">
        <f>IF(OR($A41="",YEAR(F$4)&lt;&gt;Jahr),"",COUNTIF(N$6:N$35,INDEX(Codes,MATCH(4,ArbeitNr,0))))</f>
      </c>
      <c r="G41" s="53">
        <f>IF(OR($A41="",YEAR(G$4)&lt;&gt;Jahr),"",COUNTIF(O$6:O$35,INDEX(Codes,MATCH(4,ArbeitNr,0))))</f>
      </c>
      <c r="H41" s="53">
        <f>IF(OR($A41="",YEAR(H$4)&lt;&gt;Jahr),"",COUNTIF(P$6:P$35,INDEX(Codes,MATCH(4,ArbeitNr,0))))</f>
      </c>
    </row>
    <row r="42" spans="1:8" x14ac:dyDescent="0.25">
      <c r="A42" s="40">
        <f>IFERROR(INDEX(Codes,MATCH(5,ArbeitNr,0))&amp;" "&amp;INDEX(Bezeichnungen,MATCH(5,ArbeitNr,0)),"")</f>
      </c>
      <c r="B42" s="53">
        <f>IF(OR($A42="",YEAR(B$4)&lt;&gt;Jahr),"",COUNTIF(J$6:J$35,INDEX(Codes,MATCH(5,ArbeitNr,0))))</f>
      </c>
      <c r="C42" s="53">
        <f>IF(OR($A42="",YEAR(C$4)&lt;&gt;Jahr),"",COUNTIF(K$6:K$35,INDEX(Codes,MATCH(5,ArbeitNr,0))))</f>
      </c>
      <c r="D42" s="53">
        <f>IF(OR($A42="",YEAR(D$4)&lt;&gt;Jahr),"",COUNTIF(L$6:L$35,INDEX(Codes,MATCH(5,ArbeitNr,0))))</f>
      </c>
      <c r="E42" s="53">
        <f>IF(OR($A42="",YEAR(E$4)&lt;&gt;Jahr),"",COUNTIF(M$6:M$35,INDEX(Codes,MATCH(5,ArbeitNr,0))))</f>
      </c>
      <c r="F42" s="53">
        <f>IF(OR($A42="",YEAR(F$4)&lt;&gt;Jahr),"",COUNTIF(N$6:N$35,INDEX(Codes,MATCH(5,ArbeitNr,0))))</f>
      </c>
      <c r="G42" s="53">
        <f>IF(OR($A42="",YEAR(G$4)&lt;&gt;Jahr),"",COUNTIF(O$6:O$35,INDEX(Codes,MATCH(5,ArbeitNr,0))))</f>
      </c>
      <c r="H42" s="53">
        <f>IF(OR($A42="",YEAR(H$4)&lt;&gt;Jahr),"",COUNTIF(P$6:P$35,INDEX(Codes,MATCH(5,ArbeitNr,0))))</f>
      </c>
    </row>
    <row r="43" spans="1:8" x14ac:dyDescent="0.25">
      <c r="A43" s="40">
        <f>IFERROR(INDEX(Codes,MATCH(6,ArbeitNr,0))&amp;" "&amp;INDEX(Bezeichnungen,MATCH(6,ArbeitNr,0)),"")</f>
      </c>
      <c r="B43" s="53">
        <f>IF(OR($A43="",YEAR(B$4)&lt;&gt;Jahr),"",COUNTIF(J$6:J$35,INDEX(Codes,MATCH(6,ArbeitNr,0))))</f>
      </c>
      <c r="C43" s="53">
        <f>IF(OR($A43="",YEAR(C$4)&lt;&gt;Jahr),"",COUNTIF(K$6:K$35,INDEX(Codes,MATCH(6,ArbeitNr,0))))</f>
      </c>
      <c r="D43" s="53">
        <f>IF(OR($A43="",YEAR(D$4)&lt;&gt;Jahr),"",COUNTIF(L$6:L$35,INDEX(Codes,MATCH(6,ArbeitNr,0))))</f>
      </c>
      <c r="E43" s="53">
        <f>IF(OR($A43="",YEAR(E$4)&lt;&gt;Jahr),"",COUNTIF(M$6:M$35,INDEX(Codes,MATCH(6,ArbeitNr,0))))</f>
      </c>
      <c r="F43" s="53">
        <f>IF(OR($A43="",YEAR(F$4)&lt;&gt;Jahr),"",COUNTIF(N$6:N$35,INDEX(Codes,MATCH(6,ArbeitNr,0))))</f>
      </c>
      <c r="G43" s="53">
        <f>IF(OR($A43="",YEAR(G$4)&lt;&gt;Jahr),"",COUNTIF(O$6:O$35,INDEX(Codes,MATCH(6,ArbeitNr,0))))</f>
      </c>
      <c r="H43" s="53">
        <f>IF(OR($A43="",YEAR(H$4)&lt;&gt;Jahr),"",COUNTIF(P$6:P$35,INDEX(Codes,MATCH(6,ArbeitNr,0))))</f>
      </c>
    </row>
    <row r="44" spans="1:8" x14ac:dyDescent="0.25">
      <c r="A44" s="40">
        <f>IFERROR(INDEX(Codes,MATCH(7,ArbeitNr,0))&amp;" "&amp;INDEX(Bezeichnungen,MATCH(7,ArbeitNr,0)),"")</f>
      </c>
      <c r="B44" s="53">
        <f>IF(OR($A44="",YEAR(B$4)&lt;&gt;Jahr),"",COUNTIF(J$6:J$35,INDEX(Codes,MATCH(7,ArbeitNr,0))))</f>
      </c>
      <c r="C44" s="53">
        <f>IF(OR($A44="",YEAR(C$4)&lt;&gt;Jahr),"",COUNTIF(K$6:K$35,INDEX(Codes,MATCH(7,ArbeitNr,0))))</f>
      </c>
      <c r="D44" s="53">
        <f>IF(OR($A44="",YEAR(D$4)&lt;&gt;Jahr),"",COUNTIF(L$6:L$35,INDEX(Codes,MATCH(7,ArbeitNr,0))))</f>
      </c>
      <c r="E44" s="53">
        <f>IF(OR($A44="",YEAR(E$4)&lt;&gt;Jahr),"",COUNTIF(M$6:M$35,INDEX(Codes,MATCH(7,ArbeitNr,0))))</f>
      </c>
      <c r="F44" s="53">
        <f>IF(OR($A44="",YEAR(F$4)&lt;&gt;Jahr),"",COUNTIF(N$6:N$35,INDEX(Codes,MATCH(7,ArbeitNr,0))))</f>
      </c>
      <c r="G44" s="53">
        <f>IF(OR($A44="",YEAR(G$4)&lt;&gt;Jahr),"",COUNTIF(O$6:O$35,INDEX(Codes,MATCH(7,ArbeitNr,0))))</f>
      </c>
      <c r="H44" s="53">
        <f>IF(OR($A44="",YEAR(H$4)&lt;&gt;Jahr),"",COUNTIF(P$6:P$35,INDEX(Codes,MATCH(7,ArbeitNr,0))))</f>
      </c>
    </row>
    <row r="45" spans="1:8" x14ac:dyDescent="0.25">
      <c r="A45" s="40">
        <f>IFERROR(INDEX(Codes,MATCH(8,ArbeitNr,0))&amp;" "&amp;INDEX(Bezeichnungen,MATCH(8,ArbeitNr,0)),"")</f>
      </c>
      <c r="B45" s="53">
        <f>IF(OR($A45="",YEAR(B$4)&lt;&gt;Jahr),"",COUNTIF(J$6:J$35,INDEX(Codes,MATCH(8,ArbeitNr,0))))</f>
      </c>
      <c r="C45" s="53">
        <f>IF(OR($A45="",YEAR(C$4)&lt;&gt;Jahr),"",COUNTIF(K$6:K$35,INDEX(Codes,MATCH(8,ArbeitNr,0))))</f>
      </c>
      <c r="D45" s="53">
        <f>IF(OR($A45="",YEAR(D$4)&lt;&gt;Jahr),"",COUNTIF(L$6:L$35,INDEX(Codes,MATCH(8,ArbeitNr,0))))</f>
      </c>
      <c r="E45" s="53">
        <f>IF(OR($A45="",YEAR(E$4)&lt;&gt;Jahr),"",COUNTIF(M$6:M$35,INDEX(Codes,MATCH(8,ArbeitNr,0))))</f>
      </c>
      <c r="F45" s="53">
        <f>IF(OR($A45="",YEAR(F$4)&lt;&gt;Jahr),"",COUNTIF(N$6:N$35,INDEX(Codes,MATCH(8,ArbeitNr,0))))</f>
      </c>
      <c r="G45" s="53">
        <f>IF(OR($A45="",YEAR(G$4)&lt;&gt;Jahr),"",COUNTIF(O$6:O$35,INDEX(Codes,MATCH(8,ArbeitNr,0))))</f>
      </c>
      <c r="H45" s="53">
        <f>IF(OR($A45="",YEAR(H$4)&lt;&gt;Jahr),"",COUNTIF(P$6:P$35,INDEX(Codes,MATCH(8,ArbeitNr,0))))</f>
      </c>
    </row>
  </sheetData>
  <sheetProtection sheet="1" formatCells="0" formatColumns="0" formatRows="0"/>
  <conditionalFormatting sqref="B6:H35">
    <cfRule type="expression" dxfId="240" priority="30">
      <formula>AND(J6&lt;&gt;"",UPPER(J6)=UPPER(Einstellungen!$A$9))</formula>
    </cfRule>
    <cfRule type="expression" dxfId="241" priority="31">
      <formula>AND(J6&lt;&gt;"",UPPER(J6)=UPPER(Einstellungen!$A$10))</formula>
    </cfRule>
    <cfRule type="expression" dxfId="242" priority="32">
      <formula>AND(J6&lt;&gt;"",UPPER(J6)=UPPER(Einstellungen!$A$11))</formula>
    </cfRule>
    <cfRule type="expression" dxfId="243" priority="33">
      <formula>AND(J6&lt;&gt;"",UPPER(J6)=UPPER(Einstellungen!$A$12))</formula>
    </cfRule>
    <cfRule type="expression" dxfId="244" priority="34">
      <formula>AND(J6&lt;&gt;"",UPPER(J6)=UPPER(Einstellungen!$A$13))</formula>
    </cfRule>
    <cfRule type="expression" dxfId="245" priority="35">
      <formula>AND(J6&lt;&gt;"",UPPER(J6)=UPPER(Einstellungen!$A$14))</formula>
    </cfRule>
    <cfRule type="expression" dxfId="246" priority="36">
      <formula>AND(J6&lt;&gt;"",UPPER(J6)=UPPER(Einstellungen!$A$15))</formula>
    </cfRule>
    <cfRule type="expression" dxfId="247" priority="37">
      <formula>AND(J6&lt;&gt;"",UPPER(J6)=UPPER(Einstellungen!$A$16))</formula>
    </cfRule>
    <cfRule type="expression" dxfId="248" priority="38">
      <formula>AND(J6&lt;&gt;"",UPPER(J6)=UPPER(Einstellungen!$A$17))</formula>
    </cfRule>
    <cfRule type="expression" dxfId="249" priority="39">
      <formula>AND(J6&lt;&gt;"",UPPER(J6)=UPPER(Einstellungen!$A$18))</formula>
    </cfRule>
    <cfRule type="expression" dxfId="250" priority="40">
      <formula>AND(J6&lt;&gt;"",UPPER(J6)=UPPER(Einstellungen!$A$19))</formula>
    </cfRule>
    <cfRule type="expression" dxfId="251" priority="41">
      <formula>AND(J6&lt;&gt;"",UPPER(J6)=UPPER(Einstellungen!$A$20))</formula>
    </cfRule>
  </conditionalFormatting>
  <dataValidations count="1">
    <dataValidation type="date" showErrorMessage="1" errorTitle="Datum" error="Bitte das Datum des Montags eintragen, z. B. 05.01.2026." sqref="B2">
      <formula1>36526</formula1>
      <formula2>73050</formula2>
    </dataValidation>
  </dataValidation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5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32" width="4.2" customWidth="1"/>
    <col min="33" max="33" width="34" customWidth="1"/>
  </cols>
  <sheetData>
    <row r="1" spans="1:1" x14ac:dyDescent="0.25">
      <c r="A1" s="5">
        <f>"Schichtrhythmus "&amp;CHOOSE(B2,"Januar","Februar","März","April","Mai","Juni","Juli","August","September","Oktober","November","Dezember")&amp;" "&amp;Jahr</f>
      </c>
    </row>
    <row r="2" spans="1:2" x14ac:dyDescent="0.25">
      <c r="A2" s="1" t="s">
        <v>69</v>
      </c>
      <c r="B2" s="8">
        <f>IF(YEAR(TODAY())=Jahr,MONTH(TODAY()),1)</f>
      </c>
    </row>
    <row r="3" spans="1:1" x14ac:dyDescent="0.25">
      <c r="A3" s="7" t="s">
        <v>70</v>
      </c>
    </row>
    <row r="4" spans="1:32" x14ac:dyDescent="0.25">
      <c r="A4" s="1"/>
      <c r="B4" s="31">
        <f>IF(B$5="","",CHOOSE(WEEKDAY(B$5,2),"Mo","Di","Mi","Do","Fr","Sa","So"))</f>
      </c>
      <c r="C4" s="31">
        <f>IF(C$5="","",CHOOSE(WEEKDAY(C$5,2),"Mo","Di","Mi","Do","Fr","Sa","So"))</f>
      </c>
      <c r="D4" s="31">
        <f>IF(D$5="","",CHOOSE(WEEKDAY(D$5,2),"Mo","Di","Mi","Do","Fr","Sa","So"))</f>
      </c>
      <c r="E4" s="31">
        <f>IF(E$5="","",CHOOSE(WEEKDAY(E$5,2),"Mo","Di","Mi","Do","Fr","Sa","So"))</f>
      </c>
      <c r="F4" s="31">
        <f>IF(F$5="","",CHOOSE(WEEKDAY(F$5,2),"Mo","Di","Mi","Do","Fr","Sa","So"))</f>
      </c>
      <c r="G4" s="31">
        <f>IF(G$5="","",CHOOSE(WEEKDAY(G$5,2),"Mo","Di","Mi","Do","Fr","Sa","So"))</f>
      </c>
      <c r="H4" s="31">
        <f>IF(H$5="","",CHOOSE(WEEKDAY(H$5,2),"Mo","Di","Mi","Do","Fr","Sa","So"))</f>
      </c>
      <c r="I4" s="31">
        <f>IF(I$5="","",CHOOSE(WEEKDAY(I$5,2),"Mo","Di","Mi","Do","Fr","Sa","So"))</f>
      </c>
      <c r="J4" s="31">
        <f>IF(J$5="","",CHOOSE(WEEKDAY(J$5,2),"Mo","Di","Mi","Do","Fr","Sa","So"))</f>
      </c>
      <c r="K4" s="31">
        <f>IF(K$5="","",CHOOSE(WEEKDAY(K$5,2),"Mo","Di","Mi","Do","Fr","Sa","So"))</f>
      </c>
      <c r="L4" s="31">
        <f>IF(L$5="","",CHOOSE(WEEKDAY(L$5,2),"Mo","Di","Mi","Do","Fr","Sa","So"))</f>
      </c>
      <c r="M4" s="31">
        <f>IF(M$5="","",CHOOSE(WEEKDAY(M$5,2),"Mo","Di","Mi","Do","Fr","Sa","So"))</f>
      </c>
      <c r="N4" s="31">
        <f>IF(N$5="","",CHOOSE(WEEKDAY(N$5,2),"Mo","Di","Mi","Do","Fr","Sa","So"))</f>
      </c>
      <c r="O4" s="31">
        <f>IF(O$5="","",CHOOSE(WEEKDAY(O$5,2),"Mo","Di","Mi","Do","Fr","Sa","So"))</f>
      </c>
      <c r="P4" s="31">
        <f>IF(P$5="","",CHOOSE(WEEKDAY(P$5,2),"Mo","Di","Mi","Do","Fr","Sa","So"))</f>
      </c>
      <c r="Q4" s="31">
        <f>IF(Q$5="","",CHOOSE(WEEKDAY(Q$5,2),"Mo","Di","Mi","Do","Fr","Sa","So"))</f>
      </c>
      <c r="R4" s="31">
        <f>IF(R$5="","",CHOOSE(WEEKDAY(R$5,2),"Mo","Di","Mi","Do","Fr","Sa","So"))</f>
      </c>
      <c r="S4" s="31">
        <f>IF(S$5="","",CHOOSE(WEEKDAY(S$5,2),"Mo","Di","Mi","Do","Fr","Sa","So"))</f>
      </c>
      <c r="T4" s="31">
        <f>IF(T$5="","",CHOOSE(WEEKDAY(T$5,2),"Mo","Di","Mi","Do","Fr","Sa","So"))</f>
      </c>
      <c r="U4" s="31">
        <f>IF(U$5="","",CHOOSE(WEEKDAY(U$5,2),"Mo","Di","Mi","Do","Fr","Sa","So"))</f>
      </c>
      <c r="V4" s="31">
        <f>IF(V$5="","",CHOOSE(WEEKDAY(V$5,2),"Mo","Di","Mi","Do","Fr","Sa","So"))</f>
      </c>
      <c r="W4" s="31">
        <f>IF(W$5="","",CHOOSE(WEEKDAY(W$5,2),"Mo","Di","Mi","Do","Fr","Sa","So"))</f>
      </c>
      <c r="X4" s="31">
        <f>IF(X$5="","",CHOOSE(WEEKDAY(X$5,2),"Mo","Di","Mi","Do","Fr","Sa","So"))</f>
      </c>
      <c r="Y4" s="31">
        <f>IF(Y$5="","",CHOOSE(WEEKDAY(Y$5,2),"Mo","Di","Mi","Do","Fr","Sa","So"))</f>
      </c>
      <c r="Z4" s="31">
        <f>IF(Z$5="","",CHOOSE(WEEKDAY(Z$5,2),"Mo","Di","Mi","Do","Fr","Sa","So"))</f>
      </c>
      <c r="AA4" s="31">
        <f>IF(AA$5="","",CHOOSE(WEEKDAY(AA$5,2),"Mo","Di","Mi","Do","Fr","Sa","So"))</f>
      </c>
      <c r="AB4" s="31">
        <f>IF(AB$5="","",CHOOSE(WEEKDAY(AB$5,2),"Mo","Di","Mi","Do","Fr","Sa","So"))</f>
      </c>
      <c r="AC4" s="31">
        <f>IF(AC$5="","",CHOOSE(WEEKDAY(AC$5,2),"Mo","Di","Mi","Do","Fr","Sa","So"))</f>
      </c>
      <c r="AD4" s="31">
        <f>IF(AD$5="","",CHOOSE(WEEKDAY(AD$5,2),"Mo","Di","Mi","Do","Fr","Sa","So"))</f>
      </c>
      <c r="AE4" s="31">
        <f>IF(AE$5="","",CHOOSE(WEEKDAY(AE$5,2),"Mo","Di","Mi","Do","Fr","Sa","So"))</f>
      </c>
      <c r="AF4" s="31">
        <f>IF(AF$5="","",CHOOSE(WEEKDAY(AF$5,2),"Mo","Di","Mi","Do","Fr","Sa","So"))</f>
      </c>
    </row>
    <row r="5" spans="1:33" x14ac:dyDescent="0.25">
      <c r="A5" s="10" t="s">
        <v>52</v>
      </c>
      <c r="B5" s="32">
        <f>IF(MONTH(DATE(Jahr,$B$2,1))=$B$2,DATE(Jahr,$B$2,1),"")</f>
      </c>
      <c r="C5" s="32">
        <f>IF(MONTH(DATE(Jahr,$B$2,2))=$B$2,DATE(Jahr,$B$2,2),"")</f>
      </c>
      <c r="D5" s="32">
        <f>IF(MONTH(DATE(Jahr,$B$2,3))=$B$2,DATE(Jahr,$B$2,3),"")</f>
      </c>
      <c r="E5" s="32">
        <f>IF(MONTH(DATE(Jahr,$B$2,4))=$B$2,DATE(Jahr,$B$2,4),"")</f>
      </c>
      <c r="F5" s="32">
        <f>IF(MONTH(DATE(Jahr,$B$2,5))=$B$2,DATE(Jahr,$B$2,5),"")</f>
      </c>
      <c r="G5" s="32">
        <f>IF(MONTH(DATE(Jahr,$B$2,6))=$B$2,DATE(Jahr,$B$2,6),"")</f>
      </c>
      <c r="H5" s="32">
        <f>IF(MONTH(DATE(Jahr,$B$2,7))=$B$2,DATE(Jahr,$B$2,7),"")</f>
      </c>
      <c r="I5" s="32">
        <f>IF(MONTH(DATE(Jahr,$B$2,8))=$B$2,DATE(Jahr,$B$2,8),"")</f>
      </c>
      <c r="J5" s="32">
        <f>IF(MONTH(DATE(Jahr,$B$2,9))=$B$2,DATE(Jahr,$B$2,9),"")</f>
      </c>
      <c r="K5" s="32">
        <f>IF(MONTH(DATE(Jahr,$B$2,10))=$B$2,DATE(Jahr,$B$2,10),"")</f>
      </c>
      <c r="L5" s="32">
        <f>IF(MONTH(DATE(Jahr,$B$2,11))=$B$2,DATE(Jahr,$B$2,11),"")</f>
      </c>
      <c r="M5" s="32">
        <f>IF(MONTH(DATE(Jahr,$B$2,12))=$B$2,DATE(Jahr,$B$2,12),"")</f>
      </c>
      <c r="N5" s="32">
        <f>IF(MONTH(DATE(Jahr,$B$2,13))=$B$2,DATE(Jahr,$B$2,13),"")</f>
      </c>
      <c r="O5" s="32">
        <f>IF(MONTH(DATE(Jahr,$B$2,14))=$B$2,DATE(Jahr,$B$2,14),"")</f>
      </c>
      <c r="P5" s="32">
        <f>IF(MONTH(DATE(Jahr,$B$2,15))=$B$2,DATE(Jahr,$B$2,15),"")</f>
      </c>
      <c r="Q5" s="32">
        <f>IF(MONTH(DATE(Jahr,$B$2,16))=$B$2,DATE(Jahr,$B$2,16),"")</f>
      </c>
      <c r="R5" s="32">
        <f>IF(MONTH(DATE(Jahr,$B$2,17))=$B$2,DATE(Jahr,$B$2,17),"")</f>
      </c>
      <c r="S5" s="32">
        <f>IF(MONTH(DATE(Jahr,$B$2,18))=$B$2,DATE(Jahr,$B$2,18),"")</f>
      </c>
      <c r="T5" s="32">
        <f>IF(MONTH(DATE(Jahr,$B$2,19))=$B$2,DATE(Jahr,$B$2,19),"")</f>
      </c>
      <c r="U5" s="32">
        <f>IF(MONTH(DATE(Jahr,$B$2,20))=$B$2,DATE(Jahr,$B$2,20),"")</f>
      </c>
      <c r="V5" s="32">
        <f>IF(MONTH(DATE(Jahr,$B$2,21))=$B$2,DATE(Jahr,$B$2,21),"")</f>
      </c>
      <c r="W5" s="32">
        <f>IF(MONTH(DATE(Jahr,$B$2,22))=$B$2,DATE(Jahr,$B$2,22),"")</f>
      </c>
      <c r="X5" s="32">
        <f>IF(MONTH(DATE(Jahr,$B$2,23))=$B$2,DATE(Jahr,$B$2,23),"")</f>
      </c>
      <c r="Y5" s="32">
        <f>IF(MONTH(DATE(Jahr,$B$2,24))=$B$2,DATE(Jahr,$B$2,24),"")</f>
      </c>
      <c r="Z5" s="32">
        <f>IF(MONTH(DATE(Jahr,$B$2,25))=$B$2,DATE(Jahr,$B$2,25),"")</f>
      </c>
      <c r="AA5" s="32">
        <f>IF(MONTH(DATE(Jahr,$B$2,26))=$B$2,DATE(Jahr,$B$2,26),"")</f>
      </c>
      <c r="AB5" s="32">
        <f>IF(MONTH(DATE(Jahr,$B$2,27))=$B$2,DATE(Jahr,$B$2,27),"")</f>
      </c>
      <c r="AC5" s="32">
        <f>IF(MONTH(DATE(Jahr,$B$2,28))=$B$2,DATE(Jahr,$B$2,28),"")</f>
      </c>
      <c r="AD5" s="32">
        <f>IF(MONTH(DATE(Jahr,$B$2,29))=$B$2,DATE(Jahr,$B$2,29),"")</f>
      </c>
      <c r="AE5" s="32">
        <f>IF(MONTH(DATE(Jahr,$B$2,30))=$B$2,DATE(Jahr,$B$2,30),"")</f>
      </c>
      <c r="AF5" s="32">
        <f>IF(MONTH(DATE(Jahr,$B$2,31))=$B$2,DATE(Jahr,$B$2,31),"")</f>
      </c>
      <c r="AG5" s="10" t="s">
        <v>33</v>
      </c>
    </row>
    <row r="6" spans="1:33" x14ac:dyDescent="0.25">
      <c r="A6" s="49">
        <f>Mitarbeiter!$A$5&amp;""</f>
      </c>
      <c r="B6" s="54">
        <f>IF(OR($A6="",B$5="",TRIM(Mitarbeiter!$E$5)="",NOT(ISNUMBER(Mitarbeiter!$F$5))),"",IF(TRIM(MID(SUBSTITUTE(TRIM(Mitarbeiter!$E$5)," ",REPT(" ",99)),((MOD(B$5-Mitarbeiter!$F$5,(LEN(TRIM(Mitarbeiter!$E$5))-LEN(SUBSTITUTE(TRIM(Mitarbeiter!$E$5)," ",""))+1))+1)-1)*99+1,99))="-","",TRIM(MID(SUBSTITUTE(TRIM(Mitarbeiter!$E$5)," ",REPT(" ",99)),((MOD(B$5-Mitarbeiter!$F$5,(LEN(TRIM(Mitarbeiter!$E$5))-LEN(SUBSTITUTE(TRIM(Mitarbeiter!$E$5)," ",""))+1))+1)-1)*99+1,99))))</f>
      </c>
      <c r="C6" s="54">
        <f>IF(OR($A6="",C$5="",TRIM(Mitarbeiter!$E$5)="",NOT(ISNUMBER(Mitarbeiter!$F$5))),"",IF(TRIM(MID(SUBSTITUTE(TRIM(Mitarbeiter!$E$5)," ",REPT(" ",99)),((MOD(C$5-Mitarbeiter!$F$5,(LEN(TRIM(Mitarbeiter!$E$5))-LEN(SUBSTITUTE(TRIM(Mitarbeiter!$E$5)," ",""))+1))+1)-1)*99+1,99))="-","",TRIM(MID(SUBSTITUTE(TRIM(Mitarbeiter!$E$5)," ",REPT(" ",99)),((MOD(C$5-Mitarbeiter!$F$5,(LEN(TRIM(Mitarbeiter!$E$5))-LEN(SUBSTITUTE(TRIM(Mitarbeiter!$E$5)," ",""))+1))+1)-1)*99+1,99))))</f>
      </c>
      <c r="D6" s="54">
        <f>IF(OR($A6="",D$5="",TRIM(Mitarbeiter!$E$5)="",NOT(ISNUMBER(Mitarbeiter!$F$5))),"",IF(TRIM(MID(SUBSTITUTE(TRIM(Mitarbeiter!$E$5)," ",REPT(" ",99)),((MOD(D$5-Mitarbeiter!$F$5,(LEN(TRIM(Mitarbeiter!$E$5))-LEN(SUBSTITUTE(TRIM(Mitarbeiter!$E$5)," ",""))+1))+1)-1)*99+1,99))="-","",TRIM(MID(SUBSTITUTE(TRIM(Mitarbeiter!$E$5)," ",REPT(" ",99)),((MOD(D$5-Mitarbeiter!$F$5,(LEN(TRIM(Mitarbeiter!$E$5))-LEN(SUBSTITUTE(TRIM(Mitarbeiter!$E$5)," ",""))+1))+1)-1)*99+1,99))))</f>
      </c>
      <c r="E6" s="54">
        <f>IF(OR($A6="",E$5="",TRIM(Mitarbeiter!$E$5)="",NOT(ISNUMBER(Mitarbeiter!$F$5))),"",IF(TRIM(MID(SUBSTITUTE(TRIM(Mitarbeiter!$E$5)," ",REPT(" ",99)),((MOD(E$5-Mitarbeiter!$F$5,(LEN(TRIM(Mitarbeiter!$E$5))-LEN(SUBSTITUTE(TRIM(Mitarbeiter!$E$5)," ",""))+1))+1)-1)*99+1,99))="-","",TRIM(MID(SUBSTITUTE(TRIM(Mitarbeiter!$E$5)," ",REPT(" ",99)),((MOD(E$5-Mitarbeiter!$F$5,(LEN(TRIM(Mitarbeiter!$E$5))-LEN(SUBSTITUTE(TRIM(Mitarbeiter!$E$5)," ",""))+1))+1)-1)*99+1,99))))</f>
      </c>
      <c r="F6" s="54">
        <f>IF(OR($A6="",F$5="",TRIM(Mitarbeiter!$E$5)="",NOT(ISNUMBER(Mitarbeiter!$F$5))),"",IF(TRIM(MID(SUBSTITUTE(TRIM(Mitarbeiter!$E$5)," ",REPT(" ",99)),((MOD(F$5-Mitarbeiter!$F$5,(LEN(TRIM(Mitarbeiter!$E$5))-LEN(SUBSTITUTE(TRIM(Mitarbeiter!$E$5)," ",""))+1))+1)-1)*99+1,99))="-","",TRIM(MID(SUBSTITUTE(TRIM(Mitarbeiter!$E$5)," ",REPT(" ",99)),((MOD(F$5-Mitarbeiter!$F$5,(LEN(TRIM(Mitarbeiter!$E$5))-LEN(SUBSTITUTE(TRIM(Mitarbeiter!$E$5)," ",""))+1))+1)-1)*99+1,99))))</f>
      </c>
      <c r="G6" s="54">
        <f>IF(OR($A6="",G$5="",TRIM(Mitarbeiter!$E$5)="",NOT(ISNUMBER(Mitarbeiter!$F$5))),"",IF(TRIM(MID(SUBSTITUTE(TRIM(Mitarbeiter!$E$5)," ",REPT(" ",99)),((MOD(G$5-Mitarbeiter!$F$5,(LEN(TRIM(Mitarbeiter!$E$5))-LEN(SUBSTITUTE(TRIM(Mitarbeiter!$E$5)," ",""))+1))+1)-1)*99+1,99))="-","",TRIM(MID(SUBSTITUTE(TRIM(Mitarbeiter!$E$5)," ",REPT(" ",99)),((MOD(G$5-Mitarbeiter!$F$5,(LEN(TRIM(Mitarbeiter!$E$5))-LEN(SUBSTITUTE(TRIM(Mitarbeiter!$E$5)," ",""))+1))+1)-1)*99+1,99))))</f>
      </c>
      <c r="H6" s="54">
        <f>IF(OR($A6="",H$5="",TRIM(Mitarbeiter!$E$5)="",NOT(ISNUMBER(Mitarbeiter!$F$5))),"",IF(TRIM(MID(SUBSTITUTE(TRIM(Mitarbeiter!$E$5)," ",REPT(" ",99)),((MOD(H$5-Mitarbeiter!$F$5,(LEN(TRIM(Mitarbeiter!$E$5))-LEN(SUBSTITUTE(TRIM(Mitarbeiter!$E$5)," ",""))+1))+1)-1)*99+1,99))="-","",TRIM(MID(SUBSTITUTE(TRIM(Mitarbeiter!$E$5)," ",REPT(" ",99)),((MOD(H$5-Mitarbeiter!$F$5,(LEN(TRIM(Mitarbeiter!$E$5))-LEN(SUBSTITUTE(TRIM(Mitarbeiter!$E$5)," ",""))+1))+1)-1)*99+1,99))))</f>
      </c>
      <c r="I6" s="54">
        <f>IF(OR($A6="",I$5="",TRIM(Mitarbeiter!$E$5)="",NOT(ISNUMBER(Mitarbeiter!$F$5))),"",IF(TRIM(MID(SUBSTITUTE(TRIM(Mitarbeiter!$E$5)," ",REPT(" ",99)),((MOD(I$5-Mitarbeiter!$F$5,(LEN(TRIM(Mitarbeiter!$E$5))-LEN(SUBSTITUTE(TRIM(Mitarbeiter!$E$5)," ",""))+1))+1)-1)*99+1,99))="-","",TRIM(MID(SUBSTITUTE(TRIM(Mitarbeiter!$E$5)," ",REPT(" ",99)),((MOD(I$5-Mitarbeiter!$F$5,(LEN(TRIM(Mitarbeiter!$E$5))-LEN(SUBSTITUTE(TRIM(Mitarbeiter!$E$5)," ",""))+1))+1)-1)*99+1,99))))</f>
      </c>
      <c r="J6" s="54">
        <f>IF(OR($A6="",J$5="",TRIM(Mitarbeiter!$E$5)="",NOT(ISNUMBER(Mitarbeiter!$F$5))),"",IF(TRIM(MID(SUBSTITUTE(TRIM(Mitarbeiter!$E$5)," ",REPT(" ",99)),((MOD(J$5-Mitarbeiter!$F$5,(LEN(TRIM(Mitarbeiter!$E$5))-LEN(SUBSTITUTE(TRIM(Mitarbeiter!$E$5)," ",""))+1))+1)-1)*99+1,99))="-","",TRIM(MID(SUBSTITUTE(TRIM(Mitarbeiter!$E$5)," ",REPT(" ",99)),((MOD(J$5-Mitarbeiter!$F$5,(LEN(TRIM(Mitarbeiter!$E$5))-LEN(SUBSTITUTE(TRIM(Mitarbeiter!$E$5)," ",""))+1))+1)-1)*99+1,99))))</f>
      </c>
      <c r="K6" s="54">
        <f>IF(OR($A6="",K$5="",TRIM(Mitarbeiter!$E$5)="",NOT(ISNUMBER(Mitarbeiter!$F$5))),"",IF(TRIM(MID(SUBSTITUTE(TRIM(Mitarbeiter!$E$5)," ",REPT(" ",99)),((MOD(K$5-Mitarbeiter!$F$5,(LEN(TRIM(Mitarbeiter!$E$5))-LEN(SUBSTITUTE(TRIM(Mitarbeiter!$E$5)," ",""))+1))+1)-1)*99+1,99))="-","",TRIM(MID(SUBSTITUTE(TRIM(Mitarbeiter!$E$5)," ",REPT(" ",99)),((MOD(K$5-Mitarbeiter!$F$5,(LEN(TRIM(Mitarbeiter!$E$5))-LEN(SUBSTITUTE(TRIM(Mitarbeiter!$E$5)," ",""))+1))+1)-1)*99+1,99))))</f>
      </c>
      <c r="L6" s="54">
        <f>IF(OR($A6="",L$5="",TRIM(Mitarbeiter!$E$5)="",NOT(ISNUMBER(Mitarbeiter!$F$5))),"",IF(TRIM(MID(SUBSTITUTE(TRIM(Mitarbeiter!$E$5)," ",REPT(" ",99)),((MOD(L$5-Mitarbeiter!$F$5,(LEN(TRIM(Mitarbeiter!$E$5))-LEN(SUBSTITUTE(TRIM(Mitarbeiter!$E$5)," ",""))+1))+1)-1)*99+1,99))="-","",TRIM(MID(SUBSTITUTE(TRIM(Mitarbeiter!$E$5)," ",REPT(" ",99)),((MOD(L$5-Mitarbeiter!$F$5,(LEN(TRIM(Mitarbeiter!$E$5))-LEN(SUBSTITUTE(TRIM(Mitarbeiter!$E$5)," ",""))+1))+1)-1)*99+1,99))))</f>
      </c>
      <c r="M6" s="54">
        <f>IF(OR($A6="",M$5="",TRIM(Mitarbeiter!$E$5)="",NOT(ISNUMBER(Mitarbeiter!$F$5))),"",IF(TRIM(MID(SUBSTITUTE(TRIM(Mitarbeiter!$E$5)," ",REPT(" ",99)),((MOD(M$5-Mitarbeiter!$F$5,(LEN(TRIM(Mitarbeiter!$E$5))-LEN(SUBSTITUTE(TRIM(Mitarbeiter!$E$5)," ",""))+1))+1)-1)*99+1,99))="-","",TRIM(MID(SUBSTITUTE(TRIM(Mitarbeiter!$E$5)," ",REPT(" ",99)),((MOD(M$5-Mitarbeiter!$F$5,(LEN(TRIM(Mitarbeiter!$E$5))-LEN(SUBSTITUTE(TRIM(Mitarbeiter!$E$5)," ",""))+1))+1)-1)*99+1,99))))</f>
      </c>
      <c r="N6" s="54">
        <f>IF(OR($A6="",N$5="",TRIM(Mitarbeiter!$E$5)="",NOT(ISNUMBER(Mitarbeiter!$F$5))),"",IF(TRIM(MID(SUBSTITUTE(TRIM(Mitarbeiter!$E$5)," ",REPT(" ",99)),((MOD(N$5-Mitarbeiter!$F$5,(LEN(TRIM(Mitarbeiter!$E$5))-LEN(SUBSTITUTE(TRIM(Mitarbeiter!$E$5)," ",""))+1))+1)-1)*99+1,99))="-","",TRIM(MID(SUBSTITUTE(TRIM(Mitarbeiter!$E$5)," ",REPT(" ",99)),((MOD(N$5-Mitarbeiter!$F$5,(LEN(TRIM(Mitarbeiter!$E$5))-LEN(SUBSTITUTE(TRIM(Mitarbeiter!$E$5)," ",""))+1))+1)-1)*99+1,99))))</f>
      </c>
      <c r="O6" s="54">
        <f>IF(OR($A6="",O$5="",TRIM(Mitarbeiter!$E$5)="",NOT(ISNUMBER(Mitarbeiter!$F$5))),"",IF(TRIM(MID(SUBSTITUTE(TRIM(Mitarbeiter!$E$5)," ",REPT(" ",99)),((MOD(O$5-Mitarbeiter!$F$5,(LEN(TRIM(Mitarbeiter!$E$5))-LEN(SUBSTITUTE(TRIM(Mitarbeiter!$E$5)," ",""))+1))+1)-1)*99+1,99))="-","",TRIM(MID(SUBSTITUTE(TRIM(Mitarbeiter!$E$5)," ",REPT(" ",99)),((MOD(O$5-Mitarbeiter!$F$5,(LEN(TRIM(Mitarbeiter!$E$5))-LEN(SUBSTITUTE(TRIM(Mitarbeiter!$E$5)," ",""))+1))+1)-1)*99+1,99))))</f>
      </c>
      <c r="P6" s="54">
        <f>IF(OR($A6="",P$5="",TRIM(Mitarbeiter!$E$5)="",NOT(ISNUMBER(Mitarbeiter!$F$5))),"",IF(TRIM(MID(SUBSTITUTE(TRIM(Mitarbeiter!$E$5)," ",REPT(" ",99)),((MOD(P$5-Mitarbeiter!$F$5,(LEN(TRIM(Mitarbeiter!$E$5))-LEN(SUBSTITUTE(TRIM(Mitarbeiter!$E$5)," ",""))+1))+1)-1)*99+1,99))="-","",TRIM(MID(SUBSTITUTE(TRIM(Mitarbeiter!$E$5)," ",REPT(" ",99)),((MOD(P$5-Mitarbeiter!$F$5,(LEN(TRIM(Mitarbeiter!$E$5))-LEN(SUBSTITUTE(TRIM(Mitarbeiter!$E$5)," ",""))+1))+1)-1)*99+1,99))))</f>
      </c>
      <c r="Q6" s="54">
        <f>IF(OR($A6="",Q$5="",TRIM(Mitarbeiter!$E$5)="",NOT(ISNUMBER(Mitarbeiter!$F$5))),"",IF(TRIM(MID(SUBSTITUTE(TRIM(Mitarbeiter!$E$5)," ",REPT(" ",99)),((MOD(Q$5-Mitarbeiter!$F$5,(LEN(TRIM(Mitarbeiter!$E$5))-LEN(SUBSTITUTE(TRIM(Mitarbeiter!$E$5)," ",""))+1))+1)-1)*99+1,99))="-","",TRIM(MID(SUBSTITUTE(TRIM(Mitarbeiter!$E$5)," ",REPT(" ",99)),((MOD(Q$5-Mitarbeiter!$F$5,(LEN(TRIM(Mitarbeiter!$E$5))-LEN(SUBSTITUTE(TRIM(Mitarbeiter!$E$5)," ",""))+1))+1)-1)*99+1,99))))</f>
      </c>
      <c r="R6" s="54">
        <f>IF(OR($A6="",R$5="",TRIM(Mitarbeiter!$E$5)="",NOT(ISNUMBER(Mitarbeiter!$F$5))),"",IF(TRIM(MID(SUBSTITUTE(TRIM(Mitarbeiter!$E$5)," ",REPT(" ",99)),((MOD(R$5-Mitarbeiter!$F$5,(LEN(TRIM(Mitarbeiter!$E$5))-LEN(SUBSTITUTE(TRIM(Mitarbeiter!$E$5)," ",""))+1))+1)-1)*99+1,99))="-","",TRIM(MID(SUBSTITUTE(TRIM(Mitarbeiter!$E$5)," ",REPT(" ",99)),((MOD(R$5-Mitarbeiter!$F$5,(LEN(TRIM(Mitarbeiter!$E$5))-LEN(SUBSTITUTE(TRIM(Mitarbeiter!$E$5)," ",""))+1))+1)-1)*99+1,99))))</f>
      </c>
      <c r="S6" s="54">
        <f>IF(OR($A6="",S$5="",TRIM(Mitarbeiter!$E$5)="",NOT(ISNUMBER(Mitarbeiter!$F$5))),"",IF(TRIM(MID(SUBSTITUTE(TRIM(Mitarbeiter!$E$5)," ",REPT(" ",99)),((MOD(S$5-Mitarbeiter!$F$5,(LEN(TRIM(Mitarbeiter!$E$5))-LEN(SUBSTITUTE(TRIM(Mitarbeiter!$E$5)," ",""))+1))+1)-1)*99+1,99))="-","",TRIM(MID(SUBSTITUTE(TRIM(Mitarbeiter!$E$5)," ",REPT(" ",99)),((MOD(S$5-Mitarbeiter!$F$5,(LEN(TRIM(Mitarbeiter!$E$5))-LEN(SUBSTITUTE(TRIM(Mitarbeiter!$E$5)," ",""))+1))+1)-1)*99+1,99))))</f>
      </c>
      <c r="T6" s="54">
        <f>IF(OR($A6="",T$5="",TRIM(Mitarbeiter!$E$5)="",NOT(ISNUMBER(Mitarbeiter!$F$5))),"",IF(TRIM(MID(SUBSTITUTE(TRIM(Mitarbeiter!$E$5)," ",REPT(" ",99)),((MOD(T$5-Mitarbeiter!$F$5,(LEN(TRIM(Mitarbeiter!$E$5))-LEN(SUBSTITUTE(TRIM(Mitarbeiter!$E$5)," ",""))+1))+1)-1)*99+1,99))="-","",TRIM(MID(SUBSTITUTE(TRIM(Mitarbeiter!$E$5)," ",REPT(" ",99)),((MOD(T$5-Mitarbeiter!$F$5,(LEN(TRIM(Mitarbeiter!$E$5))-LEN(SUBSTITUTE(TRIM(Mitarbeiter!$E$5)," ",""))+1))+1)-1)*99+1,99))))</f>
      </c>
      <c r="U6" s="54">
        <f>IF(OR($A6="",U$5="",TRIM(Mitarbeiter!$E$5)="",NOT(ISNUMBER(Mitarbeiter!$F$5))),"",IF(TRIM(MID(SUBSTITUTE(TRIM(Mitarbeiter!$E$5)," ",REPT(" ",99)),((MOD(U$5-Mitarbeiter!$F$5,(LEN(TRIM(Mitarbeiter!$E$5))-LEN(SUBSTITUTE(TRIM(Mitarbeiter!$E$5)," ",""))+1))+1)-1)*99+1,99))="-","",TRIM(MID(SUBSTITUTE(TRIM(Mitarbeiter!$E$5)," ",REPT(" ",99)),((MOD(U$5-Mitarbeiter!$F$5,(LEN(TRIM(Mitarbeiter!$E$5))-LEN(SUBSTITUTE(TRIM(Mitarbeiter!$E$5)," ",""))+1))+1)-1)*99+1,99))))</f>
      </c>
      <c r="V6" s="54">
        <f>IF(OR($A6="",V$5="",TRIM(Mitarbeiter!$E$5)="",NOT(ISNUMBER(Mitarbeiter!$F$5))),"",IF(TRIM(MID(SUBSTITUTE(TRIM(Mitarbeiter!$E$5)," ",REPT(" ",99)),((MOD(V$5-Mitarbeiter!$F$5,(LEN(TRIM(Mitarbeiter!$E$5))-LEN(SUBSTITUTE(TRIM(Mitarbeiter!$E$5)," ",""))+1))+1)-1)*99+1,99))="-","",TRIM(MID(SUBSTITUTE(TRIM(Mitarbeiter!$E$5)," ",REPT(" ",99)),((MOD(V$5-Mitarbeiter!$F$5,(LEN(TRIM(Mitarbeiter!$E$5))-LEN(SUBSTITUTE(TRIM(Mitarbeiter!$E$5)," ",""))+1))+1)-1)*99+1,99))))</f>
      </c>
      <c r="W6" s="54">
        <f>IF(OR($A6="",W$5="",TRIM(Mitarbeiter!$E$5)="",NOT(ISNUMBER(Mitarbeiter!$F$5))),"",IF(TRIM(MID(SUBSTITUTE(TRIM(Mitarbeiter!$E$5)," ",REPT(" ",99)),((MOD(W$5-Mitarbeiter!$F$5,(LEN(TRIM(Mitarbeiter!$E$5))-LEN(SUBSTITUTE(TRIM(Mitarbeiter!$E$5)," ",""))+1))+1)-1)*99+1,99))="-","",TRIM(MID(SUBSTITUTE(TRIM(Mitarbeiter!$E$5)," ",REPT(" ",99)),((MOD(W$5-Mitarbeiter!$F$5,(LEN(TRIM(Mitarbeiter!$E$5))-LEN(SUBSTITUTE(TRIM(Mitarbeiter!$E$5)," ",""))+1))+1)-1)*99+1,99))))</f>
      </c>
      <c r="X6" s="54">
        <f>IF(OR($A6="",X$5="",TRIM(Mitarbeiter!$E$5)="",NOT(ISNUMBER(Mitarbeiter!$F$5))),"",IF(TRIM(MID(SUBSTITUTE(TRIM(Mitarbeiter!$E$5)," ",REPT(" ",99)),((MOD(X$5-Mitarbeiter!$F$5,(LEN(TRIM(Mitarbeiter!$E$5))-LEN(SUBSTITUTE(TRIM(Mitarbeiter!$E$5)," ",""))+1))+1)-1)*99+1,99))="-","",TRIM(MID(SUBSTITUTE(TRIM(Mitarbeiter!$E$5)," ",REPT(" ",99)),((MOD(X$5-Mitarbeiter!$F$5,(LEN(TRIM(Mitarbeiter!$E$5))-LEN(SUBSTITUTE(TRIM(Mitarbeiter!$E$5)," ",""))+1))+1)-1)*99+1,99))))</f>
      </c>
      <c r="Y6" s="54">
        <f>IF(OR($A6="",Y$5="",TRIM(Mitarbeiter!$E$5)="",NOT(ISNUMBER(Mitarbeiter!$F$5))),"",IF(TRIM(MID(SUBSTITUTE(TRIM(Mitarbeiter!$E$5)," ",REPT(" ",99)),((MOD(Y$5-Mitarbeiter!$F$5,(LEN(TRIM(Mitarbeiter!$E$5))-LEN(SUBSTITUTE(TRIM(Mitarbeiter!$E$5)," ",""))+1))+1)-1)*99+1,99))="-","",TRIM(MID(SUBSTITUTE(TRIM(Mitarbeiter!$E$5)," ",REPT(" ",99)),((MOD(Y$5-Mitarbeiter!$F$5,(LEN(TRIM(Mitarbeiter!$E$5))-LEN(SUBSTITUTE(TRIM(Mitarbeiter!$E$5)," ",""))+1))+1)-1)*99+1,99))))</f>
      </c>
      <c r="Z6" s="54">
        <f>IF(OR($A6="",Z$5="",TRIM(Mitarbeiter!$E$5)="",NOT(ISNUMBER(Mitarbeiter!$F$5))),"",IF(TRIM(MID(SUBSTITUTE(TRIM(Mitarbeiter!$E$5)," ",REPT(" ",99)),((MOD(Z$5-Mitarbeiter!$F$5,(LEN(TRIM(Mitarbeiter!$E$5))-LEN(SUBSTITUTE(TRIM(Mitarbeiter!$E$5)," ",""))+1))+1)-1)*99+1,99))="-","",TRIM(MID(SUBSTITUTE(TRIM(Mitarbeiter!$E$5)," ",REPT(" ",99)),((MOD(Z$5-Mitarbeiter!$F$5,(LEN(TRIM(Mitarbeiter!$E$5))-LEN(SUBSTITUTE(TRIM(Mitarbeiter!$E$5)," ",""))+1))+1)-1)*99+1,99))))</f>
      </c>
      <c r="AA6" s="54">
        <f>IF(OR($A6="",AA$5="",TRIM(Mitarbeiter!$E$5)="",NOT(ISNUMBER(Mitarbeiter!$F$5))),"",IF(TRIM(MID(SUBSTITUTE(TRIM(Mitarbeiter!$E$5)," ",REPT(" ",99)),((MOD(AA$5-Mitarbeiter!$F$5,(LEN(TRIM(Mitarbeiter!$E$5))-LEN(SUBSTITUTE(TRIM(Mitarbeiter!$E$5)," ",""))+1))+1)-1)*99+1,99))="-","",TRIM(MID(SUBSTITUTE(TRIM(Mitarbeiter!$E$5)," ",REPT(" ",99)),((MOD(AA$5-Mitarbeiter!$F$5,(LEN(TRIM(Mitarbeiter!$E$5))-LEN(SUBSTITUTE(TRIM(Mitarbeiter!$E$5)," ",""))+1))+1)-1)*99+1,99))))</f>
      </c>
      <c r="AB6" s="54">
        <f>IF(OR($A6="",AB$5="",TRIM(Mitarbeiter!$E$5)="",NOT(ISNUMBER(Mitarbeiter!$F$5))),"",IF(TRIM(MID(SUBSTITUTE(TRIM(Mitarbeiter!$E$5)," ",REPT(" ",99)),((MOD(AB$5-Mitarbeiter!$F$5,(LEN(TRIM(Mitarbeiter!$E$5))-LEN(SUBSTITUTE(TRIM(Mitarbeiter!$E$5)," ",""))+1))+1)-1)*99+1,99))="-","",TRIM(MID(SUBSTITUTE(TRIM(Mitarbeiter!$E$5)," ",REPT(" ",99)),((MOD(AB$5-Mitarbeiter!$F$5,(LEN(TRIM(Mitarbeiter!$E$5))-LEN(SUBSTITUTE(TRIM(Mitarbeiter!$E$5)," ",""))+1))+1)-1)*99+1,99))))</f>
      </c>
      <c r="AC6" s="54">
        <f>IF(OR($A6="",AC$5="",TRIM(Mitarbeiter!$E$5)="",NOT(ISNUMBER(Mitarbeiter!$F$5))),"",IF(TRIM(MID(SUBSTITUTE(TRIM(Mitarbeiter!$E$5)," ",REPT(" ",99)),((MOD(AC$5-Mitarbeiter!$F$5,(LEN(TRIM(Mitarbeiter!$E$5))-LEN(SUBSTITUTE(TRIM(Mitarbeiter!$E$5)," ",""))+1))+1)-1)*99+1,99))="-","",TRIM(MID(SUBSTITUTE(TRIM(Mitarbeiter!$E$5)," ",REPT(" ",99)),((MOD(AC$5-Mitarbeiter!$F$5,(LEN(TRIM(Mitarbeiter!$E$5))-LEN(SUBSTITUTE(TRIM(Mitarbeiter!$E$5)," ",""))+1))+1)-1)*99+1,99))))</f>
      </c>
      <c r="AD6" s="54">
        <f>IF(OR($A6="",AD$5="",TRIM(Mitarbeiter!$E$5)="",NOT(ISNUMBER(Mitarbeiter!$F$5))),"",IF(TRIM(MID(SUBSTITUTE(TRIM(Mitarbeiter!$E$5)," ",REPT(" ",99)),((MOD(AD$5-Mitarbeiter!$F$5,(LEN(TRIM(Mitarbeiter!$E$5))-LEN(SUBSTITUTE(TRIM(Mitarbeiter!$E$5)," ",""))+1))+1)-1)*99+1,99))="-","",TRIM(MID(SUBSTITUTE(TRIM(Mitarbeiter!$E$5)," ",REPT(" ",99)),((MOD(AD$5-Mitarbeiter!$F$5,(LEN(TRIM(Mitarbeiter!$E$5))-LEN(SUBSTITUTE(TRIM(Mitarbeiter!$E$5)," ",""))+1))+1)-1)*99+1,99))))</f>
      </c>
      <c r="AE6" s="54">
        <f>IF(OR($A6="",AE$5="",TRIM(Mitarbeiter!$E$5)="",NOT(ISNUMBER(Mitarbeiter!$F$5))),"",IF(TRIM(MID(SUBSTITUTE(TRIM(Mitarbeiter!$E$5)," ",REPT(" ",99)),((MOD(AE$5-Mitarbeiter!$F$5,(LEN(TRIM(Mitarbeiter!$E$5))-LEN(SUBSTITUTE(TRIM(Mitarbeiter!$E$5)," ",""))+1))+1)-1)*99+1,99))="-","",TRIM(MID(SUBSTITUTE(TRIM(Mitarbeiter!$E$5)," ",REPT(" ",99)),((MOD(AE$5-Mitarbeiter!$F$5,(LEN(TRIM(Mitarbeiter!$E$5))-LEN(SUBSTITUTE(TRIM(Mitarbeiter!$E$5)," ",""))+1))+1)-1)*99+1,99))))</f>
      </c>
      <c r="AF6" s="54">
        <f>IF(OR($A6="",AF$5="",TRIM(Mitarbeiter!$E$5)="",NOT(ISNUMBER(Mitarbeiter!$F$5))),"",IF(TRIM(MID(SUBSTITUTE(TRIM(Mitarbeiter!$E$5)," ",REPT(" ",99)),((MOD(AF$5-Mitarbeiter!$F$5,(LEN(TRIM(Mitarbeiter!$E$5))-LEN(SUBSTITUTE(TRIM(Mitarbeiter!$E$5)," ",""))+1))+1)-1)*99+1,99))="-","",TRIM(MID(SUBSTITUTE(TRIM(Mitarbeiter!$E$5)," ",REPT(" ",99)),((MOD(AF$5-Mitarbeiter!$F$5,(LEN(TRIM(Mitarbeiter!$E$5))-LEN(SUBSTITUTE(TRIM(Mitarbeiter!$E$5)," ",""))+1))+1)-1)*99+1,99))))</f>
      </c>
      <c r="AG6" s="55">
        <f>IF(OR($A6="",TRIM(Mitarbeiter!$E$5)=""),"",IF(NOT(ISNUMBER(Mitarbeiter!$F$5)),"Rhythmus ab: Datum fehlt",IF(COUNTIF(B6:AF6,"?*")-SUMPRODUCT(COUNTIF(B6:AF6,Codes)*(Codes&lt;&gt;"")*Erste)&gt;0,"Rhythmus enthält ein unbekanntes Kürzel","")))</f>
      </c>
    </row>
    <row r="7" spans="1:33" x14ac:dyDescent="0.25">
      <c r="A7" s="49">
        <f>Mitarbeiter!$A$6&amp;""</f>
      </c>
      <c r="B7" s="54">
        <f>IF(OR($A7="",B$5="",TRIM(Mitarbeiter!$E$6)="",NOT(ISNUMBER(Mitarbeiter!$F$6))),"",IF(TRIM(MID(SUBSTITUTE(TRIM(Mitarbeiter!$E$6)," ",REPT(" ",99)),((MOD(B$5-Mitarbeiter!$F$6,(LEN(TRIM(Mitarbeiter!$E$6))-LEN(SUBSTITUTE(TRIM(Mitarbeiter!$E$6)," ",""))+1))+1)-1)*99+1,99))="-","",TRIM(MID(SUBSTITUTE(TRIM(Mitarbeiter!$E$6)," ",REPT(" ",99)),((MOD(B$5-Mitarbeiter!$F$6,(LEN(TRIM(Mitarbeiter!$E$6))-LEN(SUBSTITUTE(TRIM(Mitarbeiter!$E$6)," ",""))+1))+1)-1)*99+1,99))))</f>
      </c>
      <c r="C7" s="54">
        <f>IF(OR($A7="",C$5="",TRIM(Mitarbeiter!$E$6)="",NOT(ISNUMBER(Mitarbeiter!$F$6))),"",IF(TRIM(MID(SUBSTITUTE(TRIM(Mitarbeiter!$E$6)," ",REPT(" ",99)),((MOD(C$5-Mitarbeiter!$F$6,(LEN(TRIM(Mitarbeiter!$E$6))-LEN(SUBSTITUTE(TRIM(Mitarbeiter!$E$6)," ",""))+1))+1)-1)*99+1,99))="-","",TRIM(MID(SUBSTITUTE(TRIM(Mitarbeiter!$E$6)," ",REPT(" ",99)),((MOD(C$5-Mitarbeiter!$F$6,(LEN(TRIM(Mitarbeiter!$E$6))-LEN(SUBSTITUTE(TRIM(Mitarbeiter!$E$6)," ",""))+1))+1)-1)*99+1,99))))</f>
      </c>
      <c r="D7" s="54">
        <f>IF(OR($A7="",D$5="",TRIM(Mitarbeiter!$E$6)="",NOT(ISNUMBER(Mitarbeiter!$F$6))),"",IF(TRIM(MID(SUBSTITUTE(TRIM(Mitarbeiter!$E$6)," ",REPT(" ",99)),((MOD(D$5-Mitarbeiter!$F$6,(LEN(TRIM(Mitarbeiter!$E$6))-LEN(SUBSTITUTE(TRIM(Mitarbeiter!$E$6)," ",""))+1))+1)-1)*99+1,99))="-","",TRIM(MID(SUBSTITUTE(TRIM(Mitarbeiter!$E$6)," ",REPT(" ",99)),((MOD(D$5-Mitarbeiter!$F$6,(LEN(TRIM(Mitarbeiter!$E$6))-LEN(SUBSTITUTE(TRIM(Mitarbeiter!$E$6)," ",""))+1))+1)-1)*99+1,99))))</f>
      </c>
      <c r="E7" s="54">
        <f>IF(OR($A7="",E$5="",TRIM(Mitarbeiter!$E$6)="",NOT(ISNUMBER(Mitarbeiter!$F$6))),"",IF(TRIM(MID(SUBSTITUTE(TRIM(Mitarbeiter!$E$6)," ",REPT(" ",99)),((MOD(E$5-Mitarbeiter!$F$6,(LEN(TRIM(Mitarbeiter!$E$6))-LEN(SUBSTITUTE(TRIM(Mitarbeiter!$E$6)," ",""))+1))+1)-1)*99+1,99))="-","",TRIM(MID(SUBSTITUTE(TRIM(Mitarbeiter!$E$6)," ",REPT(" ",99)),((MOD(E$5-Mitarbeiter!$F$6,(LEN(TRIM(Mitarbeiter!$E$6))-LEN(SUBSTITUTE(TRIM(Mitarbeiter!$E$6)," ",""))+1))+1)-1)*99+1,99))))</f>
      </c>
      <c r="F7" s="54">
        <f>IF(OR($A7="",F$5="",TRIM(Mitarbeiter!$E$6)="",NOT(ISNUMBER(Mitarbeiter!$F$6))),"",IF(TRIM(MID(SUBSTITUTE(TRIM(Mitarbeiter!$E$6)," ",REPT(" ",99)),((MOD(F$5-Mitarbeiter!$F$6,(LEN(TRIM(Mitarbeiter!$E$6))-LEN(SUBSTITUTE(TRIM(Mitarbeiter!$E$6)," ",""))+1))+1)-1)*99+1,99))="-","",TRIM(MID(SUBSTITUTE(TRIM(Mitarbeiter!$E$6)," ",REPT(" ",99)),((MOD(F$5-Mitarbeiter!$F$6,(LEN(TRIM(Mitarbeiter!$E$6))-LEN(SUBSTITUTE(TRIM(Mitarbeiter!$E$6)," ",""))+1))+1)-1)*99+1,99))))</f>
      </c>
      <c r="G7" s="54">
        <f>IF(OR($A7="",G$5="",TRIM(Mitarbeiter!$E$6)="",NOT(ISNUMBER(Mitarbeiter!$F$6))),"",IF(TRIM(MID(SUBSTITUTE(TRIM(Mitarbeiter!$E$6)," ",REPT(" ",99)),((MOD(G$5-Mitarbeiter!$F$6,(LEN(TRIM(Mitarbeiter!$E$6))-LEN(SUBSTITUTE(TRIM(Mitarbeiter!$E$6)," ",""))+1))+1)-1)*99+1,99))="-","",TRIM(MID(SUBSTITUTE(TRIM(Mitarbeiter!$E$6)," ",REPT(" ",99)),((MOD(G$5-Mitarbeiter!$F$6,(LEN(TRIM(Mitarbeiter!$E$6))-LEN(SUBSTITUTE(TRIM(Mitarbeiter!$E$6)," ",""))+1))+1)-1)*99+1,99))))</f>
      </c>
      <c r="H7" s="54">
        <f>IF(OR($A7="",H$5="",TRIM(Mitarbeiter!$E$6)="",NOT(ISNUMBER(Mitarbeiter!$F$6))),"",IF(TRIM(MID(SUBSTITUTE(TRIM(Mitarbeiter!$E$6)," ",REPT(" ",99)),((MOD(H$5-Mitarbeiter!$F$6,(LEN(TRIM(Mitarbeiter!$E$6))-LEN(SUBSTITUTE(TRIM(Mitarbeiter!$E$6)," ",""))+1))+1)-1)*99+1,99))="-","",TRIM(MID(SUBSTITUTE(TRIM(Mitarbeiter!$E$6)," ",REPT(" ",99)),((MOD(H$5-Mitarbeiter!$F$6,(LEN(TRIM(Mitarbeiter!$E$6))-LEN(SUBSTITUTE(TRIM(Mitarbeiter!$E$6)," ",""))+1))+1)-1)*99+1,99))))</f>
      </c>
      <c r="I7" s="54">
        <f>IF(OR($A7="",I$5="",TRIM(Mitarbeiter!$E$6)="",NOT(ISNUMBER(Mitarbeiter!$F$6))),"",IF(TRIM(MID(SUBSTITUTE(TRIM(Mitarbeiter!$E$6)," ",REPT(" ",99)),((MOD(I$5-Mitarbeiter!$F$6,(LEN(TRIM(Mitarbeiter!$E$6))-LEN(SUBSTITUTE(TRIM(Mitarbeiter!$E$6)," ",""))+1))+1)-1)*99+1,99))="-","",TRIM(MID(SUBSTITUTE(TRIM(Mitarbeiter!$E$6)," ",REPT(" ",99)),((MOD(I$5-Mitarbeiter!$F$6,(LEN(TRIM(Mitarbeiter!$E$6))-LEN(SUBSTITUTE(TRIM(Mitarbeiter!$E$6)," ",""))+1))+1)-1)*99+1,99))))</f>
      </c>
      <c r="J7" s="54">
        <f>IF(OR($A7="",J$5="",TRIM(Mitarbeiter!$E$6)="",NOT(ISNUMBER(Mitarbeiter!$F$6))),"",IF(TRIM(MID(SUBSTITUTE(TRIM(Mitarbeiter!$E$6)," ",REPT(" ",99)),((MOD(J$5-Mitarbeiter!$F$6,(LEN(TRIM(Mitarbeiter!$E$6))-LEN(SUBSTITUTE(TRIM(Mitarbeiter!$E$6)," ",""))+1))+1)-1)*99+1,99))="-","",TRIM(MID(SUBSTITUTE(TRIM(Mitarbeiter!$E$6)," ",REPT(" ",99)),((MOD(J$5-Mitarbeiter!$F$6,(LEN(TRIM(Mitarbeiter!$E$6))-LEN(SUBSTITUTE(TRIM(Mitarbeiter!$E$6)," ",""))+1))+1)-1)*99+1,99))))</f>
      </c>
      <c r="K7" s="54">
        <f>IF(OR($A7="",K$5="",TRIM(Mitarbeiter!$E$6)="",NOT(ISNUMBER(Mitarbeiter!$F$6))),"",IF(TRIM(MID(SUBSTITUTE(TRIM(Mitarbeiter!$E$6)," ",REPT(" ",99)),((MOD(K$5-Mitarbeiter!$F$6,(LEN(TRIM(Mitarbeiter!$E$6))-LEN(SUBSTITUTE(TRIM(Mitarbeiter!$E$6)," ",""))+1))+1)-1)*99+1,99))="-","",TRIM(MID(SUBSTITUTE(TRIM(Mitarbeiter!$E$6)," ",REPT(" ",99)),((MOD(K$5-Mitarbeiter!$F$6,(LEN(TRIM(Mitarbeiter!$E$6))-LEN(SUBSTITUTE(TRIM(Mitarbeiter!$E$6)," ",""))+1))+1)-1)*99+1,99))))</f>
      </c>
      <c r="L7" s="54">
        <f>IF(OR($A7="",L$5="",TRIM(Mitarbeiter!$E$6)="",NOT(ISNUMBER(Mitarbeiter!$F$6))),"",IF(TRIM(MID(SUBSTITUTE(TRIM(Mitarbeiter!$E$6)," ",REPT(" ",99)),((MOD(L$5-Mitarbeiter!$F$6,(LEN(TRIM(Mitarbeiter!$E$6))-LEN(SUBSTITUTE(TRIM(Mitarbeiter!$E$6)," ",""))+1))+1)-1)*99+1,99))="-","",TRIM(MID(SUBSTITUTE(TRIM(Mitarbeiter!$E$6)," ",REPT(" ",99)),((MOD(L$5-Mitarbeiter!$F$6,(LEN(TRIM(Mitarbeiter!$E$6))-LEN(SUBSTITUTE(TRIM(Mitarbeiter!$E$6)," ",""))+1))+1)-1)*99+1,99))))</f>
      </c>
      <c r="M7" s="54">
        <f>IF(OR($A7="",M$5="",TRIM(Mitarbeiter!$E$6)="",NOT(ISNUMBER(Mitarbeiter!$F$6))),"",IF(TRIM(MID(SUBSTITUTE(TRIM(Mitarbeiter!$E$6)," ",REPT(" ",99)),((MOD(M$5-Mitarbeiter!$F$6,(LEN(TRIM(Mitarbeiter!$E$6))-LEN(SUBSTITUTE(TRIM(Mitarbeiter!$E$6)," ",""))+1))+1)-1)*99+1,99))="-","",TRIM(MID(SUBSTITUTE(TRIM(Mitarbeiter!$E$6)," ",REPT(" ",99)),((MOD(M$5-Mitarbeiter!$F$6,(LEN(TRIM(Mitarbeiter!$E$6))-LEN(SUBSTITUTE(TRIM(Mitarbeiter!$E$6)," ",""))+1))+1)-1)*99+1,99))))</f>
      </c>
      <c r="N7" s="54">
        <f>IF(OR($A7="",N$5="",TRIM(Mitarbeiter!$E$6)="",NOT(ISNUMBER(Mitarbeiter!$F$6))),"",IF(TRIM(MID(SUBSTITUTE(TRIM(Mitarbeiter!$E$6)," ",REPT(" ",99)),((MOD(N$5-Mitarbeiter!$F$6,(LEN(TRIM(Mitarbeiter!$E$6))-LEN(SUBSTITUTE(TRIM(Mitarbeiter!$E$6)," ",""))+1))+1)-1)*99+1,99))="-","",TRIM(MID(SUBSTITUTE(TRIM(Mitarbeiter!$E$6)," ",REPT(" ",99)),((MOD(N$5-Mitarbeiter!$F$6,(LEN(TRIM(Mitarbeiter!$E$6))-LEN(SUBSTITUTE(TRIM(Mitarbeiter!$E$6)," ",""))+1))+1)-1)*99+1,99))))</f>
      </c>
      <c r="O7" s="54">
        <f>IF(OR($A7="",O$5="",TRIM(Mitarbeiter!$E$6)="",NOT(ISNUMBER(Mitarbeiter!$F$6))),"",IF(TRIM(MID(SUBSTITUTE(TRIM(Mitarbeiter!$E$6)," ",REPT(" ",99)),((MOD(O$5-Mitarbeiter!$F$6,(LEN(TRIM(Mitarbeiter!$E$6))-LEN(SUBSTITUTE(TRIM(Mitarbeiter!$E$6)," ",""))+1))+1)-1)*99+1,99))="-","",TRIM(MID(SUBSTITUTE(TRIM(Mitarbeiter!$E$6)," ",REPT(" ",99)),((MOD(O$5-Mitarbeiter!$F$6,(LEN(TRIM(Mitarbeiter!$E$6))-LEN(SUBSTITUTE(TRIM(Mitarbeiter!$E$6)," ",""))+1))+1)-1)*99+1,99))))</f>
      </c>
      <c r="P7" s="54">
        <f>IF(OR($A7="",P$5="",TRIM(Mitarbeiter!$E$6)="",NOT(ISNUMBER(Mitarbeiter!$F$6))),"",IF(TRIM(MID(SUBSTITUTE(TRIM(Mitarbeiter!$E$6)," ",REPT(" ",99)),((MOD(P$5-Mitarbeiter!$F$6,(LEN(TRIM(Mitarbeiter!$E$6))-LEN(SUBSTITUTE(TRIM(Mitarbeiter!$E$6)," ",""))+1))+1)-1)*99+1,99))="-","",TRIM(MID(SUBSTITUTE(TRIM(Mitarbeiter!$E$6)," ",REPT(" ",99)),((MOD(P$5-Mitarbeiter!$F$6,(LEN(TRIM(Mitarbeiter!$E$6))-LEN(SUBSTITUTE(TRIM(Mitarbeiter!$E$6)," ",""))+1))+1)-1)*99+1,99))))</f>
      </c>
      <c r="Q7" s="54">
        <f>IF(OR($A7="",Q$5="",TRIM(Mitarbeiter!$E$6)="",NOT(ISNUMBER(Mitarbeiter!$F$6))),"",IF(TRIM(MID(SUBSTITUTE(TRIM(Mitarbeiter!$E$6)," ",REPT(" ",99)),((MOD(Q$5-Mitarbeiter!$F$6,(LEN(TRIM(Mitarbeiter!$E$6))-LEN(SUBSTITUTE(TRIM(Mitarbeiter!$E$6)," ",""))+1))+1)-1)*99+1,99))="-","",TRIM(MID(SUBSTITUTE(TRIM(Mitarbeiter!$E$6)," ",REPT(" ",99)),((MOD(Q$5-Mitarbeiter!$F$6,(LEN(TRIM(Mitarbeiter!$E$6))-LEN(SUBSTITUTE(TRIM(Mitarbeiter!$E$6)," ",""))+1))+1)-1)*99+1,99))))</f>
      </c>
      <c r="R7" s="54">
        <f>IF(OR($A7="",R$5="",TRIM(Mitarbeiter!$E$6)="",NOT(ISNUMBER(Mitarbeiter!$F$6))),"",IF(TRIM(MID(SUBSTITUTE(TRIM(Mitarbeiter!$E$6)," ",REPT(" ",99)),((MOD(R$5-Mitarbeiter!$F$6,(LEN(TRIM(Mitarbeiter!$E$6))-LEN(SUBSTITUTE(TRIM(Mitarbeiter!$E$6)," ",""))+1))+1)-1)*99+1,99))="-","",TRIM(MID(SUBSTITUTE(TRIM(Mitarbeiter!$E$6)," ",REPT(" ",99)),((MOD(R$5-Mitarbeiter!$F$6,(LEN(TRIM(Mitarbeiter!$E$6))-LEN(SUBSTITUTE(TRIM(Mitarbeiter!$E$6)," ",""))+1))+1)-1)*99+1,99))))</f>
      </c>
      <c r="S7" s="54">
        <f>IF(OR($A7="",S$5="",TRIM(Mitarbeiter!$E$6)="",NOT(ISNUMBER(Mitarbeiter!$F$6))),"",IF(TRIM(MID(SUBSTITUTE(TRIM(Mitarbeiter!$E$6)," ",REPT(" ",99)),((MOD(S$5-Mitarbeiter!$F$6,(LEN(TRIM(Mitarbeiter!$E$6))-LEN(SUBSTITUTE(TRIM(Mitarbeiter!$E$6)," ",""))+1))+1)-1)*99+1,99))="-","",TRIM(MID(SUBSTITUTE(TRIM(Mitarbeiter!$E$6)," ",REPT(" ",99)),((MOD(S$5-Mitarbeiter!$F$6,(LEN(TRIM(Mitarbeiter!$E$6))-LEN(SUBSTITUTE(TRIM(Mitarbeiter!$E$6)," ",""))+1))+1)-1)*99+1,99))))</f>
      </c>
      <c r="T7" s="54">
        <f>IF(OR($A7="",T$5="",TRIM(Mitarbeiter!$E$6)="",NOT(ISNUMBER(Mitarbeiter!$F$6))),"",IF(TRIM(MID(SUBSTITUTE(TRIM(Mitarbeiter!$E$6)," ",REPT(" ",99)),((MOD(T$5-Mitarbeiter!$F$6,(LEN(TRIM(Mitarbeiter!$E$6))-LEN(SUBSTITUTE(TRIM(Mitarbeiter!$E$6)," ",""))+1))+1)-1)*99+1,99))="-","",TRIM(MID(SUBSTITUTE(TRIM(Mitarbeiter!$E$6)," ",REPT(" ",99)),((MOD(T$5-Mitarbeiter!$F$6,(LEN(TRIM(Mitarbeiter!$E$6))-LEN(SUBSTITUTE(TRIM(Mitarbeiter!$E$6)," ",""))+1))+1)-1)*99+1,99))))</f>
      </c>
      <c r="U7" s="54">
        <f>IF(OR($A7="",U$5="",TRIM(Mitarbeiter!$E$6)="",NOT(ISNUMBER(Mitarbeiter!$F$6))),"",IF(TRIM(MID(SUBSTITUTE(TRIM(Mitarbeiter!$E$6)," ",REPT(" ",99)),((MOD(U$5-Mitarbeiter!$F$6,(LEN(TRIM(Mitarbeiter!$E$6))-LEN(SUBSTITUTE(TRIM(Mitarbeiter!$E$6)," ",""))+1))+1)-1)*99+1,99))="-","",TRIM(MID(SUBSTITUTE(TRIM(Mitarbeiter!$E$6)," ",REPT(" ",99)),((MOD(U$5-Mitarbeiter!$F$6,(LEN(TRIM(Mitarbeiter!$E$6))-LEN(SUBSTITUTE(TRIM(Mitarbeiter!$E$6)," ",""))+1))+1)-1)*99+1,99))))</f>
      </c>
      <c r="V7" s="54">
        <f>IF(OR($A7="",V$5="",TRIM(Mitarbeiter!$E$6)="",NOT(ISNUMBER(Mitarbeiter!$F$6))),"",IF(TRIM(MID(SUBSTITUTE(TRIM(Mitarbeiter!$E$6)," ",REPT(" ",99)),((MOD(V$5-Mitarbeiter!$F$6,(LEN(TRIM(Mitarbeiter!$E$6))-LEN(SUBSTITUTE(TRIM(Mitarbeiter!$E$6)," ",""))+1))+1)-1)*99+1,99))="-","",TRIM(MID(SUBSTITUTE(TRIM(Mitarbeiter!$E$6)," ",REPT(" ",99)),((MOD(V$5-Mitarbeiter!$F$6,(LEN(TRIM(Mitarbeiter!$E$6))-LEN(SUBSTITUTE(TRIM(Mitarbeiter!$E$6)," ",""))+1))+1)-1)*99+1,99))))</f>
      </c>
      <c r="W7" s="54">
        <f>IF(OR($A7="",W$5="",TRIM(Mitarbeiter!$E$6)="",NOT(ISNUMBER(Mitarbeiter!$F$6))),"",IF(TRIM(MID(SUBSTITUTE(TRIM(Mitarbeiter!$E$6)," ",REPT(" ",99)),((MOD(W$5-Mitarbeiter!$F$6,(LEN(TRIM(Mitarbeiter!$E$6))-LEN(SUBSTITUTE(TRIM(Mitarbeiter!$E$6)," ",""))+1))+1)-1)*99+1,99))="-","",TRIM(MID(SUBSTITUTE(TRIM(Mitarbeiter!$E$6)," ",REPT(" ",99)),((MOD(W$5-Mitarbeiter!$F$6,(LEN(TRIM(Mitarbeiter!$E$6))-LEN(SUBSTITUTE(TRIM(Mitarbeiter!$E$6)," ",""))+1))+1)-1)*99+1,99))))</f>
      </c>
      <c r="X7" s="54">
        <f>IF(OR($A7="",X$5="",TRIM(Mitarbeiter!$E$6)="",NOT(ISNUMBER(Mitarbeiter!$F$6))),"",IF(TRIM(MID(SUBSTITUTE(TRIM(Mitarbeiter!$E$6)," ",REPT(" ",99)),((MOD(X$5-Mitarbeiter!$F$6,(LEN(TRIM(Mitarbeiter!$E$6))-LEN(SUBSTITUTE(TRIM(Mitarbeiter!$E$6)," ",""))+1))+1)-1)*99+1,99))="-","",TRIM(MID(SUBSTITUTE(TRIM(Mitarbeiter!$E$6)," ",REPT(" ",99)),((MOD(X$5-Mitarbeiter!$F$6,(LEN(TRIM(Mitarbeiter!$E$6))-LEN(SUBSTITUTE(TRIM(Mitarbeiter!$E$6)," ",""))+1))+1)-1)*99+1,99))))</f>
      </c>
      <c r="Y7" s="54">
        <f>IF(OR($A7="",Y$5="",TRIM(Mitarbeiter!$E$6)="",NOT(ISNUMBER(Mitarbeiter!$F$6))),"",IF(TRIM(MID(SUBSTITUTE(TRIM(Mitarbeiter!$E$6)," ",REPT(" ",99)),((MOD(Y$5-Mitarbeiter!$F$6,(LEN(TRIM(Mitarbeiter!$E$6))-LEN(SUBSTITUTE(TRIM(Mitarbeiter!$E$6)," ",""))+1))+1)-1)*99+1,99))="-","",TRIM(MID(SUBSTITUTE(TRIM(Mitarbeiter!$E$6)," ",REPT(" ",99)),((MOD(Y$5-Mitarbeiter!$F$6,(LEN(TRIM(Mitarbeiter!$E$6))-LEN(SUBSTITUTE(TRIM(Mitarbeiter!$E$6)," ",""))+1))+1)-1)*99+1,99))))</f>
      </c>
      <c r="Z7" s="54">
        <f>IF(OR($A7="",Z$5="",TRIM(Mitarbeiter!$E$6)="",NOT(ISNUMBER(Mitarbeiter!$F$6))),"",IF(TRIM(MID(SUBSTITUTE(TRIM(Mitarbeiter!$E$6)," ",REPT(" ",99)),((MOD(Z$5-Mitarbeiter!$F$6,(LEN(TRIM(Mitarbeiter!$E$6))-LEN(SUBSTITUTE(TRIM(Mitarbeiter!$E$6)," ",""))+1))+1)-1)*99+1,99))="-","",TRIM(MID(SUBSTITUTE(TRIM(Mitarbeiter!$E$6)," ",REPT(" ",99)),((MOD(Z$5-Mitarbeiter!$F$6,(LEN(TRIM(Mitarbeiter!$E$6))-LEN(SUBSTITUTE(TRIM(Mitarbeiter!$E$6)," ",""))+1))+1)-1)*99+1,99))))</f>
      </c>
      <c r="AA7" s="54">
        <f>IF(OR($A7="",AA$5="",TRIM(Mitarbeiter!$E$6)="",NOT(ISNUMBER(Mitarbeiter!$F$6))),"",IF(TRIM(MID(SUBSTITUTE(TRIM(Mitarbeiter!$E$6)," ",REPT(" ",99)),((MOD(AA$5-Mitarbeiter!$F$6,(LEN(TRIM(Mitarbeiter!$E$6))-LEN(SUBSTITUTE(TRIM(Mitarbeiter!$E$6)," ",""))+1))+1)-1)*99+1,99))="-","",TRIM(MID(SUBSTITUTE(TRIM(Mitarbeiter!$E$6)," ",REPT(" ",99)),((MOD(AA$5-Mitarbeiter!$F$6,(LEN(TRIM(Mitarbeiter!$E$6))-LEN(SUBSTITUTE(TRIM(Mitarbeiter!$E$6)," ",""))+1))+1)-1)*99+1,99))))</f>
      </c>
      <c r="AB7" s="54">
        <f>IF(OR($A7="",AB$5="",TRIM(Mitarbeiter!$E$6)="",NOT(ISNUMBER(Mitarbeiter!$F$6))),"",IF(TRIM(MID(SUBSTITUTE(TRIM(Mitarbeiter!$E$6)," ",REPT(" ",99)),((MOD(AB$5-Mitarbeiter!$F$6,(LEN(TRIM(Mitarbeiter!$E$6))-LEN(SUBSTITUTE(TRIM(Mitarbeiter!$E$6)," ",""))+1))+1)-1)*99+1,99))="-","",TRIM(MID(SUBSTITUTE(TRIM(Mitarbeiter!$E$6)," ",REPT(" ",99)),((MOD(AB$5-Mitarbeiter!$F$6,(LEN(TRIM(Mitarbeiter!$E$6))-LEN(SUBSTITUTE(TRIM(Mitarbeiter!$E$6)," ",""))+1))+1)-1)*99+1,99))))</f>
      </c>
      <c r="AC7" s="54">
        <f>IF(OR($A7="",AC$5="",TRIM(Mitarbeiter!$E$6)="",NOT(ISNUMBER(Mitarbeiter!$F$6))),"",IF(TRIM(MID(SUBSTITUTE(TRIM(Mitarbeiter!$E$6)," ",REPT(" ",99)),((MOD(AC$5-Mitarbeiter!$F$6,(LEN(TRIM(Mitarbeiter!$E$6))-LEN(SUBSTITUTE(TRIM(Mitarbeiter!$E$6)," ",""))+1))+1)-1)*99+1,99))="-","",TRIM(MID(SUBSTITUTE(TRIM(Mitarbeiter!$E$6)," ",REPT(" ",99)),((MOD(AC$5-Mitarbeiter!$F$6,(LEN(TRIM(Mitarbeiter!$E$6))-LEN(SUBSTITUTE(TRIM(Mitarbeiter!$E$6)," ",""))+1))+1)-1)*99+1,99))))</f>
      </c>
      <c r="AD7" s="54">
        <f>IF(OR($A7="",AD$5="",TRIM(Mitarbeiter!$E$6)="",NOT(ISNUMBER(Mitarbeiter!$F$6))),"",IF(TRIM(MID(SUBSTITUTE(TRIM(Mitarbeiter!$E$6)," ",REPT(" ",99)),((MOD(AD$5-Mitarbeiter!$F$6,(LEN(TRIM(Mitarbeiter!$E$6))-LEN(SUBSTITUTE(TRIM(Mitarbeiter!$E$6)," ",""))+1))+1)-1)*99+1,99))="-","",TRIM(MID(SUBSTITUTE(TRIM(Mitarbeiter!$E$6)," ",REPT(" ",99)),((MOD(AD$5-Mitarbeiter!$F$6,(LEN(TRIM(Mitarbeiter!$E$6))-LEN(SUBSTITUTE(TRIM(Mitarbeiter!$E$6)," ",""))+1))+1)-1)*99+1,99))))</f>
      </c>
      <c r="AE7" s="54">
        <f>IF(OR($A7="",AE$5="",TRIM(Mitarbeiter!$E$6)="",NOT(ISNUMBER(Mitarbeiter!$F$6))),"",IF(TRIM(MID(SUBSTITUTE(TRIM(Mitarbeiter!$E$6)," ",REPT(" ",99)),((MOD(AE$5-Mitarbeiter!$F$6,(LEN(TRIM(Mitarbeiter!$E$6))-LEN(SUBSTITUTE(TRIM(Mitarbeiter!$E$6)," ",""))+1))+1)-1)*99+1,99))="-","",TRIM(MID(SUBSTITUTE(TRIM(Mitarbeiter!$E$6)," ",REPT(" ",99)),((MOD(AE$5-Mitarbeiter!$F$6,(LEN(TRIM(Mitarbeiter!$E$6))-LEN(SUBSTITUTE(TRIM(Mitarbeiter!$E$6)," ",""))+1))+1)-1)*99+1,99))))</f>
      </c>
      <c r="AF7" s="54">
        <f>IF(OR($A7="",AF$5="",TRIM(Mitarbeiter!$E$6)="",NOT(ISNUMBER(Mitarbeiter!$F$6))),"",IF(TRIM(MID(SUBSTITUTE(TRIM(Mitarbeiter!$E$6)," ",REPT(" ",99)),((MOD(AF$5-Mitarbeiter!$F$6,(LEN(TRIM(Mitarbeiter!$E$6))-LEN(SUBSTITUTE(TRIM(Mitarbeiter!$E$6)," ",""))+1))+1)-1)*99+1,99))="-","",TRIM(MID(SUBSTITUTE(TRIM(Mitarbeiter!$E$6)," ",REPT(" ",99)),((MOD(AF$5-Mitarbeiter!$F$6,(LEN(TRIM(Mitarbeiter!$E$6))-LEN(SUBSTITUTE(TRIM(Mitarbeiter!$E$6)," ",""))+1))+1)-1)*99+1,99))))</f>
      </c>
      <c r="AG7" s="55">
        <f>IF(OR($A7="",TRIM(Mitarbeiter!$E$6)=""),"",IF(NOT(ISNUMBER(Mitarbeiter!$F$6)),"Rhythmus ab: Datum fehlt",IF(COUNTIF(B7:AF7,"?*")-SUMPRODUCT(COUNTIF(B7:AF7,Codes)*(Codes&lt;&gt;"")*Erste)&gt;0,"Rhythmus enthält ein unbekanntes Kürzel","")))</f>
      </c>
    </row>
    <row r="8" spans="1:33" x14ac:dyDescent="0.25">
      <c r="A8" s="49">
        <f>Mitarbeiter!$A$7&amp;""</f>
      </c>
      <c r="B8" s="54">
        <f>IF(OR($A8="",B$5="",TRIM(Mitarbeiter!$E$7)="",NOT(ISNUMBER(Mitarbeiter!$F$7))),"",IF(TRIM(MID(SUBSTITUTE(TRIM(Mitarbeiter!$E$7)," ",REPT(" ",99)),((MOD(B$5-Mitarbeiter!$F$7,(LEN(TRIM(Mitarbeiter!$E$7))-LEN(SUBSTITUTE(TRIM(Mitarbeiter!$E$7)," ",""))+1))+1)-1)*99+1,99))="-","",TRIM(MID(SUBSTITUTE(TRIM(Mitarbeiter!$E$7)," ",REPT(" ",99)),((MOD(B$5-Mitarbeiter!$F$7,(LEN(TRIM(Mitarbeiter!$E$7))-LEN(SUBSTITUTE(TRIM(Mitarbeiter!$E$7)," ",""))+1))+1)-1)*99+1,99))))</f>
      </c>
      <c r="C8" s="54">
        <f>IF(OR($A8="",C$5="",TRIM(Mitarbeiter!$E$7)="",NOT(ISNUMBER(Mitarbeiter!$F$7))),"",IF(TRIM(MID(SUBSTITUTE(TRIM(Mitarbeiter!$E$7)," ",REPT(" ",99)),((MOD(C$5-Mitarbeiter!$F$7,(LEN(TRIM(Mitarbeiter!$E$7))-LEN(SUBSTITUTE(TRIM(Mitarbeiter!$E$7)," ",""))+1))+1)-1)*99+1,99))="-","",TRIM(MID(SUBSTITUTE(TRIM(Mitarbeiter!$E$7)," ",REPT(" ",99)),((MOD(C$5-Mitarbeiter!$F$7,(LEN(TRIM(Mitarbeiter!$E$7))-LEN(SUBSTITUTE(TRIM(Mitarbeiter!$E$7)," ",""))+1))+1)-1)*99+1,99))))</f>
      </c>
      <c r="D8" s="54">
        <f>IF(OR($A8="",D$5="",TRIM(Mitarbeiter!$E$7)="",NOT(ISNUMBER(Mitarbeiter!$F$7))),"",IF(TRIM(MID(SUBSTITUTE(TRIM(Mitarbeiter!$E$7)," ",REPT(" ",99)),((MOD(D$5-Mitarbeiter!$F$7,(LEN(TRIM(Mitarbeiter!$E$7))-LEN(SUBSTITUTE(TRIM(Mitarbeiter!$E$7)," ",""))+1))+1)-1)*99+1,99))="-","",TRIM(MID(SUBSTITUTE(TRIM(Mitarbeiter!$E$7)," ",REPT(" ",99)),((MOD(D$5-Mitarbeiter!$F$7,(LEN(TRIM(Mitarbeiter!$E$7))-LEN(SUBSTITUTE(TRIM(Mitarbeiter!$E$7)," ",""))+1))+1)-1)*99+1,99))))</f>
      </c>
      <c r="E8" s="54">
        <f>IF(OR($A8="",E$5="",TRIM(Mitarbeiter!$E$7)="",NOT(ISNUMBER(Mitarbeiter!$F$7))),"",IF(TRIM(MID(SUBSTITUTE(TRIM(Mitarbeiter!$E$7)," ",REPT(" ",99)),((MOD(E$5-Mitarbeiter!$F$7,(LEN(TRIM(Mitarbeiter!$E$7))-LEN(SUBSTITUTE(TRIM(Mitarbeiter!$E$7)," ",""))+1))+1)-1)*99+1,99))="-","",TRIM(MID(SUBSTITUTE(TRIM(Mitarbeiter!$E$7)," ",REPT(" ",99)),((MOD(E$5-Mitarbeiter!$F$7,(LEN(TRIM(Mitarbeiter!$E$7))-LEN(SUBSTITUTE(TRIM(Mitarbeiter!$E$7)," ",""))+1))+1)-1)*99+1,99))))</f>
      </c>
      <c r="F8" s="54">
        <f>IF(OR($A8="",F$5="",TRIM(Mitarbeiter!$E$7)="",NOT(ISNUMBER(Mitarbeiter!$F$7))),"",IF(TRIM(MID(SUBSTITUTE(TRIM(Mitarbeiter!$E$7)," ",REPT(" ",99)),((MOD(F$5-Mitarbeiter!$F$7,(LEN(TRIM(Mitarbeiter!$E$7))-LEN(SUBSTITUTE(TRIM(Mitarbeiter!$E$7)," ",""))+1))+1)-1)*99+1,99))="-","",TRIM(MID(SUBSTITUTE(TRIM(Mitarbeiter!$E$7)," ",REPT(" ",99)),((MOD(F$5-Mitarbeiter!$F$7,(LEN(TRIM(Mitarbeiter!$E$7))-LEN(SUBSTITUTE(TRIM(Mitarbeiter!$E$7)," ",""))+1))+1)-1)*99+1,99))))</f>
      </c>
      <c r="G8" s="54">
        <f>IF(OR($A8="",G$5="",TRIM(Mitarbeiter!$E$7)="",NOT(ISNUMBER(Mitarbeiter!$F$7))),"",IF(TRIM(MID(SUBSTITUTE(TRIM(Mitarbeiter!$E$7)," ",REPT(" ",99)),((MOD(G$5-Mitarbeiter!$F$7,(LEN(TRIM(Mitarbeiter!$E$7))-LEN(SUBSTITUTE(TRIM(Mitarbeiter!$E$7)," ",""))+1))+1)-1)*99+1,99))="-","",TRIM(MID(SUBSTITUTE(TRIM(Mitarbeiter!$E$7)," ",REPT(" ",99)),((MOD(G$5-Mitarbeiter!$F$7,(LEN(TRIM(Mitarbeiter!$E$7))-LEN(SUBSTITUTE(TRIM(Mitarbeiter!$E$7)," ",""))+1))+1)-1)*99+1,99))))</f>
      </c>
      <c r="H8" s="54">
        <f>IF(OR($A8="",H$5="",TRIM(Mitarbeiter!$E$7)="",NOT(ISNUMBER(Mitarbeiter!$F$7))),"",IF(TRIM(MID(SUBSTITUTE(TRIM(Mitarbeiter!$E$7)," ",REPT(" ",99)),((MOD(H$5-Mitarbeiter!$F$7,(LEN(TRIM(Mitarbeiter!$E$7))-LEN(SUBSTITUTE(TRIM(Mitarbeiter!$E$7)," ",""))+1))+1)-1)*99+1,99))="-","",TRIM(MID(SUBSTITUTE(TRIM(Mitarbeiter!$E$7)," ",REPT(" ",99)),((MOD(H$5-Mitarbeiter!$F$7,(LEN(TRIM(Mitarbeiter!$E$7))-LEN(SUBSTITUTE(TRIM(Mitarbeiter!$E$7)," ",""))+1))+1)-1)*99+1,99))))</f>
      </c>
      <c r="I8" s="54">
        <f>IF(OR($A8="",I$5="",TRIM(Mitarbeiter!$E$7)="",NOT(ISNUMBER(Mitarbeiter!$F$7))),"",IF(TRIM(MID(SUBSTITUTE(TRIM(Mitarbeiter!$E$7)," ",REPT(" ",99)),((MOD(I$5-Mitarbeiter!$F$7,(LEN(TRIM(Mitarbeiter!$E$7))-LEN(SUBSTITUTE(TRIM(Mitarbeiter!$E$7)," ",""))+1))+1)-1)*99+1,99))="-","",TRIM(MID(SUBSTITUTE(TRIM(Mitarbeiter!$E$7)," ",REPT(" ",99)),((MOD(I$5-Mitarbeiter!$F$7,(LEN(TRIM(Mitarbeiter!$E$7))-LEN(SUBSTITUTE(TRIM(Mitarbeiter!$E$7)," ",""))+1))+1)-1)*99+1,99))))</f>
      </c>
      <c r="J8" s="54">
        <f>IF(OR($A8="",J$5="",TRIM(Mitarbeiter!$E$7)="",NOT(ISNUMBER(Mitarbeiter!$F$7))),"",IF(TRIM(MID(SUBSTITUTE(TRIM(Mitarbeiter!$E$7)," ",REPT(" ",99)),((MOD(J$5-Mitarbeiter!$F$7,(LEN(TRIM(Mitarbeiter!$E$7))-LEN(SUBSTITUTE(TRIM(Mitarbeiter!$E$7)," ",""))+1))+1)-1)*99+1,99))="-","",TRIM(MID(SUBSTITUTE(TRIM(Mitarbeiter!$E$7)," ",REPT(" ",99)),((MOD(J$5-Mitarbeiter!$F$7,(LEN(TRIM(Mitarbeiter!$E$7))-LEN(SUBSTITUTE(TRIM(Mitarbeiter!$E$7)," ",""))+1))+1)-1)*99+1,99))))</f>
      </c>
      <c r="K8" s="54">
        <f>IF(OR($A8="",K$5="",TRIM(Mitarbeiter!$E$7)="",NOT(ISNUMBER(Mitarbeiter!$F$7))),"",IF(TRIM(MID(SUBSTITUTE(TRIM(Mitarbeiter!$E$7)," ",REPT(" ",99)),((MOD(K$5-Mitarbeiter!$F$7,(LEN(TRIM(Mitarbeiter!$E$7))-LEN(SUBSTITUTE(TRIM(Mitarbeiter!$E$7)," ",""))+1))+1)-1)*99+1,99))="-","",TRIM(MID(SUBSTITUTE(TRIM(Mitarbeiter!$E$7)," ",REPT(" ",99)),((MOD(K$5-Mitarbeiter!$F$7,(LEN(TRIM(Mitarbeiter!$E$7))-LEN(SUBSTITUTE(TRIM(Mitarbeiter!$E$7)," ",""))+1))+1)-1)*99+1,99))))</f>
      </c>
      <c r="L8" s="54">
        <f>IF(OR($A8="",L$5="",TRIM(Mitarbeiter!$E$7)="",NOT(ISNUMBER(Mitarbeiter!$F$7))),"",IF(TRIM(MID(SUBSTITUTE(TRIM(Mitarbeiter!$E$7)," ",REPT(" ",99)),((MOD(L$5-Mitarbeiter!$F$7,(LEN(TRIM(Mitarbeiter!$E$7))-LEN(SUBSTITUTE(TRIM(Mitarbeiter!$E$7)," ",""))+1))+1)-1)*99+1,99))="-","",TRIM(MID(SUBSTITUTE(TRIM(Mitarbeiter!$E$7)," ",REPT(" ",99)),((MOD(L$5-Mitarbeiter!$F$7,(LEN(TRIM(Mitarbeiter!$E$7))-LEN(SUBSTITUTE(TRIM(Mitarbeiter!$E$7)," ",""))+1))+1)-1)*99+1,99))))</f>
      </c>
      <c r="M8" s="54">
        <f>IF(OR($A8="",M$5="",TRIM(Mitarbeiter!$E$7)="",NOT(ISNUMBER(Mitarbeiter!$F$7))),"",IF(TRIM(MID(SUBSTITUTE(TRIM(Mitarbeiter!$E$7)," ",REPT(" ",99)),((MOD(M$5-Mitarbeiter!$F$7,(LEN(TRIM(Mitarbeiter!$E$7))-LEN(SUBSTITUTE(TRIM(Mitarbeiter!$E$7)," ",""))+1))+1)-1)*99+1,99))="-","",TRIM(MID(SUBSTITUTE(TRIM(Mitarbeiter!$E$7)," ",REPT(" ",99)),((MOD(M$5-Mitarbeiter!$F$7,(LEN(TRIM(Mitarbeiter!$E$7))-LEN(SUBSTITUTE(TRIM(Mitarbeiter!$E$7)," ",""))+1))+1)-1)*99+1,99))))</f>
      </c>
      <c r="N8" s="54">
        <f>IF(OR($A8="",N$5="",TRIM(Mitarbeiter!$E$7)="",NOT(ISNUMBER(Mitarbeiter!$F$7))),"",IF(TRIM(MID(SUBSTITUTE(TRIM(Mitarbeiter!$E$7)," ",REPT(" ",99)),((MOD(N$5-Mitarbeiter!$F$7,(LEN(TRIM(Mitarbeiter!$E$7))-LEN(SUBSTITUTE(TRIM(Mitarbeiter!$E$7)," ",""))+1))+1)-1)*99+1,99))="-","",TRIM(MID(SUBSTITUTE(TRIM(Mitarbeiter!$E$7)," ",REPT(" ",99)),((MOD(N$5-Mitarbeiter!$F$7,(LEN(TRIM(Mitarbeiter!$E$7))-LEN(SUBSTITUTE(TRIM(Mitarbeiter!$E$7)," ",""))+1))+1)-1)*99+1,99))))</f>
      </c>
      <c r="O8" s="54">
        <f>IF(OR($A8="",O$5="",TRIM(Mitarbeiter!$E$7)="",NOT(ISNUMBER(Mitarbeiter!$F$7))),"",IF(TRIM(MID(SUBSTITUTE(TRIM(Mitarbeiter!$E$7)," ",REPT(" ",99)),((MOD(O$5-Mitarbeiter!$F$7,(LEN(TRIM(Mitarbeiter!$E$7))-LEN(SUBSTITUTE(TRIM(Mitarbeiter!$E$7)," ",""))+1))+1)-1)*99+1,99))="-","",TRIM(MID(SUBSTITUTE(TRIM(Mitarbeiter!$E$7)," ",REPT(" ",99)),((MOD(O$5-Mitarbeiter!$F$7,(LEN(TRIM(Mitarbeiter!$E$7))-LEN(SUBSTITUTE(TRIM(Mitarbeiter!$E$7)," ",""))+1))+1)-1)*99+1,99))))</f>
      </c>
      <c r="P8" s="54">
        <f>IF(OR($A8="",P$5="",TRIM(Mitarbeiter!$E$7)="",NOT(ISNUMBER(Mitarbeiter!$F$7))),"",IF(TRIM(MID(SUBSTITUTE(TRIM(Mitarbeiter!$E$7)," ",REPT(" ",99)),((MOD(P$5-Mitarbeiter!$F$7,(LEN(TRIM(Mitarbeiter!$E$7))-LEN(SUBSTITUTE(TRIM(Mitarbeiter!$E$7)," ",""))+1))+1)-1)*99+1,99))="-","",TRIM(MID(SUBSTITUTE(TRIM(Mitarbeiter!$E$7)," ",REPT(" ",99)),((MOD(P$5-Mitarbeiter!$F$7,(LEN(TRIM(Mitarbeiter!$E$7))-LEN(SUBSTITUTE(TRIM(Mitarbeiter!$E$7)," ",""))+1))+1)-1)*99+1,99))))</f>
      </c>
      <c r="Q8" s="54">
        <f>IF(OR($A8="",Q$5="",TRIM(Mitarbeiter!$E$7)="",NOT(ISNUMBER(Mitarbeiter!$F$7))),"",IF(TRIM(MID(SUBSTITUTE(TRIM(Mitarbeiter!$E$7)," ",REPT(" ",99)),((MOD(Q$5-Mitarbeiter!$F$7,(LEN(TRIM(Mitarbeiter!$E$7))-LEN(SUBSTITUTE(TRIM(Mitarbeiter!$E$7)," ",""))+1))+1)-1)*99+1,99))="-","",TRIM(MID(SUBSTITUTE(TRIM(Mitarbeiter!$E$7)," ",REPT(" ",99)),((MOD(Q$5-Mitarbeiter!$F$7,(LEN(TRIM(Mitarbeiter!$E$7))-LEN(SUBSTITUTE(TRIM(Mitarbeiter!$E$7)," ",""))+1))+1)-1)*99+1,99))))</f>
      </c>
      <c r="R8" s="54">
        <f>IF(OR($A8="",R$5="",TRIM(Mitarbeiter!$E$7)="",NOT(ISNUMBER(Mitarbeiter!$F$7))),"",IF(TRIM(MID(SUBSTITUTE(TRIM(Mitarbeiter!$E$7)," ",REPT(" ",99)),((MOD(R$5-Mitarbeiter!$F$7,(LEN(TRIM(Mitarbeiter!$E$7))-LEN(SUBSTITUTE(TRIM(Mitarbeiter!$E$7)," ",""))+1))+1)-1)*99+1,99))="-","",TRIM(MID(SUBSTITUTE(TRIM(Mitarbeiter!$E$7)," ",REPT(" ",99)),((MOD(R$5-Mitarbeiter!$F$7,(LEN(TRIM(Mitarbeiter!$E$7))-LEN(SUBSTITUTE(TRIM(Mitarbeiter!$E$7)," ",""))+1))+1)-1)*99+1,99))))</f>
      </c>
      <c r="S8" s="54">
        <f>IF(OR($A8="",S$5="",TRIM(Mitarbeiter!$E$7)="",NOT(ISNUMBER(Mitarbeiter!$F$7))),"",IF(TRIM(MID(SUBSTITUTE(TRIM(Mitarbeiter!$E$7)," ",REPT(" ",99)),((MOD(S$5-Mitarbeiter!$F$7,(LEN(TRIM(Mitarbeiter!$E$7))-LEN(SUBSTITUTE(TRIM(Mitarbeiter!$E$7)," ",""))+1))+1)-1)*99+1,99))="-","",TRIM(MID(SUBSTITUTE(TRIM(Mitarbeiter!$E$7)," ",REPT(" ",99)),((MOD(S$5-Mitarbeiter!$F$7,(LEN(TRIM(Mitarbeiter!$E$7))-LEN(SUBSTITUTE(TRIM(Mitarbeiter!$E$7)," ",""))+1))+1)-1)*99+1,99))))</f>
      </c>
      <c r="T8" s="54">
        <f>IF(OR($A8="",T$5="",TRIM(Mitarbeiter!$E$7)="",NOT(ISNUMBER(Mitarbeiter!$F$7))),"",IF(TRIM(MID(SUBSTITUTE(TRIM(Mitarbeiter!$E$7)," ",REPT(" ",99)),((MOD(T$5-Mitarbeiter!$F$7,(LEN(TRIM(Mitarbeiter!$E$7))-LEN(SUBSTITUTE(TRIM(Mitarbeiter!$E$7)," ",""))+1))+1)-1)*99+1,99))="-","",TRIM(MID(SUBSTITUTE(TRIM(Mitarbeiter!$E$7)," ",REPT(" ",99)),((MOD(T$5-Mitarbeiter!$F$7,(LEN(TRIM(Mitarbeiter!$E$7))-LEN(SUBSTITUTE(TRIM(Mitarbeiter!$E$7)," ",""))+1))+1)-1)*99+1,99))))</f>
      </c>
      <c r="U8" s="54">
        <f>IF(OR($A8="",U$5="",TRIM(Mitarbeiter!$E$7)="",NOT(ISNUMBER(Mitarbeiter!$F$7))),"",IF(TRIM(MID(SUBSTITUTE(TRIM(Mitarbeiter!$E$7)," ",REPT(" ",99)),((MOD(U$5-Mitarbeiter!$F$7,(LEN(TRIM(Mitarbeiter!$E$7))-LEN(SUBSTITUTE(TRIM(Mitarbeiter!$E$7)," ",""))+1))+1)-1)*99+1,99))="-","",TRIM(MID(SUBSTITUTE(TRIM(Mitarbeiter!$E$7)," ",REPT(" ",99)),((MOD(U$5-Mitarbeiter!$F$7,(LEN(TRIM(Mitarbeiter!$E$7))-LEN(SUBSTITUTE(TRIM(Mitarbeiter!$E$7)," ",""))+1))+1)-1)*99+1,99))))</f>
      </c>
      <c r="V8" s="54">
        <f>IF(OR($A8="",V$5="",TRIM(Mitarbeiter!$E$7)="",NOT(ISNUMBER(Mitarbeiter!$F$7))),"",IF(TRIM(MID(SUBSTITUTE(TRIM(Mitarbeiter!$E$7)," ",REPT(" ",99)),((MOD(V$5-Mitarbeiter!$F$7,(LEN(TRIM(Mitarbeiter!$E$7))-LEN(SUBSTITUTE(TRIM(Mitarbeiter!$E$7)," ",""))+1))+1)-1)*99+1,99))="-","",TRIM(MID(SUBSTITUTE(TRIM(Mitarbeiter!$E$7)," ",REPT(" ",99)),((MOD(V$5-Mitarbeiter!$F$7,(LEN(TRIM(Mitarbeiter!$E$7))-LEN(SUBSTITUTE(TRIM(Mitarbeiter!$E$7)," ",""))+1))+1)-1)*99+1,99))))</f>
      </c>
      <c r="W8" s="54">
        <f>IF(OR($A8="",W$5="",TRIM(Mitarbeiter!$E$7)="",NOT(ISNUMBER(Mitarbeiter!$F$7))),"",IF(TRIM(MID(SUBSTITUTE(TRIM(Mitarbeiter!$E$7)," ",REPT(" ",99)),((MOD(W$5-Mitarbeiter!$F$7,(LEN(TRIM(Mitarbeiter!$E$7))-LEN(SUBSTITUTE(TRIM(Mitarbeiter!$E$7)," ",""))+1))+1)-1)*99+1,99))="-","",TRIM(MID(SUBSTITUTE(TRIM(Mitarbeiter!$E$7)," ",REPT(" ",99)),((MOD(W$5-Mitarbeiter!$F$7,(LEN(TRIM(Mitarbeiter!$E$7))-LEN(SUBSTITUTE(TRIM(Mitarbeiter!$E$7)," ",""))+1))+1)-1)*99+1,99))))</f>
      </c>
      <c r="X8" s="54">
        <f>IF(OR($A8="",X$5="",TRIM(Mitarbeiter!$E$7)="",NOT(ISNUMBER(Mitarbeiter!$F$7))),"",IF(TRIM(MID(SUBSTITUTE(TRIM(Mitarbeiter!$E$7)," ",REPT(" ",99)),((MOD(X$5-Mitarbeiter!$F$7,(LEN(TRIM(Mitarbeiter!$E$7))-LEN(SUBSTITUTE(TRIM(Mitarbeiter!$E$7)," ",""))+1))+1)-1)*99+1,99))="-","",TRIM(MID(SUBSTITUTE(TRIM(Mitarbeiter!$E$7)," ",REPT(" ",99)),((MOD(X$5-Mitarbeiter!$F$7,(LEN(TRIM(Mitarbeiter!$E$7))-LEN(SUBSTITUTE(TRIM(Mitarbeiter!$E$7)," ",""))+1))+1)-1)*99+1,99))))</f>
      </c>
      <c r="Y8" s="54">
        <f>IF(OR($A8="",Y$5="",TRIM(Mitarbeiter!$E$7)="",NOT(ISNUMBER(Mitarbeiter!$F$7))),"",IF(TRIM(MID(SUBSTITUTE(TRIM(Mitarbeiter!$E$7)," ",REPT(" ",99)),((MOD(Y$5-Mitarbeiter!$F$7,(LEN(TRIM(Mitarbeiter!$E$7))-LEN(SUBSTITUTE(TRIM(Mitarbeiter!$E$7)," ",""))+1))+1)-1)*99+1,99))="-","",TRIM(MID(SUBSTITUTE(TRIM(Mitarbeiter!$E$7)," ",REPT(" ",99)),((MOD(Y$5-Mitarbeiter!$F$7,(LEN(TRIM(Mitarbeiter!$E$7))-LEN(SUBSTITUTE(TRIM(Mitarbeiter!$E$7)," ",""))+1))+1)-1)*99+1,99))))</f>
      </c>
      <c r="Z8" s="54">
        <f>IF(OR($A8="",Z$5="",TRIM(Mitarbeiter!$E$7)="",NOT(ISNUMBER(Mitarbeiter!$F$7))),"",IF(TRIM(MID(SUBSTITUTE(TRIM(Mitarbeiter!$E$7)," ",REPT(" ",99)),((MOD(Z$5-Mitarbeiter!$F$7,(LEN(TRIM(Mitarbeiter!$E$7))-LEN(SUBSTITUTE(TRIM(Mitarbeiter!$E$7)," ",""))+1))+1)-1)*99+1,99))="-","",TRIM(MID(SUBSTITUTE(TRIM(Mitarbeiter!$E$7)," ",REPT(" ",99)),((MOD(Z$5-Mitarbeiter!$F$7,(LEN(TRIM(Mitarbeiter!$E$7))-LEN(SUBSTITUTE(TRIM(Mitarbeiter!$E$7)," ",""))+1))+1)-1)*99+1,99))))</f>
      </c>
      <c r="AA8" s="54">
        <f>IF(OR($A8="",AA$5="",TRIM(Mitarbeiter!$E$7)="",NOT(ISNUMBER(Mitarbeiter!$F$7))),"",IF(TRIM(MID(SUBSTITUTE(TRIM(Mitarbeiter!$E$7)," ",REPT(" ",99)),((MOD(AA$5-Mitarbeiter!$F$7,(LEN(TRIM(Mitarbeiter!$E$7))-LEN(SUBSTITUTE(TRIM(Mitarbeiter!$E$7)," ",""))+1))+1)-1)*99+1,99))="-","",TRIM(MID(SUBSTITUTE(TRIM(Mitarbeiter!$E$7)," ",REPT(" ",99)),((MOD(AA$5-Mitarbeiter!$F$7,(LEN(TRIM(Mitarbeiter!$E$7))-LEN(SUBSTITUTE(TRIM(Mitarbeiter!$E$7)," ",""))+1))+1)-1)*99+1,99))))</f>
      </c>
      <c r="AB8" s="54">
        <f>IF(OR($A8="",AB$5="",TRIM(Mitarbeiter!$E$7)="",NOT(ISNUMBER(Mitarbeiter!$F$7))),"",IF(TRIM(MID(SUBSTITUTE(TRIM(Mitarbeiter!$E$7)," ",REPT(" ",99)),((MOD(AB$5-Mitarbeiter!$F$7,(LEN(TRIM(Mitarbeiter!$E$7))-LEN(SUBSTITUTE(TRIM(Mitarbeiter!$E$7)," ",""))+1))+1)-1)*99+1,99))="-","",TRIM(MID(SUBSTITUTE(TRIM(Mitarbeiter!$E$7)," ",REPT(" ",99)),((MOD(AB$5-Mitarbeiter!$F$7,(LEN(TRIM(Mitarbeiter!$E$7))-LEN(SUBSTITUTE(TRIM(Mitarbeiter!$E$7)," ",""))+1))+1)-1)*99+1,99))))</f>
      </c>
      <c r="AC8" s="54">
        <f>IF(OR($A8="",AC$5="",TRIM(Mitarbeiter!$E$7)="",NOT(ISNUMBER(Mitarbeiter!$F$7))),"",IF(TRIM(MID(SUBSTITUTE(TRIM(Mitarbeiter!$E$7)," ",REPT(" ",99)),((MOD(AC$5-Mitarbeiter!$F$7,(LEN(TRIM(Mitarbeiter!$E$7))-LEN(SUBSTITUTE(TRIM(Mitarbeiter!$E$7)," ",""))+1))+1)-1)*99+1,99))="-","",TRIM(MID(SUBSTITUTE(TRIM(Mitarbeiter!$E$7)," ",REPT(" ",99)),((MOD(AC$5-Mitarbeiter!$F$7,(LEN(TRIM(Mitarbeiter!$E$7))-LEN(SUBSTITUTE(TRIM(Mitarbeiter!$E$7)," ",""))+1))+1)-1)*99+1,99))))</f>
      </c>
      <c r="AD8" s="54">
        <f>IF(OR($A8="",AD$5="",TRIM(Mitarbeiter!$E$7)="",NOT(ISNUMBER(Mitarbeiter!$F$7))),"",IF(TRIM(MID(SUBSTITUTE(TRIM(Mitarbeiter!$E$7)," ",REPT(" ",99)),((MOD(AD$5-Mitarbeiter!$F$7,(LEN(TRIM(Mitarbeiter!$E$7))-LEN(SUBSTITUTE(TRIM(Mitarbeiter!$E$7)," ",""))+1))+1)-1)*99+1,99))="-","",TRIM(MID(SUBSTITUTE(TRIM(Mitarbeiter!$E$7)," ",REPT(" ",99)),((MOD(AD$5-Mitarbeiter!$F$7,(LEN(TRIM(Mitarbeiter!$E$7))-LEN(SUBSTITUTE(TRIM(Mitarbeiter!$E$7)," ",""))+1))+1)-1)*99+1,99))))</f>
      </c>
      <c r="AE8" s="54">
        <f>IF(OR($A8="",AE$5="",TRIM(Mitarbeiter!$E$7)="",NOT(ISNUMBER(Mitarbeiter!$F$7))),"",IF(TRIM(MID(SUBSTITUTE(TRIM(Mitarbeiter!$E$7)," ",REPT(" ",99)),((MOD(AE$5-Mitarbeiter!$F$7,(LEN(TRIM(Mitarbeiter!$E$7))-LEN(SUBSTITUTE(TRIM(Mitarbeiter!$E$7)," ",""))+1))+1)-1)*99+1,99))="-","",TRIM(MID(SUBSTITUTE(TRIM(Mitarbeiter!$E$7)," ",REPT(" ",99)),((MOD(AE$5-Mitarbeiter!$F$7,(LEN(TRIM(Mitarbeiter!$E$7))-LEN(SUBSTITUTE(TRIM(Mitarbeiter!$E$7)," ",""))+1))+1)-1)*99+1,99))))</f>
      </c>
      <c r="AF8" s="54">
        <f>IF(OR($A8="",AF$5="",TRIM(Mitarbeiter!$E$7)="",NOT(ISNUMBER(Mitarbeiter!$F$7))),"",IF(TRIM(MID(SUBSTITUTE(TRIM(Mitarbeiter!$E$7)," ",REPT(" ",99)),((MOD(AF$5-Mitarbeiter!$F$7,(LEN(TRIM(Mitarbeiter!$E$7))-LEN(SUBSTITUTE(TRIM(Mitarbeiter!$E$7)," ",""))+1))+1)-1)*99+1,99))="-","",TRIM(MID(SUBSTITUTE(TRIM(Mitarbeiter!$E$7)," ",REPT(" ",99)),((MOD(AF$5-Mitarbeiter!$F$7,(LEN(TRIM(Mitarbeiter!$E$7))-LEN(SUBSTITUTE(TRIM(Mitarbeiter!$E$7)," ",""))+1))+1)-1)*99+1,99))))</f>
      </c>
      <c r="AG8" s="55">
        <f>IF(OR($A8="",TRIM(Mitarbeiter!$E$7)=""),"",IF(NOT(ISNUMBER(Mitarbeiter!$F$7)),"Rhythmus ab: Datum fehlt",IF(COUNTIF(B8:AF8,"?*")-SUMPRODUCT(COUNTIF(B8:AF8,Codes)*(Codes&lt;&gt;"")*Erste)&gt;0,"Rhythmus enthält ein unbekanntes Kürzel","")))</f>
      </c>
    </row>
    <row r="9" spans="1:33" x14ac:dyDescent="0.25">
      <c r="A9" s="49">
        <f>Mitarbeiter!$A$8&amp;""</f>
      </c>
      <c r="B9" s="54">
        <f>IF(OR($A9="",B$5="",TRIM(Mitarbeiter!$E$8)="",NOT(ISNUMBER(Mitarbeiter!$F$8))),"",IF(TRIM(MID(SUBSTITUTE(TRIM(Mitarbeiter!$E$8)," ",REPT(" ",99)),((MOD(B$5-Mitarbeiter!$F$8,(LEN(TRIM(Mitarbeiter!$E$8))-LEN(SUBSTITUTE(TRIM(Mitarbeiter!$E$8)," ",""))+1))+1)-1)*99+1,99))="-","",TRIM(MID(SUBSTITUTE(TRIM(Mitarbeiter!$E$8)," ",REPT(" ",99)),((MOD(B$5-Mitarbeiter!$F$8,(LEN(TRIM(Mitarbeiter!$E$8))-LEN(SUBSTITUTE(TRIM(Mitarbeiter!$E$8)," ",""))+1))+1)-1)*99+1,99))))</f>
      </c>
      <c r="C9" s="54">
        <f>IF(OR($A9="",C$5="",TRIM(Mitarbeiter!$E$8)="",NOT(ISNUMBER(Mitarbeiter!$F$8))),"",IF(TRIM(MID(SUBSTITUTE(TRIM(Mitarbeiter!$E$8)," ",REPT(" ",99)),((MOD(C$5-Mitarbeiter!$F$8,(LEN(TRIM(Mitarbeiter!$E$8))-LEN(SUBSTITUTE(TRIM(Mitarbeiter!$E$8)," ",""))+1))+1)-1)*99+1,99))="-","",TRIM(MID(SUBSTITUTE(TRIM(Mitarbeiter!$E$8)," ",REPT(" ",99)),((MOD(C$5-Mitarbeiter!$F$8,(LEN(TRIM(Mitarbeiter!$E$8))-LEN(SUBSTITUTE(TRIM(Mitarbeiter!$E$8)," ",""))+1))+1)-1)*99+1,99))))</f>
      </c>
      <c r="D9" s="54">
        <f>IF(OR($A9="",D$5="",TRIM(Mitarbeiter!$E$8)="",NOT(ISNUMBER(Mitarbeiter!$F$8))),"",IF(TRIM(MID(SUBSTITUTE(TRIM(Mitarbeiter!$E$8)," ",REPT(" ",99)),((MOD(D$5-Mitarbeiter!$F$8,(LEN(TRIM(Mitarbeiter!$E$8))-LEN(SUBSTITUTE(TRIM(Mitarbeiter!$E$8)," ",""))+1))+1)-1)*99+1,99))="-","",TRIM(MID(SUBSTITUTE(TRIM(Mitarbeiter!$E$8)," ",REPT(" ",99)),((MOD(D$5-Mitarbeiter!$F$8,(LEN(TRIM(Mitarbeiter!$E$8))-LEN(SUBSTITUTE(TRIM(Mitarbeiter!$E$8)," ",""))+1))+1)-1)*99+1,99))))</f>
      </c>
      <c r="E9" s="54">
        <f>IF(OR($A9="",E$5="",TRIM(Mitarbeiter!$E$8)="",NOT(ISNUMBER(Mitarbeiter!$F$8))),"",IF(TRIM(MID(SUBSTITUTE(TRIM(Mitarbeiter!$E$8)," ",REPT(" ",99)),((MOD(E$5-Mitarbeiter!$F$8,(LEN(TRIM(Mitarbeiter!$E$8))-LEN(SUBSTITUTE(TRIM(Mitarbeiter!$E$8)," ",""))+1))+1)-1)*99+1,99))="-","",TRIM(MID(SUBSTITUTE(TRIM(Mitarbeiter!$E$8)," ",REPT(" ",99)),((MOD(E$5-Mitarbeiter!$F$8,(LEN(TRIM(Mitarbeiter!$E$8))-LEN(SUBSTITUTE(TRIM(Mitarbeiter!$E$8)," ",""))+1))+1)-1)*99+1,99))))</f>
      </c>
      <c r="F9" s="54">
        <f>IF(OR($A9="",F$5="",TRIM(Mitarbeiter!$E$8)="",NOT(ISNUMBER(Mitarbeiter!$F$8))),"",IF(TRIM(MID(SUBSTITUTE(TRIM(Mitarbeiter!$E$8)," ",REPT(" ",99)),((MOD(F$5-Mitarbeiter!$F$8,(LEN(TRIM(Mitarbeiter!$E$8))-LEN(SUBSTITUTE(TRIM(Mitarbeiter!$E$8)," ",""))+1))+1)-1)*99+1,99))="-","",TRIM(MID(SUBSTITUTE(TRIM(Mitarbeiter!$E$8)," ",REPT(" ",99)),((MOD(F$5-Mitarbeiter!$F$8,(LEN(TRIM(Mitarbeiter!$E$8))-LEN(SUBSTITUTE(TRIM(Mitarbeiter!$E$8)," ",""))+1))+1)-1)*99+1,99))))</f>
      </c>
      <c r="G9" s="54">
        <f>IF(OR($A9="",G$5="",TRIM(Mitarbeiter!$E$8)="",NOT(ISNUMBER(Mitarbeiter!$F$8))),"",IF(TRIM(MID(SUBSTITUTE(TRIM(Mitarbeiter!$E$8)," ",REPT(" ",99)),((MOD(G$5-Mitarbeiter!$F$8,(LEN(TRIM(Mitarbeiter!$E$8))-LEN(SUBSTITUTE(TRIM(Mitarbeiter!$E$8)," ",""))+1))+1)-1)*99+1,99))="-","",TRIM(MID(SUBSTITUTE(TRIM(Mitarbeiter!$E$8)," ",REPT(" ",99)),((MOD(G$5-Mitarbeiter!$F$8,(LEN(TRIM(Mitarbeiter!$E$8))-LEN(SUBSTITUTE(TRIM(Mitarbeiter!$E$8)," ",""))+1))+1)-1)*99+1,99))))</f>
      </c>
      <c r="H9" s="54">
        <f>IF(OR($A9="",H$5="",TRIM(Mitarbeiter!$E$8)="",NOT(ISNUMBER(Mitarbeiter!$F$8))),"",IF(TRIM(MID(SUBSTITUTE(TRIM(Mitarbeiter!$E$8)," ",REPT(" ",99)),((MOD(H$5-Mitarbeiter!$F$8,(LEN(TRIM(Mitarbeiter!$E$8))-LEN(SUBSTITUTE(TRIM(Mitarbeiter!$E$8)," ",""))+1))+1)-1)*99+1,99))="-","",TRIM(MID(SUBSTITUTE(TRIM(Mitarbeiter!$E$8)," ",REPT(" ",99)),((MOD(H$5-Mitarbeiter!$F$8,(LEN(TRIM(Mitarbeiter!$E$8))-LEN(SUBSTITUTE(TRIM(Mitarbeiter!$E$8)," ",""))+1))+1)-1)*99+1,99))))</f>
      </c>
      <c r="I9" s="54">
        <f>IF(OR($A9="",I$5="",TRIM(Mitarbeiter!$E$8)="",NOT(ISNUMBER(Mitarbeiter!$F$8))),"",IF(TRIM(MID(SUBSTITUTE(TRIM(Mitarbeiter!$E$8)," ",REPT(" ",99)),((MOD(I$5-Mitarbeiter!$F$8,(LEN(TRIM(Mitarbeiter!$E$8))-LEN(SUBSTITUTE(TRIM(Mitarbeiter!$E$8)," ",""))+1))+1)-1)*99+1,99))="-","",TRIM(MID(SUBSTITUTE(TRIM(Mitarbeiter!$E$8)," ",REPT(" ",99)),((MOD(I$5-Mitarbeiter!$F$8,(LEN(TRIM(Mitarbeiter!$E$8))-LEN(SUBSTITUTE(TRIM(Mitarbeiter!$E$8)," ",""))+1))+1)-1)*99+1,99))))</f>
      </c>
      <c r="J9" s="54">
        <f>IF(OR($A9="",J$5="",TRIM(Mitarbeiter!$E$8)="",NOT(ISNUMBER(Mitarbeiter!$F$8))),"",IF(TRIM(MID(SUBSTITUTE(TRIM(Mitarbeiter!$E$8)," ",REPT(" ",99)),((MOD(J$5-Mitarbeiter!$F$8,(LEN(TRIM(Mitarbeiter!$E$8))-LEN(SUBSTITUTE(TRIM(Mitarbeiter!$E$8)," ",""))+1))+1)-1)*99+1,99))="-","",TRIM(MID(SUBSTITUTE(TRIM(Mitarbeiter!$E$8)," ",REPT(" ",99)),((MOD(J$5-Mitarbeiter!$F$8,(LEN(TRIM(Mitarbeiter!$E$8))-LEN(SUBSTITUTE(TRIM(Mitarbeiter!$E$8)," ",""))+1))+1)-1)*99+1,99))))</f>
      </c>
      <c r="K9" s="54">
        <f>IF(OR($A9="",K$5="",TRIM(Mitarbeiter!$E$8)="",NOT(ISNUMBER(Mitarbeiter!$F$8))),"",IF(TRIM(MID(SUBSTITUTE(TRIM(Mitarbeiter!$E$8)," ",REPT(" ",99)),((MOD(K$5-Mitarbeiter!$F$8,(LEN(TRIM(Mitarbeiter!$E$8))-LEN(SUBSTITUTE(TRIM(Mitarbeiter!$E$8)," ",""))+1))+1)-1)*99+1,99))="-","",TRIM(MID(SUBSTITUTE(TRIM(Mitarbeiter!$E$8)," ",REPT(" ",99)),((MOD(K$5-Mitarbeiter!$F$8,(LEN(TRIM(Mitarbeiter!$E$8))-LEN(SUBSTITUTE(TRIM(Mitarbeiter!$E$8)," ",""))+1))+1)-1)*99+1,99))))</f>
      </c>
      <c r="L9" s="54">
        <f>IF(OR($A9="",L$5="",TRIM(Mitarbeiter!$E$8)="",NOT(ISNUMBER(Mitarbeiter!$F$8))),"",IF(TRIM(MID(SUBSTITUTE(TRIM(Mitarbeiter!$E$8)," ",REPT(" ",99)),((MOD(L$5-Mitarbeiter!$F$8,(LEN(TRIM(Mitarbeiter!$E$8))-LEN(SUBSTITUTE(TRIM(Mitarbeiter!$E$8)," ",""))+1))+1)-1)*99+1,99))="-","",TRIM(MID(SUBSTITUTE(TRIM(Mitarbeiter!$E$8)," ",REPT(" ",99)),((MOD(L$5-Mitarbeiter!$F$8,(LEN(TRIM(Mitarbeiter!$E$8))-LEN(SUBSTITUTE(TRIM(Mitarbeiter!$E$8)," ",""))+1))+1)-1)*99+1,99))))</f>
      </c>
      <c r="M9" s="54">
        <f>IF(OR($A9="",M$5="",TRIM(Mitarbeiter!$E$8)="",NOT(ISNUMBER(Mitarbeiter!$F$8))),"",IF(TRIM(MID(SUBSTITUTE(TRIM(Mitarbeiter!$E$8)," ",REPT(" ",99)),((MOD(M$5-Mitarbeiter!$F$8,(LEN(TRIM(Mitarbeiter!$E$8))-LEN(SUBSTITUTE(TRIM(Mitarbeiter!$E$8)," ",""))+1))+1)-1)*99+1,99))="-","",TRIM(MID(SUBSTITUTE(TRIM(Mitarbeiter!$E$8)," ",REPT(" ",99)),((MOD(M$5-Mitarbeiter!$F$8,(LEN(TRIM(Mitarbeiter!$E$8))-LEN(SUBSTITUTE(TRIM(Mitarbeiter!$E$8)," ",""))+1))+1)-1)*99+1,99))))</f>
      </c>
      <c r="N9" s="54">
        <f>IF(OR($A9="",N$5="",TRIM(Mitarbeiter!$E$8)="",NOT(ISNUMBER(Mitarbeiter!$F$8))),"",IF(TRIM(MID(SUBSTITUTE(TRIM(Mitarbeiter!$E$8)," ",REPT(" ",99)),((MOD(N$5-Mitarbeiter!$F$8,(LEN(TRIM(Mitarbeiter!$E$8))-LEN(SUBSTITUTE(TRIM(Mitarbeiter!$E$8)," ",""))+1))+1)-1)*99+1,99))="-","",TRIM(MID(SUBSTITUTE(TRIM(Mitarbeiter!$E$8)," ",REPT(" ",99)),((MOD(N$5-Mitarbeiter!$F$8,(LEN(TRIM(Mitarbeiter!$E$8))-LEN(SUBSTITUTE(TRIM(Mitarbeiter!$E$8)," ",""))+1))+1)-1)*99+1,99))))</f>
      </c>
      <c r="O9" s="54">
        <f>IF(OR($A9="",O$5="",TRIM(Mitarbeiter!$E$8)="",NOT(ISNUMBER(Mitarbeiter!$F$8))),"",IF(TRIM(MID(SUBSTITUTE(TRIM(Mitarbeiter!$E$8)," ",REPT(" ",99)),((MOD(O$5-Mitarbeiter!$F$8,(LEN(TRIM(Mitarbeiter!$E$8))-LEN(SUBSTITUTE(TRIM(Mitarbeiter!$E$8)," ",""))+1))+1)-1)*99+1,99))="-","",TRIM(MID(SUBSTITUTE(TRIM(Mitarbeiter!$E$8)," ",REPT(" ",99)),((MOD(O$5-Mitarbeiter!$F$8,(LEN(TRIM(Mitarbeiter!$E$8))-LEN(SUBSTITUTE(TRIM(Mitarbeiter!$E$8)," ",""))+1))+1)-1)*99+1,99))))</f>
      </c>
      <c r="P9" s="54">
        <f>IF(OR($A9="",P$5="",TRIM(Mitarbeiter!$E$8)="",NOT(ISNUMBER(Mitarbeiter!$F$8))),"",IF(TRIM(MID(SUBSTITUTE(TRIM(Mitarbeiter!$E$8)," ",REPT(" ",99)),((MOD(P$5-Mitarbeiter!$F$8,(LEN(TRIM(Mitarbeiter!$E$8))-LEN(SUBSTITUTE(TRIM(Mitarbeiter!$E$8)," ",""))+1))+1)-1)*99+1,99))="-","",TRIM(MID(SUBSTITUTE(TRIM(Mitarbeiter!$E$8)," ",REPT(" ",99)),((MOD(P$5-Mitarbeiter!$F$8,(LEN(TRIM(Mitarbeiter!$E$8))-LEN(SUBSTITUTE(TRIM(Mitarbeiter!$E$8)," ",""))+1))+1)-1)*99+1,99))))</f>
      </c>
      <c r="Q9" s="54">
        <f>IF(OR($A9="",Q$5="",TRIM(Mitarbeiter!$E$8)="",NOT(ISNUMBER(Mitarbeiter!$F$8))),"",IF(TRIM(MID(SUBSTITUTE(TRIM(Mitarbeiter!$E$8)," ",REPT(" ",99)),((MOD(Q$5-Mitarbeiter!$F$8,(LEN(TRIM(Mitarbeiter!$E$8))-LEN(SUBSTITUTE(TRIM(Mitarbeiter!$E$8)," ",""))+1))+1)-1)*99+1,99))="-","",TRIM(MID(SUBSTITUTE(TRIM(Mitarbeiter!$E$8)," ",REPT(" ",99)),((MOD(Q$5-Mitarbeiter!$F$8,(LEN(TRIM(Mitarbeiter!$E$8))-LEN(SUBSTITUTE(TRIM(Mitarbeiter!$E$8)," ",""))+1))+1)-1)*99+1,99))))</f>
      </c>
      <c r="R9" s="54">
        <f>IF(OR($A9="",R$5="",TRIM(Mitarbeiter!$E$8)="",NOT(ISNUMBER(Mitarbeiter!$F$8))),"",IF(TRIM(MID(SUBSTITUTE(TRIM(Mitarbeiter!$E$8)," ",REPT(" ",99)),((MOD(R$5-Mitarbeiter!$F$8,(LEN(TRIM(Mitarbeiter!$E$8))-LEN(SUBSTITUTE(TRIM(Mitarbeiter!$E$8)," ",""))+1))+1)-1)*99+1,99))="-","",TRIM(MID(SUBSTITUTE(TRIM(Mitarbeiter!$E$8)," ",REPT(" ",99)),((MOD(R$5-Mitarbeiter!$F$8,(LEN(TRIM(Mitarbeiter!$E$8))-LEN(SUBSTITUTE(TRIM(Mitarbeiter!$E$8)," ",""))+1))+1)-1)*99+1,99))))</f>
      </c>
      <c r="S9" s="54">
        <f>IF(OR($A9="",S$5="",TRIM(Mitarbeiter!$E$8)="",NOT(ISNUMBER(Mitarbeiter!$F$8))),"",IF(TRIM(MID(SUBSTITUTE(TRIM(Mitarbeiter!$E$8)," ",REPT(" ",99)),((MOD(S$5-Mitarbeiter!$F$8,(LEN(TRIM(Mitarbeiter!$E$8))-LEN(SUBSTITUTE(TRIM(Mitarbeiter!$E$8)," ",""))+1))+1)-1)*99+1,99))="-","",TRIM(MID(SUBSTITUTE(TRIM(Mitarbeiter!$E$8)," ",REPT(" ",99)),((MOD(S$5-Mitarbeiter!$F$8,(LEN(TRIM(Mitarbeiter!$E$8))-LEN(SUBSTITUTE(TRIM(Mitarbeiter!$E$8)," ",""))+1))+1)-1)*99+1,99))))</f>
      </c>
      <c r="T9" s="54">
        <f>IF(OR($A9="",T$5="",TRIM(Mitarbeiter!$E$8)="",NOT(ISNUMBER(Mitarbeiter!$F$8))),"",IF(TRIM(MID(SUBSTITUTE(TRIM(Mitarbeiter!$E$8)," ",REPT(" ",99)),((MOD(T$5-Mitarbeiter!$F$8,(LEN(TRIM(Mitarbeiter!$E$8))-LEN(SUBSTITUTE(TRIM(Mitarbeiter!$E$8)," ",""))+1))+1)-1)*99+1,99))="-","",TRIM(MID(SUBSTITUTE(TRIM(Mitarbeiter!$E$8)," ",REPT(" ",99)),((MOD(T$5-Mitarbeiter!$F$8,(LEN(TRIM(Mitarbeiter!$E$8))-LEN(SUBSTITUTE(TRIM(Mitarbeiter!$E$8)," ",""))+1))+1)-1)*99+1,99))))</f>
      </c>
      <c r="U9" s="54">
        <f>IF(OR($A9="",U$5="",TRIM(Mitarbeiter!$E$8)="",NOT(ISNUMBER(Mitarbeiter!$F$8))),"",IF(TRIM(MID(SUBSTITUTE(TRIM(Mitarbeiter!$E$8)," ",REPT(" ",99)),((MOD(U$5-Mitarbeiter!$F$8,(LEN(TRIM(Mitarbeiter!$E$8))-LEN(SUBSTITUTE(TRIM(Mitarbeiter!$E$8)," ",""))+1))+1)-1)*99+1,99))="-","",TRIM(MID(SUBSTITUTE(TRIM(Mitarbeiter!$E$8)," ",REPT(" ",99)),((MOD(U$5-Mitarbeiter!$F$8,(LEN(TRIM(Mitarbeiter!$E$8))-LEN(SUBSTITUTE(TRIM(Mitarbeiter!$E$8)," ",""))+1))+1)-1)*99+1,99))))</f>
      </c>
      <c r="V9" s="54">
        <f>IF(OR($A9="",V$5="",TRIM(Mitarbeiter!$E$8)="",NOT(ISNUMBER(Mitarbeiter!$F$8))),"",IF(TRIM(MID(SUBSTITUTE(TRIM(Mitarbeiter!$E$8)," ",REPT(" ",99)),((MOD(V$5-Mitarbeiter!$F$8,(LEN(TRIM(Mitarbeiter!$E$8))-LEN(SUBSTITUTE(TRIM(Mitarbeiter!$E$8)," ",""))+1))+1)-1)*99+1,99))="-","",TRIM(MID(SUBSTITUTE(TRIM(Mitarbeiter!$E$8)," ",REPT(" ",99)),((MOD(V$5-Mitarbeiter!$F$8,(LEN(TRIM(Mitarbeiter!$E$8))-LEN(SUBSTITUTE(TRIM(Mitarbeiter!$E$8)," ",""))+1))+1)-1)*99+1,99))))</f>
      </c>
      <c r="W9" s="54">
        <f>IF(OR($A9="",W$5="",TRIM(Mitarbeiter!$E$8)="",NOT(ISNUMBER(Mitarbeiter!$F$8))),"",IF(TRIM(MID(SUBSTITUTE(TRIM(Mitarbeiter!$E$8)," ",REPT(" ",99)),((MOD(W$5-Mitarbeiter!$F$8,(LEN(TRIM(Mitarbeiter!$E$8))-LEN(SUBSTITUTE(TRIM(Mitarbeiter!$E$8)," ",""))+1))+1)-1)*99+1,99))="-","",TRIM(MID(SUBSTITUTE(TRIM(Mitarbeiter!$E$8)," ",REPT(" ",99)),((MOD(W$5-Mitarbeiter!$F$8,(LEN(TRIM(Mitarbeiter!$E$8))-LEN(SUBSTITUTE(TRIM(Mitarbeiter!$E$8)," ",""))+1))+1)-1)*99+1,99))))</f>
      </c>
      <c r="X9" s="54">
        <f>IF(OR($A9="",X$5="",TRIM(Mitarbeiter!$E$8)="",NOT(ISNUMBER(Mitarbeiter!$F$8))),"",IF(TRIM(MID(SUBSTITUTE(TRIM(Mitarbeiter!$E$8)," ",REPT(" ",99)),((MOD(X$5-Mitarbeiter!$F$8,(LEN(TRIM(Mitarbeiter!$E$8))-LEN(SUBSTITUTE(TRIM(Mitarbeiter!$E$8)," ",""))+1))+1)-1)*99+1,99))="-","",TRIM(MID(SUBSTITUTE(TRIM(Mitarbeiter!$E$8)," ",REPT(" ",99)),((MOD(X$5-Mitarbeiter!$F$8,(LEN(TRIM(Mitarbeiter!$E$8))-LEN(SUBSTITUTE(TRIM(Mitarbeiter!$E$8)," ",""))+1))+1)-1)*99+1,99))))</f>
      </c>
      <c r="Y9" s="54">
        <f>IF(OR($A9="",Y$5="",TRIM(Mitarbeiter!$E$8)="",NOT(ISNUMBER(Mitarbeiter!$F$8))),"",IF(TRIM(MID(SUBSTITUTE(TRIM(Mitarbeiter!$E$8)," ",REPT(" ",99)),((MOD(Y$5-Mitarbeiter!$F$8,(LEN(TRIM(Mitarbeiter!$E$8))-LEN(SUBSTITUTE(TRIM(Mitarbeiter!$E$8)," ",""))+1))+1)-1)*99+1,99))="-","",TRIM(MID(SUBSTITUTE(TRIM(Mitarbeiter!$E$8)," ",REPT(" ",99)),((MOD(Y$5-Mitarbeiter!$F$8,(LEN(TRIM(Mitarbeiter!$E$8))-LEN(SUBSTITUTE(TRIM(Mitarbeiter!$E$8)," ",""))+1))+1)-1)*99+1,99))))</f>
      </c>
      <c r="Z9" s="54">
        <f>IF(OR($A9="",Z$5="",TRIM(Mitarbeiter!$E$8)="",NOT(ISNUMBER(Mitarbeiter!$F$8))),"",IF(TRIM(MID(SUBSTITUTE(TRIM(Mitarbeiter!$E$8)," ",REPT(" ",99)),((MOD(Z$5-Mitarbeiter!$F$8,(LEN(TRIM(Mitarbeiter!$E$8))-LEN(SUBSTITUTE(TRIM(Mitarbeiter!$E$8)," ",""))+1))+1)-1)*99+1,99))="-","",TRIM(MID(SUBSTITUTE(TRIM(Mitarbeiter!$E$8)," ",REPT(" ",99)),((MOD(Z$5-Mitarbeiter!$F$8,(LEN(TRIM(Mitarbeiter!$E$8))-LEN(SUBSTITUTE(TRIM(Mitarbeiter!$E$8)," ",""))+1))+1)-1)*99+1,99))))</f>
      </c>
      <c r="AA9" s="54">
        <f>IF(OR($A9="",AA$5="",TRIM(Mitarbeiter!$E$8)="",NOT(ISNUMBER(Mitarbeiter!$F$8))),"",IF(TRIM(MID(SUBSTITUTE(TRIM(Mitarbeiter!$E$8)," ",REPT(" ",99)),((MOD(AA$5-Mitarbeiter!$F$8,(LEN(TRIM(Mitarbeiter!$E$8))-LEN(SUBSTITUTE(TRIM(Mitarbeiter!$E$8)," ",""))+1))+1)-1)*99+1,99))="-","",TRIM(MID(SUBSTITUTE(TRIM(Mitarbeiter!$E$8)," ",REPT(" ",99)),((MOD(AA$5-Mitarbeiter!$F$8,(LEN(TRIM(Mitarbeiter!$E$8))-LEN(SUBSTITUTE(TRIM(Mitarbeiter!$E$8)," ",""))+1))+1)-1)*99+1,99))))</f>
      </c>
      <c r="AB9" s="54">
        <f>IF(OR($A9="",AB$5="",TRIM(Mitarbeiter!$E$8)="",NOT(ISNUMBER(Mitarbeiter!$F$8))),"",IF(TRIM(MID(SUBSTITUTE(TRIM(Mitarbeiter!$E$8)," ",REPT(" ",99)),((MOD(AB$5-Mitarbeiter!$F$8,(LEN(TRIM(Mitarbeiter!$E$8))-LEN(SUBSTITUTE(TRIM(Mitarbeiter!$E$8)," ",""))+1))+1)-1)*99+1,99))="-","",TRIM(MID(SUBSTITUTE(TRIM(Mitarbeiter!$E$8)," ",REPT(" ",99)),((MOD(AB$5-Mitarbeiter!$F$8,(LEN(TRIM(Mitarbeiter!$E$8))-LEN(SUBSTITUTE(TRIM(Mitarbeiter!$E$8)," ",""))+1))+1)-1)*99+1,99))))</f>
      </c>
      <c r="AC9" s="54">
        <f>IF(OR($A9="",AC$5="",TRIM(Mitarbeiter!$E$8)="",NOT(ISNUMBER(Mitarbeiter!$F$8))),"",IF(TRIM(MID(SUBSTITUTE(TRIM(Mitarbeiter!$E$8)," ",REPT(" ",99)),((MOD(AC$5-Mitarbeiter!$F$8,(LEN(TRIM(Mitarbeiter!$E$8))-LEN(SUBSTITUTE(TRIM(Mitarbeiter!$E$8)," ",""))+1))+1)-1)*99+1,99))="-","",TRIM(MID(SUBSTITUTE(TRIM(Mitarbeiter!$E$8)," ",REPT(" ",99)),((MOD(AC$5-Mitarbeiter!$F$8,(LEN(TRIM(Mitarbeiter!$E$8))-LEN(SUBSTITUTE(TRIM(Mitarbeiter!$E$8)," ",""))+1))+1)-1)*99+1,99))))</f>
      </c>
      <c r="AD9" s="54">
        <f>IF(OR($A9="",AD$5="",TRIM(Mitarbeiter!$E$8)="",NOT(ISNUMBER(Mitarbeiter!$F$8))),"",IF(TRIM(MID(SUBSTITUTE(TRIM(Mitarbeiter!$E$8)," ",REPT(" ",99)),((MOD(AD$5-Mitarbeiter!$F$8,(LEN(TRIM(Mitarbeiter!$E$8))-LEN(SUBSTITUTE(TRIM(Mitarbeiter!$E$8)," ",""))+1))+1)-1)*99+1,99))="-","",TRIM(MID(SUBSTITUTE(TRIM(Mitarbeiter!$E$8)," ",REPT(" ",99)),((MOD(AD$5-Mitarbeiter!$F$8,(LEN(TRIM(Mitarbeiter!$E$8))-LEN(SUBSTITUTE(TRIM(Mitarbeiter!$E$8)," ",""))+1))+1)-1)*99+1,99))))</f>
      </c>
      <c r="AE9" s="54">
        <f>IF(OR($A9="",AE$5="",TRIM(Mitarbeiter!$E$8)="",NOT(ISNUMBER(Mitarbeiter!$F$8))),"",IF(TRIM(MID(SUBSTITUTE(TRIM(Mitarbeiter!$E$8)," ",REPT(" ",99)),((MOD(AE$5-Mitarbeiter!$F$8,(LEN(TRIM(Mitarbeiter!$E$8))-LEN(SUBSTITUTE(TRIM(Mitarbeiter!$E$8)," ",""))+1))+1)-1)*99+1,99))="-","",TRIM(MID(SUBSTITUTE(TRIM(Mitarbeiter!$E$8)," ",REPT(" ",99)),((MOD(AE$5-Mitarbeiter!$F$8,(LEN(TRIM(Mitarbeiter!$E$8))-LEN(SUBSTITUTE(TRIM(Mitarbeiter!$E$8)," ",""))+1))+1)-1)*99+1,99))))</f>
      </c>
      <c r="AF9" s="54">
        <f>IF(OR($A9="",AF$5="",TRIM(Mitarbeiter!$E$8)="",NOT(ISNUMBER(Mitarbeiter!$F$8))),"",IF(TRIM(MID(SUBSTITUTE(TRIM(Mitarbeiter!$E$8)," ",REPT(" ",99)),((MOD(AF$5-Mitarbeiter!$F$8,(LEN(TRIM(Mitarbeiter!$E$8))-LEN(SUBSTITUTE(TRIM(Mitarbeiter!$E$8)," ",""))+1))+1)-1)*99+1,99))="-","",TRIM(MID(SUBSTITUTE(TRIM(Mitarbeiter!$E$8)," ",REPT(" ",99)),((MOD(AF$5-Mitarbeiter!$F$8,(LEN(TRIM(Mitarbeiter!$E$8))-LEN(SUBSTITUTE(TRIM(Mitarbeiter!$E$8)," ",""))+1))+1)-1)*99+1,99))))</f>
      </c>
      <c r="AG9" s="55">
        <f>IF(OR($A9="",TRIM(Mitarbeiter!$E$8)=""),"",IF(NOT(ISNUMBER(Mitarbeiter!$F$8)),"Rhythmus ab: Datum fehlt",IF(COUNTIF(B9:AF9,"?*")-SUMPRODUCT(COUNTIF(B9:AF9,Codes)*(Codes&lt;&gt;"")*Erste)&gt;0,"Rhythmus enthält ein unbekanntes Kürzel","")))</f>
      </c>
    </row>
    <row r="10" spans="1:33" x14ac:dyDescent="0.25">
      <c r="A10" s="49">
        <f>Mitarbeiter!$A$9&amp;""</f>
      </c>
      <c r="B10" s="54">
        <f>IF(OR($A10="",B$5="",TRIM(Mitarbeiter!$E$9)="",NOT(ISNUMBER(Mitarbeiter!$F$9))),"",IF(TRIM(MID(SUBSTITUTE(TRIM(Mitarbeiter!$E$9)," ",REPT(" ",99)),((MOD(B$5-Mitarbeiter!$F$9,(LEN(TRIM(Mitarbeiter!$E$9))-LEN(SUBSTITUTE(TRIM(Mitarbeiter!$E$9)," ",""))+1))+1)-1)*99+1,99))="-","",TRIM(MID(SUBSTITUTE(TRIM(Mitarbeiter!$E$9)," ",REPT(" ",99)),((MOD(B$5-Mitarbeiter!$F$9,(LEN(TRIM(Mitarbeiter!$E$9))-LEN(SUBSTITUTE(TRIM(Mitarbeiter!$E$9)," ",""))+1))+1)-1)*99+1,99))))</f>
      </c>
      <c r="C10" s="54">
        <f>IF(OR($A10="",C$5="",TRIM(Mitarbeiter!$E$9)="",NOT(ISNUMBER(Mitarbeiter!$F$9))),"",IF(TRIM(MID(SUBSTITUTE(TRIM(Mitarbeiter!$E$9)," ",REPT(" ",99)),((MOD(C$5-Mitarbeiter!$F$9,(LEN(TRIM(Mitarbeiter!$E$9))-LEN(SUBSTITUTE(TRIM(Mitarbeiter!$E$9)," ",""))+1))+1)-1)*99+1,99))="-","",TRIM(MID(SUBSTITUTE(TRIM(Mitarbeiter!$E$9)," ",REPT(" ",99)),((MOD(C$5-Mitarbeiter!$F$9,(LEN(TRIM(Mitarbeiter!$E$9))-LEN(SUBSTITUTE(TRIM(Mitarbeiter!$E$9)," ",""))+1))+1)-1)*99+1,99))))</f>
      </c>
      <c r="D10" s="54">
        <f>IF(OR($A10="",D$5="",TRIM(Mitarbeiter!$E$9)="",NOT(ISNUMBER(Mitarbeiter!$F$9))),"",IF(TRIM(MID(SUBSTITUTE(TRIM(Mitarbeiter!$E$9)," ",REPT(" ",99)),((MOD(D$5-Mitarbeiter!$F$9,(LEN(TRIM(Mitarbeiter!$E$9))-LEN(SUBSTITUTE(TRIM(Mitarbeiter!$E$9)," ",""))+1))+1)-1)*99+1,99))="-","",TRIM(MID(SUBSTITUTE(TRIM(Mitarbeiter!$E$9)," ",REPT(" ",99)),((MOD(D$5-Mitarbeiter!$F$9,(LEN(TRIM(Mitarbeiter!$E$9))-LEN(SUBSTITUTE(TRIM(Mitarbeiter!$E$9)," ",""))+1))+1)-1)*99+1,99))))</f>
      </c>
      <c r="E10" s="54">
        <f>IF(OR($A10="",E$5="",TRIM(Mitarbeiter!$E$9)="",NOT(ISNUMBER(Mitarbeiter!$F$9))),"",IF(TRIM(MID(SUBSTITUTE(TRIM(Mitarbeiter!$E$9)," ",REPT(" ",99)),((MOD(E$5-Mitarbeiter!$F$9,(LEN(TRIM(Mitarbeiter!$E$9))-LEN(SUBSTITUTE(TRIM(Mitarbeiter!$E$9)," ",""))+1))+1)-1)*99+1,99))="-","",TRIM(MID(SUBSTITUTE(TRIM(Mitarbeiter!$E$9)," ",REPT(" ",99)),((MOD(E$5-Mitarbeiter!$F$9,(LEN(TRIM(Mitarbeiter!$E$9))-LEN(SUBSTITUTE(TRIM(Mitarbeiter!$E$9)," ",""))+1))+1)-1)*99+1,99))))</f>
      </c>
      <c r="F10" s="54">
        <f>IF(OR($A10="",F$5="",TRIM(Mitarbeiter!$E$9)="",NOT(ISNUMBER(Mitarbeiter!$F$9))),"",IF(TRIM(MID(SUBSTITUTE(TRIM(Mitarbeiter!$E$9)," ",REPT(" ",99)),((MOD(F$5-Mitarbeiter!$F$9,(LEN(TRIM(Mitarbeiter!$E$9))-LEN(SUBSTITUTE(TRIM(Mitarbeiter!$E$9)," ",""))+1))+1)-1)*99+1,99))="-","",TRIM(MID(SUBSTITUTE(TRIM(Mitarbeiter!$E$9)," ",REPT(" ",99)),((MOD(F$5-Mitarbeiter!$F$9,(LEN(TRIM(Mitarbeiter!$E$9))-LEN(SUBSTITUTE(TRIM(Mitarbeiter!$E$9)," ",""))+1))+1)-1)*99+1,99))))</f>
      </c>
      <c r="G10" s="54">
        <f>IF(OR($A10="",G$5="",TRIM(Mitarbeiter!$E$9)="",NOT(ISNUMBER(Mitarbeiter!$F$9))),"",IF(TRIM(MID(SUBSTITUTE(TRIM(Mitarbeiter!$E$9)," ",REPT(" ",99)),((MOD(G$5-Mitarbeiter!$F$9,(LEN(TRIM(Mitarbeiter!$E$9))-LEN(SUBSTITUTE(TRIM(Mitarbeiter!$E$9)," ",""))+1))+1)-1)*99+1,99))="-","",TRIM(MID(SUBSTITUTE(TRIM(Mitarbeiter!$E$9)," ",REPT(" ",99)),((MOD(G$5-Mitarbeiter!$F$9,(LEN(TRIM(Mitarbeiter!$E$9))-LEN(SUBSTITUTE(TRIM(Mitarbeiter!$E$9)," ",""))+1))+1)-1)*99+1,99))))</f>
      </c>
      <c r="H10" s="54">
        <f>IF(OR($A10="",H$5="",TRIM(Mitarbeiter!$E$9)="",NOT(ISNUMBER(Mitarbeiter!$F$9))),"",IF(TRIM(MID(SUBSTITUTE(TRIM(Mitarbeiter!$E$9)," ",REPT(" ",99)),((MOD(H$5-Mitarbeiter!$F$9,(LEN(TRIM(Mitarbeiter!$E$9))-LEN(SUBSTITUTE(TRIM(Mitarbeiter!$E$9)," ",""))+1))+1)-1)*99+1,99))="-","",TRIM(MID(SUBSTITUTE(TRIM(Mitarbeiter!$E$9)," ",REPT(" ",99)),((MOD(H$5-Mitarbeiter!$F$9,(LEN(TRIM(Mitarbeiter!$E$9))-LEN(SUBSTITUTE(TRIM(Mitarbeiter!$E$9)," ",""))+1))+1)-1)*99+1,99))))</f>
      </c>
      <c r="I10" s="54">
        <f>IF(OR($A10="",I$5="",TRIM(Mitarbeiter!$E$9)="",NOT(ISNUMBER(Mitarbeiter!$F$9))),"",IF(TRIM(MID(SUBSTITUTE(TRIM(Mitarbeiter!$E$9)," ",REPT(" ",99)),((MOD(I$5-Mitarbeiter!$F$9,(LEN(TRIM(Mitarbeiter!$E$9))-LEN(SUBSTITUTE(TRIM(Mitarbeiter!$E$9)," ",""))+1))+1)-1)*99+1,99))="-","",TRIM(MID(SUBSTITUTE(TRIM(Mitarbeiter!$E$9)," ",REPT(" ",99)),((MOD(I$5-Mitarbeiter!$F$9,(LEN(TRIM(Mitarbeiter!$E$9))-LEN(SUBSTITUTE(TRIM(Mitarbeiter!$E$9)," ",""))+1))+1)-1)*99+1,99))))</f>
      </c>
      <c r="J10" s="54">
        <f>IF(OR($A10="",J$5="",TRIM(Mitarbeiter!$E$9)="",NOT(ISNUMBER(Mitarbeiter!$F$9))),"",IF(TRIM(MID(SUBSTITUTE(TRIM(Mitarbeiter!$E$9)," ",REPT(" ",99)),((MOD(J$5-Mitarbeiter!$F$9,(LEN(TRIM(Mitarbeiter!$E$9))-LEN(SUBSTITUTE(TRIM(Mitarbeiter!$E$9)," ",""))+1))+1)-1)*99+1,99))="-","",TRIM(MID(SUBSTITUTE(TRIM(Mitarbeiter!$E$9)," ",REPT(" ",99)),((MOD(J$5-Mitarbeiter!$F$9,(LEN(TRIM(Mitarbeiter!$E$9))-LEN(SUBSTITUTE(TRIM(Mitarbeiter!$E$9)," ",""))+1))+1)-1)*99+1,99))))</f>
      </c>
      <c r="K10" s="54">
        <f>IF(OR($A10="",K$5="",TRIM(Mitarbeiter!$E$9)="",NOT(ISNUMBER(Mitarbeiter!$F$9))),"",IF(TRIM(MID(SUBSTITUTE(TRIM(Mitarbeiter!$E$9)," ",REPT(" ",99)),((MOD(K$5-Mitarbeiter!$F$9,(LEN(TRIM(Mitarbeiter!$E$9))-LEN(SUBSTITUTE(TRIM(Mitarbeiter!$E$9)," ",""))+1))+1)-1)*99+1,99))="-","",TRIM(MID(SUBSTITUTE(TRIM(Mitarbeiter!$E$9)," ",REPT(" ",99)),((MOD(K$5-Mitarbeiter!$F$9,(LEN(TRIM(Mitarbeiter!$E$9))-LEN(SUBSTITUTE(TRIM(Mitarbeiter!$E$9)," ",""))+1))+1)-1)*99+1,99))))</f>
      </c>
      <c r="L10" s="54">
        <f>IF(OR($A10="",L$5="",TRIM(Mitarbeiter!$E$9)="",NOT(ISNUMBER(Mitarbeiter!$F$9))),"",IF(TRIM(MID(SUBSTITUTE(TRIM(Mitarbeiter!$E$9)," ",REPT(" ",99)),((MOD(L$5-Mitarbeiter!$F$9,(LEN(TRIM(Mitarbeiter!$E$9))-LEN(SUBSTITUTE(TRIM(Mitarbeiter!$E$9)," ",""))+1))+1)-1)*99+1,99))="-","",TRIM(MID(SUBSTITUTE(TRIM(Mitarbeiter!$E$9)," ",REPT(" ",99)),((MOD(L$5-Mitarbeiter!$F$9,(LEN(TRIM(Mitarbeiter!$E$9))-LEN(SUBSTITUTE(TRIM(Mitarbeiter!$E$9)," ",""))+1))+1)-1)*99+1,99))))</f>
      </c>
      <c r="M10" s="54">
        <f>IF(OR($A10="",M$5="",TRIM(Mitarbeiter!$E$9)="",NOT(ISNUMBER(Mitarbeiter!$F$9))),"",IF(TRIM(MID(SUBSTITUTE(TRIM(Mitarbeiter!$E$9)," ",REPT(" ",99)),((MOD(M$5-Mitarbeiter!$F$9,(LEN(TRIM(Mitarbeiter!$E$9))-LEN(SUBSTITUTE(TRIM(Mitarbeiter!$E$9)," ",""))+1))+1)-1)*99+1,99))="-","",TRIM(MID(SUBSTITUTE(TRIM(Mitarbeiter!$E$9)," ",REPT(" ",99)),((MOD(M$5-Mitarbeiter!$F$9,(LEN(TRIM(Mitarbeiter!$E$9))-LEN(SUBSTITUTE(TRIM(Mitarbeiter!$E$9)," ",""))+1))+1)-1)*99+1,99))))</f>
      </c>
      <c r="N10" s="54">
        <f>IF(OR($A10="",N$5="",TRIM(Mitarbeiter!$E$9)="",NOT(ISNUMBER(Mitarbeiter!$F$9))),"",IF(TRIM(MID(SUBSTITUTE(TRIM(Mitarbeiter!$E$9)," ",REPT(" ",99)),((MOD(N$5-Mitarbeiter!$F$9,(LEN(TRIM(Mitarbeiter!$E$9))-LEN(SUBSTITUTE(TRIM(Mitarbeiter!$E$9)," ",""))+1))+1)-1)*99+1,99))="-","",TRIM(MID(SUBSTITUTE(TRIM(Mitarbeiter!$E$9)," ",REPT(" ",99)),((MOD(N$5-Mitarbeiter!$F$9,(LEN(TRIM(Mitarbeiter!$E$9))-LEN(SUBSTITUTE(TRIM(Mitarbeiter!$E$9)," ",""))+1))+1)-1)*99+1,99))))</f>
      </c>
      <c r="O10" s="54">
        <f>IF(OR($A10="",O$5="",TRIM(Mitarbeiter!$E$9)="",NOT(ISNUMBER(Mitarbeiter!$F$9))),"",IF(TRIM(MID(SUBSTITUTE(TRIM(Mitarbeiter!$E$9)," ",REPT(" ",99)),((MOD(O$5-Mitarbeiter!$F$9,(LEN(TRIM(Mitarbeiter!$E$9))-LEN(SUBSTITUTE(TRIM(Mitarbeiter!$E$9)," ",""))+1))+1)-1)*99+1,99))="-","",TRIM(MID(SUBSTITUTE(TRIM(Mitarbeiter!$E$9)," ",REPT(" ",99)),((MOD(O$5-Mitarbeiter!$F$9,(LEN(TRIM(Mitarbeiter!$E$9))-LEN(SUBSTITUTE(TRIM(Mitarbeiter!$E$9)," ",""))+1))+1)-1)*99+1,99))))</f>
      </c>
      <c r="P10" s="54">
        <f>IF(OR($A10="",P$5="",TRIM(Mitarbeiter!$E$9)="",NOT(ISNUMBER(Mitarbeiter!$F$9))),"",IF(TRIM(MID(SUBSTITUTE(TRIM(Mitarbeiter!$E$9)," ",REPT(" ",99)),((MOD(P$5-Mitarbeiter!$F$9,(LEN(TRIM(Mitarbeiter!$E$9))-LEN(SUBSTITUTE(TRIM(Mitarbeiter!$E$9)," ",""))+1))+1)-1)*99+1,99))="-","",TRIM(MID(SUBSTITUTE(TRIM(Mitarbeiter!$E$9)," ",REPT(" ",99)),((MOD(P$5-Mitarbeiter!$F$9,(LEN(TRIM(Mitarbeiter!$E$9))-LEN(SUBSTITUTE(TRIM(Mitarbeiter!$E$9)," ",""))+1))+1)-1)*99+1,99))))</f>
      </c>
      <c r="Q10" s="54">
        <f>IF(OR($A10="",Q$5="",TRIM(Mitarbeiter!$E$9)="",NOT(ISNUMBER(Mitarbeiter!$F$9))),"",IF(TRIM(MID(SUBSTITUTE(TRIM(Mitarbeiter!$E$9)," ",REPT(" ",99)),((MOD(Q$5-Mitarbeiter!$F$9,(LEN(TRIM(Mitarbeiter!$E$9))-LEN(SUBSTITUTE(TRIM(Mitarbeiter!$E$9)," ",""))+1))+1)-1)*99+1,99))="-","",TRIM(MID(SUBSTITUTE(TRIM(Mitarbeiter!$E$9)," ",REPT(" ",99)),((MOD(Q$5-Mitarbeiter!$F$9,(LEN(TRIM(Mitarbeiter!$E$9))-LEN(SUBSTITUTE(TRIM(Mitarbeiter!$E$9)," ",""))+1))+1)-1)*99+1,99))))</f>
      </c>
      <c r="R10" s="54">
        <f>IF(OR($A10="",R$5="",TRIM(Mitarbeiter!$E$9)="",NOT(ISNUMBER(Mitarbeiter!$F$9))),"",IF(TRIM(MID(SUBSTITUTE(TRIM(Mitarbeiter!$E$9)," ",REPT(" ",99)),((MOD(R$5-Mitarbeiter!$F$9,(LEN(TRIM(Mitarbeiter!$E$9))-LEN(SUBSTITUTE(TRIM(Mitarbeiter!$E$9)," ",""))+1))+1)-1)*99+1,99))="-","",TRIM(MID(SUBSTITUTE(TRIM(Mitarbeiter!$E$9)," ",REPT(" ",99)),((MOD(R$5-Mitarbeiter!$F$9,(LEN(TRIM(Mitarbeiter!$E$9))-LEN(SUBSTITUTE(TRIM(Mitarbeiter!$E$9)," ",""))+1))+1)-1)*99+1,99))))</f>
      </c>
      <c r="S10" s="54">
        <f>IF(OR($A10="",S$5="",TRIM(Mitarbeiter!$E$9)="",NOT(ISNUMBER(Mitarbeiter!$F$9))),"",IF(TRIM(MID(SUBSTITUTE(TRIM(Mitarbeiter!$E$9)," ",REPT(" ",99)),((MOD(S$5-Mitarbeiter!$F$9,(LEN(TRIM(Mitarbeiter!$E$9))-LEN(SUBSTITUTE(TRIM(Mitarbeiter!$E$9)," ",""))+1))+1)-1)*99+1,99))="-","",TRIM(MID(SUBSTITUTE(TRIM(Mitarbeiter!$E$9)," ",REPT(" ",99)),((MOD(S$5-Mitarbeiter!$F$9,(LEN(TRIM(Mitarbeiter!$E$9))-LEN(SUBSTITUTE(TRIM(Mitarbeiter!$E$9)," ",""))+1))+1)-1)*99+1,99))))</f>
      </c>
      <c r="T10" s="54">
        <f>IF(OR($A10="",T$5="",TRIM(Mitarbeiter!$E$9)="",NOT(ISNUMBER(Mitarbeiter!$F$9))),"",IF(TRIM(MID(SUBSTITUTE(TRIM(Mitarbeiter!$E$9)," ",REPT(" ",99)),((MOD(T$5-Mitarbeiter!$F$9,(LEN(TRIM(Mitarbeiter!$E$9))-LEN(SUBSTITUTE(TRIM(Mitarbeiter!$E$9)," ",""))+1))+1)-1)*99+1,99))="-","",TRIM(MID(SUBSTITUTE(TRIM(Mitarbeiter!$E$9)," ",REPT(" ",99)),((MOD(T$5-Mitarbeiter!$F$9,(LEN(TRIM(Mitarbeiter!$E$9))-LEN(SUBSTITUTE(TRIM(Mitarbeiter!$E$9)," ",""))+1))+1)-1)*99+1,99))))</f>
      </c>
      <c r="U10" s="54">
        <f>IF(OR($A10="",U$5="",TRIM(Mitarbeiter!$E$9)="",NOT(ISNUMBER(Mitarbeiter!$F$9))),"",IF(TRIM(MID(SUBSTITUTE(TRIM(Mitarbeiter!$E$9)," ",REPT(" ",99)),((MOD(U$5-Mitarbeiter!$F$9,(LEN(TRIM(Mitarbeiter!$E$9))-LEN(SUBSTITUTE(TRIM(Mitarbeiter!$E$9)," ",""))+1))+1)-1)*99+1,99))="-","",TRIM(MID(SUBSTITUTE(TRIM(Mitarbeiter!$E$9)," ",REPT(" ",99)),((MOD(U$5-Mitarbeiter!$F$9,(LEN(TRIM(Mitarbeiter!$E$9))-LEN(SUBSTITUTE(TRIM(Mitarbeiter!$E$9)," ",""))+1))+1)-1)*99+1,99))))</f>
      </c>
      <c r="V10" s="54">
        <f>IF(OR($A10="",V$5="",TRIM(Mitarbeiter!$E$9)="",NOT(ISNUMBER(Mitarbeiter!$F$9))),"",IF(TRIM(MID(SUBSTITUTE(TRIM(Mitarbeiter!$E$9)," ",REPT(" ",99)),((MOD(V$5-Mitarbeiter!$F$9,(LEN(TRIM(Mitarbeiter!$E$9))-LEN(SUBSTITUTE(TRIM(Mitarbeiter!$E$9)," ",""))+1))+1)-1)*99+1,99))="-","",TRIM(MID(SUBSTITUTE(TRIM(Mitarbeiter!$E$9)," ",REPT(" ",99)),((MOD(V$5-Mitarbeiter!$F$9,(LEN(TRIM(Mitarbeiter!$E$9))-LEN(SUBSTITUTE(TRIM(Mitarbeiter!$E$9)," ",""))+1))+1)-1)*99+1,99))))</f>
      </c>
      <c r="W10" s="54">
        <f>IF(OR($A10="",W$5="",TRIM(Mitarbeiter!$E$9)="",NOT(ISNUMBER(Mitarbeiter!$F$9))),"",IF(TRIM(MID(SUBSTITUTE(TRIM(Mitarbeiter!$E$9)," ",REPT(" ",99)),((MOD(W$5-Mitarbeiter!$F$9,(LEN(TRIM(Mitarbeiter!$E$9))-LEN(SUBSTITUTE(TRIM(Mitarbeiter!$E$9)," ",""))+1))+1)-1)*99+1,99))="-","",TRIM(MID(SUBSTITUTE(TRIM(Mitarbeiter!$E$9)," ",REPT(" ",99)),((MOD(W$5-Mitarbeiter!$F$9,(LEN(TRIM(Mitarbeiter!$E$9))-LEN(SUBSTITUTE(TRIM(Mitarbeiter!$E$9)," ",""))+1))+1)-1)*99+1,99))))</f>
      </c>
      <c r="X10" s="54">
        <f>IF(OR($A10="",X$5="",TRIM(Mitarbeiter!$E$9)="",NOT(ISNUMBER(Mitarbeiter!$F$9))),"",IF(TRIM(MID(SUBSTITUTE(TRIM(Mitarbeiter!$E$9)," ",REPT(" ",99)),((MOD(X$5-Mitarbeiter!$F$9,(LEN(TRIM(Mitarbeiter!$E$9))-LEN(SUBSTITUTE(TRIM(Mitarbeiter!$E$9)," ",""))+1))+1)-1)*99+1,99))="-","",TRIM(MID(SUBSTITUTE(TRIM(Mitarbeiter!$E$9)," ",REPT(" ",99)),((MOD(X$5-Mitarbeiter!$F$9,(LEN(TRIM(Mitarbeiter!$E$9))-LEN(SUBSTITUTE(TRIM(Mitarbeiter!$E$9)," ",""))+1))+1)-1)*99+1,99))))</f>
      </c>
      <c r="Y10" s="54">
        <f>IF(OR($A10="",Y$5="",TRIM(Mitarbeiter!$E$9)="",NOT(ISNUMBER(Mitarbeiter!$F$9))),"",IF(TRIM(MID(SUBSTITUTE(TRIM(Mitarbeiter!$E$9)," ",REPT(" ",99)),((MOD(Y$5-Mitarbeiter!$F$9,(LEN(TRIM(Mitarbeiter!$E$9))-LEN(SUBSTITUTE(TRIM(Mitarbeiter!$E$9)," ",""))+1))+1)-1)*99+1,99))="-","",TRIM(MID(SUBSTITUTE(TRIM(Mitarbeiter!$E$9)," ",REPT(" ",99)),((MOD(Y$5-Mitarbeiter!$F$9,(LEN(TRIM(Mitarbeiter!$E$9))-LEN(SUBSTITUTE(TRIM(Mitarbeiter!$E$9)," ",""))+1))+1)-1)*99+1,99))))</f>
      </c>
      <c r="Z10" s="54">
        <f>IF(OR($A10="",Z$5="",TRIM(Mitarbeiter!$E$9)="",NOT(ISNUMBER(Mitarbeiter!$F$9))),"",IF(TRIM(MID(SUBSTITUTE(TRIM(Mitarbeiter!$E$9)," ",REPT(" ",99)),((MOD(Z$5-Mitarbeiter!$F$9,(LEN(TRIM(Mitarbeiter!$E$9))-LEN(SUBSTITUTE(TRIM(Mitarbeiter!$E$9)," ",""))+1))+1)-1)*99+1,99))="-","",TRIM(MID(SUBSTITUTE(TRIM(Mitarbeiter!$E$9)," ",REPT(" ",99)),((MOD(Z$5-Mitarbeiter!$F$9,(LEN(TRIM(Mitarbeiter!$E$9))-LEN(SUBSTITUTE(TRIM(Mitarbeiter!$E$9)," ",""))+1))+1)-1)*99+1,99))))</f>
      </c>
      <c r="AA10" s="54">
        <f>IF(OR($A10="",AA$5="",TRIM(Mitarbeiter!$E$9)="",NOT(ISNUMBER(Mitarbeiter!$F$9))),"",IF(TRIM(MID(SUBSTITUTE(TRIM(Mitarbeiter!$E$9)," ",REPT(" ",99)),((MOD(AA$5-Mitarbeiter!$F$9,(LEN(TRIM(Mitarbeiter!$E$9))-LEN(SUBSTITUTE(TRIM(Mitarbeiter!$E$9)," ",""))+1))+1)-1)*99+1,99))="-","",TRIM(MID(SUBSTITUTE(TRIM(Mitarbeiter!$E$9)," ",REPT(" ",99)),((MOD(AA$5-Mitarbeiter!$F$9,(LEN(TRIM(Mitarbeiter!$E$9))-LEN(SUBSTITUTE(TRIM(Mitarbeiter!$E$9)," ",""))+1))+1)-1)*99+1,99))))</f>
      </c>
      <c r="AB10" s="54">
        <f>IF(OR($A10="",AB$5="",TRIM(Mitarbeiter!$E$9)="",NOT(ISNUMBER(Mitarbeiter!$F$9))),"",IF(TRIM(MID(SUBSTITUTE(TRIM(Mitarbeiter!$E$9)," ",REPT(" ",99)),((MOD(AB$5-Mitarbeiter!$F$9,(LEN(TRIM(Mitarbeiter!$E$9))-LEN(SUBSTITUTE(TRIM(Mitarbeiter!$E$9)," ",""))+1))+1)-1)*99+1,99))="-","",TRIM(MID(SUBSTITUTE(TRIM(Mitarbeiter!$E$9)," ",REPT(" ",99)),((MOD(AB$5-Mitarbeiter!$F$9,(LEN(TRIM(Mitarbeiter!$E$9))-LEN(SUBSTITUTE(TRIM(Mitarbeiter!$E$9)," ",""))+1))+1)-1)*99+1,99))))</f>
      </c>
      <c r="AC10" s="54">
        <f>IF(OR($A10="",AC$5="",TRIM(Mitarbeiter!$E$9)="",NOT(ISNUMBER(Mitarbeiter!$F$9))),"",IF(TRIM(MID(SUBSTITUTE(TRIM(Mitarbeiter!$E$9)," ",REPT(" ",99)),((MOD(AC$5-Mitarbeiter!$F$9,(LEN(TRIM(Mitarbeiter!$E$9))-LEN(SUBSTITUTE(TRIM(Mitarbeiter!$E$9)," ",""))+1))+1)-1)*99+1,99))="-","",TRIM(MID(SUBSTITUTE(TRIM(Mitarbeiter!$E$9)," ",REPT(" ",99)),((MOD(AC$5-Mitarbeiter!$F$9,(LEN(TRIM(Mitarbeiter!$E$9))-LEN(SUBSTITUTE(TRIM(Mitarbeiter!$E$9)," ",""))+1))+1)-1)*99+1,99))))</f>
      </c>
      <c r="AD10" s="54">
        <f>IF(OR($A10="",AD$5="",TRIM(Mitarbeiter!$E$9)="",NOT(ISNUMBER(Mitarbeiter!$F$9))),"",IF(TRIM(MID(SUBSTITUTE(TRIM(Mitarbeiter!$E$9)," ",REPT(" ",99)),((MOD(AD$5-Mitarbeiter!$F$9,(LEN(TRIM(Mitarbeiter!$E$9))-LEN(SUBSTITUTE(TRIM(Mitarbeiter!$E$9)," ",""))+1))+1)-1)*99+1,99))="-","",TRIM(MID(SUBSTITUTE(TRIM(Mitarbeiter!$E$9)," ",REPT(" ",99)),((MOD(AD$5-Mitarbeiter!$F$9,(LEN(TRIM(Mitarbeiter!$E$9))-LEN(SUBSTITUTE(TRIM(Mitarbeiter!$E$9)," ",""))+1))+1)-1)*99+1,99))))</f>
      </c>
      <c r="AE10" s="54">
        <f>IF(OR($A10="",AE$5="",TRIM(Mitarbeiter!$E$9)="",NOT(ISNUMBER(Mitarbeiter!$F$9))),"",IF(TRIM(MID(SUBSTITUTE(TRIM(Mitarbeiter!$E$9)," ",REPT(" ",99)),((MOD(AE$5-Mitarbeiter!$F$9,(LEN(TRIM(Mitarbeiter!$E$9))-LEN(SUBSTITUTE(TRIM(Mitarbeiter!$E$9)," ",""))+1))+1)-1)*99+1,99))="-","",TRIM(MID(SUBSTITUTE(TRIM(Mitarbeiter!$E$9)," ",REPT(" ",99)),((MOD(AE$5-Mitarbeiter!$F$9,(LEN(TRIM(Mitarbeiter!$E$9))-LEN(SUBSTITUTE(TRIM(Mitarbeiter!$E$9)," ",""))+1))+1)-1)*99+1,99))))</f>
      </c>
      <c r="AF10" s="54">
        <f>IF(OR($A10="",AF$5="",TRIM(Mitarbeiter!$E$9)="",NOT(ISNUMBER(Mitarbeiter!$F$9))),"",IF(TRIM(MID(SUBSTITUTE(TRIM(Mitarbeiter!$E$9)," ",REPT(" ",99)),((MOD(AF$5-Mitarbeiter!$F$9,(LEN(TRIM(Mitarbeiter!$E$9))-LEN(SUBSTITUTE(TRIM(Mitarbeiter!$E$9)," ",""))+1))+1)-1)*99+1,99))="-","",TRIM(MID(SUBSTITUTE(TRIM(Mitarbeiter!$E$9)," ",REPT(" ",99)),((MOD(AF$5-Mitarbeiter!$F$9,(LEN(TRIM(Mitarbeiter!$E$9))-LEN(SUBSTITUTE(TRIM(Mitarbeiter!$E$9)," ",""))+1))+1)-1)*99+1,99))))</f>
      </c>
      <c r="AG10" s="55">
        <f>IF(OR($A10="",TRIM(Mitarbeiter!$E$9)=""),"",IF(NOT(ISNUMBER(Mitarbeiter!$F$9)),"Rhythmus ab: Datum fehlt",IF(COUNTIF(B10:AF10,"?*")-SUMPRODUCT(COUNTIF(B10:AF10,Codes)*(Codes&lt;&gt;"")*Erste)&gt;0,"Rhythmus enthält ein unbekanntes Kürzel","")))</f>
      </c>
    </row>
    <row r="11" spans="1:33" x14ac:dyDescent="0.25">
      <c r="A11" s="49">
        <f>Mitarbeiter!$A$10&amp;""</f>
      </c>
      <c r="B11" s="54">
        <f>IF(OR($A11="",B$5="",TRIM(Mitarbeiter!$E$10)="",NOT(ISNUMBER(Mitarbeiter!$F$10))),"",IF(TRIM(MID(SUBSTITUTE(TRIM(Mitarbeiter!$E$10)," ",REPT(" ",99)),((MOD(B$5-Mitarbeiter!$F$10,(LEN(TRIM(Mitarbeiter!$E$10))-LEN(SUBSTITUTE(TRIM(Mitarbeiter!$E$10)," ",""))+1))+1)-1)*99+1,99))="-","",TRIM(MID(SUBSTITUTE(TRIM(Mitarbeiter!$E$10)," ",REPT(" ",99)),((MOD(B$5-Mitarbeiter!$F$10,(LEN(TRIM(Mitarbeiter!$E$10))-LEN(SUBSTITUTE(TRIM(Mitarbeiter!$E$10)," ",""))+1))+1)-1)*99+1,99))))</f>
      </c>
      <c r="C11" s="54">
        <f>IF(OR($A11="",C$5="",TRIM(Mitarbeiter!$E$10)="",NOT(ISNUMBER(Mitarbeiter!$F$10))),"",IF(TRIM(MID(SUBSTITUTE(TRIM(Mitarbeiter!$E$10)," ",REPT(" ",99)),((MOD(C$5-Mitarbeiter!$F$10,(LEN(TRIM(Mitarbeiter!$E$10))-LEN(SUBSTITUTE(TRIM(Mitarbeiter!$E$10)," ",""))+1))+1)-1)*99+1,99))="-","",TRIM(MID(SUBSTITUTE(TRIM(Mitarbeiter!$E$10)," ",REPT(" ",99)),((MOD(C$5-Mitarbeiter!$F$10,(LEN(TRIM(Mitarbeiter!$E$10))-LEN(SUBSTITUTE(TRIM(Mitarbeiter!$E$10)," ",""))+1))+1)-1)*99+1,99))))</f>
      </c>
      <c r="D11" s="54">
        <f>IF(OR($A11="",D$5="",TRIM(Mitarbeiter!$E$10)="",NOT(ISNUMBER(Mitarbeiter!$F$10))),"",IF(TRIM(MID(SUBSTITUTE(TRIM(Mitarbeiter!$E$10)," ",REPT(" ",99)),((MOD(D$5-Mitarbeiter!$F$10,(LEN(TRIM(Mitarbeiter!$E$10))-LEN(SUBSTITUTE(TRIM(Mitarbeiter!$E$10)," ",""))+1))+1)-1)*99+1,99))="-","",TRIM(MID(SUBSTITUTE(TRIM(Mitarbeiter!$E$10)," ",REPT(" ",99)),((MOD(D$5-Mitarbeiter!$F$10,(LEN(TRIM(Mitarbeiter!$E$10))-LEN(SUBSTITUTE(TRIM(Mitarbeiter!$E$10)," ",""))+1))+1)-1)*99+1,99))))</f>
      </c>
      <c r="E11" s="54">
        <f>IF(OR($A11="",E$5="",TRIM(Mitarbeiter!$E$10)="",NOT(ISNUMBER(Mitarbeiter!$F$10))),"",IF(TRIM(MID(SUBSTITUTE(TRIM(Mitarbeiter!$E$10)," ",REPT(" ",99)),((MOD(E$5-Mitarbeiter!$F$10,(LEN(TRIM(Mitarbeiter!$E$10))-LEN(SUBSTITUTE(TRIM(Mitarbeiter!$E$10)," ",""))+1))+1)-1)*99+1,99))="-","",TRIM(MID(SUBSTITUTE(TRIM(Mitarbeiter!$E$10)," ",REPT(" ",99)),((MOD(E$5-Mitarbeiter!$F$10,(LEN(TRIM(Mitarbeiter!$E$10))-LEN(SUBSTITUTE(TRIM(Mitarbeiter!$E$10)," ",""))+1))+1)-1)*99+1,99))))</f>
      </c>
      <c r="F11" s="54">
        <f>IF(OR($A11="",F$5="",TRIM(Mitarbeiter!$E$10)="",NOT(ISNUMBER(Mitarbeiter!$F$10))),"",IF(TRIM(MID(SUBSTITUTE(TRIM(Mitarbeiter!$E$10)," ",REPT(" ",99)),((MOD(F$5-Mitarbeiter!$F$10,(LEN(TRIM(Mitarbeiter!$E$10))-LEN(SUBSTITUTE(TRIM(Mitarbeiter!$E$10)," ",""))+1))+1)-1)*99+1,99))="-","",TRIM(MID(SUBSTITUTE(TRIM(Mitarbeiter!$E$10)," ",REPT(" ",99)),((MOD(F$5-Mitarbeiter!$F$10,(LEN(TRIM(Mitarbeiter!$E$10))-LEN(SUBSTITUTE(TRIM(Mitarbeiter!$E$10)," ",""))+1))+1)-1)*99+1,99))))</f>
      </c>
      <c r="G11" s="54">
        <f>IF(OR($A11="",G$5="",TRIM(Mitarbeiter!$E$10)="",NOT(ISNUMBER(Mitarbeiter!$F$10))),"",IF(TRIM(MID(SUBSTITUTE(TRIM(Mitarbeiter!$E$10)," ",REPT(" ",99)),((MOD(G$5-Mitarbeiter!$F$10,(LEN(TRIM(Mitarbeiter!$E$10))-LEN(SUBSTITUTE(TRIM(Mitarbeiter!$E$10)," ",""))+1))+1)-1)*99+1,99))="-","",TRIM(MID(SUBSTITUTE(TRIM(Mitarbeiter!$E$10)," ",REPT(" ",99)),((MOD(G$5-Mitarbeiter!$F$10,(LEN(TRIM(Mitarbeiter!$E$10))-LEN(SUBSTITUTE(TRIM(Mitarbeiter!$E$10)," ",""))+1))+1)-1)*99+1,99))))</f>
      </c>
      <c r="H11" s="54">
        <f>IF(OR($A11="",H$5="",TRIM(Mitarbeiter!$E$10)="",NOT(ISNUMBER(Mitarbeiter!$F$10))),"",IF(TRIM(MID(SUBSTITUTE(TRIM(Mitarbeiter!$E$10)," ",REPT(" ",99)),((MOD(H$5-Mitarbeiter!$F$10,(LEN(TRIM(Mitarbeiter!$E$10))-LEN(SUBSTITUTE(TRIM(Mitarbeiter!$E$10)," ",""))+1))+1)-1)*99+1,99))="-","",TRIM(MID(SUBSTITUTE(TRIM(Mitarbeiter!$E$10)," ",REPT(" ",99)),((MOD(H$5-Mitarbeiter!$F$10,(LEN(TRIM(Mitarbeiter!$E$10))-LEN(SUBSTITUTE(TRIM(Mitarbeiter!$E$10)," ",""))+1))+1)-1)*99+1,99))))</f>
      </c>
      <c r="I11" s="54">
        <f>IF(OR($A11="",I$5="",TRIM(Mitarbeiter!$E$10)="",NOT(ISNUMBER(Mitarbeiter!$F$10))),"",IF(TRIM(MID(SUBSTITUTE(TRIM(Mitarbeiter!$E$10)," ",REPT(" ",99)),((MOD(I$5-Mitarbeiter!$F$10,(LEN(TRIM(Mitarbeiter!$E$10))-LEN(SUBSTITUTE(TRIM(Mitarbeiter!$E$10)," ",""))+1))+1)-1)*99+1,99))="-","",TRIM(MID(SUBSTITUTE(TRIM(Mitarbeiter!$E$10)," ",REPT(" ",99)),((MOD(I$5-Mitarbeiter!$F$10,(LEN(TRIM(Mitarbeiter!$E$10))-LEN(SUBSTITUTE(TRIM(Mitarbeiter!$E$10)," ",""))+1))+1)-1)*99+1,99))))</f>
      </c>
      <c r="J11" s="54">
        <f>IF(OR($A11="",J$5="",TRIM(Mitarbeiter!$E$10)="",NOT(ISNUMBER(Mitarbeiter!$F$10))),"",IF(TRIM(MID(SUBSTITUTE(TRIM(Mitarbeiter!$E$10)," ",REPT(" ",99)),((MOD(J$5-Mitarbeiter!$F$10,(LEN(TRIM(Mitarbeiter!$E$10))-LEN(SUBSTITUTE(TRIM(Mitarbeiter!$E$10)," ",""))+1))+1)-1)*99+1,99))="-","",TRIM(MID(SUBSTITUTE(TRIM(Mitarbeiter!$E$10)," ",REPT(" ",99)),((MOD(J$5-Mitarbeiter!$F$10,(LEN(TRIM(Mitarbeiter!$E$10))-LEN(SUBSTITUTE(TRIM(Mitarbeiter!$E$10)," ",""))+1))+1)-1)*99+1,99))))</f>
      </c>
      <c r="K11" s="54">
        <f>IF(OR($A11="",K$5="",TRIM(Mitarbeiter!$E$10)="",NOT(ISNUMBER(Mitarbeiter!$F$10))),"",IF(TRIM(MID(SUBSTITUTE(TRIM(Mitarbeiter!$E$10)," ",REPT(" ",99)),((MOD(K$5-Mitarbeiter!$F$10,(LEN(TRIM(Mitarbeiter!$E$10))-LEN(SUBSTITUTE(TRIM(Mitarbeiter!$E$10)," ",""))+1))+1)-1)*99+1,99))="-","",TRIM(MID(SUBSTITUTE(TRIM(Mitarbeiter!$E$10)," ",REPT(" ",99)),((MOD(K$5-Mitarbeiter!$F$10,(LEN(TRIM(Mitarbeiter!$E$10))-LEN(SUBSTITUTE(TRIM(Mitarbeiter!$E$10)," ",""))+1))+1)-1)*99+1,99))))</f>
      </c>
      <c r="L11" s="54">
        <f>IF(OR($A11="",L$5="",TRIM(Mitarbeiter!$E$10)="",NOT(ISNUMBER(Mitarbeiter!$F$10))),"",IF(TRIM(MID(SUBSTITUTE(TRIM(Mitarbeiter!$E$10)," ",REPT(" ",99)),((MOD(L$5-Mitarbeiter!$F$10,(LEN(TRIM(Mitarbeiter!$E$10))-LEN(SUBSTITUTE(TRIM(Mitarbeiter!$E$10)," ",""))+1))+1)-1)*99+1,99))="-","",TRIM(MID(SUBSTITUTE(TRIM(Mitarbeiter!$E$10)," ",REPT(" ",99)),((MOD(L$5-Mitarbeiter!$F$10,(LEN(TRIM(Mitarbeiter!$E$10))-LEN(SUBSTITUTE(TRIM(Mitarbeiter!$E$10)," ",""))+1))+1)-1)*99+1,99))))</f>
      </c>
      <c r="M11" s="54">
        <f>IF(OR($A11="",M$5="",TRIM(Mitarbeiter!$E$10)="",NOT(ISNUMBER(Mitarbeiter!$F$10))),"",IF(TRIM(MID(SUBSTITUTE(TRIM(Mitarbeiter!$E$10)," ",REPT(" ",99)),((MOD(M$5-Mitarbeiter!$F$10,(LEN(TRIM(Mitarbeiter!$E$10))-LEN(SUBSTITUTE(TRIM(Mitarbeiter!$E$10)," ",""))+1))+1)-1)*99+1,99))="-","",TRIM(MID(SUBSTITUTE(TRIM(Mitarbeiter!$E$10)," ",REPT(" ",99)),((MOD(M$5-Mitarbeiter!$F$10,(LEN(TRIM(Mitarbeiter!$E$10))-LEN(SUBSTITUTE(TRIM(Mitarbeiter!$E$10)," ",""))+1))+1)-1)*99+1,99))))</f>
      </c>
      <c r="N11" s="54">
        <f>IF(OR($A11="",N$5="",TRIM(Mitarbeiter!$E$10)="",NOT(ISNUMBER(Mitarbeiter!$F$10))),"",IF(TRIM(MID(SUBSTITUTE(TRIM(Mitarbeiter!$E$10)," ",REPT(" ",99)),((MOD(N$5-Mitarbeiter!$F$10,(LEN(TRIM(Mitarbeiter!$E$10))-LEN(SUBSTITUTE(TRIM(Mitarbeiter!$E$10)," ",""))+1))+1)-1)*99+1,99))="-","",TRIM(MID(SUBSTITUTE(TRIM(Mitarbeiter!$E$10)," ",REPT(" ",99)),((MOD(N$5-Mitarbeiter!$F$10,(LEN(TRIM(Mitarbeiter!$E$10))-LEN(SUBSTITUTE(TRIM(Mitarbeiter!$E$10)," ",""))+1))+1)-1)*99+1,99))))</f>
      </c>
      <c r="O11" s="54">
        <f>IF(OR($A11="",O$5="",TRIM(Mitarbeiter!$E$10)="",NOT(ISNUMBER(Mitarbeiter!$F$10))),"",IF(TRIM(MID(SUBSTITUTE(TRIM(Mitarbeiter!$E$10)," ",REPT(" ",99)),((MOD(O$5-Mitarbeiter!$F$10,(LEN(TRIM(Mitarbeiter!$E$10))-LEN(SUBSTITUTE(TRIM(Mitarbeiter!$E$10)," ",""))+1))+1)-1)*99+1,99))="-","",TRIM(MID(SUBSTITUTE(TRIM(Mitarbeiter!$E$10)," ",REPT(" ",99)),((MOD(O$5-Mitarbeiter!$F$10,(LEN(TRIM(Mitarbeiter!$E$10))-LEN(SUBSTITUTE(TRIM(Mitarbeiter!$E$10)," ",""))+1))+1)-1)*99+1,99))))</f>
      </c>
      <c r="P11" s="54">
        <f>IF(OR($A11="",P$5="",TRIM(Mitarbeiter!$E$10)="",NOT(ISNUMBER(Mitarbeiter!$F$10))),"",IF(TRIM(MID(SUBSTITUTE(TRIM(Mitarbeiter!$E$10)," ",REPT(" ",99)),((MOD(P$5-Mitarbeiter!$F$10,(LEN(TRIM(Mitarbeiter!$E$10))-LEN(SUBSTITUTE(TRIM(Mitarbeiter!$E$10)," ",""))+1))+1)-1)*99+1,99))="-","",TRIM(MID(SUBSTITUTE(TRIM(Mitarbeiter!$E$10)," ",REPT(" ",99)),((MOD(P$5-Mitarbeiter!$F$10,(LEN(TRIM(Mitarbeiter!$E$10))-LEN(SUBSTITUTE(TRIM(Mitarbeiter!$E$10)," ",""))+1))+1)-1)*99+1,99))))</f>
      </c>
      <c r="Q11" s="54">
        <f>IF(OR($A11="",Q$5="",TRIM(Mitarbeiter!$E$10)="",NOT(ISNUMBER(Mitarbeiter!$F$10))),"",IF(TRIM(MID(SUBSTITUTE(TRIM(Mitarbeiter!$E$10)," ",REPT(" ",99)),((MOD(Q$5-Mitarbeiter!$F$10,(LEN(TRIM(Mitarbeiter!$E$10))-LEN(SUBSTITUTE(TRIM(Mitarbeiter!$E$10)," ",""))+1))+1)-1)*99+1,99))="-","",TRIM(MID(SUBSTITUTE(TRIM(Mitarbeiter!$E$10)," ",REPT(" ",99)),((MOD(Q$5-Mitarbeiter!$F$10,(LEN(TRIM(Mitarbeiter!$E$10))-LEN(SUBSTITUTE(TRIM(Mitarbeiter!$E$10)," ",""))+1))+1)-1)*99+1,99))))</f>
      </c>
      <c r="R11" s="54">
        <f>IF(OR($A11="",R$5="",TRIM(Mitarbeiter!$E$10)="",NOT(ISNUMBER(Mitarbeiter!$F$10))),"",IF(TRIM(MID(SUBSTITUTE(TRIM(Mitarbeiter!$E$10)," ",REPT(" ",99)),((MOD(R$5-Mitarbeiter!$F$10,(LEN(TRIM(Mitarbeiter!$E$10))-LEN(SUBSTITUTE(TRIM(Mitarbeiter!$E$10)," ",""))+1))+1)-1)*99+1,99))="-","",TRIM(MID(SUBSTITUTE(TRIM(Mitarbeiter!$E$10)," ",REPT(" ",99)),((MOD(R$5-Mitarbeiter!$F$10,(LEN(TRIM(Mitarbeiter!$E$10))-LEN(SUBSTITUTE(TRIM(Mitarbeiter!$E$10)," ",""))+1))+1)-1)*99+1,99))))</f>
      </c>
      <c r="S11" s="54">
        <f>IF(OR($A11="",S$5="",TRIM(Mitarbeiter!$E$10)="",NOT(ISNUMBER(Mitarbeiter!$F$10))),"",IF(TRIM(MID(SUBSTITUTE(TRIM(Mitarbeiter!$E$10)," ",REPT(" ",99)),((MOD(S$5-Mitarbeiter!$F$10,(LEN(TRIM(Mitarbeiter!$E$10))-LEN(SUBSTITUTE(TRIM(Mitarbeiter!$E$10)," ",""))+1))+1)-1)*99+1,99))="-","",TRIM(MID(SUBSTITUTE(TRIM(Mitarbeiter!$E$10)," ",REPT(" ",99)),((MOD(S$5-Mitarbeiter!$F$10,(LEN(TRIM(Mitarbeiter!$E$10))-LEN(SUBSTITUTE(TRIM(Mitarbeiter!$E$10)," ",""))+1))+1)-1)*99+1,99))))</f>
      </c>
      <c r="T11" s="54">
        <f>IF(OR($A11="",T$5="",TRIM(Mitarbeiter!$E$10)="",NOT(ISNUMBER(Mitarbeiter!$F$10))),"",IF(TRIM(MID(SUBSTITUTE(TRIM(Mitarbeiter!$E$10)," ",REPT(" ",99)),((MOD(T$5-Mitarbeiter!$F$10,(LEN(TRIM(Mitarbeiter!$E$10))-LEN(SUBSTITUTE(TRIM(Mitarbeiter!$E$10)," ",""))+1))+1)-1)*99+1,99))="-","",TRIM(MID(SUBSTITUTE(TRIM(Mitarbeiter!$E$10)," ",REPT(" ",99)),((MOD(T$5-Mitarbeiter!$F$10,(LEN(TRIM(Mitarbeiter!$E$10))-LEN(SUBSTITUTE(TRIM(Mitarbeiter!$E$10)," ",""))+1))+1)-1)*99+1,99))))</f>
      </c>
      <c r="U11" s="54">
        <f>IF(OR($A11="",U$5="",TRIM(Mitarbeiter!$E$10)="",NOT(ISNUMBER(Mitarbeiter!$F$10))),"",IF(TRIM(MID(SUBSTITUTE(TRIM(Mitarbeiter!$E$10)," ",REPT(" ",99)),((MOD(U$5-Mitarbeiter!$F$10,(LEN(TRIM(Mitarbeiter!$E$10))-LEN(SUBSTITUTE(TRIM(Mitarbeiter!$E$10)," ",""))+1))+1)-1)*99+1,99))="-","",TRIM(MID(SUBSTITUTE(TRIM(Mitarbeiter!$E$10)," ",REPT(" ",99)),((MOD(U$5-Mitarbeiter!$F$10,(LEN(TRIM(Mitarbeiter!$E$10))-LEN(SUBSTITUTE(TRIM(Mitarbeiter!$E$10)," ",""))+1))+1)-1)*99+1,99))))</f>
      </c>
      <c r="V11" s="54">
        <f>IF(OR($A11="",V$5="",TRIM(Mitarbeiter!$E$10)="",NOT(ISNUMBER(Mitarbeiter!$F$10))),"",IF(TRIM(MID(SUBSTITUTE(TRIM(Mitarbeiter!$E$10)," ",REPT(" ",99)),((MOD(V$5-Mitarbeiter!$F$10,(LEN(TRIM(Mitarbeiter!$E$10))-LEN(SUBSTITUTE(TRIM(Mitarbeiter!$E$10)," ",""))+1))+1)-1)*99+1,99))="-","",TRIM(MID(SUBSTITUTE(TRIM(Mitarbeiter!$E$10)," ",REPT(" ",99)),((MOD(V$5-Mitarbeiter!$F$10,(LEN(TRIM(Mitarbeiter!$E$10))-LEN(SUBSTITUTE(TRIM(Mitarbeiter!$E$10)," ",""))+1))+1)-1)*99+1,99))))</f>
      </c>
      <c r="W11" s="54">
        <f>IF(OR($A11="",W$5="",TRIM(Mitarbeiter!$E$10)="",NOT(ISNUMBER(Mitarbeiter!$F$10))),"",IF(TRIM(MID(SUBSTITUTE(TRIM(Mitarbeiter!$E$10)," ",REPT(" ",99)),((MOD(W$5-Mitarbeiter!$F$10,(LEN(TRIM(Mitarbeiter!$E$10))-LEN(SUBSTITUTE(TRIM(Mitarbeiter!$E$10)," ",""))+1))+1)-1)*99+1,99))="-","",TRIM(MID(SUBSTITUTE(TRIM(Mitarbeiter!$E$10)," ",REPT(" ",99)),((MOD(W$5-Mitarbeiter!$F$10,(LEN(TRIM(Mitarbeiter!$E$10))-LEN(SUBSTITUTE(TRIM(Mitarbeiter!$E$10)," ",""))+1))+1)-1)*99+1,99))))</f>
      </c>
      <c r="X11" s="54">
        <f>IF(OR($A11="",X$5="",TRIM(Mitarbeiter!$E$10)="",NOT(ISNUMBER(Mitarbeiter!$F$10))),"",IF(TRIM(MID(SUBSTITUTE(TRIM(Mitarbeiter!$E$10)," ",REPT(" ",99)),((MOD(X$5-Mitarbeiter!$F$10,(LEN(TRIM(Mitarbeiter!$E$10))-LEN(SUBSTITUTE(TRIM(Mitarbeiter!$E$10)," ",""))+1))+1)-1)*99+1,99))="-","",TRIM(MID(SUBSTITUTE(TRIM(Mitarbeiter!$E$10)," ",REPT(" ",99)),((MOD(X$5-Mitarbeiter!$F$10,(LEN(TRIM(Mitarbeiter!$E$10))-LEN(SUBSTITUTE(TRIM(Mitarbeiter!$E$10)," ",""))+1))+1)-1)*99+1,99))))</f>
      </c>
      <c r="Y11" s="54">
        <f>IF(OR($A11="",Y$5="",TRIM(Mitarbeiter!$E$10)="",NOT(ISNUMBER(Mitarbeiter!$F$10))),"",IF(TRIM(MID(SUBSTITUTE(TRIM(Mitarbeiter!$E$10)," ",REPT(" ",99)),((MOD(Y$5-Mitarbeiter!$F$10,(LEN(TRIM(Mitarbeiter!$E$10))-LEN(SUBSTITUTE(TRIM(Mitarbeiter!$E$10)," ",""))+1))+1)-1)*99+1,99))="-","",TRIM(MID(SUBSTITUTE(TRIM(Mitarbeiter!$E$10)," ",REPT(" ",99)),((MOD(Y$5-Mitarbeiter!$F$10,(LEN(TRIM(Mitarbeiter!$E$10))-LEN(SUBSTITUTE(TRIM(Mitarbeiter!$E$10)," ",""))+1))+1)-1)*99+1,99))))</f>
      </c>
      <c r="Z11" s="54">
        <f>IF(OR($A11="",Z$5="",TRIM(Mitarbeiter!$E$10)="",NOT(ISNUMBER(Mitarbeiter!$F$10))),"",IF(TRIM(MID(SUBSTITUTE(TRIM(Mitarbeiter!$E$10)," ",REPT(" ",99)),((MOD(Z$5-Mitarbeiter!$F$10,(LEN(TRIM(Mitarbeiter!$E$10))-LEN(SUBSTITUTE(TRIM(Mitarbeiter!$E$10)," ",""))+1))+1)-1)*99+1,99))="-","",TRIM(MID(SUBSTITUTE(TRIM(Mitarbeiter!$E$10)," ",REPT(" ",99)),((MOD(Z$5-Mitarbeiter!$F$10,(LEN(TRIM(Mitarbeiter!$E$10))-LEN(SUBSTITUTE(TRIM(Mitarbeiter!$E$10)," ",""))+1))+1)-1)*99+1,99))))</f>
      </c>
      <c r="AA11" s="54">
        <f>IF(OR($A11="",AA$5="",TRIM(Mitarbeiter!$E$10)="",NOT(ISNUMBER(Mitarbeiter!$F$10))),"",IF(TRIM(MID(SUBSTITUTE(TRIM(Mitarbeiter!$E$10)," ",REPT(" ",99)),((MOD(AA$5-Mitarbeiter!$F$10,(LEN(TRIM(Mitarbeiter!$E$10))-LEN(SUBSTITUTE(TRIM(Mitarbeiter!$E$10)," ",""))+1))+1)-1)*99+1,99))="-","",TRIM(MID(SUBSTITUTE(TRIM(Mitarbeiter!$E$10)," ",REPT(" ",99)),((MOD(AA$5-Mitarbeiter!$F$10,(LEN(TRIM(Mitarbeiter!$E$10))-LEN(SUBSTITUTE(TRIM(Mitarbeiter!$E$10)," ",""))+1))+1)-1)*99+1,99))))</f>
      </c>
      <c r="AB11" s="54">
        <f>IF(OR($A11="",AB$5="",TRIM(Mitarbeiter!$E$10)="",NOT(ISNUMBER(Mitarbeiter!$F$10))),"",IF(TRIM(MID(SUBSTITUTE(TRIM(Mitarbeiter!$E$10)," ",REPT(" ",99)),((MOD(AB$5-Mitarbeiter!$F$10,(LEN(TRIM(Mitarbeiter!$E$10))-LEN(SUBSTITUTE(TRIM(Mitarbeiter!$E$10)," ",""))+1))+1)-1)*99+1,99))="-","",TRIM(MID(SUBSTITUTE(TRIM(Mitarbeiter!$E$10)," ",REPT(" ",99)),((MOD(AB$5-Mitarbeiter!$F$10,(LEN(TRIM(Mitarbeiter!$E$10))-LEN(SUBSTITUTE(TRIM(Mitarbeiter!$E$10)," ",""))+1))+1)-1)*99+1,99))))</f>
      </c>
      <c r="AC11" s="54">
        <f>IF(OR($A11="",AC$5="",TRIM(Mitarbeiter!$E$10)="",NOT(ISNUMBER(Mitarbeiter!$F$10))),"",IF(TRIM(MID(SUBSTITUTE(TRIM(Mitarbeiter!$E$10)," ",REPT(" ",99)),((MOD(AC$5-Mitarbeiter!$F$10,(LEN(TRIM(Mitarbeiter!$E$10))-LEN(SUBSTITUTE(TRIM(Mitarbeiter!$E$10)," ",""))+1))+1)-1)*99+1,99))="-","",TRIM(MID(SUBSTITUTE(TRIM(Mitarbeiter!$E$10)," ",REPT(" ",99)),((MOD(AC$5-Mitarbeiter!$F$10,(LEN(TRIM(Mitarbeiter!$E$10))-LEN(SUBSTITUTE(TRIM(Mitarbeiter!$E$10)," ",""))+1))+1)-1)*99+1,99))))</f>
      </c>
      <c r="AD11" s="54">
        <f>IF(OR($A11="",AD$5="",TRIM(Mitarbeiter!$E$10)="",NOT(ISNUMBER(Mitarbeiter!$F$10))),"",IF(TRIM(MID(SUBSTITUTE(TRIM(Mitarbeiter!$E$10)," ",REPT(" ",99)),((MOD(AD$5-Mitarbeiter!$F$10,(LEN(TRIM(Mitarbeiter!$E$10))-LEN(SUBSTITUTE(TRIM(Mitarbeiter!$E$10)," ",""))+1))+1)-1)*99+1,99))="-","",TRIM(MID(SUBSTITUTE(TRIM(Mitarbeiter!$E$10)," ",REPT(" ",99)),((MOD(AD$5-Mitarbeiter!$F$10,(LEN(TRIM(Mitarbeiter!$E$10))-LEN(SUBSTITUTE(TRIM(Mitarbeiter!$E$10)," ",""))+1))+1)-1)*99+1,99))))</f>
      </c>
      <c r="AE11" s="54">
        <f>IF(OR($A11="",AE$5="",TRIM(Mitarbeiter!$E$10)="",NOT(ISNUMBER(Mitarbeiter!$F$10))),"",IF(TRIM(MID(SUBSTITUTE(TRIM(Mitarbeiter!$E$10)," ",REPT(" ",99)),((MOD(AE$5-Mitarbeiter!$F$10,(LEN(TRIM(Mitarbeiter!$E$10))-LEN(SUBSTITUTE(TRIM(Mitarbeiter!$E$10)," ",""))+1))+1)-1)*99+1,99))="-","",TRIM(MID(SUBSTITUTE(TRIM(Mitarbeiter!$E$10)," ",REPT(" ",99)),((MOD(AE$5-Mitarbeiter!$F$10,(LEN(TRIM(Mitarbeiter!$E$10))-LEN(SUBSTITUTE(TRIM(Mitarbeiter!$E$10)," ",""))+1))+1)-1)*99+1,99))))</f>
      </c>
      <c r="AF11" s="54">
        <f>IF(OR($A11="",AF$5="",TRIM(Mitarbeiter!$E$10)="",NOT(ISNUMBER(Mitarbeiter!$F$10))),"",IF(TRIM(MID(SUBSTITUTE(TRIM(Mitarbeiter!$E$10)," ",REPT(" ",99)),((MOD(AF$5-Mitarbeiter!$F$10,(LEN(TRIM(Mitarbeiter!$E$10))-LEN(SUBSTITUTE(TRIM(Mitarbeiter!$E$10)," ",""))+1))+1)-1)*99+1,99))="-","",TRIM(MID(SUBSTITUTE(TRIM(Mitarbeiter!$E$10)," ",REPT(" ",99)),((MOD(AF$5-Mitarbeiter!$F$10,(LEN(TRIM(Mitarbeiter!$E$10))-LEN(SUBSTITUTE(TRIM(Mitarbeiter!$E$10)," ",""))+1))+1)-1)*99+1,99))))</f>
      </c>
      <c r="AG11" s="55">
        <f>IF(OR($A11="",TRIM(Mitarbeiter!$E$10)=""),"",IF(NOT(ISNUMBER(Mitarbeiter!$F$10)),"Rhythmus ab: Datum fehlt",IF(COUNTIF(B11:AF11,"?*")-SUMPRODUCT(COUNTIF(B11:AF11,Codes)*(Codes&lt;&gt;"")*Erste)&gt;0,"Rhythmus enthält ein unbekanntes Kürzel","")))</f>
      </c>
    </row>
    <row r="12" spans="1:33" x14ac:dyDescent="0.25">
      <c r="A12" s="49">
        <f>Mitarbeiter!$A$11&amp;""</f>
      </c>
      <c r="B12" s="54">
        <f>IF(OR($A12="",B$5="",TRIM(Mitarbeiter!$E$11)="",NOT(ISNUMBER(Mitarbeiter!$F$11))),"",IF(TRIM(MID(SUBSTITUTE(TRIM(Mitarbeiter!$E$11)," ",REPT(" ",99)),((MOD(B$5-Mitarbeiter!$F$11,(LEN(TRIM(Mitarbeiter!$E$11))-LEN(SUBSTITUTE(TRIM(Mitarbeiter!$E$11)," ",""))+1))+1)-1)*99+1,99))="-","",TRIM(MID(SUBSTITUTE(TRIM(Mitarbeiter!$E$11)," ",REPT(" ",99)),((MOD(B$5-Mitarbeiter!$F$11,(LEN(TRIM(Mitarbeiter!$E$11))-LEN(SUBSTITUTE(TRIM(Mitarbeiter!$E$11)," ",""))+1))+1)-1)*99+1,99))))</f>
      </c>
      <c r="C12" s="54">
        <f>IF(OR($A12="",C$5="",TRIM(Mitarbeiter!$E$11)="",NOT(ISNUMBER(Mitarbeiter!$F$11))),"",IF(TRIM(MID(SUBSTITUTE(TRIM(Mitarbeiter!$E$11)," ",REPT(" ",99)),((MOD(C$5-Mitarbeiter!$F$11,(LEN(TRIM(Mitarbeiter!$E$11))-LEN(SUBSTITUTE(TRIM(Mitarbeiter!$E$11)," ",""))+1))+1)-1)*99+1,99))="-","",TRIM(MID(SUBSTITUTE(TRIM(Mitarbeiter!$E$11)," ",REPT(" ",99)),((MOD(C$5-Mitarbeiter!$F$11,(LEN(TRIM(Mitarbeiter!$E$11))-LEN(SUBSTITUTE(TRIM(Mitarbeiter!$E$11)," ",""))+1))+1)-1)*99+1,99))))</f>
      </c>
      <c r="D12" s="54">
        <f>IF(OR($A12="",D$5="",TRIM(Mitarbeiter!$E$11)="",NOT(ISNUMBER(Mitarbeiter!$F$11))),"",IF(TRIM(MID(SUBSTITUTE(TRIM(Mitarbeiter!$E$11)," ",REPT(" ",99)),((MOD(D$5-Mitarbeiter!$F$11,(LEN(TRIM(Mitarbeiter!$E$11))-LEN(SUBSTITUTE(TRIM(Mitarbeiter!$E$11)," ",""))+1))+1)-1)*99+1,99))="-","",TRIM(MID(SUBSTITUTE(TRIM(Mitarbeiter!$E$11)," ",REPT(" ",99)),((MOD(D$5-Mitarbeiter!$F$11,(LEN(TRIM(Mitarbeiter!$E$11))-LEN(SUBSTITUTE(TRIM(Mitarbeiter!$E$11)," ",""))+1))+1)-1)*99+1,99))))</f>
      </c>
      <c r="E12" s="54">
        <f>IF(OR($A12="",E$5="",TRIM(Mitarbeiter!$E$11)="",NOT(ISNUMBER(Mitarbeiter!$F$11))),"",IF(TRIM(MID(SUBSTITUTE(TRIM(Mitarbeiter!$E$11)," ",REPT(" ",99)),((MOD(E$5-Mitarbeiter!$F$11,(LEN(TRIM(Mitarbeiter!$E$11))-LEN(SUBSTITUTE(TRIM(Mitarbeiter!$E$11)," ",""))+1))+1)-1)*99+1,99))="-","",TRIM(MID(SUBSTITUTE(TRIM(Mitarbeiter!$E$11)," ",REPT(" ",99)),((MOD(E$5-Mitarbeiter!$F$11,(LEN(TRIM(Mitarbeiter!$E$11))-LEN(SUBSTITUTE(TRIM(Mitarbeiter!$E$11)," ",""))+1))+1)-1)*99+1,99))))</f>
      </c>
      <c r="F12" s="54">
        <f>IF(OR($A12="",F$5="",TRIM(Mitarbeiter!$E$11)="",NOT(ISNUMBER(Mitarbeiter!$F$11))),"",IF(TRIM(MID(SUBSTITUTE(TRIM(Mitarbeiter!$E$11)," ",REPT(" ",99)),((MOD(F$5-Mitarbeiter!$F$11,(LEN(TRIM(Mitarbeiter!$E$11))-LEN(SUBSTITUTE(TRIM(Mitarbeiter!$E$11)," ",""))+1))+1)-1)*99+1,99))="-","",TRIM(MID(SUBSTITUTE(TRIM(Mitarbeiter!$E$11)," ",REPT(" ",99)),((MOD(F$5-Mitarbeiter!$F$11,(LEN(TRIM(Mitarbeiter!$E$11))-LEN(SUBSTITUTE(TRIM(Mitarbeiter!$E$11)," ",""))+1))+1)-1)*99+1,99))))</f>
      </c>
      <c r="G12" s="54">
        <f>IF(OR($A12="",G$5="",TRIM(Mitarbeiter!$E$11)="",NOT(ISNUMBER(Mitarbeiter!$F$11))),"",IF(TRIM(MID(SUBSTITUTE(TRIM(Mitarbeiter!$E$11)," ",REPT(" ",99)),((MOD(G$5-Mitarbeiter!$F$11,(LEN(TRIM(Mitarbeiter!$E$11))-LEN(SUBSTITUTE(TRIM(Mitarbeiter!$E$11)," ",""))+1))+1)-1)*99+1,99))="-","",TRIM(MID(SUBSTITUTE(TRIM(Mitarbeiter!$E$11)," ",REPT(" ",99)),((MOD(G$5-Mitarbeiter!$F$11,(LEN(TRIM(Mitarbeiter!$E$11))-LEN(SUBSTITUTE(TRIM(Mitarbeiter!$E$11)," ",""))+1))+1)-1)*99+1,99))))</f>
      </c>
      <c r="H12" s="54">
        <f>IF(OR($A12="",H$5="",TRIM(Mitarbeiter!$E$11)="",NOT(ISNUMBER(Mitarbeiter!$F$11))),"",IF(TRIM(MID(SUBSTITUTE(TRIM(Mitarbeiter!$E$11)," ",REPT(" ",99)),((MOD(H$5-Mitarbeiter!$F$11,(LEN(TRIM(Mitarbeiter!$E$11))-LEN(SUBSTITUTE(TRIM(Mitarbeiter!$E$11)," ",""))+1))+1)-1)*99+1,99))="-","",TRIM(MID(SUBSTITUTE(TRIM(Mitarbeiter!$E$11)," ",REPT(" ",99)),((MOD(H$5-Mitarbeiter!$F$11,(LEN(TRIM(Mitarbeiter!$E$11))-LEN(SUBSTITUTE(TRIM(Mitarbeiter!$E$11)," ",""))+1))+1)-1)*99+1,99))))</f>
      </c>
      <c r="I12" s="54">
        <f>IF(OR($A12="",I$5="",TRIM(Mitarbeiter!$E$11)="",NOT(ISNUMBER(Mitarbeiter!$F$11))),"",IF(TRIM(MID(SUBSTITUTE(TRIM(Mitarbeiter!$E$11)," ",REPT(" ",99)),((MOD(I$5-Mitarbeiter!$F$11,(LEN(TRIM(Mitarbeiter!$E$11))-LEN(SUBSTITUTE(TRIM(Mitarbeiter!$E$11)," ",""))+1))+1)-1)*99+1,99))="-","",TRIM(MID(SUBSTITUTE(TRIM(Mitarbeiter!$E$11)," ",REPT(" ",99)),((MOD(I$5-Mitarbeiter!$F$11,(LEN(TRIM(Mitarbeiter!$E$11))-LEN(SUBSTITUTE(TRIM(Mitarbeiter!$E$11)," ",""))+1))+1)-1)*99+1,99))))</f>
      </c>
      <c r="J12" s="54">
        <f>IF(OR($A12="",J$5="",TRIM(Mitarbeiter!$E$11)="",NOT(ISNUMBER(Mitarbeiter!$F$11))),"",IF(TRIM(MID(SUBSTITUTE(TRIM(Mitarbeiter!$E$11)," ",REPT(" ",99)),((MOD(J$5-Mitarbeiter!$F$11,(LEN(TRIM(Mitarbeiter!$E$11))-LEN(SUBSTITUTE(TRIM(Mitarbeiter!$E$11)," ",""))+1))+1)-1)*99+1,99))="-","",TRIM(MID(SUBSTITUTE(TRIM(Mitarbeiter!$E$11)," ",REPT(" ",99)),((MOD(J$5-Mitarbeiter!$F$11,(LEN(TRIM(Mitarbeiter!$E$11))-LEN(SUBSTITUTE(TRIM(Mitarbeiter!$E$11)," ",""))+1))+1)-1)*99+1,99))))</f>
      </c>
      <c r="K12" s="54">
        <f>IF(OR($A12="",K$5="",TRIM(Mitarbeiter!$E$11)="",NOT(ISNUMBER(Mitarbeiter!$F$11))),"",IF(TRIM(MID(SUBSTITUTE(TRIM(Mitarbeiter!$E$11)," ",REPT(" ",99)),((MOD(K$5-Mitarbeiter!$F$11,(LEN(TRIM(Mitarbeiter!$E$11))-LEN(SUBSTITUTE(TRIM(Mitarbeiter!$E$11)," ",""))+1))+1)-1)*99+1,99))="-","",TRIM(MID(SUBSTITUTE(TRIM(Mitarbeiter!$E$11)," ",REPT(" ",99)),((MOD(K$5-Mitarbeiter!$F$11,(LEN(TRIM(Mitarbeiter!$E$11))-LEN(SUBSTITUTE(TRIM(Mitarbeiter!$E$11)," ",""))+1))+1)-1)*99+1,99))))</f>
      </c>
      <c r="L12" s="54">
        <f>IF(OR($A12="",L$5="",TRIM(Mitarbeiter!$E$11)="",NOT(ISNUMBER(Mitarbeiter!$F$11))),"",IF(TRIM(MID(SUBSTITUTE(TRIM(Mitarbeiter!$E$11)," ",REPT(" ",99)),((MOD(L$5-Mitarbeiter!$F$11,(LEN(TRIM(Mitarbeiter!$E$11))-LEN(SUBSTITUTE(TRIM(Mitarbeiter!$E$11)," ",""))+1))+1)-1)*99+1,99))="-","",TRIM(MID(SUBSTITUTE(TRIM(Mitarbeiter!$E$11)," ",REPT(" ",99)),((MOD(L$5-Mitarbeiter!$F$11,(LEN(TRIM(Mitarbeiter!$E$11))-LEN(SUBSTITUTE(TRIM(Mitarbeiter!$E$11)," ",""))+1))+1)-1)*99+1,99))))</f>
      </c>
      <c r="M12" s="54">
        <f>IF(OR($A12="",M$5="",TRIM(Mitarbeiter!$E$11)="",NOT(ISNUMBER(Mitarbeiter!$F$11))),"",IF(TRIM(MID(SUBSTITUTE(TRIM(Mitarbeiter!$E$11)," ",REPT(" ",99)),((MOD(M$5-Mitarbeiter!$F$11,(LEN(TRIM(Mitarbeiter!$E$11))-LEN(SUBSTITUTE(TRIM(Mitarbeiter!$E$11)," ",""))+1))+1)-1)*99+1,99))="-","",TRIM(MID(SUBSTITUTE(TRIM(Mitarbeiter!$E$11)," ",REPT(" ",99)),((MOD(M$5-Mitarbeiter!$F$11,(LEN(TRIM(Mitarbeiter!$E$11))-LEN(SUBSTITUTE(TRIM(Mitarbeiter!$E$11)," ",""))+1))+1)-1)*99+1,99))))</f>
      </c>
      <c r="N12" s="54">
        <f>IF(OR($A12="",N$5="",TRIM(Mitarbeiter!$E$11)="",NOT(ISNUMBER(Mitarbeiter!$F$11))),"",IF(TRIM(MID(SUBSTITUTE(TRIM(Mitarbeiter!$E$11)," ",REPT(" ",99)),((MOD(N$5-Mitarbeiter!$F$11,(LEN(TRIM(Mitarbeiter!$E$11))-LEN(SUBSTITUTE(TRIM(Mitarbeiter!$E$11)," ",""))+1))+1)-1)*99+1,99))="-","",TRIM(MID(SUBSTITUTE(TRIM(Mitarbeiter!$E$11)," ",REPT(" ",99)),((MOD(N$5-Mitarbeiter!$F$11,(LEN(TRIM(Mitarbeiter!$E$11))-LEN(SUBSTITUTE(TRIM(Mitarbeiter!$E$11)," ",""))+1))+1)-1)*99+1,99))))</f>
      </c>
      <c r="O12" s="54">
        <f>IF(OR($A12="",O$5="",TRIM(Mitarbeiter!$E$11)="",NOT(ISNUMBER(Mitarbeiter!$F$11))),"",IF(TRIM(MID(SUBSTITUTE(TRIM(Mitarbeiter!$E$11)," ",REPT(" ",99)),((MOD(O$5-Mitarbeiter!$F$11,(LEN(TRIM(Mitarbeiter!$E$11))-LEN(SUBSTITUTE(TRIM(Mitarbeiter!$E$11)," ",""))+1))+1)-1)*99+1,99))="-","",TRIM(MID(SUBSTITUTE(TRIM(Mitarbeiter!$E$11)," ",REPT(" ",99)),((MOD(O$5-Mitarbeiter!$F$11,(LEN(TRIM(Mitarbeiter!$E$11))-LEN(SUBSTITUTE(TRIM(Mitarbeiter!$E$11)," ",""))+1))+1)-1)*99+1,99))))</f>
      </c>
      <c r="P12" s="54">
        <f>IF(OR($A12="",P$5="",TRIM(Mitarbeiter!$E$11)="",NOT(ISNUMBER(Mitarbeiter!$F$11))),"",IF(TRIM(MID(SUBSTITUTE(TRIM(Mitarbeiter!$E$11)," ",REPT(" ",99)),((MOD(P$5-Mitarbeiter!$F$11,(LEN(TRIM(Mitarbeiter!$E$11))-LEN(SUBSTITUTE(TRIM(Mitarbeiter!$E$11)," ",""))+1))+1)-1)*99+1,99))="-","",TRIM(MID(SUBSTITUTE(TRIM(Mitarbeiter!$E$11)," ",REPT(" ",99)),((MOD(P$5-Mitarbeiter!$F$11,(LEN(TRIM(Mitarbeiter!$E$11))-LEN(SUBSTITUTE(TRIM(Mitarbeiter!$E$11)," ",""))+1))+1)-1)*99+1,99))))</f>
      </c>
      <c r="Q12" s="54">
        <f>IF(OR($A12="",Q$5="",TRIM(Mitarbeiter!$E$11)="",NOT(ISNUMBER(Mitarbeiter!$F$11))),"",IF(TRIM(MID(SUBSTITUTE(TRIM(Mitarbeiter!$E$11)," ",REPT(" ",99)),((MOD(Q$5-Mitarbeiter!$F$11,(LEN(TRIM(Mitarbeiter!$E$11))-LEN(SUBSTITUTE(TRIM(Mitarbeiter!$E$11)," ",""))+1))+1)-1)*99+1,99))="-","",TRIM(MID(SUBSTITUTE(TRIM(Mitarbeiter!$E$11)," ",REPT(" ",99)),((MOD(Q$5-Mitarbeiter!$F$11,(LEN(TRIM(Mitarbeiter!$E$11))-LEN(SUBSTITUTE(TRIM(Mitarbeiter!$E$11)," ",""))+1))+1)-1)*99+1,99))))</f>
      </c>
      <c r="R12" s="54">
        <f>IF(OR($A12="",R$5="",TRIM(Mitarbeiter!$E$11)="",NOT(ISNUMBER(Mitarbeiter!$F$11))),"",IF(TRIM(MID(SUBSTITUTE(TRIM(Mitarbeiter!$E$11)," ",REPT(" ",99)),((MOD(R$5-Mitarbeiter!$F$11,(LEN(TRIM(Mitarbeiter!$E$11))-LEN(SUBSTITUTE(TRIM(Mitarbeiter!$E$11)," ",""))+1))+1)-1)*99+1,99))="-","",TRIM(MID(SUBSTITUTE(TRIM(Mitarbeiter!$E$11)," ",REPT(" ",99)),((MOD(R$5-Mitarbeiter!$F$11,(LEN(TRIM(Mitarbeiter!$E$11))-LEN(SUBSTITUTE(TRIM(Mitarbeiter!$E$11)," ",""))+1))+1)-1)*99+1,99))))</f>
      </c>
      <c r="S12" s="54">
        <f>IF(OR($A12="",S$5="",TRIM(Mitarbeiter!$E$11)="",NOT(ISNUMBER(Mitarbeiter!$F$11))),"",IF(TRIM(MID(SUBSTITUTE(TRIM(Mitarbeiter!$E$11)," ",REPT(" ",99)),((MOD(S$5-Mitarbeiter!$F$11,(LEN(TRIM(Mitarbeiter!$E$11))-LEN(SUBSTITUTE(TRIM(Mitarbeiter!$E$11)," ",""))+1))+1)-1)*99+1,99))="-","",TRIM(MID(SUBSTITUTE(TRIM(Mitarbeiter!$E$11)," ",REPT(" ",99)),((MOD(S$5-Mitarbeiter!$F$11,(LEN(TRIM(Mitarbeiter!$E$11))-LEN(SUBSTITUTE(TRIM(Mitarbeiter!$E$11)," ",""))+1))+1)-1)*99+1,99))))</f>
      </c>
      <c r="T12" s="54">
        <f>IF(OR($A12="",T$5="",TRIM(Mitarbeiter!$E$11)="",NOT(ISNUMBER(Mitarbeiter!$F$11))),"",IF(TRIM(MID(SUBSTITUTE(TRIM(Mitarbeiter!$E$11)," ",REPT(" ",99)),((MOD(T$5-Mitarbeiter!$F$11,(LEN(TRIM(Mitarbeiter!$E$11))-LEN(SUBSTITUTE(TRIM(Mitarbeiter!$E$11)," ",""))+1))+1)-1)*99+1,99))="-","",TRIM(MID(SUBSTITUTE(TRIM(Mitarbeiter!$E$11)," ",REPT(" ",99)),((MOD(T$5-Mitarbeiter!$F$11,(LEN(TRIM(Mitarbeiter!$E$11))-LEN(SUBSTITUTE(TRIM(Mitarbeiter!$E$11)," ",""))+1))+1)-1)*99+1,99))))</f>
      </c>
      <c r="U12" s="54">
        <f>IF(OR($A12="",U$5="",TRIM(Mitarbeiter!$E$11)="",NOT(ISNUMBER(Mitarbeiter!$F$11))),"",IF(TRIM(MID(SUBSTITUTE(TRIM(Mitarbeiter!$E$11)," ",REPT(" ",99)),((MOD(U$5-Mitarbeiter!$F$11,(LEN(TRIM(Mitarbeiter!$E$11))-LEN(SUBSTITUTE(TRIM(Mitarbeiter!$E$11)," ",""))+1))+1)-1)*99+1,99))="-","",TRIM(MID(SUBSTITUTE(TRIM(Mitarbeiter!$E$11)," ",REPT(" ",99)),((MOD(U$5-Mitarbeiter!$F$11,(LEN(TRIM(Mitarbeiter!$E$11))-LEN(SUBSTITUTE(TRIM(Mitarbeiter!$E$11)," ",""))+1))+1)-1)*99+1,99))))</f>
      </c>
      <c r="V12" s="54">
        <f>IF(OR($A12="",V$5="",TRIM(Mitarbeiter!$E$11)="",NOT(ISNUMBER(Mitarbeiter!$F$11))),"",IF(TRIM(MID(SUBSTITUTE(TRIM(Mitarbeiter!$E$11)," ",REPT(" ",99)),((MOD(V$5-Mitarbeiter!$F$11,(LEN(TRIM(Mitarbeiter!$E$11))-LEN(SUBSTITUTE(TRIM(Mitarbeiter!$E$11)," ",""))+1))+1)-1)*99+1,99))="-","",TRIM(MID(SUBSTITUTE(TRIM(Mitarbeiter!$E$11)," ",REPT(" ",99)),((MOD(V$5-Mitarbeiter!$F$11,(LEN(TRIM(Mitarbeiter!$E$11))-LEN(SUBSTITUTE(TRIM(Mitarbeiter!$E$11)," ",""))+1))+1)-1)*99+1,99))))</f>
      </c>
      <c r="W12" s="54">
        <f>IF(OR($A12="",W$5="",TRIM(Mitarbeiter!$E$11)="",NOT(ISNUMBER(Mitarbeiter!$F$11))),"",IF(TRIM(MID(SUBSTITUTE(TRIM(Mitarbeiter!$E$11)," ",REPT(" ",99)),((MOD(W$5-Mitarbeiter!$F$11,(LEN(TRIM(Mitarbeiter!$E$11))-LEN(SUBSTITUTE(TRIM(Mitarbeiter!$E$11)," ",""))+1))+1)-1)*99+1,99))="-","",TRIM(MID(SUBSTITUTE(TRIM(Mitarbeiter!$E$11)," ",REPT(" ",99)),((MOD(W$5-Mitarbeiter!$F$11,(LEN(TRIM(Mitarbeiter!$E$11))-LEN(SUBSTITUTE(TRIM(Mitarbeiter!$E$11)," ",""))+1))+1)-1)*99+1,99))))</f>
      </c>
      <c r="X12" s="54">
        <f>IF(OR($A12="",X$5="",TRIM(Mitarbeiter!$E$11)="",NOT(ISNUMBER(Mitarbeiter!$F$11))),"",IF(TRIM(MID(SUBSTITUTE(TRIM(Mitarbeiter!$E$11)," ",REPT(" ",99)),((MOD(X$5-Mitarbeiter!$F$11,(LEN(TRIM(Mitarbeiter!$E$11))-LEN(SUBSTITUTE(TRIM(Mitarbeiter!$E$11)," ",""))+1))+1)-1)*99+1,99))="-","",TRIM(MID(SUBSTITUTE(TRIM(Mitarbeiter!$E$11)," ",REPT(" ",99)),((MOD(X$5-Mitarbeiter!$F$11,(LEN(TRIM(Mitarbeiter!$E$11))-LEN(SUBSTITUTE(TRIM(Mitarbeiter!$E$11)," ",""))+1))+1)-1)*99+1,99))))</f>
      </c>
      <c r="Y12" s="54">
        <f>IF(OR($A12="",Y$5="",TRIM(Mitarbeiter!$E$11)="",NOT(ISNUMBER(Mitarbeiter!$F$11))),"",IF(TRIM(MID(SUBSTITUTE(TRIM(Mitarbeiter!$E$11)," ",REPT(" ",99)),((MOD(Y$5-Mitarbeiter!$F$11,(LEN(TRIM(Mitarbeiter!$E$11))-LEN(SUBSTITUTE(TRIM(Mitarbeiter!$E$11)," ",""))+1))+1)-1)*99+1,99))="-","",TRIM(MID(SUBSTITUTE(TRIM(Mitarbeiter!$E$11)," ",REPT(" ",99)),((MOD(Y$5-Mitarbeiter!$F$11,(LEN(TRIM(Mitarbeiter!$E$11))-LEN(SUBSTITUTE(TRIM(Mitarbeiter!$E$11)," ",""))+1))+1)-1)*99+1,99))))</f>
      </c>
      <c r="Z12" s="54">
        <f>IF(OR($A12="",Z$5="",TRIM(Mitarbeiter!$E$11)="",NOT(ISNUMBER(Mitarbeiter!$F$11))),"",IF(TRIM(MID(SUBSTITUTE(TRIM(Mitarbeiter!$E$11)," ",REPT(" ",99)),((MOD(Z$5-Mitarbeiter!$F$11,(LEN(TRIM(Mitarbeiter!$E$11))-LEN(SUBSTITUTE(TRIM(Mitarbeiter!$E$11)," ",""))+1))+1)-1)*99+1,99))="-","",TRIM(MID(SUBSTITUTE(TRIM(Mitarbeiter!$E$11)," ",REPT(" ",99)),((MOD(Z$5-Mitarbeiter!$F$11,(LEN(TRIM(Mitarbeiter!$E$11))-LEN(SUBSTITUTE(TRIM(Mitarbeiter!$E$11)," ",""))+1))+1)-1)*99+1,99))))</f>
      </c>
      <c r="AA12" s="54">
        <f>IF(OR($A12="",AA$5="",TRIM(Mitarbeiter!$E$11)="",NOT(ISNUMBER(Mitarbeiter!$F$11))),"",IF(TRIM(MID(SUBSTITUTE(TRIM(Mitarbeiter!$E$11)," ",REPT(" ",99)),((MOD(AA$5-Mitarbeiter!$F$11,(LEN(TRIM(Mitarbeiter!$E$11))-LEN(SUBSTITUTE(TRIM(Mitarbeiter!$E$11)," ",""))+1))+1)-1)*99+1,99))="-","",TRIM(MID(SUBSTITUTE(TRIM(Mitarbeiter!$E$11)," ",REPT(" ",99)),((MOD(AA$5-Mitarbeiter!$F$11,(LEN(TRIM(Mitarbeiter!$E$11))-LEN(SUBSTITUTE(TRIM(Mitarbeiter!$E$11)," ",""))+1))+1)-1)*99+1,99))))</f>
      </c>
      <c r="AB12" s="54">
        <f>IF(OR($A12="",AB$5="",TRIM(Mitarbeiter!$E$11)="",NOT(ISNUMBER(Mitarbeiter!$F$11))),"",IF(TRIM(MID(SUBSTITUTE(TRIM(Mitarbeiter!$E$11)," ",REPT(" ",99)),((MOD(AB$5-Mitarbeiter!$F$11,(LEN(TRIM(Mitarbeiter!$E$11))-LEN(SUBSTITUTE(TRIM(Mitarbeiter!$E$11)," ",""))+1))+1)-1)*99+1,99))="-","",TRIM(MID(SUBSTITUTE(TRIM(Mitarbeiter!$E$11)," ",REPT(" ",99)),((MOD(AB$5-Mitarbeiter!$F$11,(LEN(TRIM(Mitarbeiter!$E$11))-LEN(SUBSTITUTE(TRIM(Mitarbeiter!$E$11)," ",""))+1))+1)-1)*99+1,99))))</f>
      </c>
      <c r="AC12" s="54">
        <f>IF(OR($A12="",AC$5="",TRIM(Mitarbeiter!$E$11)="",NOT(ISNUMBER(Mitarbeiter!$F$11))),"",IF(TRIM(MID(SUBSTITUTE(TRIM(Mitarbeiter!$E$11)," ",REPT(" ",99)),((MOD(AC$5-Mitarbeiter!$F$11,(LEN(TRIM(Mitarbeiter!$E$11))-LEN(SUBSTITUTE(TRIM(Mitarbeiter!$E$11)," ",""))+1))+1)-1)*99+1,99))="-","",TRIM(MID(SUBSTITUTE(TRIM(Mitarbeiter!$E$11)," ",REPT(" ",99)),((MOD(AC$5-Mitarbeiter!$F$11,(LEN(TRIM(Mitarbeiter!$E$11))-LEN(SUBSTITUTE(TRIM(Mitarbeiter!$E$11)," ",""))+1))+1)-1)*99+1,99))))</f>
      </c>
      <c r="AD12" s="54">
        <f>IF(OR($A12="",AD$5="",TRIM(Mitarbeiter!$E$11)="",NOT(ISNUMBER(Mitarbeiter!$F$11))),"",IF(TRIM(MID(SUBSTITUTE(TRIM(Mitarbeiter!$E$11)," ",REPT(" ",99)),((MOD(AD$5-Mitarbeiter!$F$11,(LEN(TRIM(Mitarbeiter!$E$11))-LEN(SUBSTITUTE(TRIM(Mitarbeiter!$E$11)," ",""))+1))+1)-1)*99+1,99))="-","",TRIM(MID(SUBSTITUTE(TRIM(Mitarbeiter!$E$11)," ",REPT(" ",99)),((MOD(AD$5-Mitarbeiter!$F$11,(LEN(TRIM(Mitarbeiter!$E$11))-LEN(SUBSTITUTE(TRIM(Mitarbeiter!$E$11)," ",""))+1))+1)-1)*99+1,99))))</f>
      </c>
      <c r="AE12" s="54">
        <f>IF(OR($A12="",AE$5="",TRIM(Mitarbeiter!$E$11)="",NOT(ISNUMBER(Mitarbeiter!$F$11))),"",IF(TRIM(MID(SUBSTITUTE(TRIM(Mitarbeiter!$E$11)," ",REPT(" ",99)),((MOD(AE$5-Mitarbeiter!$F$11,(LEN(TRIM(Mitarbeiter!$E$11))-LEN(SUBSTITUTE(TRIM(Mitarbeiter!$E$11)," ",""))+1))+1)-1)*99+1,99))="-","",TRIM(MID(SUBSTITUTE(TRIM(Mitarbeiter!$E$11)," ",REPT(" ",99)),((MOD(AE$5-Mitarbeiter!$F$11,(LEN(TRIM(Mitarbeiter!$E$11))-LEN(SUBSTITUTE(TRIM(Mitarbeiter!$E$11)," ",""))+1))+1)-1)*99+1,99))))</f>
      </c>
      <c r="AF12" s="54">
        <f>IF(OR($A12="",AF$5="",TRIM(Mitarbeiter!$E$11)="",NOT(ISNUMBER(Mitarbeiter!$F$11))),"",IF(TRIM(MID(SUBSTITUTE(TRIM(Mitarbeiter!$E$11)," ",REPT(" ",99)),((MOD(AF$5-Mitarbeiter!$F$11,(LEN(TRIM(Mitarbeiter!$E$11))-LEN(SUBSTITUTE(TRIM(Mitarbeiter!$E$11)," ",""))+1))+1)-1)*99+1,99))="-","",TRIM(MID(SUBSTITUTE(TRIM(Mitarbeiter!$E$11)," ",REPT(" ",99)),((MOD(AF$5-Mitarbeiter!$F$11,(LEN(TRIM(Mitarbeiter!$E$11))-LEN(SUBSTITUTE(TRIM(Mitarbeiter!$E$11)," ",""))+1))+1)-1)*99+1,99))))</f>
      </c>
      <c r="AG12" s="55">
        <f>IF(OR($A12="",TRIM(Mitarbeiter!$E$11)=""),"",IF(NOT(ISNUMBER(Mitarbeiter!$F$11)),"Rhythmus ab: Datum fehlt",IF(COUNTIF(B12:AF12,"?*")-SUMPRODUCT(COUNTIF(B12:AF12,Codes)*(Codes&lt;&gt;"")*Erste)&gt;0,"Rhythmus enthält ein unbekanntes Kürzel","")))</f>
      </c>
    </row>
    <row r="13" spans="1:33" x14ac:dyDescent="0.25">
      <c r="A13" s="49">
        <f>Mitarbeiter!$A$12&amp;""</f>
      </c>
      <c r="B13" s="54">
        <f>IF(OR($A13="",B$5="",TRIM(Mitarbeiter!$E$12)="",NOT(ISNUMBER(Mitarbeiter!$F$12))),"",IF(TRIM(MID(SUBSTITUTE(TRIM(Mitarbeiter!$E$12)," ",REPT(" ",99)),((MOD(B$5-Mitarbeiter!$F$12,(LEN(TRIM(Mitarbeiter!$E$12))-LEN(SUBSTITUTE(TRIM(Mitarbeiter!$E$12)," ",""))+1))+1)-1)*99+1,99))="-","",TRIM(MID(SUBSTITUTE(TRIM(Mitarbeiter!$E$12)," ",REPT(" ",99)),((MOD(B$5-Mitarbeiter!$F$12,(LEN(TRIM(Mitarbeiter!$E$12))-LEN(SUBSTITUTE(TRIM(Mitarbeiter!$E$12)," ",""))+1))+1)-1)*99+1,99))))</f>
      </c>
      <c r="C13" s="54">
        <f>IF(OR($A13="",C$5="",TRIM(Mitarbeiter!$E$12)="",NOT(ISNUMBER(Mitarbeiter!$F$12))),"",IF(TRIM(MID(SUBSTITUTE(TRIM(Mitarbeiter!$E$12)," ",REPT(" ",99)),((MOD(C$5-Mitarbeiter!$F$12,(LEN(TRIM(Mitarbeiter!$E$12))-LEN(SUBSTITUTE(TRIM(Mitarbeiter!$E$12)," ",""))+1))+1)-1)*99+1,99))="-","",TRIM(MID(SUBSTITUTE(TRIM(Mitarbeiter!$E$12)," ",REPT(" ",99)),((MOD(C$5-Mitarbeiter!$F$12,(LEN(TRIM(Mitarbeiter!$E$12))-LEN(SUBSTITUTE(TRIM(Mitarbeiter!$E$12)," ",""))+1))+1)-1)*99+1,99))))</f>
      </c>
      <c r="D13" s="54">
        <f>IF(OR($A13="",D$5="",TRIM(Mitarbeiter!$E$12)="",NOT(ISNUMBER(Mitarbeiter!$F$12))),"",IF(TRIM(MID(SUBSTITUTE(TRIM(Mitarbeiter!$E$12)," ",REPT(" ",99)),((MOD(D$5-Mitarbeiter!$F$12,(LEN(TRIM(Mitarbeiter!$E$12))-LEN(SUBSTITUTE(TRIM(Mitarbeiter!$E$12)," ",""))+1))+1)-1)*99+1,99))="-","",TRIM(MID(SUBSTITUTE(TRIM(Mitarbeiter!$E$12)," ",REPT(" ",99)),((MOD(D$5-Mitarbeiter!$F$12,(LEN(TRIM(Mitarbeiter!$E$12))-LEN(SUBSTITUTE(TRIM(Mitarbeiter!$E$12)," ",""))+1))+1)-1)*99+1,99))))</f>
      </c>
      <c r="E13" s="54">
        <f>IF(OR($A13="",E$5="",TRIM(Mitarbeiter!$E$12)="",NOT(ISNUMBER(Mitarbeiter!$F$12))),"",IF(TRIM(MID(SUBSTITUTE(TRIM(Mitarbeiter!$E$12)," ",REPT(" ",99)),((MOD(E$5-Mitarbeiter!$F$12,(LEN(TRIM(Mitarbeiter!$E$12))-LEN(SUBSTITUTE(TRIM(Mitarbeiter!$E$12)," ",""))+1))+1)-1)*99+1,99))="-","",TRIM(MID(SUBSTITUTE(TRIM(Mitarbeiter!$E$12)," ",REPT(" ",99)),((MOD(E$5-Mitarbeiter!$F$12,(LEN(TRIM(Mitarbeiter!$E$12))-LEN(SUBSTITUTE(TRIM(Mitarbeiter!$E$12)," ",""))+1))+1)-1)*99+1,99))))</f>
      </c>
      <c r="F13" s="54">
        <f>IF(OR($A13="",F$5="",TRIM(Mitarbeiter!$E$12)="",NOT(ISNUMBER(Mitarbeiter!$F$12))),"",IF(TRIM(MID(SUBSTITUTE(TRIM(Mitarbeiter!$E$12)," ",REPT(" ",99)),((MOD(F$5-Mitarbeiter!$F$12,(LEN(TRIM(Mitarbeiter!$E$12))-LEN(SUBSTITUTE(TRIM(Mitarbeiter!$E$12)," ",""))+1))+1)-1)*99+1,99))="-","",TRIM(MID(SUBSTITUTE(TRIM(Mitarbeiter!$E$12)," ",REPT(" ",99)),((MOD(F$5-Mitarbeiter!$F$12,(LEN(TRIM(Mitarbeiter!$E$12))-LEN(SUBSTITUTE(TRIM(Mitarbeiter!$E$12)," ",""))+1))+1)-1)*99+1,99))))</f>
      </c>
      <c r="G13" s="54">
        <f>IF(OR($A13="",G$5="",TRIM(Mitarbeiter!$E$12)="",NOT(ISNUMBER(Mitarbeiter!$F$12))),"",IF(TRIM(MID(SUBSTITUTE(TRIM(Mitarbeiter!$E$12)," ",REPT(" ",99)),((MOD(G$5-Mitarbeiter!$F$12,(LEN(TRIM(Mitarbeiter!$E$12))-LEN(SUBSTITUTE(TRIM(Mitarbeiter!$E$12)," ",""))+1))+1)-1)*99+1,99))="-","",TRIM(MID(SUBSTITUTE(TRIM(Mitarbeiter!$E$12)," ",REPT(" ",99)),((MOD(G$5-Mitarbeiter!$F$12,(LEN(TRIM(Mitarbeiter!$E$12))-LEN(SUBSTITUTE(TRIM(Mitarbeiter!$E$12)," ",""))+1))+1)-1)*99+1,99))))</f>
      </c>
      <c r="H13" s="54">
        <f>IF(OR($A13="",H$5="",TRIM(Mitarbeiter!$E$12)="",NOT(ISNUMBER(Mitarbeiter!$F$12))),"",IF(TRIM(MID(SUBSTITUTE(TRIM(Mitarbeiter!$E$12)," ",REPT(" ",99)),((MOD(H$5-Mitarbeiter!$F$12,(LEN(TRIM(Mitarbeiter!$E$12))-LEN(SUBSTITUTE(TRIM(Mitarbeiter!$E$12)," ",""))+1))+1)-1)*99+1,99))="-","",TRIM(MID(SUBSTITUTE(TRIM(Mitarbeiter!$E$12)," ",REPT(" ",99)),((MOD(H$5-Mitarbeiter!$F$12,(LEN(TRIM(Mitarbeiter!$E$12))-LEN(SUBSTITUTE(TRIM(Mitarbeiter!$E$12)," ",""))+1))+1)-1)*99+1,99))))</f>
      </c>
      <c r="I13" s="54">
        <f>IF(OR($A13="",I$5="",TRIM(Mitarbeiter!$E$12)="",NOT(ISNUMBER(Mitarbeiter!$F$12))),"",IF(TRIM(MID(SUBSTITUTE(TRIM(Mitarbeiter!$E$12)," ",REPT(" ",99)),((MOD(I$5-Mitarbeiter!$F$12,(LEN(TRIM(Mitarbeiter!$E$12))-LEN(SUBSTITUTE(TRIM(Mitarbeiter!$E$12)," ",""))+1))+1)-1)*99+1,99))="-","",TRIM(MID(SUBSTITUTE(TRIM(Mitarbeiter!$E$12)," ",REPT(" ",99)),((MOD(I$5-Mitarbeiter!$F$12,(LEN(TRIM(Mitarbeiter!$E$12))-LEN(SUBSTITUTE(TRIM(Mitarbeiter!$E$12)," ",""))+1))+1)-1)*99+1,99))))</f>
      </c>
      <c r="J13" s="54">
        <f>IF(OR($A13="",J$5="",TRIM(Mitarbeiter!$E$12)="",NOT(ISNUMBER(Mitarbeiter!$F$12))),"",IF(TRIM(MID(SUBSTITUTE(TRIM(Mitarbeiter!$E$12)," ",REPT(" ",99)),((MOD(J$5-Mitarbeiter!$F$12,(LEN(TRIM(Mitarbeiter!$E$12))-LEN(SUBSTITUTE(TRIM(Mitarbeiter!$E$12)," ",""))+1))+1)-1)*99+1,99))="-","",TRIM(MID(SUBSTITUTE(TRIM(Mitarbeiter!$E$12)," ",REPT(" ",99)),((MOD(J$5-Mitarbeiter!$F$12,(LEN(TRIM(Mitarbeiter!$E$12))-LEN(SUBSTITUTE(TRIM(Mitarbeiter!$E$12)," ",""))+1))+1)-1)*99+1,99))))</f>
      </c>
      <c r="K13" s="54">
        <f>IF(OR($A13="",K$5="",TRIM(Mitarbeiter!$E$12)="",NOT(ISNUMBER(Mitarbeiter!$F$12))),"",IF(TRIM(MID(SUBSTITUTE(TRIM(Mitarbeiter!$E$12)," ",REPT(" ",99)),((MOD(K$5-Mitarbeiter!$F$12,(LEN(TRIM(Mitarbeiter!$E$12))-LEN(SUBSTITUTE(TRIM(Mitarbeiter!$E$12)," ",""))+1))+1)-1)*99+1,99))="-","",TRIM(MID(SUBSTITUTE(TRIM(Mitarbeiter!$E$12)," ",REPT(" ",99)),((MOD(K$5-Mitarbeiter!$F$12,(LEN(TRIM(Mitarbeiter!$E$12))-LEN(SUBSTITUTE(TRIM(Mitarbeiter!$E$12)," ",""))+1))+1)-1)*99+1,99))))</f>
      </c>
      <c r="L13" s="54">
        <f>IF(OR($A13="",L$5="",TRIM(Mitarbeiter!$E$12)="",NOT(ISNUMBER(Mitarbeiter!$F$12))),"",IF(TRIM(MID(SUBSTITUTE(TRIM(Mitarbeiter!$E$12)," ",REPT(" ",99)),((MOD(L$5-Mitarbeiter!$F$12,(LEN(TRIM(Mitarbeiter!$E$12))-LEN(SUBSTITUTE(TRIM(Mitarbeiter!$E$12)," ",""))+1))+1)-1)*99+1,99))="-","",TRIM(MID(SUBSTITUTE(TRIM(Mitarbeiter!$E$12)," ",REPT(" ",99)),((MOD(L$5-Mitarbeiter!$F$12,(LEN(TRIM(Mitarbeiter!$E$12))-LEN(SUBSTITUTE(TRIM(Mitarbeiter!$E$12)," ",""))+1))+1)-1)*99+1,99))))</f>
      </c>
      <c r="M13" s="54">
        <f>IF(OR($A13="",M$5="",TRIM(Mitarbeiter!$E$12)="",NOT(ISNUMBER(Mitarbeiter!$F$12))),"",IF(TRIM(MID(SUBSTITUTE(TRIM(Mitarbeiter!$E$12)," ",REPT(" ",99)),((MOD(M$5-Mitarbeiter!$F$12,(LEN(TRIM(Mitarbeiter!$E$12))-LEN(SUBSTITUTE(TRIM(Mitarbeiter!$E$12)," ",""))+1))+1)-1)*99+1,99))="-","",TRIM(MID(SUBSTITUTE(TRIM(Mitarbeiter!$E$12)," ",REPT(" ",99)),((MOD(M$5-Mitarbeiter!$F$12,(LEN(TRIM(Mitarbeiter!$E$12))-LEN(SUBSTITUTE(TRIM(Mitarbeiter!$E$12)," ",""))+1))+1)-1)*99+1,99))))</f>
      </c>
      <c r="N13" s="54">
        <f>IF(OR($A13="",N$5="",TRIM(Mitarbeiter!$E$12)="",NOT(ISNUMBER(Mitarbeiter!$F$12))),"",IF(TRIM(MID(SUBSTITUTE(TRIM(Mitarbeiter!$E$12)," ",REPT(" ",99)),((MOD(N$5-Mitarbeiter!$F$12,(LEN(TRIM(Mitarbeiter!$E$12))-LEN(SUBSTITUTE(TRIM(Mitarbeiter!$E$12)," ",""))+1))+1)-1)*99+1,99))="-","",TRIM(MID(SUBSTITUTE(TRIM(Mitarbeiter!$E$12)," ",REPT(" ",99)),((MOD(N$5-Mitarbeiter!$F$12,(LEN(TRIM(Mitarbeiter!$E$12))-LEN(SUBSTITUTE(TRIM(Mitarbeiter!$E$12)," ",""))+1))+1)-1)*99+1,99))))</f>
      </c>
      <c r="O13" s="54">
        <f>IF(OR($A13="",O$5="",TRIM(Mitarbeiter!$E$12)="",NOT(ISNUMBER(Mitarbeiter!$F$12))),"",IF(TRIM(MID(SUBSTITUTE(TRIM(Mitarbeiter!$E$12)," ",REPT(" ",99)),((MOD(O$5-Mitarbeiter!$F$12,(LEN(TRIM(Mitarbeiter!$E$12))-LEN(SUBSTITUTE(TRIM(Mitarbeiter!$E$12)," ",""))+1))+1)-1)*99+1,99))="-","",TRIM(MID(SUBSTITUTE(TRIM(Mitarbeiter!$E$12)," ",REPT(" ",99)),((MOD(O$5-Mitarbeiter!$F$12,(LEN(TRIM(Mitarbeiter!$E$12))-LEN(SUBSTITUTE(TRIM(Mitarbeiter!$E$12)," ",""))+1))+1)-1)*99+1,99))))</f>
      </c>
      <c r="P13" s="54">
        <f>IF(OR($A13="",P$5="",TRIM(Mitarbeiter!$E$12)="",NOT(ISNUMBER(Mitarbeiter!$F$12))),"",IF(TRIM(MID(SUBSTITUTE(TRIM(Mitarbeiter!$E$12)," ",REPT(" ",99)),((MOD(P$5-Mitarbeiter!$F$12,(LEN(TRIM(Mitarbeiter!$E$12))-LEN(SUBSTITUTE(TRIM(Mitarbeiter!$E$12)," ",""))+1))+1)-1)*99+1,99))="-","",TRIM(MID(SUBSTITUTE(TRIM(Mitarbeiter!$E$12)," ",REPT(" ",99)),((MOD(P$5-Mitarbeiter!$F$12,(LEN(TRIM(Mitarbeiter!$E$12))-LEN(SUBSTITUTE(TRIM(Mitarbeiter!$E$12)," ",""))+1))+1)-1)*99+1,99))))</f>
      </c>
      <c r="Q13" s="54">
        <f>IF(OR($A13="",Q$5="",TRIM(Mitarbeiter!$E$12)="",NOT(ISNUMBER(Mitarbeiter!$F$12))),"",IF(TRIM(MID(SUBSTITUTE(TRIM(Mitarbeiter!$E$12)," ",REPT(" ",99)),((MOD(Q$5-Mitarbeiter!$F$12,(LEN(TRIM(Mitarbeiter!$E$12))-LEN(SUBSTITUTE(TRIM(Mitarbeiter!$E$12)," ",""))+1))+1)-1)*99+1,99))="-","",TRIM(MID(SUBSTITUTE(TRIM(Mitarbeiter!$E$12)," ",REPT(" ",99)),((MOD(Q$5-Mitarbeiter!$F$12,(LEN(TRIM(Mitarbeiter!$E$12))-LEN(SUBSTITUTE(TRIM(Mitarbeiter!$E$12)," ",""))+1))+1)-1)*99+1,99))))</f>
      </c>
      <c r="R13" s="54">
        <f>IF(OR($A13="",R$5="",TRIM(Mitarbeiter!$E$12)="",NOT(ISNUMBER(Mitarbeiter!$F$12))),"",IF(TRIM(MID(SUBSTITUTE(TRIM(Mitarbeiter!$E$12)," ",REPT(" ",99)),((MOD(R$5-Mitarbeiter!$F$12,(LEN(TRIM(Mitarbeiter!$E$12))-LEN(SUBSTITUTE(TRIM(Mitarbeiter!$E$12)," ",""))+1))+1)-1)*99+1,99))="-","",TRIM(MID(SUBSTITUTE(TRIM(Mitarbeiter!$E$12)," ",REPT(" ",99)),((MOD(R$5-Mitarbeiter!$F$12,(LEN(TRIM(Mitarbeiter!$E$12))-LEN(SUBSTITUTE(TRIM(Mitarbeiter!$E$12)," ",""))+1))+1)-1)*99+1,99))))</f>
      </c>
      <c r="S13" s="54">
        <f>IF(OR($A13="",S$5="",TRIM(Mitarbeiter!$E$12)="",NOT(ISNUMBER(Mitarbeiter!$F$12))),"",IF(TRIM(MID(SUBSTITUTE(TRIM(Mitarbeiter!$E$12)," ",REPT(" ",99)),((MOD(S$5-Mitarbeiter!$F$12,(LEN(TRIM(Mitarbeiter!$E$12))-LEN(SUBSTITUTE(TRIM(Mitarbeiter!$E$12)," ",""))+1))+1)-1)*99+1,99))="-","",TRIM(MID(SUBSTITUTE(TRIM(Mitarbeiter!$E$12)," ",REPT(" ",99)),((MOD(S$5-Mitarbeiter!$F$12,(LEN(TRIM(Mitarbeiter!$E$12))-LEN(SUBSTITUTE(TRIM(Mitarbeiter!$E$12)," ",""))+1))+1)-1)*99+1,99))))</f>
      </c>
      <c r="T13" s="54">
        <f>IF(OR($A13="",T$5="",TRIM(Mitarbeiter!$E$12)="",NOT(ISNUMBER(Mitarbeiter!$F$12))),"",IF(TRIM(MID(SUBSTITUTE(TRIM(Mitarbeiter!$E$12)," ",REPT(" ",99)),((MOD(T$5-Mitarbeiter!$F$12,(LEN(TRIM(Mitarbeiter!$E$12))-LEN(SUBSTITUTE(TRIM(Mitarbeiter!$E$12)," ",""))+1))+1)-1)*99+1,99))="-","",TRIM(MID(SUBSTITUTE(TRIM(Mitarbeiter!$E$12)," ",REPT(" ",99)),((MOD(T$5-Mitarbeiter!$F$12,(LEN(TRIM(Mitarbeiter!$E$12))-LEN(SUBSTITUTE(TRIM(Mitarbeiter!$E$12)," ",""))+1))+1)-1)*99+1,99))))</f>
      </c>
      <c r="U13" s="54">
        <f>IF(OR($A13="",U$5="",TRIM(Mitarbeiter!$E$12)="",NOT(ISNUMBER(Mitarbeiter!$F$12))),"",IF(TRIM(MID(SUBSTITUTE(TRIM(Mitarbeiter!$E$12)," ",REPT(" ",99)),((MOD(U$5-Mitarbeiter!$F$12,(LEN(TRIM(Mitarbeiter!$E$12))-LEN(SUBSTITUTE(TRIM(Mitarbeiter!$E$12)," ",""))+1))+1)-1)*99+1,99))="-","",TRIM(MID(SUBSTITUTE(TRIM(Mitarbeiter!$E$12)," ",REPT(" ",99)),((MOD(U$5-Mitarbeiter!$F$12,(LEN(TRIM(Mitarbeiter!$E$12))-LEN(SUBSTITUTE(TRIM(Mitarbeiter!$E$12)," ",""))+1))+1)-1)*99+1,99))))</f>
      </c>
      <c r="V13" s="54">
        <f>IF(OR($A13="",V$5="",TRIM(Mitarbeiter!$E$12)="",NOT(ISNUMBER(Mitarbeiter!$F$12))),"",IF(TRIM(MID(SUBSTITUTE(TRIM(Mitarbeiter!$E$12)," ",REPT(" ",99)),((MOD(V$5-Mitarbeiter!$F$12,(LEN(TRIM(Mitarbeiter!$E$12))-LEN(SUBSTITUTE(TRIM(Mitarbeiter!$E$12)," ",""))+1))+1)-1)*99+1,99))="-","",TRIM(MID(SUBSTITUTE(TRIM(Mitarbeiter!$E$12)," ",REPT(" ",99)),((MOD(V$5-Mitarbeiter!$F$12,(LEN(TRIM(Mitarbeiter!$E$12))-LEN(SUBSTITUTE(TRIM(Mitarbeiter!$E$12)," ",""))+1))+1)-1)*99+1,99))))</f>
      </c>
      <c r="W13" s="54">
        <f>IF(OR($A13="",W$5="",TRIM(Mitarbeiter!$E$12)="",NOT(ISNUMBER(Mitarbeiter!$F$12))),"",IF(TRIM(MID(SUBSTITUTE(TRIM(Mitarbeiter!$E$12)," ",REPT(" ",99)),((MOD(W$5-Mitarbeiter!$F$12,(LEN(TRIM(Mitarbeiter!$E$12))-LEN(SUBSTITUTE(TRIM(Mitarbeiter!$E$12)," ",""))+1))+1)-1)*99+1,99))="-","",TRIM(MID(SUBSTITUTE(TRIM(Mitarbeiter!$E$12)," ",REPT(" ",99)),((MOD(W$5-Mitarbeiter!$F$12,(LEN(TRIM(Mitarbeiter!$E$12))-LEN(SUBSTITUTE(TRIM(Mitarbeiter!$E$12)," ",""))+1))+1)-1)*99+1,99))))</f>
      </c>
      <c r="X13" s="54">
        <f>IF(OR($A13="",X$5="",TRIM(Mitarbeiter!$E$12)="",NOT(ISNUMBER(Mitarbeiter!$F$12))),"",IF(TRIM(MID(SUBSTITUTE(TRIM(Mitarbeiter!$E$12)," ",REPT(" ",99)),((MOD(X$5-Mitarbeiter!$F$12,(LEN(TRIM(Mitarbeiter!$E$12))-LEN(SUBSTITUTE(TRIM(Mitarbeiter!$E$12)," ",""))+1))+1)-1)*99+1,99))="-","",TRIM(MID(SUBSTITUTE(TRIM(Mitarbeiter!$E$12)," ",REPT(" ",99)),((MOD(X$5-Mitarbeiter!$F$12,(LEN(TRIM(Mitarbeiter!$E$12))-LEN(SUBSTITUTE(TRIM(Mitarbeiter!$E$12)," ",""))+1))+1)-1)*99+1,99))))</f>
      </c>
      <c r="Y13" s="54">
        <f>IF(OR($A13="",Y$5="",TRIM(Mitarbeiter!$E$12)="",NOT(ISNUMBER(Mitarbeiter!$F$12))),"",IF(TRIM(MID(SUBSTITUTE(TRIM(Mitarbeiter!$E$12)," ",REPT(" ",99)),((MOD(Y$5-Mitarbeiter!$F$12,(LEN(TRIM(Mitarbeiter!$E$12))-LEN(SUBSTITUTE(TRIM(Mitarbeiter!$E$12)," ",""))+1))+1)-1)*99+1,99))="-","",TRIM(MID(SUBSTITUTE(TRIM(Mitarbeiter!$E$12)," ",REPT(" ",99)),((MOD(Y$5-Mitarbeiter!$F$12,(LEN(TRIM(Mitarbeiter!$E$12))-LEN(SUBSTITUTE(TRIM(Mitarbeiter!$E$12)," ",""))+1))+1)-1)*99+1,99))))</f>
      </c>
      <c r="Z13" s="54">
        <f>IF(OR($A13="",Z$5="",TRIM(Mitarbeiter!$E$12)="",NOT(ISNUMBER(Mitarbeiter!$F$12))),"",IF(TRIM(MID(SUBSTITUTE(TRIM(Mitarbeiter!$E$12)," ",REPT(" ",99)),((MOD(Z$5-Mitarbeiter!$F$12,(LEN(TRIM(Mitarbeiter!$E$12))-LEN(SUBSTITUTE(TRIM(Mitarbeiter!$E$12)," ",""))+1))+1)-1)*99+1,99))="-","",TRIM(MID(SUBSTITUTE(TRIM(Mitarbeiter!$E$12)," ",REPT(" ",99)),((MOD(Z$5-Mitarbeiter!$F$12,(LEN(TRIM(Mitarbeiter!$E$12))-LEN(SUBSTITUTE(TRIM(Mitarbeiter!$E$12)," ",""))+1))+1)-1)*99+1,99))))</f>
      </c>
      <c r="AA13" s="54">
        <f>IF(OR($A13="",AA$5="",TRIM(Mitarbeiter!$E$12)="",NOT(ISNUMBER(Mitarbeiter!$F$12))),"",IF(TRIM(MID(SUBSTITUTE(TRIM(Mitarbeiter!$E$12)," ",REPT(" ",99)),((MOD(AA$5-Mitarbeiter!$F$12,(LEN(TRIM(Mitarbeiter!$E$12))-LEN(SUBSTITUTE(TRIM(Mitarbeiter!$E$12)," ",""))+1))+1)-1)*99+1,99))="-","",TRIM(MID(SUBSTITUTE(TRIM(Mitarbeiter!$E$12)," ",REPT(" ",99)),((MOD(AA$5-Mitarbeiter!$F$12,(LEN(TRIM(Mitarbeiter!$E$12))-LEN(SUBSTITUTE(TRIM(Mitarbeiter!$E$12)," ",""))+1))+1)-1)*99+1,99))))</f>
      </c>
      <c r="AB13" s="54">
        <f>IF(OR($A13="",AB$5="",TRIM(Mitarbeiter!$E$12)="",NOT(ISNUMBER(Mitarbeiter!$F$12))),"",IF(TRIM(MID(SUBSTITUTE(TRIM(Mitarbeiter!$E$12)," ",REPT(" ",99)),((MOD(AB$5-Mitarbeiter!$F$12,(LEN(TRIM(Mitarbeiter!$E$12))-LEN(SUBSTITUTE(TRIM(Mitarbeiter!$E$12)," ",""))+1))+1)-1)*99+1,99))="-","",TRIM(MID(SUBSTITUTE(TRIM(Mitarbeiter!$E$12)," ",REPT(" ",99)),((MOD(AB$5-Mitarbeiter!$F$12,(LEN(TRIM(Mitarbeiter!$E$12))-LEN(SUBSTITUTE(TRIM(Mitarbeiter!$E$12)," ",""))+1))+1)-1)*99+1,99))))</f>
      </c>
      <c r="AC13" s="54">
        <f>IF(OR($A13="",AC$5="",TRIM(Mitarbeiter!$E$12)="",NOT(ISNUMBER(Mitarbeiter!$F$12))),"",IF(TRIM(MID(SUBSTITUTE(TRIM(Mitarbeiter!$E$12)," ",REPT(" ",99)),((MOD(AC$5-Mitarbeiter!$F$12,(LEN(TRIM(Mitarbeiter!$E$12))-LEN(SUBSTITUTE(TRIM(Mitarbeiter!$E$12)," ",""))+1))+1)-1)*99+1,99))="-","",TRIM(MID(SUBSTITUTE(TRIM(Mitarbeiter!$E$12)," ",REPT(" ",99)),((MOD(AC$5-Mitarbeiter!$F$12,(LEN(TRIM(Mitarbeiter!$E$12))-LEN(SUBSTITUTE(TRIM(Mitarbeiter!$E$12)," ",""))+1))+1)-1)*99+1,99))))</f>
      </c>
      <c r="AD13" s="54">
        <f>IF(OR($A13="",AD$5="",TRIM(Mitarbeiter!$E$12)="",NOT(ISNUMBER(Mitarbeiter!$F$12))),"",IF(TRIM(MID(SUBSTITUTE(TRIM(Mitarbeiter!$E$12)," ",REPT(" ",99)),((MOD(AD$5-Mitarbeiter!$F$12,(LEN(TRIM(Mitarbeiter!$E$12))-LEN(SUBSTITUTE(TRIM(Mitarbeiter!$E$12)," ",""))+1))+1)-1)*99+1,99))="-","",TRIM(MID(SUBSTITUTE(TRIM(Mitarbeiter!$E$12)," ",REPT(" ",99)),((MOD(AD$5-Mitarbeiter!$F$12,(LEN(TRIM(Mitarbeiter!$E$12))-LEN(SUBSTITUTE(TRIM(Mitarbeiter!$E$12)," ",""))+1))+1)-1)*99+1,99))))</f>
      </c>
      <c r="AE13" s="54">
        <f>IF(OR($A13="",AE$5="",TRIM(Mitarbeiter!$E$12)="",NOT(ISNUMBER(Mitarbeiter!$F$12))),"",IF(TRIM(MID(SUBSTITUTE(TRIM(Mitarbeiter!$E$12)," ",REPT(" ",99)),((MOD(AE$5-Mitarbeiter!$F$12,(LEN(TRIM(Mitarbeiter!$E$12))-LEN(SUBSTITUTE(TRIM(Mitarbeiter!$E$12)," ",""))+1))+1)-1)*99+1,99))="-","",TRIM(MID(SUBSTITUTE(TRIM(Mitarbeiter!$E$12)," ",REPT(" ",99)),((MOD(AE$5-Mitarbeiter!$F$12,(LEN(TRIM(Mitarbeiter!$E$12))-LEN(SUBSTITUTE(TRIM(Mitarbeiter!$E$12)," ",""))+1))+1)-1)*99+1,99))))</f>
      </c>
      <c r="AF13" s="54">
        <f>IF(OR($A13="",AF$5="",TRIM(Mitarbeiter!$E$12)="",NOT(ISNUMBER(Mitarbeiter!$F$12))),"",IF(TRIM(MID(SUBSTITUTE(TRIM(Mitarbeiter!$E$12)," ",REPT(" ",99)),((MOD(AF$5-Mitarbeiter!$F$12,(LEN(TRIM(Mitarbeiter!$E$12))-LEN(SUBSTITUTE(TRIM(Mitarbeiter!$E$12)," ",""))+1))+1)-1)*99+1,99))="-","",TRIM(MID(SUBSTITUTE(TRIM(Mitarbeiter!$E$12)," ",REPT(" ",99)),((MOD(AF$5-Mitarbeiter!$F$12,(LEN(TRIM(Mitarbeiter!$E$12))-LEN(SUBSTITUTE(TRIM(Mitarbeiter!$E$12)," ",""))+1))+1)-1)*99+1,99))))</f>
      </c>
      <c r="AG13" s="55">
        <f>IF(OR($A13="",TRIM(Mitarbeiter!$E$12)=""),"",IF(NOT(ISNUMBER(Mitarbeiter!$F$12)),"Rhythmus ab: Datum fehlt",IF(COUNTIF(B13:AF13,"?*")-SUMPRODUCT(COUNTIF(B13:AF13,Codes)*(Codes&lt;&gt;"")*Erste)&gt;0,"Rhythmus enthält ein unbekanntes Kürzel","")))</f>
      </c>
    </row>
    <row r="14" spans="1:33" x14ac:dyDescent="0.25">
      <c r="A14" s="49">
        <f>Mitarbeiter!$A$13&amp;""</f>
      </c>
      <c r="B14" s="54">
        <f>IF(OR($A14="",B$5="",TRIM(Mitarbeiter!$E$13)="",NOT(ISNUMBER(Mitarbeiter!$F$13))),"",IF(TRIM(MID(SUBSTITUTE(TRIM(Mitarbeiter!$E$13)," ",REPT(" ",99)),((MOD(B$5-Mitarbeiter!$F$13,(LEN(TRIM(Mitarbeiter!$E$13))-LEN(SUBSTITUTE(TRIM(Mitarbeiter!$E$13)," ",""))+1))+1)-1)*99+1,99))="-","",TRIM(MID(SUBSTITUTE(TRIM(Mitarbeiter!$E$13)," ",REPT(" ",99)),((MOD(B$5-Mitarbeiter!$F$13,(LEN(TRIM(Mitarbeiter!$E$13))-LEN(SUBSTITUTE(TRIM(Mitarbeiter!$E$13)," ",""))+1))+1)-1)*99+1,99))))</f>
      </c>
      <c r="C14" s="54">
        <f>IF(OR($A14="",C$5="",TRIM(Mitarbeiter!$E$13)="",NOT(ISNUMBER(Mitarbeiter!$F$13))),"",IF(TRIM(MID(SUBSTITUTE(TRIM(Mitarbeiter!$E$13)," ",REPT(" ",99)),((MOD(C$5-Mitarbeiter!$F$13,(LEN(TRIM(Mitarbeiter!$E$13))-LEN(SUBSTITUTE(TRIM(Mitarbeiter!$E$13)," ",""))+1))+1)-1)*99+1,99))="-","",TRIM(MID(SUBSTITUTE(TRIM(Mitarbeiter!$E$13)," ",REPT(" ",99)),((MOD(C$5-Mitarbeiter!$F$13,(LEN(TRIM(Mitarbeiter!$E$13))-LEN(SUBSTITUTE(TRIM(Mitarbeiter!$E$13)," ",""))+1))+1)-1)*99+1,99))))</f>
      </c>
      <c r="D14" s="54">
        <f>IF(OR($A14="",D$5="",TRIM(Mitarbeiter!$E$13)="",NOT(ISNUMBER(Mitarbeiter!$F$13))),"",IF(TRIM(MID(SUBSTITUTE(TRIM(Mitarbeiter!$E$13)," ",REPT(" ",99)),((MOD(D$5-Mitarbeiter!$F$13,(LEN(TRIM(Mitarbeiter!$E$13))-LEN(SUBSTITUTE(TRIM(Mitarbeiter!$E$13)," ",""))+1))+1)-1)*99+1,99))="-","",TRIM(MID(SUBSTITUTE(TRIM(Mitarbeiter!$E$13)," ",REPT(" ",99)),((MOD(D$5-Mitarbeiter!$F$13,(LEN(TRIM(Mitarbeiter!$E$13))-LEN(SUBSTITUTE(TRIM(Mitarbeiter!$E$13)," ",""))+1))+1)-1)*99+1,99))))</f>
      </c>
      <c r="E14" s="54">
        <f>IF(OR($A14="",E$5="",TRIM(Mitarbeiter!$E$13)="",NOT(ISNUMBER(Mitarbeiter!$F$13))),"",IF(TRIM(MID(SUBSTITUTE(TRIM(Mitarbeiter!$E$13)," ",REPT(" ",99)),((MOD(E$5-Mitarbeiter!$F$13,(LEN(TRIM(Mitarbeiter!$E$13))-LEN(SUBSTITUTE(TRIM(Mitarbeiter!$E$13)," ",""))+1))+1)-1)*99+1,99))="-","",TRIM(MID(SUBSTITUTE(TRIM(Mitarbeiter!$E$13)," ",REPT(" ",99)),((MOD(E$5-Mitarbeiter!$F$13,(LEN(TRIM(Mitarbeiter!$E$13))-LEN(SUBSTITUTE(TRIM(Mitarbeiter!$E$13)," ",""))+1))+1)-1)*99+1,99))))</f>
      </c>
      <c r="F14" s="54">
        <f>IF(OR($A14="",F$5="",TRIM(Mitarbeiter!$E$13)="",NOT(ISNUMBER(Mitarbeiter!$F$13))),"",IF(TRIM(MID(SUBSTITUTE(TRIM(Mitarbeiter!$E$13)," ",REPT(" ",99)),((MOD(F$5-Mitarbeiter!$F$13,(LEN(TRIM(Mitarbeiter!$E$13))-LEN(SUBSTITUTE(TRIM(Mitarbeiter!$E$13)," ",""))+1))+1)-1)*99+1,99))="-","",TRIM(MID(SUBSTITUTE(TRIM(Mitarbeiter!$E$13)," ",REPT(" ",99)),((MOD(F$5-Mitarbeiter!$F$13,(LEN(TRIM(Mitarbeiter!$E$13))-LEN(SUBSTITUTE(TRIM(Mitarbeiter!$E$13)," ",""))+1))+1)-1)*99+1,99))))</f>
      </c>
      <c r="G14" s="54">
        <f>IF(OR($A14="",G$5="",TRIM(Mitarbeiter!$E$13)="",NOT(ISNUMBER(Mitarbeiter!$F$13))),"",IF(TRIM(MID(SUBSTITUTE(TRIM(Mitarbeiter!$E$13)," ",REPT(" ",99)),((MOD(G$5-Mitarbeiter!$F$13,(LEN(TRIM(Mitarbeiter!$E$13))-LEN(SUBSTITUTE(TRIM(Mitarbeiter!$E$13)," ",""))+1))+1)-1)*99+1,99))="-","",TRIM(MID(SUBSTITUTE(TRIM(Mitarbeiter!$E$13)," ",REPT(" ",99)),((MOD(G$5-Mitarbeiter!$F$13,(LEN(TRIM(Mitarbeiter!$E$13))-LEN(SUBSTITUTE(TRIM(Mitarbeiter!$E$13)," ",""))+1))+1)-1)*99+1,99))))</f>
      </c>
      <c r="H14" s="54">
        <f>IF(OR($A14="",H$5="",TRIM(Mitarbeiter!$E$13)="",NOT(ISNUMBER(Mitarbeiter!$F$13))),"",IF(TRIM(MID(SUBSTITUTE(TRIM(Mitarbeiter!$E$13)," ",REPT(" ",99)),((MOD(H$5-Mitarbeiter!$F$13,(LEN(TRIM(Mitarbeiter!$E$13))-LEN(SUBSTITUTE(TRIM(Mitarbeiter!$E$13)," ",""))+1))+1)-1)*99+1,99))="-","",TRIM(MID(SUBSTITUTE(TRIM(Mitarbeiter!$E$13)," ",REPT(" ",99)),((MOD(H$5-Mitarbeiter!$F$13,(LEN(TRIM(Mitarbeiter!$E$13))-LEN(SUBSTITUTE(TRIM(Mitarbeiter!$E$13)," ",""))+1))+1)-1)*99+1,99))))</f>
      </c>
      <c r="I14" s="54">
        <f>IF(OR($A14="",I$5="",TRIM(Mitarbeiter!$E$13)="",NOT(ISNUMBER(Mitarbeiter!$F$13))),"",IF(TRIM(MID(SUBSTITUTE(TRIM(Mitarbeiter!$E$13)," ",REPT(" ",99)),((MOD(I$5-Mitarbeiter!$F$13,(LEN(TRIM(Mitarbeiter!$E$13))-LEN(SUBSTITUTE(TRIM(Mitarbeiter!$E$13)," ",""))+1))+1)-1)*99+1,99))="-","",TRIM(MID(SUBSTITUTE(TRIM(Mitarbeiter!$E$13)," ",REPT(" ",99)),((MOD(I$5-Mitarbeiter!$F$13,(LEN(TRIM(Mitarbeiter!$E$13))-LEN(SUBSTITUTE(TRIM(Mitarbeiter!$E$13)," ",""))+1))+1)-1)*99+1,99))))</f>
      </c>
      <c r="J14" s="54">
        <f>IF(OR($A14="",J$5="",TRIM(Mitarbeiter!$E$13)="",NOT(ISNUMBER(Mitarbeiter!$F$13))),"",IF(TRIM(MID(SUBSTITUTE(TRIM(Mitarbeiter!$E$13)," ",REPT(" ",99)),((MOD(J$5-Mitarbeiter!$F$13,(LEN(TRIM(Mitarbeiter!$E$13))-LEN(SUBSTITUTE(TRIM(Mitarbeiter!$E$13)," ",""))+1))+1)-1)*99+1,99))="-","",TRIM(MID(SUBSTITUTE(TRIM(Mitarbeiter!$E$13)," ",REPT(" ",99)),((MOD(J$5-Mitarbeiter!$F$13,(LEN(TRIM(Mitarbeiter!$E$13))-LEN(SUBSTITUTE(TRIM(Mitarbeiter!$E$13)," ",""))+1))+1)-1)*99+1,99))))</f>
      </c>
      <c r="K14" s="54">
        <f>IF(OR($A14="",K$5="",TRIM(Mitarbeiter!$E$13)="",NOT(ISNUMBER(Mitarbeiter!$F$13))),"",IF(TRIM(MID(SUBSTITUTE(TRIM(Mitarbeiter!$E$13)," ",REPT(" ",99)),((MOD(K$5-Mitarbeiter!$F$13,(LEN(TRIM(Mitarbeiter!$E$13))-LEN(SUBSTITUTE(TRIM(Mitarbeiter!$E$13)," ",""))+1))+1)-1)*99+1,99))="-","",TRIM(MID(SUBSTITUTE(TRIM(Mitarbeiter!$E$13)," ",REPT(" ",99)),((MOD(K$5-Mitarbeiter!$F$13,(LEN(TRIM(Mitarbeiter!$E$13))-LEN(SUBSTITUTE(TRIM(Mitarbeiter!$E$13)," ",""))+1))+1)-1)*99+1,99))))</f>
      </c>
      <c r="L14" s="54">
        <f>IF(OR($A14="",L$5="",TRIM(Mitarbeiter!$E$13)="",NOT(ISNUMBER(Mitarbeiter!$F$13))),"",IF(TRIM(MID(SUBSTITUTE(TRIM(Mitarbeiter!$E$13)," ",REPT(" ",99)),((MOD(L$5-Mitarbeiter!$F$13,(LEN(TRIM(Mitarbeiter!$E$13))-LEN(SUBSTITUTE(TRIM(Mitarbeiter!$E$13)," ",""))+1))+1)-1)*99+1,99))="-","",TRIM(MID(SUBSTITUTE(TRIM(Mitarbeiter!$E$13)," ",REPT(" ",99)),((MOD(L$5-Mitarbeiter!$F$13,(LEN(TRIM(Mitarbeiter!$E$13))-LEN(SUBSTITUTE(TRIM(Mitarbeiter!$E$13)," ",""))+1))+1)-1)*99+1,99))))</f>
      </c>
      <c r="M14" s="54">
        <f>IF(OR($A14="",M$5="",TRIM(Mitarbeiter!$E$13)="",NOT(ISNUMBER(Mitarbeiter!$F$13))),"",IF(TRIM(MID(SUBSTITUTE(TRIM(Mitarbeiter!$E$13)," ",REPT(" ",99)),((MOD(M$5-Mitarbeiter!$F$13,(LEN(TRIM(Mitarbeiter!$E$13))-LEN(SUBSTITUTE(TRIM(Mitarbeiter!$E$13)," ",""))+1))+1)-1)*99+1,99))="-","",TRIM(MID(SUBSTITUTE(TRIM(Mitarbeiter!$E$13)," ",REPT(" ",99)),((MOD(M$5-Mitarbeiter!$F$13,(LEN(TRIM(Mitarbeiter!$E$13))-LEN(SUBSTITUTE(TRIM(Mitarbeiter!$E$13)," ",""))+1))+1)-1)*99+1,99))))</f>
      </c>
      <c r="N14" s="54">
        <f>IF(OR($A14="",N$5="",TRIM(Mitarbeiter!$E$13)="",NOT(ISNUMBER(Mitarbeiter!$F$13))),"",IF(TRIM(MID(SUBSTITUTE(TRIM(Mitarbeiter!$E$13)," ",REPT(" ",99)),((MOD(N$5-Mitarbeiter!$F$13,(LEN(TRIM(Mitarbeiter!$E$13))-LEN(SUBSTITUTE(TRIM(Mitarbeiter!$E$13)," ",""))+1))+1)-1)*99+1,99))="-","",TRIM(MID(SUBSTITUTE(TRIM(Mitarbeiter!$E$13)," ",REPT(" ",99)),((MOD(N$5-Mitarbeiter!$F$13,(LEN(TRIM(Mitarbeiter!$E$13))-LEN(SUBSTITUTE(TRIM(Mitarbeiter!$E$13)," ",""))+1))+1)-1)*99+1,99))))</f>
      </c>
      <c r="O14" s="54">
        <f>IF(OR($A14="",O$5="",TRIM(Mitarbeiter!$E$13)="",NOT(ISNUMBER(Mitarbeiter!$F$13))),"",IF(TRIM(MID(SUBSTITUTE(TRIM(Mitarbeiter!$E$13)," ",REPT(" ",99)),((MOD(O$5-Mitarbeiter!$F$13,(LEN(TRIM(Mitarbeiter!$E$13))-LEN(SUBSTITUTE(TRIM(Mitarbeiter!$E$13)," ",""))+1))+1)-1)*99+1,99))="-","",TRIM(MID(SUBSTITUTE(TRIM(Mitarbeiter!$E$13)," ",REPT(" ",99)),((MOD(O$5-Mitarbeiter!$F$13,(LEN(TRIM(Mitarbeiter!$E$13))-LEN(SUBSTITUTE(TRIM(Mitarbeiter!$E$13)," ",""))+1))+1)-1)*99+1,99))))</f>
      </c>
      <c r="P14" s="54">
        <f>IF(OR($A14="",P$5="",TRIM(Mitarbeiter!$E$13)="",NOT(ISNUMBER(Mitarbeiter!$F$13))),"",IF(TRIM(MID(SUBSTITUTE(TRIM(Mitarbeiter!$E$13)," ",REPT(" ",99)),((MOD(P$5-Mitarbeiter!$F$13,(LEN(TRIM(Mitarbeiter!$E$13))-LEN(SUBSTITUTE(TRIM(Mitarbeiter!$E$13)," ",""))+1))+1)-1)*99+1,99))="-","",TRIM(MID(SUBSTITUTE(TRIM(Mitarbeiter!$E$13)," ",REPT(" ",99)),((MOD(P$5-Mitarbeiter!$F$13,(LEN(TRIM(Mitarbeiter!$E$13))-LEN(SUBSTITUTE(TRIM(Mitarbeiter!$E$13)," ",""))+1))+1)-1)*99+1,99))))</f>
      </c>
      <c r="Q14" s="54">
        <f>IF(OR($A14="",Q$5="",TRIM(Mitarbeiter!$E$13)="",NOT(ISNUMBER(Mitarbeiter!$F$13))),"",IF(TRIM(MID(SUBSTITUTE(TRIM(Mitarbeiter!$E$13)," ",REPT(" ",99)),((MOD(Q$5-Mitarbeiter!$F$13,(LEN(TRIM(Mitarbeiter!$E$13))-LEN(SUBSTITUTE(TRIM(Mitarbeiter!$E$13)," ",""))+1))+1)-1)*99+1,99))="-","",TRIM(MID(SUBSTITUTE(TRIM(Mitarbeiter!$E$13)," ",REPT(" ",99)),((MOD(Q$5-Mitarbeiter!$F$13,(LEN(TRIM(Mitarbeiter!$E$13))-LEN(SUBSTITUTE(TRIM(Mitarbeiter!$E$13)," ",""))+1))+1)-1)*99+1,99))))</f>
      </c>
      <c r="R14" s="54">
        <f>IF(OR($A14="",R$5="",TRIM(Mitarbeiter!$E$13)="",NOT(ISNUMBER(Mitarbeiter!$F$13))),"",IF(TRIM(MID(SUBSTITUTE(TRIM(Mitarbeiter!$E$13)," ",REPT(" ",99)),((MOD(R$5-Mitarbeiter!$F$13,(LEN(TRIM(Mitarbeiter!$E$13))-LEN(SUBSTITUTE(TRIM(Mitarbeiter!$E$13)," ",""))+1))+1)-1)*99+1,99))="-","",TRIM(MID(SUBSTITUTE(TRIM(Mitarbeiter!$E$13)," ",REPT(" ",99)),((MOD(R$5-Mitarbeiter!$F$13,(LEN(TRIM(Mitarbeiter!$E$13))-LEN(SUBSTITUTE(TRIM(Mitarbeiter!$E$13)," ",""))+1))+1)-1)*99+1,99))))</f>
      </c>
      <c r="S14" s="54">
        <f>IF(OR($A14="",S$5="",TRIM(Mitarbeiter!$E$13)="",NOT(ISNUMBER(Mitarbeiter!$F$13))),"",IF(TRIM(MID(SUBSTITUTE(TRIM(Mitarbeiter!$E$13)," ",REPT(" ",99)),((MOD(S$5-Mitarbeiter!$F$13,(LEN(TRIM(Mitarbeiter!$E$13))-LEN(SUBSTITUTE(TRIM(Mitarbeiter!$E$13)," ",""))+1))+1)-1)*99+1,99))="-","",TRIM(MID(SUBSTITUTE(TRIM(Mitarbeiter!$E$13)," ",REPT(" ",99)),((MOD(S$5-Mitarbeiter!$F$13,(LEN(TRIM(Mitarbeiter!$E$13))-LEN(SUBSTITUTE(TRIM(Mitarbeiter!$E$13)," ",""))+1))+1)-1)*99+1,99))))</f>
      </c>
      <c r="T14" s="54">
        <f>IF(OR($A14="",T$5="",TRIM(Mitarbeiter!$E$13)="",NOT(ISNUMBER(Mitarbeiter!$F$13))),"",IF(TRIM(MID(SUBSTITUTE(TRIM(Mitarbeiter!$E$13)," ",REPT(" ",99)),((MOD(T$5-Mitarbeiter!$F$13,(LEN(TRIM(Mitarbeiter!$E$13))-LEN(SUBSTITUTE(TRIM(Mitarbeiter!$E$13)," ",""))+1))+1)-1)*99+1,99))="-","",TRIM(MID(SUBSTITUTE(TRIM(Mitarbeiter!$E$13)," ",REPT(" ",99)),((MOD(T$5-Mitarbeiter!$F$13,(LEN(TRIM(Mitarbeiter!$E$13))-LEN(SUBSTITUTE(TRIM(Mitarbeiter!$E$13)," ",""))+1))+1)-1)*99+1,99))))</f>
      </c>
      <c r="U14" s="54">
        <f>IF(OR($A14="",U$5="",TRIM(Mitarbeiter!$E$13)="",NOT(ISNUMBER(Mitarbeiter!$F$13))),"",IF(TRIM(MID(SUBSTITUTE(TRIM(Mitarbeiter!$E$13)," ",REPT(" ",99)),((MOD(U$5-Mitarbeiter!$F$13,(LEN(TRIM(Mitarbeiter!$E$13))-LEN(SUBSTITUTE(TRIM(Mitarbeiter!$E$13)," ",""))+1))+1)-1)*99+1,99))="-","",TRIM(MID(SUBSTITUTE(TRIM(Mitarbeiter!$E$13)," ",REPT(" ",99)),((MOD(U$5-Mitarbeiter!$F$13,(LEN(TRIM(Mitarbeiter!$E$13))-LEN(SUBSTITUTE(TRIM(Mitarbeiter!$E$13)," ",""))+1))+1)-1)*99+1,99))))</f>
      </c>
      <c r="V14" s="54">
        <f>IF(OR($A14="",V$5="",TRIM(Mitarbeiter!$E$13)="",NOT(ISNUMBER(Mitarbeiter!$F$13))),"",IF(TRIM(MID(SUBSTITUTE(TRIM(Mitarbeiter!$E$13)," ",REPT(" ",99)),((MOD(V$5-Mitarbeiter!$F$13,(LEN(TRIM(Mitarbeiter!$E$13))-LEN(SUBSTITUTE(TRIM(Mitarbeiter!$E$13)," ",""))+1))+1)-1)*99+1,99))="-","",TRIM(MID(SUBSTITUTE(TRIM(Mitarbeiter!$E$13)," ",REPT(" ",99)),((MOD(V$5-Mitarbeiter!$F$13,(LEN(TRIM(Mitarbeiter!$E$13))-LEN(SUBSTITUTE(TRIM(Mitarbeiter!$E$13)," ",""))+1))+1)-1)*99+1,99))))</f>
      </c>
      <c r="W14" s="54">
        <f>IF(OR($A14="",W$5="",TRIM(Mitarbeiter!$E$13)="",NOT(ISNUMBER(Mitarbeiter!$F$13))),"",IF(TRIM(MID(SUBSTITUTE(TRIM(Mitarbeiter!$E$13)," ",REPT(" ",99)),((MOD(W$5-Mitarbeiter!$F$13,(LEN(TRIM(Mitarbeiter!$E$13))-LEN(SUBSTITUTE(TRIM(Mitarbeiter!$E$13)," ",""))+1))+1)-1)*99+1,99))="-","",TRIM(MID(SUBSTITUTE(TRIM(Mitarbeiter!$E$13)," ",REPT(" ",99)),((MOD(W$5-Mitarbeiter!$F$13,(LEN(TRIM(Mitarbeiter!$E$13))-LEN(SUBSTITUTE(TRIM(Mitarbeiter!$E$13)," ",""))+1))+1)-1)*99+1,99))))</f>
      </c>
      <c r="X14" s="54">
        <f>IF(OR($A14="",X$5="",TRIM(Mitarbeiter!$E$13)="",NOT(ISNUMBER(Mitarbeiter!$F$13))),"",IF(TRIM(MID(SUBSTITUTE(TRIM(Mitarbeiter!$E$13)," ",REPT(" ",99)),((MOD(X$5-Mitarbeiter!$F$13,(LEN(TRIM(Mitarbeiter!$E$13))-LEN(SUBSTITUTE(TRIM(Mitarbeiter!$E$13)," ",""))+1))+1)-1)*99+1,99))="-","",TRIM(MID(SUBSTITUTE(TRIM(Mitarbeiter!$E$13)," ",REPT(" ",99)),((MOD(X$5-Mitarbeiter!$F$13,(LEN(TRIM(Mitarbeiter!$E$13))-LEN(SUBSTITUTE(TRIM(Mitarbeiter!$E$13)," ",""))+1))+1)-1)*99+1,99))))</f>
      </c>
      <c r="Y14" s="54">
        <f>IF(OR($A14="",Y$5="",TRIM(Mitarbeiter!$E$13)="",NOT(ISNUMBER(Mitarbeiter!$F$13))),"",IF(TRIM(MID(SUBSTITUTE(TRIM(Mitarbeiter!$E$13)," ",REPT(" ",99)),((MOD(Y$5-Mitarbeiter!$F$13,(LEN(TRIM(Mitarbeiter!$E$13))-LEN(SUBSTITUTE(TRIM(Mitarbeiter!$E$13)," ",""))+1))+1)-1)*99+1,99))="-","",TRIM(MID(SUBSTITUTE(TRIM(Mitarbeiter!$E$13)," ",REPT(" ",99)),((MOD(Y$5-Mitarbeiter!$F$13,(LEN(TRIM(Mitarbeiter!$E$13))-LEN(SUBSTITUTE(TRIM(Mitarbeiter!$E$13)," ",""))+1))+1)-1)*99+1,99))))</f>
      </c>
      <c r="Z14" s="54">
        <f>IF(OR($A14="",Z$5="",TRIM(Mitarbeiter!$E$13)="",NOT(ISNUMBER(Mitarbeiter!$F$13))),"",IF(TRIM(MID(SUBSTITUTE(TRIM(Mitarbeiter!$E$13)," ",REPT(" ",99)),((MOD(Z$5-Mitarbeiter!$F$13,(LEN(TRIM(Mitarbeiter!$E$13))-LEN(SUBSTITUTE(TRIM(Mitarbeiter!$E$13)," ",""))+1))+1)-1)*99+1,99))="-","",TRIM(MID(SUBSTITUTE(TRIM(Mitarbeiter!$E$13)," ",REPT(" ",99)),((MOD(Z$5-Mitarbeiter!$F$13,(LEN(TRIM(Mitarbeiter!$E$13))-LEN(SUBSTITUTE(TRIM(Mitarbeiter!$E$13)," ",""))+1))+1)-1)*99+1,99))))</f>
      </c>
      <c r="AA14" s="54">
        <f>IF(OR($A14="",AA$5="",TRIM(Mitarbeiter!$E$13)="",NOT(ISNUMBER(Mitarbeiter!$F$13))),"",IF(TRIM(MID(SUBSTITUTE(TRIM(Mitarbeiter!$E$13)," ",REPT(" ",99)),((MOD(AA$5-Mitarbeiter!$F$13,(LEN(TRIM(Mitarbeiter!$E$13))-LEN(SUBSTITUTE(TRIM(Mitarbeiter!$E$13)," ",""))+1))+1)-1)*99+1,99))="-","",TRIM(MID(SUBSTITUTE(TRIM(Mitarbeiter!$E$13)," ",REPT(" ",99)),((MOD(AA$5-Mitarbeiter!$F$13,(LEN(TRIM(Mitarbeiter!$E$13))-LEN(SUBSTITUTE(TRIM(Mitarbeiter!$E$13)," ",""))+1))+1)-1)*99+1,99))))</f>
      </c>
      <c r="AB14" s="54">
        <f>IF(OR($A14="",AB$5="",TRIM(Mitarbeiter!$E$13)="",NOT(ISNUMBER(Mitarbeiter!$F$13))),"",IF(TRIM(MID(SUBSTITUTE(TRIM(Mitarbeiter!$E$13)," ",REPT(" ",99)),((MOD(AB$5-Mitarbeiter!$F$13,(LEN(TRIM(Mitarbeiter!$E$13))-LEN(SUBSTITUTE(TRIM(Mitarbeiter!$E$13)," ",""))+1))+1)-1)*99+1,99))="-","",TRIM(MID(SUBSTITUTE(TRIM(Mitarbeiter!$E$13)," ",REPT(" ",99)),((MOD(AB$5-Mitarbeiter!$F$13,(LEN(TRIM(Mitarbeiter!$E$13))-LEN(SUBSTITUTE(TRIM(Mitarbeiter!$E$13)," ",""))+1))+1)-1)*99+1,99))))</f>
      </c>
      <c r="AC14" s="54">
        <f>IF(OR($A14="",AC$5="",TRIM(Mitarbeiter!$E$13)="",NOT(ISNUMBER(Mitarbeiter!$F$13))),"",IF(TRIM(MID(SUBSTITUTE(TRIM(Mitarbeiter!$E$13)," ",REPT(" ",99)),((MOD(AC$5-Mitarbeiter!$F$13,(LEN(TRIM(Mitarbeiter!$E$13))-LEN(SUBSTITUTE(TRIM(Mitarbeiter!$E$13)," ",""))+1))+1)-1)*99+1,99))="-","",TRIM(MID(SUBSTITUTE(TRIM(Mitarbeiter!$E$13)," ",REPT(" ",99)),((MOD(AC$5-Mitarbeiter!$F$13,(LEN(TRIM(Mitarbeiter!$E$13))-LEN(SUBSTITUTE(TRIM(Mitarbeiter!$E$13)," ",""))+1))+1)-1)*99+1,99))))</f>
      </c>
      <c r="AD14" s="54">
        <f>IF(OR($A14="",AD$5="",TRIM(Mitarbeiter!$E$13)="",NOT(ISNUMBER(Mitarbeiter!$F$13))),"",IF(TRIM(MID(SUBSTITUTE(TRIM(Mitarbeiter!$E$13)," ",REPT(" ",99)),((MOD(AD$5-Mitarbeiter!$F$13,(LEN(TRIM(Mitarbeiter!$E$13))-LEN(SUBSTITUTE(TRIM(Mitarbeiter!$E$13)," ",""))+1))+1)-1)*99+1,99))="-","",TRIM(MID(SUBSTITUTE(TRIM(Mitarbeiter!$E$13)," ",REPT(" ",99)),((MOD(AD$5-Mitarbeiter!$F$13,(LEN(TRIM(Mitarbeiter!$E$13))-LEN(SUBSTITUTE(TRIM(Mitarbeiter!$E$13)," ",""))+1))+1)-1)*99+1,99))))</f>
      </c>
      <c r="AE14" s="54">
        <f>IF(OR($A14="",AE$5="",TRIM(Mitarbeiter!$E$13)="",NOT(ISNUMBER(Mitarbeiter!$F$13))),"",IF(TRIM(MID(SUBSTITUTE(TRIM(Mitarbeiter!$E$13)," ",REPT(" ",99)),((MOD(AE$5-Mitarbeiter!$F$13,(LEN(TRIM(Mitarbeiter!$E$13))-LEN(SUBSTITUTE(TRIM(Mitarbeiter!$E$13)," ",""))+1))+1)-1)*99+1,99))="-","",TRIM(MID(SUBSTITUTE(TRIM(Mitarbeiter!$E$13)," ",REPT(" ",99)),((MOD(AE$5-Mitarbeiter!$F$13,(LEN(TRIM(Mitarbeiter!$E$13))-LEN(SUBSTITUTE(TRIM(Mitarbeiter!$E$13)," ",""))+1))+1)-1)*99+1,99))))</f>
      </c>
      <c r="AF14" s="54">
        <f>IF(OR($A14="",AF$5="",TRIM(Mitarbeiter!$E$13)="",NOT(ISNUMBER(Mitarbeiter!$F$13))),"",IF(TRIM(MID(SUBSTITUTE(TRIM(Mitarbeiter!$E$13)," ",REPT(" ",99)),((MOD(AF$5-Mitarbeiter!$F$13,(LEN(TRIM(Mitarbeiter!$E$13))-LEN(SUBSTITUTE(TRIM(Mitarbeiter!$E$13)," ",""))+1))+1)-1)*99+1,99))="-","",TRIM(MID(SUBSTITUTE(TRIM(Mitarbeiter!$E$13)," ",REPT(" ",99)),((MOD(AF$5-Mitarbeiter!$F$13,(LEN(TRIM(Mitarbeiter!$E$13))-LEN(SUBSTITUTE(TRIM(Mitarbeiter!$E$13)," ",""))+1))+1)-1)*99+1,99))))</f>
      </c>
      <c r="AG14" s="55">
        <f>IF(OR($A14="",TRIM(Mitarbeiter!$E$13)=""),"",IF(NOT(ISNUMBER(Mitarbeiter!$F$13)),"Rhythmus ab: Datum fehlt",IF(COUNTIF(B14:AF14,"?*")-SUMPRODUCT(COUNTIF(B14:AF14,Codes)*(Codes&lt;&gt;"")*Erste)&gt;0,"Rhythmus enthält ein unbekanntes Kürzel","")))</f>
      </c>
    </row>
    <row r="15" spans="1:33" x14ac:dyDescent="0.25">
      <c r="A15" s="49">
        <f>Mitarbeiter!$A$14&amp;""</f>
      </c>
      <c r="B15" s="54">
        <f>IF(OR($A15="",B$5="",TRIM(Mitarbeiter!$E$14)="",NOT(ISNUMBER(Mitarbeiter!$F$14))),"",IF(TRIM(MID(SUBSTITUTE(TRIM(Mitarbeiter!$E$14)," ",REPT(" ",99)),((MOD(B$5-Mitarbeiter!$F$14,(LEN(TRIM(Mitarbeiter!$E$14))-LEN(SUBSTITUTE(TRIM(Mitarbeiter!$E$14)," ",""))+1))+1)-1)*99+1,99))="-","",TRIM(MID(SUBSTITUTE(TRIM(Mitarbeiter!$E$14)," ",REPT(" ",99)),((MOD(B$5-Mitarbeiter!$F$14,(LEN(TRIM(Mitarbeiter!$E$14))-LEN(SUBSTITUTE(TRIM(Mitarbeiter!$E$14)," ",""))+1))+1)-1)*99+1,99))))</f>
      </c>
      <c r="C15" s="54">
        <f>IF(OR($A15="",C$5="",TRIM(Mitarbeiter!$E$14)="",NOT(ISNUMBER(Mitarbeiter!$F$14))),"",IF(TRIM(MID(SUBSTITUTE(TRIM(Mitarbeiter!$E$14)," ",REPT(" ",99)),((MOD(C$5-Mitarbeiter!$F$14,(LEN(TRIM(Mitarbeiter!$E$14))-LEN(SUBSTITUTE(TRIM(Mitarbeiter!$E$14)," ",""))+1))+1)-1)*99+1,99))="-","",TRIM(MID(SUBSTITUTE(TRIM(Mitarbeiter!$E$14)," ",REPT(" ",99)),((MOD(C$5-Mitarbeiter!$F$14,(LEN(TRIM(Mitarbeiter!$E$14))-LEN(SUBSTITUTE(TRIM(Mitarbeiter!$E$14)," ",""))+1))+1)-1)*99+1,99))))</f>
      </c>
      <c r="D15" s="54">
        <f>IF(OR($A15="",D$5="",TRIM(Mitarbeiter!$E$14)="",NOT(ISNUMBER(Mitarbeiter!$F$14))),"",IF(TRIM(MID(SUBSTITUTE(TRIM(Mitarbeiter!$E$14)," ",REPT(" ",99)),((MOD(D$5-Mitarbeiter!$F$14,(LEN(TRIM(Mitarbeiter!$E$14))-LEN(SUBSTITUTE(TRIM(Mitarbeiter!$E$14)," ",""))+1))+1)-1)*99+1,99))="-","",TRIM(MID(SUBSTITUTE(TRIM(Mitarbeiter!$E$14)," ",REPT(" ",99)),((MOD(D$5-Mitarbeiter!$F$14,(LEN(TRIM(Mitarbeiter!$E$14))-LEN(SUBSTITUTE(TRIM(Mitarbeiter!$E$14)," ",""))+1))+1)-1)*99+1,99))))</f>
      </c>
      <c r="E15" s="54">
        <f>IF(OR($A15="",E$5="",TRIM(Mitarbeiter!$E$14)="",NOT(ISNUMBER(Mitarbeiter!$F$14))),"",IF(TRIM(MID(SUBSTITUTE(TRIM(Mitarbeiter!$E$14)," ",REPT(" ",99)),((MOD(E$5-Mitarbeiter!$F$14,(LEN(TRIM(Mitarbeiter!$E$14))-LEN(SUBSTITUTE(TRIM(Mitarbeiter!$E$14)," ",""))+1))+1)-1)*99+1,99))="-","",TRIM(MID(SUBSTITUTE(TRIM(Mitarbeiter!$E$14)," ",REPT(" ",99)),((MOD(E$5-Mitarbeiter!$F$14,(LEN(TRIM(Mitarbeiter!$E$14))-LEN(SUBSTITUTE(TRIM(Mitarbeiter!$E$14)," ",""))+1))+1)-1)*99+1,99))))</f>
      </c>
      <c r="F15" s="54">
        <f>IF(OR($A15="",F$5="",TRIM(Mitarbeiter!$E$14)="",NOT(ISNUMBER(Mitarbeiter!$F$14))),"",IF(TRIM(MID(SUBSTITUTE(TRIM(Mitarbeiter!$E$14)," ",REPT(" ",99)),((MOD(F$5-Mitarbeiter!$F$14,(LEN(TRIM(Mitarbeiter!$E$14))-LEN(SUBSTITUTE(TRIM(Mitarbeiter!$E$14)," ",""))+1))+1)-1)*99+1,99))="-","",TRIM(MID(SUBSTITUTE(TRIM(Mitarbeiter!$E$14)," ",REPT(" ",99)),((MOD(F$5-Mitarbeiter!$F$14,(LEN(TRIM(Mitarbeiter!$E$14))-LEN(SUBSTITUTE(TRIM(Mitarbeiter!$E$14)," ",""))+1))+1)-1)*99+1,99))))</f>
      </c>
      <c r="G15" s="54">
        <f>IF(OR($A15="",G$5="",TRIM(Mitarbeiter!$E$14)="",NOT(ISNUMBER(Mitarbeiter!$F$14))),"",IF(TRIM(MID(SUBSTITUTE(TRIM(Mitarbeiter!$E$14)," ",REPT(" ",99)),((MOD(G$5-Mitarbeiter!$F$14,(LEN(TRIM(Mitarbeiter!$E$14))-LEN(SUBSTITUTE(TRIM(Mitarbeiter!$E$14)," ",""))+1))+1)-1)*99+1,99))="-","",TRIM(MID(SUBSTITUTE(TRIM(Mitarbeiter!$E$14)," ",REPT(" ",99)),((MOD(G$5-Mitarbeiter!$F$14,(LEN(TRIM(Mitarbeiter!$E$14))-LEN(SUBSTITUTE(TRIM(Mitarbeiter!$E$14)," ",""))+1))+1)-1)*99+1,99))))</f>
      </c>
      <c r="H15" s="54">
        <f>IF(OR($A15="",H$5="",TRIM(Mitarbeiter!$E$14)="",NOT(ISNUMBER(Mitarbeiter!$F$14))),"",IF(TRIM(MID(SUBSTITUTE(TRIM(Mitarbeiter!$E$14)," ",REPT(" ",99)),((MOD(H$5-Mitarbeiter!$F$14,(LEN(TRIM(Mitarbeiter!$E$14))-LEN(SUBSTITUTE(TRIM(Mitarbeiter!$E$14)," ",""))+1))+1)-1)*99+1,99))="-","",TRIM(MID(SUBSTITUTE(TRIM(Mitarbeiter!$E$14)," ",REPT(" ",99)),((MOD(H$5-Mitarbeiter!$F$14,(LEN(TRIM(Mitarbeiter!$E$14))-LEN(SUBSTITUTE(TRIM(Mitarbeiter!$E$14)," ",""))+1))+1)-1)*99+1,99))))</f>
      </c>
      <c r="I15" s="54">
        <f>IF(OR($A15="",I$5="",TRIM(Mitarbeiter!$E$14)="",NOT(ISNUMBER(Mitarbeiter!$F$14))),"",IF(TRIM(MID(SUBSTITUTE(TRIM(Mitarbeiter!$E$14)," ",REPT(" ",99)),((MOD(I$5-Mitarbeiter!$F$14,(LEN(TRIM(Mitarbeiter!$E$14))-LEN(SUBSTITUTE(TRIM(Mitarbeiter!$E$14)," ",""))+1))+1)-1)*99+1,99))="-","",TRIM(MID(SUBSTITUTE(TRIM(Mitarbeiter!$E$14)," ",REPT(" ",99)),((MOD(I$5-Mitarbeiter!$F$14,(LEN(TRIM(Mitarbeiter!$E$14))-LEN(SUBSTITUTE(TRIM(Mitarbeiter!$E$14)," ",""))+1))+1)-1)*99+1,99))))</f>
      </c>
      <c r="J15" s="54">
        <f>IF(OR($A15="",J$5="",TRIM(Mitarbeiter!$E$14)="",NOT(ISNUMBER(Mitarbeiter!$F$14))),"",IF(TRIM(MID(SUBSTITUTE(TRIM(Mitarbeiter!$E$14)," ",REPT(" ",99)),((MOD(J$5-Mitarbeiter!$F$14,(LEN(TRIM(Mitarbeiter!$E$14))-LEN(SUBSTITUTE(TRIM(Mitarbeiter!$E$14)," ",""))+1))+1)-1)*99+1,99))="-","",TRIM(MID(SUBSTITUTE(TRIM(Mitarbeiter!$E$14)," ",REPT(" ",99)),((MOD(J$5-Mitarbeiter!$F$14,(LEN(TRIM(Mitarbeiter!$E$14))-LEN(SUBSTITUTE(TRIM(Mitarbeiter!$E$14)," ",""))+1))+1)-1)*99+1,99))))</f>
      </c>
      <c r="K15" s="54">
        <f>IF(OR($A15="",K$5="",TRIM(Mitarbeiter!$E$14)="",NOT(ISNUMBER(Mitarbeiter!$F$14))),"",IF(TRIM(MID(SUBSTITUTE(TRIM(Mitarbeiter!$E$14)," ",REPT(" ",99)),((MOD(K$5-Mitarbeiter!$F$14,(LEN(TRIM(Mitarbeiter!$E$14))-LEN(SUBSTITUTE(TRIM(Mitarbeiter!$E$14)," ",""))+1))+1)-1)*99+1,99))="-","",TRIM(MID(SUBSTITUTE(TRIM(Mitarbeiter!$E$14)," ",REPT(" ",99)),((MOD(K$5-Mitarbeiter!$F$14,(LEN(TRIM(Mitarbeiter!$E$14))-LEN(SUBSTITUTE(TRIM(Mitarbeiter!$E$14)," ",""))+1))+1)-1)*99+1,99))))</f>
      </c>
      <c r="L15" s="54">
        <f>IF(OR($A15="",L$5="",TRIM(Mitarbeiter!$E$14)="",NOT(ISNUMBER(Mitarbeiter!$F$14))),"",IF(TRIM(MID(SUBSTITUTE(TRIM(Mitarbeiter!$E$14)," ",REPT(" ",99)),((MOD(L$5-Mitarbeiter!$F$14,(LEN(TRIM(Mitarbeiter!$E$14))-LEN(SUBSTITUTE(TRIM(Mitarbeiter!$E$14)," ",""))+1))+1)-1)*99+1,99))="-","",TRIM(MID(SUBSTITUTE(TRIM(Mitarbeiter!$E$14)," ",REPT(" ",99)),((MOD(L$5-Mitarbeiter!$F$14,(LEN(TRIM(Mitarbeiter!$E$14))-LEN(SUBSTITUTE(TRIM(Mitarbeiter!$E$14)," ",""))+1))+1)-1)*99+1,99))))</f>
      </c>
      <c r="M15" s="54">
        <f>IF(OR($A15="",M$5="",TRIM(Mitarbeiter!$E$14)="",NOT(ISNUMBER(Mitarbeiter!$F$14))),"",IF(TRIM(MID(SUBSTITUTE(TRIM(Mitarbeiter!$E$14)," ",REPT(" ",99)),((MOD(M$5-Mitarbeiter!$F$14,(LEN(TRIM(Mitarbeiter!$E$14))-LEN(SUBSTITUTE(TRIM(Mitarbeiter!$E$14)," ",""))+1))+1)-1)*99+1,99))="-","",TRIM(MID(SUBSTITUTE(TRIM(Mitarbeiter!$E$14)," ",REPT(" ",99)),((MOD(M$5-Mitarbeiter!$F$14,(LEN(TRIM(Mitarbeiter!$E$14))-LEN(SUBSTITUTE(TRIM(Mitarbeiter!$E$14)," ",""))+1))+1)-1)*99+1,99))))</f>
      </c>
      <c r="N15" s="54">
        <f>IF(OR($A15="",N$5="",TRIM(Mitarbeiter!$E$14)="",NOT(ISNUMBER(Mitarbeiter!$F$14))),"",IF(TRIM(MID(SUBSTITUTE(TRIM(Mitarbeiter!$E$14)," ",REPT(" ",99)),((MOD(N$5-Mitarbeiter!$F$14,(LEN(TRIM(Mitarbeiter!$E$14))-LEN(SUBSTITUTE(TRIM(Mitarbeiter!$E$14)," ",""))+1))+1)-1)*99+1,99))="-","",TRIM(MID(SUBSTITUTE(TRIM(Mitarbeiter!$E$14)," ",REPT(" ",99)),((MOD(N$5-Mitarbeiter!$F$14,(LEN(TRIM(Mitarbeiter!$E$14))-LEN(SUBSTITUTE(TRIM(Mitarbeiter!$E$14)," ",""))+1))+1)-1)*99+1,99))))</f>
      </c>
      <c r="O15" s="54">
        <f>IF(OR($A15="",O$5="",TRIM(Mitarbeiter!$E$14)="",NOT(ISNUMBER(Mitarbeiter!$F$14))),"",IF(TRIM(MID(SUBSTITUTE(TRIM(Mitarbeiter!$E$14)," ",REPT(" ",99)),((MOD(O$5-Mitarbeiter!$F$14,(LEN(TRIM(Mitarbeiter!$E$14))-LEN(SUBSTITUTE(TRIM(Mitarbeiter!$E$14)," ",""))+1))+1)-1)*99+1,99))="-","",TRIM(MID(SUBSTITUTE(TRIM(Mitarbeiter!$E$14)," ",REPT(" ",99)),((MOD(O$5-Mitarbeiter!$F$14,(LEN(TRIM(Mitarbeiter!$E$14))-LEN(SUBSTITUTE(TRIM(Mitarbeiter!$E$14)," ",""))+1))+1)-1)*99+1,99))))</f>
      </c>
      <c r="P15" s="54">
        <f>IF(OR($A15="",P$5="",TRIM(Mitarbeiter!$E$14)="",NOT(ISNUMBER(Mitarbeiter!$F$14))),"",IF(TRIM(MID(SUBSTITUTE(TRIM(Mitarbeiter!$E$14)," ",REPT(" ",99)),((MOD(P$5-Mitarbeiter!$F$14,(LEN(TRIM(Mitarbeiter!$E$14))-LEN(SUBSTITUTE(TRIM(Mitarbeiter!$E$14)," ",""))+1))+1)-1)*99+1,99))="-","",TRIM(MID(SUBSTITUTE(TRIM(Mitarbeiter!$E$14)," ",REPT(" ",99)),((MOD(P$5-Mitarbeiter!$F$14,(LEN(TRIM(Mitarbeiter!$E$14))-LEN(SUBSTITUTE(TRIM(Mitarbeiter!$E$14)," ",""))+1))+1)-1)*99+1,99))))</f>
      </c>
      <c r="Q15" s="54">
        <f>IF(OR($A15="",Q$5="",TRIM(Mitarbeiter!$E$14)="",NOT(ISNUMBER(Mitarbeiter!$F$14))),"",IF(TRIM(MID(SUBSTITUTE(TRIM(Mitarbeiter!$E$14)," ",REPT(" ",99)),((MOD(Q$5-Mitarbeiter!$F$14,(LEN(TRIM(Mitarbeiter!$E$14))-LEN(SUBSTITUTE(TRIM(Mitarbeiter!$E$14)," ",""))+1))+1)-1)*99+1,99))="-","",TRIM(MID(SUBSTITUTE(TRIM(Mitarbeiter!$E$14)," ",REPT(" ",99)),((MOD(Q$5-Mitarbeiter!$F$14,(LEN(TRIM(Mitarbeiter!$E$14))-LEN(SUBSTITUTE(TRIM(Mitarbeiter!$E$14)," ",""))+1))+1)-1)*99+1,99))))</f>
      </c>
      <c r="R15" s="54">
        <f>IF(OR($A15="",R$5="",TRIM(Mitarbeiter!$E$14)="",NOT(ISNUMBER(Mitarbeiter!$F$14))),"",IF(TRIM(MID(SUBSTITUTE(TRIM(Mitarbeiter!$E$14)," ",REPT(" ",99)),((MOD(R$5-Mitarbeiter!$F$14,(LEN(TRIM(Mitarbeiter!$E$14))-LEN(SUBSTITUTE(TRIM(Mitarbeiter!$E$14)," ",""))+1))+1)-1)*99+1,99))="-","",TRIM(MID(SUBSTITUTE(TRIM(Mitarbeiter!$E$14)," ",REPT(" ",99)),((MOD(R$5-Mitarbeiter!$F$14,(LEN(TRIM(Mitarbeiter!$E$14))-LEN(SUBSTITUTE(TRIM(Mitarbeiter!$E$14)," ",""))+1))+1)-1)*99+1,99))))</f>
      </c>
      <c r="S15" s="54">
        <f>IF(OR($A15="",S$5="",TRIM(Mitarbeiter!$E$14)="",NOT(ISNUMBER(Mitarbeiter!$F$14))),"",IF(TRIM(MID(SUBSTITUTE(TRIM(Mitarbeiter!$E$14)," ",REPT(" ",99)),((MOD(S$5-Mitarbeiter!$F$14,(LEN(TRIM(Mitarbeiter!$E$14))-LEN(SUBSTITUTE(TRIM(Mitarbeiter!$E$14)," ",""))+1))+1)-1)*99+1,99))="-","",TRIM(MID(SUBSTITUTE(TRIM(Mitarbeiter!$E$14)," ",REPT(" ",99)),((MOD(S$5-Mitarbeiter!$F$14,(LEN(TRIM(Mitarbeiter!$E$14))-LEN(SUBSTITUTE(TRIM(Mitarbeiter!$E$14)," ",""))+1))+1)-1)*99+1,99))))</f>
      </c>
      <c r="T15" s="54">
        <f>IF(OR($A15="",T$5="",TRIM(Mitarbeiter!$E$14)="",NOT(ISNUMBER(Mitarbeiter!$F$14))),"",IF(TRIM(MID(SUBSTITUTE(TRIM(Mitarbeiter!$E$14)," ",REPT(" ",99)),((MOD(T$5-Mitarbeiter!$F$14,(LEN(TRIM(Mitarbeiter!$E$14))-LEN(SUBSTITUTE(TRIM(Mitarbeiter!$E$14)," ",""))+1))+1)-1)*99+1,99))="-","",TRIM(MID(SUBSTITUTE(TRIM(Mitarbeiter!$E$14)," ",REPT(" ",99)),((MOD(T$5-Mitarbeiter!$F$14,(LEN(TRIM(Mitarbeiter!$E$14))-LEN(SUBSTITUTE(TRIM(Mitarbeiter!$E$14)," ",""))+1))+1)-1)*99+1,99))))</f>
      </c>
      <c r="U15" s="54">
        <f>IF(OR($A15="",U$5="",TRIM(Mitarbeiter!$E$14)="",NOT(ISNUMBER(Mitarbeiter!$F$14))),"",IF(TRIM(MID(SUBSTITUTE(TRIM(Mitarbeiter!$E$14)," ",REPT(" ",99)),((MOD(U$5-Mitarbeiter!$F$14,(LEN(TRIM(Mitarbeiter!$E$14))-LEN(SUBSTITUTE(TRIM(Mitarbeiter!$E$14)," ",""))+1))+1)-1)*99+1,99))="-","",TRIM(MID(SUBSTITUTE(TRIM(Mitarbeiter!$E$14)," ",REPT(" ",99)),((MOD(U$5-Mitarbeiter!$F$14,(LEN(TRIM(Mitarbeiter!$E$14))-LEN(SUBSTITUTE(TRIM(Mitarbeiter!$E$14)," ",""))+1))+1)-1)*99+1,99))))</f>
      </c>
      <c r="V15" s="54">
        <f>IF(OR($A15="",V$5="",TRIM(Mitarbeiter!$E$14)="",NOT(ISNUMBER(Mitarbeiter!$F$14))),"",IF(TRIM(MID(SUBSTITUTE(TRIM(Mitarbeiter!$E$14)," ",REPT(" ",99)),((MOD(V$5-Mitarbeiter!$F$14,(LEN(TRIM(Mitarbeiter!$E$14))-LEN(SUBSTITUTE(TRIM(Mitarbeiter!$E$14)," ",""))+1))+1)-1)*99+1,99))="-","",TRIM(MID(SUBSTITUTE(TRIM(Mitarbeiter!$E$14)," ",REPT(" ",99)),((MOD(V$5-Mitarbeiter!$F$14,(LEN(TRIM(Mitarbeiter!$E$14))-LEN(SUBSTITUTE(TRIM(Mitarbeiter!$E$14)," ",""))+1))+1)-1)*99+1,99))))</f>
      </c>
      <c r="W15" s="54">
        <f>IF(OR($A15="",W$5="",TRIM(Mitarbeiter!$E$14)="",NOT(ISNUMBER(Mitarbeiter!$F$14))),"",IF(TRIM(MID(SUBSTITUTE(TRIM(Mitarbeiter!$E$14)," ",REPT(" ",99)),((MOD(W$5-Mitarbeiter!$F$14,(LEN(TRIM(Mitarbeiter!$E$14))-LEN(SUBSTITUTE(TRIM(Mitarbeiter!$E$14)," ",""))+1))+1)-1)*99+1,99))="-","",TRIM(MID(SUBSTITUTE(TRIM(Mitarbeiter!$E$14)," ",REPT(" ",99)),((MOD(W$5-Mitarbeiter!$F$14,(LEN(TRIM(Mitarbeiter!$E$14))-LEN(SUBSTITUTE(TRIM(Mitarbeiter!$E$14)," ",""))+1))+1)-1)*99+1,99))))</f>
      </c>
      <c r="X15" s="54">
        <f>IF(OR($A15="",X$5="",TRIM(Mitarbeiter!$E$14)="",NOT(ISNUMBER(Mitarbeiter!$F$14))),"",IF(TRIM(MID(SUBSTITUTE(TRIM(Mitarbeiter!$E$14)," ",REPT(" ",99)),((MOD(X$5-Mitarbeiter!$F$14,(LEN(TRIM(Mitarbeiter!$E$14))-LEN(SUBSTITUTE(TRIM(Mitarbeiter!$E$14)," ",""))+1))+1)-1)*99+1,99))="-","",TRIM(MID(SUBSTITUTE(TRIM(Mitarbeiter!$E$14)," ",REPT(" ",99)),((MOD(X$5-Mitarbeiter!$F$14,(LEN(TRIM(Mitarbeiter!$E$14))-LEN(SUBSTITUTE(TRIM(Mitarbeiter!$E$14)," ",""))+1))+1)-1)*99+1,99))))</f>
      </c>
      <c r="Y15" s="54">
        <f>IF(OR($A15="",Y$5="",TRIM(Mitarbeiter!$E$14)="",NOT(ISNUMBER(Mitarbeiter!$F$14))),"",IF(TRIM(MID(SUBSTITUTE(TRIM(Mitarbeiter!$E$14)," ",REPT(" ",99)),((MOD(Y$5-Mitarbeiter!$F$14,(LEN(TRIM(Mitarbeiter!$E$14))-LEN(SUBSTITUTE(TRIM(Mitarbeiter!$E$14)," ",""))+1))+1)-1)*99+1,99))="-","",TRIM(MID(SUBSTITUTE(TRIM(Mitarbeiter!$E$14)," ",REPT(" ",99)),((MOD(Y$5-Mitarbeiter!$F$14,(LEN(TRIM(Mitarbeiter!$E$14))-LEN(SUBSTITUTE(TRIM(Mitarbeiter!$E$14)," ",""))+1))+1)-1)*99+1,99))))</f>
      </c>
      <c r="Z15" s="54">
        <f>IF(OR($A15="",Z$5="",TRIM(Mitarbeiter!$E$14)="",NOT(ISNUMBER(Mitarbeiter!$F$14))),"",IF(TRIM(MID(SUBSTITUTE(TRIM(Mitarbeiter!$E$14)," ",REPT(" ",99)),((MOD(Z$5-Mitarbeiter!$F$14,(LEN(TRIM(Mitarbeiter!$E$14))-LEN(SUBSTITUTE(TRIM(Mitarbeiter!$E$14)," ",""))+1))+1)-1)*99+1,99))="-","",TRIM(MID(SUBSTITUTE(TRIM(Mitarbeiter!$E$14)," ",REPT(" ",99)),((MOD(Z$5-Mitarbeiter!$F$14,(LEN(TRIM(Mitarbeiter!$E$14))-LEN(SUBSTITUTE(TRIM(Mitarbeiter!$E$14)," ",""))+1))+1)-1)*99+1,99))))</f>
      </c>
      <c r="AA15" s="54">
        <f>IF(OR($A15="",AA$5="",TRIM(Mitarbeiter!$E$14)="",NOT(ISNUMBER(Mitarbeiter!$F$14))),"",IF(TRIM(MID(SUBSTITUTE(TRIM(Mitarbeiter!$E$14)," ",REPT(" ",99)),((MOD(AA$5-Mitarbeiter!$F$14,(LEN(TRIM(Mitarbeiter!$E$14))-LEN(SUBSTITUTE(TRIM(Mitarbeiter!$E$14)," ",""))+1))+1)-1)*99+1,99))="-","",TRIM(MID(SUBSTITUTE(TRIM(Mitarbeiter!$E$14)," ",REPT(" ",99)),((MOD(AA$5-Mitarbeiter!$F$14,(LEN(TRIM(Mitarbeiter!$E$14))-LEN(SUBSTITUTE(TRIM(Mitarbeiter!$E$14)," ",""))+1))+1)-1)*99+1,99))))</f>
      </c>
      <c r="AB15" s="54">
        <f>IF(OR($A15="",AB$5="",TRIM(Mitarbeiter!$E$14)="",NOT(ISNUMBER(Mitarbeiter!$F$14))),"",IF(TRIM(MID(SUBSTITUTE(TRIM(Mitarbeiter!$E$14)," ",REPT(" ",99)),((MOD(AB$5-Mitarbeiter!$F$14,(LEN(TRIM(Mitarbeiter!$E$14))-LEN(SUBSTITUTE(TRIM(Mitarbeiter!$E$14)," ",""))+1))+1)-1)*99+1,99))="-","",TRIM(MID(SUBSTITUTE(TRIM(Mitarbeiter!$E$14)," ",REPT(" ",99)),((MOD(AB$5-Mitarbeiter!$F$14,(LEN(TRIM(Mitarbeiter!$E$14))-LEN(SUBSTITUTE(TRIM(Mitarbeiter!$E$14)," ",""))+1))+1)-1)*99+1,99))))</f>
      </c>
      <c r="AC15" s="54">
        <f>IF(OR($A15="",AC$5="",TRIM(Mitarbeiter!$E$14)="",NOT(ISNUMBER(Mitarbeiter!$F$14))),"",IF(TRIM(MID(SUBSTITUTE(TRIM(Mitarbeiter!$E$14)," ",REPT(" ",99)),((MOD(AC$5-Mitarbeiter!$F$14,(LEN(TRIM(Mitarbeiter!$E$14))-LEN(SUBSTITUTE(TRIM(Mitarbeiter!$E$14)," ",""))+1))+1)-1)*99+1,99))="-","",TRIM(MID(SUBSTITUTE(TRIM(Mitarbeiter!$E$14)," ",REPT(" ",99)),((MOD(AC$5-Mitarbeiter!$F$14,(LEN(TRIM(Mitarbeiter!$E$14))-LEN(SUBSTITUTE(TRIM(Mitarbeiter!$E$14)," ",""))+1))+1)-1)*99+1,99))))</f>
      </c>
      <c r="AD15" s="54">
        <f>IF(OR($A15="",AD$5="",TRIM(Mitarbeiter!$E$14)="",NOT(ISNUMBER(Mitarbeiter!$F$14))),"",IF(TRIM(MID(SUBSTITUTE(TRIM(Mitarbeiter!$E$14)," ",REPT(" ",99)),((MOD(AD$5-Mitarbeiter!$F$14,(LEN(TRIM(Mitarbeiter!$E$14))-LEN(SUBSTITUTE(TRIM(Mitarbeiter!$E$14)," ",""))+1))+1)-1)*99+1,99))="-","",TRIM(MID(SUBSTITUTE(TRIM(Mitarbeiter!$E$14)," ",REPT(" ",99)),((MOD(AD$5-Mitarbeiter!$F$14,(LEN(TRIM(Mitarbeiter!$E$14))-LEN(SUBSTITUTE(TRIM(Mitarbeiter!$E$14)," ",""))+1))+1)-1)*99+1,99))))</f>
      </c>
      <c r="AE15" s="54">
        <f>IF(OR($A15="",AE$5="",TRIM(Mitarbeiter!$E$14)="",NOT(ISNUMBER(Mitarbeiter!$F$14))),"",IF(TRIM(MID(SUBSTITUTE(TRIM(Mitarbeiter!$E$14)," ",REPT(" ",99)),((MOD(AE$5-Mitarbeiter!$F$14,(LEN(TRIM(Mitarbeiter!$E$14))-LEN(SUBSTITUTE(TRIM(Mitarbeiter!$E$14)," ",""))+1))+1)-1)*99+1,99))="-","",TRIM(MID(SUBSTITUTE(TRIM(Mitarbeiter!$E$14)," ",REPT(" ",99)),((MOD(AE$5-Mitarbeiter!$F$14,(LEN(TRIM(Mitarbeiter!$E$14))-LEN(SUBSTITUTE(TRIM(Mitarbeiter!$E$14)," ",""))+1))+1)-1)*99+1,99))))</f>
      </c>
      <c r="AF15" s="54">
        <f>IF(OR($A15="",AF$5="",TRIM(Mitarbeiter!$E$14)="",NOT(ISNUMBER(Mitarbeiter!$F$14))),"",IF(TRIM(MID(SUBSTITUTE(TRIM(Mitarbeiter!$E$14)," ",REPT(" ",99)),((MOD(AF$5-Mitarbeiter!$F$14,(LEN(TRIM(Mitarbeiter!$E$14))-LEN(SUBSTITUTE(TRIM(Mitarbeiter!$E$14)," ",""))+1))+1)-1)*99+1,99))="-","",TRIM(MID(SUBSTITUTE(TRIM(Mitarbeiter!$E$14)," ",REPT(" ",99)),((MOD(AF$5-Mitarbeiter!$F$14,(LEN(TRIM(Mitarbeiter!$E$14))-LEN(SUBSTITUTE(TRIM(Mitarbeiter!$E$14)," ",""))+1))+1)-1)*99+1,99))))</f>
      </c>
      <c r="AG15" s="55">
        <f>IF(OR($A15="",TRIM(Mitarbeiter!$E$14)=""),"",IF(NOT(ISNUMBER(Mitarbeiter!$F$14)),"Rhythmus ab: Datum fehlt",IF(COUNTIF(B15:AF15,"?*")-SUMPRODUCT(COUNTIF(B15:AF15,Codes)*(Codes&lt;&gt;"")*Erste)&gt;0,"Rhythmus enthält ein unbekanntes Kürzel","")))</f>
      </c>
    </row>
    <row r="16" spans="1:33" x14ac:dyDescent="0.25">
      <c r="A16" s="49">
        <f>Mitarbeiter!$A$15&amp;""</f>
      </c>
      <c r="B16" s="54">
        <f>IF(OR($A16="",B$5="",TRIM(Mitarbeiter!$E$15)="",NOT(ISNUMBER(Mitarbeiter!$F$15))),"",IF(TRIM(MID(SUBSTITUTE(TRIM(Mitarbeiter!$E$15)," ",REPT(" ",99)),((MOD(B$5-Mitarbeiter!$F$15,(LEN(TRIM(Mitarbeiter!$E$15))-LEN(SUBSTITUTE(TRIM(Mitarbeiter!$E$15)," ",""))+1))+1)-1)*99+1,99))="-","",TRIM(MID(SUBSTITUTE(TRIM(Mitarbeiter!$E$15)," ",REPT(" ",99)),((MOD(B$5-Mitarbeiter!$F$15,(LEN(TRIM(Mitarbeiter!$E$15))-LEN(SUBSTITUTE(TRIM(Mitarbeiter!$E$15)," ",""))+1))+1)-1)*99+1,99))))</f>
      </c>
      <c r="C16" s="54">
        <f>IF(OR($A16="",C$5="",TRIM(Mitarbeiter!$E$15)="",NOT(ISNUMBER(Mitarbeiter!$F$15))),"",IF(TRIM(MID(SUBSTITUTE(TRIM(Mitarbeiter!$E$15)," ",REPT(" ",99)),((MOD(C$5-Mitarbeiter!$F$15,(LEN(TRIM(Mitarbeiter!$E$15))-LEN(SUBSTITUTE(TRIM(Mitarbeiter!$E$15)," ",""))+1))+1)-1)*99+1,99))="-","",TRIM(MID(SUBSTITUTE(TRIM(Mitarbeiter!$E$15)," ",REPT(" ",99)),((MOD(C$5-Mitarbeiter!$F$15,(LEN(TRIM(Mitarbeiter!$E$15))-LEN(SUBSTITUTE(TRIM(Mitarbeiter!$E$15)," ",""))+1))+1)-1)*99+1,99))))</f>
      </c>
      <c r="D16" s="54">
        <f>IF(OR($A16="",D$5="",TRIM(Mitarbeiter!$E$15)="",NOT(ISNUMBER(Mitarbeiter!$F$15))),"",IF(TRIM(MID(SUBSTITUTE(TRIM(Mitarbeiter!$E$15)," ",REPT(" ",99)),((MOD(D$5-Mitarbeiter!$F$15,(LEN(TRIM(Mitarbeiter!$E$15))-LEN(SUBSTITUTE(TRIM(Mitarbeiter!$E$15)," ",""))+1))+1)-1)*99+1,99))="-","",TRIM(MID(SUBSTITUTE(TRIM(Mitarbeiter!$E$15)," ",REPT(" ",99)),((MOD(D$5-Mitarbeiter!$F$15,(LEN(TRIM(Mitarbeiter!$E$15))-LEN(SUBSTITUTE(TRIM(Mitarbeiter!$E$15)," ",""))+1))+1)-1)*99+1,99))))</f>
      </c>
      <c r="E16" s="54">
        <f>IF(OR($A16="",E$5="",TRIM(Mitarbeiter!$E$15)="",NOT(ISNUMBER(Mitarbeiter!$F$15))),"",IF(TRIM(MID(SUBSTITUTE(TRIM(Mitarbeiter!$E$15)," ",REPT(" ",99)),((MOD(E$5-Mitarbeiter!$F$15,(LEN(TRIM(Mitarbeiter!$E$15))-LEN(SUBSTITUTE(TRIM(Mitarbeiter!$E$15)," ",""))+1))+1)-1)*99+1,99))="-","",TRIM(MID(SUBSTITUTE(TRIM(Mitarbeiter!$E$15)," ",REPT(" ",99)),((MOD(E$5-Mitarbeiter!$F$15,(LEN(TRIM(Mitarbeiter!$E$15))-LEN(SUBSTITUTE(TRIM(Mitarbeiter!$E$15)," ",""))+1))+1)-1)*99+1,99))))</f>
      </c>
      <c r="F16" s="54">
        <f>IF(OR($A16="",F$5="",TRIM(Mitarbeiter!$E$15)="",NOT(ISNUMBER(Mitarbeiter!$F$15))),"",IF(TRIM(MID(SUBSTITUTE(TRIM(Mitarbeiter!$E$15)," ",REPT(" ",99)),((MOD(F$5-Mitarbeiter!$F$15,(LEN(TRIM(Mitarbeiter!$E$15))-LEN(SUBSTITUTE(TRIM(Mitarbeiter!$E$15)," ",""))+1))+1)-1)*99+1,99))="-","",TRIM(MID(SUBSTITUTE(TRIM(Mitarbeiter!$E$15)," ",REPT(" ",99)),((MOD(F$5-Mitarbeiter!$F$15,(LEN(TRIM(Mitarbeiter!$E$15))-LEN(SUBSTITUTE(TRIM(Mitarbeiter!$E$15)," ",""))+1))+1)-1)*99+1,99))))</f>
      </c>
      <c r="G16" s="54">
        <f>IF(OR($A16="",G$5="",TRIM(Mitarbeiter!$E$15)="",NOT(ISNUMBER(Mitarbeiter!$F$15))),"",IF(TRIM(MID(SUBSTITUTE(TRIM(Mitarbeiter!$E$15)," ",REPT(" ",99)),((MOD(G$5-Mitarbeiter!$F$15,(LEN(TRIM(Mitarbeiter!$E$15))-LEN(SUBSTITUTE(TRIM(Mitarbeiter!$E$15)," ",""))+1))+1)-1)*99+1,99))="-","",TRIM(MID(SUBSTITUTE(TRIM(Mitarbeiter!$E$15)," ",REPT(" ",99)),((MOD(G$5-Mitarbeiter!$F$15,(LEN(TRIM(Mitarbeiter!$E$15))-LEN(SUBSTITUTE(TRIM(Mitarbeiter!$E$15)," ",""))+1))+1)-1)*99+1,99))))</f>
      </c>
      <c r="H16" s="54">
        <f>IF(OR($A16="",H$5="",TRIM(Mitarbeiter!$E$15)="",NOT(ISNUMBER(Mitarbeiter!$F$15))),"",IF(TRIM(MID(SUBSTITUTE(TRIM(Mitarbeiter!$E$15)," ",REPT(" ",99)),((MOD(H$5-Mitarbeiter!$F$15,(LEN(TRIM(Mitarbeiter!$E$15))-LEN(SUBSTITUTE(TRIM(Mitarbeiter!$E$15)," ",""))+1))+1)-1)*99+1,99))="-","",TRIM(MID(SUBSTITUTE(TRIM(Mitarbeiter!$E$15)," ",REPT(" ",99)),((MOD(H$5-Mitarbeiter!$F$15,(LEN(TRIM(Mitarbeiter!$E$15))-LEN(SUBSTITUTE(TRIM(Mitarbeiter!$E$15)," ",""))+1))+1)-1)*99+1,99))))</f>
      </c>
      <c r="I16" s="54">
        <f>IF(OR($A16="",I$5="",TRIM(Mitarbeiter!$E$15)="",NOT(ISNUMBER(Mitarbeiter!$F$15))),"",IF(TRIM(MID(SUBSTITUTE(TRIM(Mitarbeiter!$E$15)," ",REPT(" ",99)),((MOD(I$5-Mitarbeiter!$F$15,(LEN(TRIM(Mitarbeiter!$E$15))-LEN(SUBSTITUTE(TRIM(Mitarbeiter!$E$15)," ",""))+1))+1)-1)*99+1,99))="-","",TRIM(MID(SUBSTITUTE(TRIM(Mitarbeiter!$E$15)," ",REPT(" ",99)),((MOD(I$5-Mitarbeiter!$F$15,(LEN(TRIM(Mitarbeiter!$E$15))-LEN(SUBSTITUTE(TRIM(Mitarbeiter!$E$15)," ",""))+1))+1)-1)*99+1,99))))</f>
      </c>
      <c r="J16" s="54">
        <f>IF(OR($A16="",J$5="",TRIM(Mitarbeiter!$E$15)="",NOT(ISNUMBER(Mitarbeiter!$F$15))),"",IF(TRIM(MID(SUBSTITUTE(TRIM(Mitarbeiter!$E$15)," ",REPT(" ",99)),((MOD(J$5-Mitarbeiter!$F$15,(LEN(TRIM(Mitarbeiter!$E$15))-LEN(SUBSTITUTE(TRIM(Mitarbeiter!$E$15)," ",""))+1))+1)-1)*99+1,99))="-","",TRIM(MID(SUBSTITUTE(TRIM(Mitarbeiter!$E$15)," ",REPT(" ",99)),((MOD(J$5-Mitarbeiter!$F$15,(LEN(TRIM(Mitarbeiter!$E$15))-LEN(SUBSTITUTE(TRIM(Mitarbeiter!$E$15)," ",""))+1))+1)-1)*99+1,99))))</f>
      </c>
      <c r="K16" s="54">
        <f>IF(OR($A16="",K$5="",TRIM(Mitarbeiter!$E$15)="",NOT(ISNUMBER(Mitarbeiter!$F$15))),"",IF(TRIM(MID(SUBSTITUTE(TRIM(Mitarbeiter!$E$15)," ",REPT(" ",99)),((MOD(K$5-Mitarbeiter!$F$15,(LEN(TRIM(Mitarbeiter!$E$15))-LEN(SUBSTITUTE(TRIM(Mitarbeiter!$E$15)," ",""))+1))+1)-1)*99+1,99))="-","",TRIM(MID(SUBSTITUTE(TRIM(Mitarbeiter!$E$15)," ",REPT(" ",99)),((MOD(K$5-Mitarbeiter!$F$15,(LEN(TRIM(Mitarbeiter!$E$15))-LEN(SUBSTITUTE(TRIM(Mitarbeiter!$E$15)," ",""))+1))+1)-1)*99+1,99))))</f>
      </c>
      <c r="L16" s="54">
        <f>IF(OR($A16="",L$5="",TRIM(Mitarbeiter!$E$15)="",NOT(ISNUMBER(Mitarbeiter!$F$15))),"",IF(TRIM(MID(SUBSTITUTE(TRIM(Mitarbeiter!$E$15)," ",REPT(" ",99)),((MOD(L$5-Mitarbeiter!$F$15,(LEN(TRIM(Mitarbeiter!$E$15))-LEN(SUBSTITUTE(TRIM(Mitarbeiter!$E$15)," ",""))+1))+1)-1)*99+1,99))="-","",TRIM(MID(SUBSTITUTE(TRIM(Mitarbeiter!$E$15)," ",REPT(" ",99)),((MOD(L$5-Mitarbeiter!$F$15,(LEN(TRIM(Mitarbeiter!$E$15))-LEN(SUBSTITUTE(TRIM(Mitarbeiter!$E$15)," ",""))+1))+1)-1)*99+1,99))))</f>
      </c>
      <c r="M16" s="54">
        <f>IF(OR($A16="",M$5="",TRIM(Mitarbeiter!$E$15)="",NOT(ISNUMBER(Mitarbeiter!$F$15))),"",IF(TRIM(MID(SUBSTITUTE(TRIM(Mitarbeiter!$E$15)," ",REPT(" ",99)),((MOD(M$5-Mitarbeiter!$F$15,(LEN(TRIM(Mitarbeiter!$E$15))-LEN(SUBSTITUTE(TRIM(Mitarbeiter!$E$15)," ",""))+1))+1)-1)*99+1,99))="-","",TRIM(MID(SUBSTITUTE(TRIM(Mitarbeiter!$E$15)," ",REPT(" ",99)),((MOD(M$5-Mitarbeiter!$F$15,(LEN(TRIM(Mitarbeiter!$E$15))-LEN(SUBSTITUTE(TRIM(Mitarbeiter!$E$15)," ",""))+1))+1)-1)*99+1,99))))</f>
      </c>
      <c r="N16" s="54">
        <f>IF(OR($A16="",N$5="",TRIM(Mitarbeiter!$E$15)="",NOT(ISNUMBER(Mitarbeiter!$F$15))),"",IF(TRIM(MID(SUBSTITUTE(TRIM(Mitarbeiter!$E$15)," ",REPT(" ",99)),((MOD(N$5-Mitarbeiter!$F$15,(LEN(TRIM(Mitarbeiter!$E$15))-LEN(SUBSTITUTE(TRIM(Mitarbeiter!$E$15)," ",""))+1))+1)-1)*99+1,99))="-","",TRIM(MID(SUBSTITUTE(TRIM(Mitarbeiter!$E$15)," ",REPT(" ",99)),((MOD(N$5-Mitarbeiter!$F$15,(LEN(TRIM(Mitarbeiter!$E$15))-LEN(SUBSTITUTE(TRIM(Mitarbeiter!$E$15)," ",""))+1))+1)-1)*99+1,99))))</f>
      </c>
      <c r="O16" s="54">
        <f>IF(OR($A16="",O$5="",TRIM(Mitarbeiter!$E$15)="",NOT(ISNUMBER(Mitarbeiter!$F$15))),"",IF(TRIM(MID(SUBSTITUTE(TRIM(Mitarbeiter!$E$15)," ",REPT(" ",99)),((MOD(O$5-Mitarbeiter!$F$15,(LEN(TRIM(Mitarbeiter!$E$15))-LEN(SUBSTITUTE(TRIM(Mitarbeiter!$E$15)," ",""))+1))+1)-1)*99+1,99))="-","",TRIM(MID(SUBSTITUTE(TRIM(Mitarbeiter!$E$15)," ",REPT(" ",99)),((MOD(O$5-Mitarbeiter!$F$15,(LEN(TRIM(Mitarbeiter!$E$15))-LEN(SUBSTITUTE(TRIM(Mitarbeiter!$E$15)," ",""))+1))+1)-1)*99+1,99))))</f>
      </c>
      <c r="P16" s="54">
        <f>IF(OR($A16="",P$5="",TRIM(Mitarbeiter!$E$15)="",NOT(ISNUMBER(Mitarbeiter!$F$15))),"",IF(TRIM(MID(SUBSTITUTE(TRIM(Mitarbeiter!$E$15)," ",REPT(" ",99)),((MOD(P$5-Mitarbeiter!$F$15,(LEN(TRIM(Mitarbeiter!$E$15))-LEN(SUBSTITUTE(TRIM(Mitarbeiter!$E$15)," ",""))+1))+1)-1)*99+1,99))="-","",TRIM(MID(SUBSTITUTE(TRIM(Mitarbeiter!$E$15)," ",REPT(" ",99)),((MOD(P$5-Mitarbeiter!$F$15,(LEN(TRIM(Mitarbeiter!$E$15))-LEN(SUBSTITUTE(TRIM(Mitarbeiter!$E$15)," ",""))+1))+1)-1)*99+1,99))))</f>
      </c>
      <c r="Q16" s="54">
        <f>IF(OR($A16="",Q$5="",TRIM(Mitarbeiter!$E$15)="",NOT(ISNUMBER(Mitarbeiter!$F$15))),"",IF(TRIM(MID(SUBSTITUTE(TRIM(Mitarbeiter!$E$15)," ",REPT(" ",99)),((MOD(Q$5-Mitarbeiter!$F$15,(LEN(TRIM(Mitarbeiter!$E$15))-LEN(SUBSTITUTE(TRIM(Mitarbeiter!$E$15)," ",""))+1))+1)-1)*99+1,99))="-","",TRIM(MID(SUBSTITUTE(TRIM(Mitarbeiter!$E$15)," ",REPT(" ",99)),((MOD(Q$5-Mitarbeiter!$F$15,(LEN(TRIM(Mitarbeiter!$E$15))-LEN(SUBSTITUTE(TRIM(Mitarbeiter!$E$15)," ",""))+1))+1)-1)*99+1,99))))</f>
      </c>
      <c r="R16" s="54">
        <f>IF(OR($A16="",R$5="",TRIM(Mitarbeiter!$E$15)="",NOT(ISNUMBER(Mitarbeiter!$F$15))),"",IF(TRIM(MID(SUBSTITUTE(TRIM(Mitarbeiter!$E$15)," ",REPT(" ",99)),((MOD(R$5-Mitarbeiter!$F$15,(LEN(TRIM(Mitarbeiter!$E$15))-LEN(SUBSTITUTE(TRIM(Mitarbeiter!$E$15)," ",""))+1))+1)-1)*99+1,99))="-","",TRIM(MID(SUBSTITUTE(TRIM(Mitarbeiter!$E$15)," ",REPT(" ",99)),((MOD(R$5-Mitarbeiter!$F$15,(LEN(TRIM(Mitarbeiter!$E$15))-LEN(SUBSTITUTE(TRIM(Mitarbeiter!$E$15)," ",""))+1))+1)-1)*99+1,99))))</f>
      </c>
      <c r="S16" s="54">
        <f>IF(OR($A16="",S$5="",TRIM(Mitarbeiter!$E$15)="",NOT(ISNUMBER(Mitarbeiter!$F$15))),"",IF(TRIM(MID(SUBSTITUTE(TRIM(Mitarbeiter!$E$15)," ",REPT(" ",99)),((MOD(S$5-Mitarbeiter!$F$15,(LEN(TRIM(Mitarbeiter!$E$15))-LEN(SUBSTITUTE(TRIM(Mitarbeiter!$E$15)," ",""))+1))+1)-1)*99+1,99))="-","",TRIM(MID(SUBSTITUTE(TRIM(Mitarbeiter!$E$15)," ",REPT(" ",99)),((MOD(S$5-Mitarbeiter!$F$15,(LEN(TRIM(Mitarbeiter!$E$15))-LEN(SUBSTITUTE(TRIM(Mitarbeiter!$E$15)," ",""))+1))+1)-1)*99+1,99))))</f>
      </c>
      <c r="T16" s="54">
        <f>IF(OR($A16="",T$5="",TRIM(Mitarbeiter!$E$15)="",NOT(ISNUMBER(Mitarbeiter!$F$15))),"",IF(TRIM(MID(SUBSTITUTE(TRIM(Mitarbeiter!$E$15)," ",REPT(" ",99)),((MOD(T$5-Mitarbeiter!$F$15,(LEN(TRIM(Mitarbeiter!$E$15))-LEN(SUBSTITUTE(TRIM(Mitarbeiter!$E$15)," ",""))+1))+1)-1)*99+1,99))="-","",TRIM(MID(SUBSTITUTE(TRIM(Mitarbeiter!$E$15)," ",REPT(" ",99)),((MOD(T$5-Mitarbeiter!$F$15,(LEN(TRIM(Mitarbeiter!$E$15))-LEN(SUBSTITUTE(TRIM(Mitarbeiter!$E$15)," ",""))+1))+1)-1)*99+1,99))))</f>
      </c>
      <c r="U16" s="54">
        <f>IF(OR($A16="",U$5="",TRIM(Mitarbeiter!$E$15)="",NOT(ISNUMBER(Mitarbeiter!$F$15))),"",IF(TRIM(MID(SUBSTITUTE(TRIM(Mitarbeiter!$E$15)," ",REPT(" ",99)),((MOD(U$5-Mitarbeiter!$F$15,(LEN(TRIM(Mitarbeiter!$E$15))-LEN(SUBSTITUTE(TRIM(Mitarbeiter!$E$15)," ",""))+1))+1)-1)*99+1,99))="-","",TRIM(MID(SUBSTITUTE(TRIM(Mitarbeiter!$E$15)," ",REPT(" ",99)),((MOD(U$5-Mitarbeiter!$F$15,(LEN(TRIM(Mitarbeiter!$E$15))-LEN(SUBSTITUTE(TRIM(Mitarbeiter!$E$15)," ",""))+1))+1)-1)*99+1,99))))</f>
      </c>
      <c r="V16" s="54">
        <f>IF(OR($A16="",V$5="",TRIM(Mitarbeiter!$E$15)="",NOT(ISNUMBER(Mitarbeiter!$F$15))),"",IF(TRIM(MID(SUBSTITUTE(TRIM(Mitarbeiter!$E$15)," ",REPT(" ",99)),((MOD(V$5-Mitarbeiter!$F$15,(LEN(TRIM(Mitarbeiter!$E$15))-LEN(SUBSTITUTE(TRIM(Mitarbeiter!$E$15)," ",""))+1))+1)-1)*99+1,99))="-","",TRIM(MID(SUBSTITUTE(TRIM(Mitarbeiter!$E$15)," ",REPT(" ",99)),((MOD(V$5-Mitarbeiter!$F$15,(LEN(TRIM(Mitarbeiter!$E$15))-LEN(SUBSTITUTE(TRIM(Mitarbeiter!$E$15)," ",""))+1))+1)-1)*99+1,99))))</f>
      </c>
      <c r="W16" s="54">
        <f>IF(OR($A16="",W$5="",TRIM(Mitarbeiter!$E$15)="",NOT(ISNUMBER(Mitarbeiter!$F$15))),"",IF(TRIM(MID(SUBSTITUTE(TRIM(Mitarbeiter!$E$15)," ",REPT(" ",99)),((MOD(W$5-Mitarbeiter!$F$15,(LEN(TRIM(Mitarbeiter!$E$15))-LEN(SUBSTITUTE(TRIM(Mitarbeiter!$E$15)," ",""))+1))+1)-1)*99+1,99))="-","",TRIM(MID(SUBSTITUTE(TRIM(Mitarbeiter!$E$15)," ",REPT(" ",99)),((MOD(W$5-Mitarbeiter!$F$15,(LEN(TRIM(Mitarbeiter!$E$15))-LEN(SUBSTITUTE(TRIM(Mitarbeiter!$E$15)," ",""))+1))+1)-1)*99+1,99))))</f>
      </c>
      <c r="X16" s="54">
        <f>IF(OR($A16="",X$5="",TRIM(Mitarbeiter!$E$15)="",NOT(ISNUMBER(Mitarbeiter!$F$15))),"",IF(TRIM(MID(SUBSTITUTE(TRIM(Mitarbeiter!$E$15)," ",REPT(" ",99)),((MOD(X$5-Mitarbeiter!$F$15,(LEN(TRIM(Mitarbeiter!$E$15))-LEN(SUBSTITUTE(TRIM(Mitarbeiter!$E$15)," ",""))+1))+1)-1)*99+1,99))="-","",TRIM(MID(SUBSTITUTE(TRIM(Mitarbeiter!$E$15)," ",REPT(" ",99)),((MOD(X$5-Mitarbeiter!$F$15,(LEN(TRIM(Mitarbeiter!$E$15))-LEN(SUBSTITUTE(TRIM(Mitarbeiter!$E$15)," ",""))+1))+1)-1)*99+1,99))))</f>
      </c>
      <c r="Y16" s="54">
        <f>IF(OR($A16="",Y$5="",TRIM(Mitarbeiter!$E$15)="",NOT(ISNUMBER(Mitarbeiter!$F$15))),"",IF(TRIM(MID(SUBSTITUTE(TRIM(Mitarbeiter!$E$15)," ",REPT(" ",99)),((MOD(Y$5-Mitarbeiter!$F$15,(LEN(TRIM(Mitarbeiter!$E$15))-LEN(SUBSTITUTE(TRIM(Mitarbeiter!$E$15)," ",""))+1))+1)-1)*99+1,99))="-","",TRIM(MID(SUBSTITUTE(TRIM(Mitarbeiter!$E$15)," ",REPT(" ",99)),((MOD(Y$5-Mitarbeiter!$F$15,(LEN(TRIM(Mitarbeiter!$E$15))-LEN(SUBSTITUTE(TRIM(Mitarbeiter!$E$15)," ",""))+1))+1)-1)*99+1,99))))</f>
      </c>
      <c r="Z16" s="54">
        <f>IF(OR($A16="",Z$5="",TRIM(Mitarbeiter!$E$15)="",NOT(ISNUMBER(Mitarbeiter!$F$15))),"",IF(TRIM(MID(SUBSTITUTE(TRIM(Mitarbeiter!$E$15)," ",REPT(" ",99)),((MOD(Z$5-Mitarbeiter!$F$15,(LEN(TRIM(Mitarbeiter!$E$15))-LEN(SUBSTITUTE(TRIM(Mitarbeiter!$E$15)," ",""))+1))+1)-1)*99+1,99))="-","",TRIM(MID(SUBSTITUTE(TRIM(Mitarbeiter!$E$15)," ",REPT(" ",99)),((MOD(Z$5-Mitarbeiter!$F$15,(LEN(TRIM(Mitarbeiter!$E$15))-LEN(SUBSTITUTE(TRIM(Mitarbeiter!$E$15)," ",""))+1))+1)-1)*99+1,99))))</f>
      </c>
      <c r="AA16" s="54">
        <f>IF(OR($A16="",AA$5="",TRIM(Mitarbeiter!$E$15)="",NOT(ISNUMBER(Mitarbeiter!$F$15))),"",IF(TRIM(MID(SUBSTITUTE(TRIM(Mitarbeiter!$E$15)," ",REPT(" ",99)),((MOD(AA$5-Mitarbeiter!$F$15,(LEN(TRIM(Mitarbeiter!$E$15))-LEN(SUBSTITUTE(TRIM(Mitarbeiter!$E$15)," ",""))+1))+1)-1)*99+1,99))="-","",TRIM(MID(SUBSTITUTE(TRIM(Mitarbeiter!$E$15)," ",REPT(" ",99)),((MOD(AA$5-Mitarbeiter!$F$15,(LEN(TRIM(Mitarbeiter!$E$15))-LEN(SUBSTITUTE(TRIM(Mitarbeiter!$E$15)," ",""))+1))+1)-1)*99+1,99))))</f>
      </c>
      <c r="AB16" s="54">
        <f>IF(OR($A16="",AB$5="",TRIM(Mitarbeiter!$E$15)="",NOT(ISNUMBER(Mitarbeiter!$F$15))),"",IF(TRIM(MID(SUBSTITUTE(TRIM(Mitarbeiter!$E$15)," ",REPT(" ",99)),((MOD(AB$5-Mitarbeiter!$F$15,(LEN(TRIM(Mitarbeiter!$E$15))-LEN(SUBSTITUTE(TRIM(Mitarbeiter!$E$15)," ",""))+1))+1)-1)*99+1,99))="-","",TRIM(MID(SUBSTITUTE(TRIM(Mitarbeiter!$E$15)," ",REPT(" ",99)),((MOD(AB$5-Mitarbeiter!$F$15,(LEN(TRIM(Mitarbeiter!$E$15))-LEN(SUBSTITUTE(TRIM(Mitarbeiter!$E$15)," ",""))+1))+1)-1)*99+1,99))))</f>
      </c>
      <c r="AC16" s="54">
        <f>IF(OR($A16="",AC$5="",TRIM(Mitarbeiter!$E$15)="",NOT(ISNUMBER(Mitarbeiter!$F$15))),"",IF(TRIM(MID(SUBSTITUTE(TRIM(Mitarbeiter!$E$15)," ",REPT(" ",99)),((MOD(AC$5-Mitarbeiter!$F$15,(LEN(TRIM(Mitarbeiter!$E$15))-LEN(SUBSTITUTE(TRIM(Mitarbeiter!$E$15)," ",""))+1))+1)-1)*99+1,99))="-","",TRIM(MID(SUBSTITUTE(TRIM(Mitarbeiter!$E$15)," ",REPT(" ",99)),((MOD(AC$5-Mitarbeiter!$F$15,(LEN(TRIM(Mitarbeiter!$E$15))-LEN(SUBSTITUTE(TRIM(Mitarbeiter!$E$15)," ",""))+1))+1)-1)*99+1,99))))</f>
      </c>
      <c r="AD16" s="54">
        <f>IF(OR($A16="",AD$5="",TRIM(Mitarbeiter!$E$15)="",NOT(ISNUMBER(Mitarbeiter!$F$15))),"",IF(TRIM(MID(SUBSTITUTE(TRIM(Mitarbeiter!$E$15)," ",REPT(" ",99)),((MOD(AD$5-Mitarbeiter!$F$15,(LEN(TRIM(Mitarbeiter!$E$15))-LEN(SUBSTITUTE(TRIM(Mitarbeiter!$E$15)," ",""))+1))+1)-1)*99+1,99))="-","",TRIM(MID(SUBSTITUTE(TRIM(Mitarbeiter!$E$15)," ",REPT(" ",99)),((MOD(AD$5-Mitarbeiter!$F$15,(LEN(TRIM(Mitarbeiter!$E$15))-LEN(SUBSTITUTE(TRIM(Mitarbeiter!$E$15)," ",""))+1))+1)-1)*99+1,99))))</f>
      </c>
      <c r="AE16" s="54">
        <f>IF(OR($A16="",AE$5="",TRIM(Mitarbeiter!$E$15)="",NOT(ISNUMBER(Mitarbeiter!$F$15))),"",IF(TRIM(MID(SUBSTITUTE(TRIM(Mitarbeiter!$E$15)," ",REPT(" ",99)),((MOD(AE$5-Mitarbeiter!$F$15,(LEN(TRIM(Mitarbeiter!$E$15))-LEN(SUBSTITUTE(TRIM(Mitarbeiter!$E$15)," ",""))+1))+1)-1)*99+1,99))="-","",TRIM(MID(SUBSTITUTE(TRIM(Mitarbeiter!$E$15)," ",REPT(" ",99)),((MOD(AE$5-Mitarbeiter!$F$15,(LEN(TRIM(Mitarbeiter!$E$15))-LEN(SUBSTITUTE(TRIM(Mitarbeiter!$E$15)," ",""))+1))+1)-1)*99+1,99))))</f>
      </c>
      <c r="AF16" s="54">
        <f>IF(OR($A16="",AF$5="",TRIM(Mitarbeiter!$E$15)="",NOT(ISNUMBER(Mitarbeiter!$F$15))),"",IF(TRIM(MID(SUBSTITUTE(TRIM(Mitarbeiter!$E$15)," ",REPT(" ",99)),((MOD(AF$5-Mitarbeiter!$F$15,(LEN(TRIM(Mitarbeiter!$E$15))-LEN(SUBSTITUTE(TRIM(Mitarbeiter!$E$15)," ",""))+1))+1)-1)*99+1,99))="-","",TRIM(MID(SUBSTITUTE(TRIM(Mitarbeiter!$E$15)," ",REPT(" ",99)),((MOD(AF$5-Mitarbeiter!$F$15,(LEN(TRIM(Mitarbeiter!$E$15))-LEN(SUBSTITUTE(TRIM(Mitarbeiter!$E$15)," ",""))+1))+1)-1)*99+1,99))))</f>
      </c>
      <c r="AG16" s="55">
        <f>IF(OR($A16="",TRIM(Mitarbeiter!$E$15)=""),"",IF(NOT(ISNUMBER(Mitarbeiter!$F$15)),"Rhythmus ab: Datum fehlt",IF(COUNTIF(B16:AF16,"?*")-SUMPRODUCT(COUNTIF(B16:AF16,Codes)*(Codes&lt;&gt;"")*Erste)&gt;0,"Rhythmus enthält ein unbekanntes Kürzel","")))</f>
      </c>
    </row>
    <row r="17" spans="1:33" x14ac:dyDescent="0.25">
      <c r="A17" s="49">
        <f>Mitarbeiter!$A$16&amp;""</f>
      </c>
      <c r="B17" s="54">
        <f>IF(OR($A17="",B$5="",TRIM(Mitarbeiter!$E$16)="",NOT(ISNUMBER(Mitarbeiter!$F$16))),"",IF(TRIM(MID(SUBSTITUTE(TRIM(Mitarbeiter!$E$16)," ",REPT(" ",99)),((MOD(B$5-Mitarbeiter!$F$16,(LEN(TRIM(Mitarbeiter!$E$16))-LEN(SUBSTITUTE(TRIM(Mitarbeiter!$E$16)," ",""))+1))+1)-1)*99+1,99))="-","",TRIM(MID(SUBSTITUTE(TRIM(Mitarbeiter!$E$16)," ",REPT(" ",99)),((MOD(B$5-Mitarbeiter!$F$16,(LEN(TRIM(Mitarbeiter!$E$16))-LEN(SUBSTITUTE(TRIM(Mitarbeiter!$E$16)," ",""))+1))+1)-1)*99+1,99))))</f>
      </c>
      <c r="C17" s="54">
        <f>IF(OR($A17="",C$5="",TRIM(Mitarbeiter!$E$16)="",NOT(ISNUMBER(Mitarbeiter!$F$16))),"",IF(TRIM(MID(SUBSTITUTE(TRIM(Mitarbeiter!$E$16)," ",REPT(" ",99)),((MOD(C$5-Mitarbeiter!$F$16,(LEN(TRIM(Mitarbeiter!$E$16))-LEN(SUBSTITUTE(TRIM(Mitarbeiter!$E$16)," ",""))+1))+1)-1)*99+1,99))="-","",TRIM(MID(SUBSTITUTE(TRIM(Mitarbeiter!$E$16)," ",REPT(" ",99)),((MOD(C$5-Mitarbeiter!$F$16,(LEN(TRIM(Mitarbeiter!$E$16))-LEN(SUBSTITUTE(TRIM(Mitarbeiter!$E$16)," ",""))+1))+1)-1)*99+1,99))))</f>
      </c>
      <c r="D17" s="54">
        <f>IF(OR($A17="",D$5="",TRIM(Mitarbeiter!$E$16)="",NOT(ISNUMBER(Mitarbeiter!$F$16))),"",IF(TRIM(MID(SUBSTITUTE(TRIM(Mitarbeiter!$E$16)," ",REPT(" ",99)),((MOD(D$5-Mitarbeiter!$F$16,(LEN(TRIM(Mitarbeiter!$E$16))-LEN(SUBSTITUTE(TRIM(Mitarbeiter!$E$16)," ",""))+1))+1)-1)*99+1,99))="-","",TRIM(MID(SUBSTITUTE(TRIM(Mitarbeiter!$E$16)," ",REPT(" ",99)),((MOD(D$5-Mitarbeiter!$F$16,(LEN(TRIM(Mitarbeiter!$E$16))-LEN(SUBSTITUTE(TRIM(Mitarbeiter!$E$16)," ",""))+1))+1)-1)*99+1,99))))</f>
      </c>
      <c r="E17" s="54">
        <f>IF(OR($A17="",E$5="",TRIM(Mitarbeiter!$E$16)="",NOT(ISNUMBER(Mitarbeiter!$F$16))),"",IF(TRIM(MID(SUBSTITUTE(TRIM(Mitarbeiter!$E$16)," ",REPT(" ",99)),((MOD(E$5-Mitarbeiter!$F$16,(LEN(TRIM(Mitarbeiter!$E$16))-LEN(SUBSTITUTE(TRIM(Mitarbeiter!$E$16)," ",""))+1))+1)-1)*99+1,99))="-","",TRIM(MID(SUBSTITUTE(TRIM(Mitarbeiter!$E$16)," ",REPT(" ",99)),((MOD(E$5-Mitarbeiter!$F$16,(LEN(TRIM(Mitarbeiter!$E$16))-LEN(SUBSTITUTE(TRIM(Mitarbeiter!$E$16)," ",""))+1))+1)-1)*99+1,99))))</f>
      </c>
      <c r="F17" s="54">
        <f>IF(OR($A17="",F$5="",TRIM(Mitarbeiter!$E$16)="",NOT(ISNUMBER(Mitarbeiter!$F$16))),"",IF(TRIM(MID(SUBSTITUTE(TRIM(Mitarbeiter!$E$16)," ",REPT(" ",99)),((MOD(F$5-Mitarbeiter!$F$16,(LEN(TRIM(Mitarbeiter!$E$16))-LEN(SUBSTITUTE(TRIM(Mitarbeiter!$E$16)," ",""))+1))+1)-1)*99+1,99))="-","",TRIM(MID(SUBSTITUTE(TRIM(Mitarbeiter!$E$16)," ",REPT(" ",99)),((MOD(F$5-Mitarbeiter!$F$16,(LEN(TRIM(Mitarbeiter!$E$16))-LEN(SUBSTITUTE(TRIM(Mitarbeiter!$E$16)," ",""))+1))+1)-1)*99+1,99))))</f>
      </c>
      <c r="G17" s="54">
        <f>IF(OR($A17="",G$5="",TRIM(Mitarbeiter!$E$16)="",NOT(ISNUMBER(Mitarbeiter!$F$16))),"",IF(TRIM(MID(SUBSTITUTE(TRIM(Mitarbeiter!$E$16)," ",REPT(" ",99)),((MOD(G$5-Mitarbeiter!$F$16,(LEN(TRIM(Mitarbeiter!$E$16))-LEN(SUBSTITUTE(TRIM(Mitarbeiter!$E$16)," ",""))+1))+1)-1)*99+1,99))="-","",TRIM(MID(SUBSTITUTE(TRIM(Mitarbeiter!$E$16)," ",REPT(" ",99)),((MOD(G$5-Mitarbeiter!$F$16,(LEN(TRIM(Mitarbeiter!$E$16))-LEN(SUBSTITUTE(TRIM(Mitarbeiter!$E$16)," ",""))+1))+1)-1)*99+1,99))))</f>
      </c>
      <c r="H17" s="54">
        <f>IF(OR($A17="",H$5="",TRIM(Mitarbeiter!$E$16)="",NOT(ISNUMBER(Mitarbeiter!$F$16))),"",IF(TRIM(MID(SUBSTITUTE(TRIM(Mitarbeiter!$E$16)," ",REPT(" ",99)),((MOD(H$5-Mitarbeiter!$F$16,(LEN(TRIM(Mitarbeiter!$E$16))-LEN(SUBSTITUTE(TRIM(Mitarbeiter!$E$16)," ",""))+1))+1)-1)*99+1,99))="-","",TRIM(MID(SUBSTITUTE(TRIM(Mitarbeiter!$E$16)," ",REPT(" ",99)),((MOD(H$5-Mitarbeiter!$F$16,(LEN(TRIM(Mitarbeiter!$E$16))-LEN(SUBSTITUTE(TRIM(Mitarbeiter!$E$16)," ",""))+1))+1)-1)*99+1,99))))</f>
      </c>
      <c r="I17" s="54">
        <f>IF(OR($A17="",I$5="",TRIM(Mitarbeiter!$E$16)="",NOT(ISNUMBER(Mitarbeiter!$F$16))),"",IF(TRIM(MID(SUBSTITUTE(TRIM(Mitarbeiter!$E$16)," ",REPT(" ",99)),((MOD(I$5-Mitarbeiter!$F$16,(LEN(TRIM(Mitarbeiter!$E$16))-LEN(SUBSTITUTE(TRIM(Mitarbeiter!$E$16)," ",""))+1))+1)-1)*99+1,99))="-","",TRIM(MID(SUBSTITUTE(TRIM(Mitarbeiter!$E$16)," ",REPT(" ",99)),((MOD(I$5-Mitarbeiter!$F$16,(LEN(TRIM(Mitarbeiter!$E$16))-LEN(SUBSTITUTE(TRIM(Mitarbeiter!$E$16)," ",""))+1))+1)-1)*99+1,99))))</f>
      </c>
      <c r="J17" s="54">
        <f>IF(OR($A17="",J$5="",TRIM(Mitarbeiter!$E$16)="",NOT(ISNUMBER(Mitarbeiter!$F$16))),"",IF(TRIM(MID(SUBSTITUTE(TRIM(Mitarbeiter!$E$16)," ",REPT(" ",99)),((MOD(J$5-Mitarbeiter!$F$16,(LEN(TRIM(Mitarbeiter!$E$16))-LEN(SUBSTITUTE(TRIM(Mitarbeiter!$E$16)," ",""))+1))+1)-1)*99+1,99))="-","",TRIM(MID(SUBSTITUTE(TRIM(Mitarbeiter!$E$16)," ",REPT(" ",99)),((MOD(J$5-Mitarbeiter!$F$16,(LEN(TRIM(Mitarbeiter!$E$16))-LEN(SUBSTITUTE(TRIM(Mitarbeiter!$E$16)," ",""))+1))+1)-1)*99+1,99))))</f>
      </c>
      <c r="K17" s="54">
        <f>IF(OR($A17="",K$5="",TRIM(Mitarbeiter!$E$16)="",NOT(ISNUMBER(Mitarbeiter!$F$16))),"",IF(TRIM(MID(SUBSTITUTE(TRIM(Mitarbeiter!$E$16)," ",REPT(" ",99)),((MOD(K$5-Mitarbeiter!$F$16,(LEN(TRIM(Mitarbeiter!$E$16))-LEN(SUBSTITUTE(TRIM(Mitarbeiter!$E$16)," ",""))+1))+1)-1)*99+1,99))="-","",TRIM(MID(SUBSTITUTE(TRIM(Mitarbeiter!$E$16)," ",REPT(" ",99)),((MOD(K$5-Mitarbeiter!$F$16,(LEN(TRIM(Mitarbeiter!$E$16))-LEN(SUBSTITUTE(TRIM(Mitarbeiter!$E$16)," ",""))+1))+1)-1)*99+1,99))))</f>
      </c>
      <c r="L17" s="54">
        <f>IF(OR($A17="",L$5="",TRIM(Mitarbeiter!$E$16)="",NOT(ISNUMBER(Mitarbeiter!$F$16))),"",IF(TRIM(MID(SUBSTITUTE(TRIM(Mitarbeiter!$E$16)," ",REPT(" ",99)),((MOD(L$5-Mitarbeiter!$F$16,(LEN(TRIM(Mitarbeiter!$E$16))-LEN(SUBSTITUTE(TRIM(Mitarbeiter!$E$16)," ",""))+1))+1)-1)*99+1,99))="-","",TRIM(MID(SUBSTITUTE(TRIM(Mitarbeiter!$E$16)," ",REPT(" ",99)),((MOD(L$5-Mitarbeiter!$F$16,(LEN(TRIM(Mitarbeiter!$E$16))-LEN(SUBSTITUTE(TRIM(Mitarbeiter!$E$16)," ",""))+1))+1)-1)*99+1,99))))</f>
      </c>
      <c r="M17" s="54">
        <f>IF(OR($A17="",M$5="",TRIM(Mitarbeiter!$E$16)="",NOT(ISNUMBER(Mitarbeiter!$F$16))),"",IF(TRIM(MID(SUBSTITUTE(TRIM(Mitarbeiter!$E$16)," ",REPT(" ",99)),((MOD(M$5-Mitarbeiter!$F$16,(LEN(TRIM(Mitarbeiter!$E$16))-LEN(SUBSTITUTE(TRIM(Mitarbeiter!$E$16)," ",""))+1))+1)-1)*99+1,99))="-","",TRIM(MID(SUBSTITUTE(TRIM(Mitarbeiter!$E$16)," ",REPT(" ",99)),((MOD(M$5-Mitarbeiter!$F$16,(LEN(TRIM(Mitarbeiter!$E$16))-LEN(SUBSTITUTE(TRIM(Mitarbeiter!$E$16)," ",""))+1))+1)-1)*99+1,99))))</f>
      </c>
      <c r="N17" s="54">
        <f>IF(OR($A17="",N$5="",TRIM(Mitarbeiter!$E$16)="",NOT(ISNUMBER(Mitarbeiter!$F$16))),"",IF(TRIM(MID(SUBSTITUTE(TRIM(Mitarbeiter!$E$16)," ",REPT(" ",99)),((MOD(N$5-Mitarbeiter!$F$16,(LEN(TRIM(Mitarbeiter!$E$16))-LEN(SUBSTITUTE(TRIM(Mitarbeiter!$E$16)," ",""))+1))+1)-1)*99+1,99))="-","",TRIM(MID(SUBSTITUTE(TRIM(Mitarbeiter!$E$16)," ",REPT(" ",99)),((MOD(N$5-Mitarbeiter!$F$16,(LEN(TRIM(Mitarbeiter!$E$16))-LEN(SUBSTITUTE(TRIM(Mitarbeiter!$E$16)," ",""))+1))+1)-1)*99+1,99))))</f>
      </c>
      <c r="O17" s="54">
        <f>IF(OR($A17="",O$5="",TRIM(Mitarbeiter!$E$16)="",NOT(ISNUMBER(Mitarbeiter!$F$16))),"",IF(TRIM(MID(SUBSTITUTE(TRIM(Mitarbeiter!$E$16)," ",REPT(" ",99)),((MOD(O$5-Mitarbeiter!$F$16,(LEN(TRIM(Mitarbeiter!$E$16))-LEN(SUBSTITUTE(TRIM(Mitarbeiter!$E$16)," ",""))+1))+1)-1)*99+1,99))="-","",TRIM(MID(SUBSTITUTE(TRIM(Mitarbeiter!$E$16)," ",REPT(" ",99)),((MOD(O$5-Mitarbeiter!$F$16,(LEN(TRIM(Mitarbeiter!$E$16))-LEN(SUBSTITUTE(TRIM(Mitarbeiter!$E$16)," ",""))+1))+1)-1)*99+1,99))))</f>
      </c>
      <c r="P17" s="54">
        <f>IF(OR($A17="",P$5="",TRIM(Mitarbeiter!$E$16)="",NOT(ISNUMBER(Mitarbeiter!$F$16))),"",IF(TRIM(MID(SUBSTITUTE(TRIM(Mitarbeiter!$E$16)," ",REPT(" ",99)),((MOD(P$5-Mitarbeiter!$F$16,(LEN(TRIM(Mitarbeiter!$E$16))-LEN(SUBSTITUTE(TRIM(Mitarbeiter!$E$16)," ",""))+1))+1)-1)*99+1,99))="-","",TRIM(MID(SUBSTITUTE(TRIM(Mitarbeiter!$E$16)," ",REPT(" ",99)),((MOD(P$5-Mitarbeiter!$F$16,(LEN(TRIM(Mitarbeiter!$E$16))-LEN(SUBSTITUTE(TRIM(Mitarbeiter!$E$16)," ",""))+1))+1)-1)*99+1,99))))</f>
      </c>
      <c r="Q17" s="54">
        <f>IF(OR($A17="",Q$5="",TRIM(Mitarbeiter!$E$16)="",NOT(ISNUMBER(Mitarbeiter!$F$16))),"",IF(TRIM(MID(SUBSTITUTE(TRIM(Mitarbeiter!$E$16)," ",REPT(" ",99)),((MOD(Q$5-Mitarbeiter!$F$16,(LEN(TRIM(Mitarbeiter!$E$16))-LEN(SUBSTITUTE(TRIM(Mitarbeiter!$E$16)," ",""))+1))+1)-1)*99+1,99))="-","",TRIM(MID(SUBSTITUTE(TRIM(Mitarbeiter!$E$16)," ",REPT(" ",99)),((MOD(Q$5-Mitarbeiter!$F$16,(LEN(TRIM(Mitarbeiter!$E$16))-LEN(SUBSTITUTE(TRIM(Mitarbeiter!$E$16)," ",""))+1))+1)-1)*99+1,99))))</f>
      </c>
      <c r="R17" s="54">
        <f>IF(OR($A17="",R$5="",TRIM(Mitarbeiter!$E$16)="",NOT(ISNUMBER(Mitarbeiter!$F$16))),"",IF(TRIM(MID(SUBSTITUTE(TRIM(Mitarbeiter!$E$16)," ",REPT(" ",99)),((MOD(R$5-Mitarbeiter!$F$16,(LEN(TRIM(Mitarbeiter!$E$16))-LEN(SUBSTITUTE(TRIM(Mitarbeiter!$E$16)," ",""))+1))+1)-1)*99+1,99))="-","",TRIM(MID(SUBSTITUTE(TRIM(Mitarbeiter!$E$16)," ",REPT(" ",99)),((MOD(R$5-Mitarbeiter!$F$16,(LEN(TRIM(Mitarbeiter!$E$16))-LEN(SUBSTITUTE(TRIM(Mitarbeiter!$E$16)," ",""))+1))+1)-1)*99+1,99))))</f>
      </c>
      <c r="S17" s="54">
        <f>IF(OR($A17="",S$5="",TRIM(Mitarbeiter!$E$16)="",NOT(ISNUMBER(Mitarbeiter!$F$16))),"",IF(TRIM(MID(SUBSTITUTE(TRIM(Mitarbeiter!$E$16)," ",REPT(" ",99)),((MOD(S$5-Mitarbeiter!$F$16,(LEN(TRIM(Mitarbeiter!$E$16))-LEN(SUBSTITUTE(TRIM(Mitarbeiter!$E$16)," ",""))+1))+1)-1)*99+1,99))="-","",TRIM(MID(SUBSTITUTE(TRIM(Mitarbeiter!$E$16)," ",REPT(" ",99)),((MOD(S$5-Mitarbeiter!$F$16,(LEN(TRIM(Mitarbeiter!$E$16))-LEN(SUBSTITUTE(TRIM(Mitarbeiter!$E$16)," ",""))+1))+1)-1)*99+1,99))))</f>
      </c>
      <c r="T17" s="54">
        <f>IF(OR($A17="",T$5="",TRIM(Mitarbeiter!$E$16)="",NOT(ISNUMBER(Mitarbeiter!$F$16))),"",IF(TRIM(MID(SUBSTITUTE(TRIM(Mitarbeiter!$E$16)," ",REPT(" ",99)),((MOD(T$5-Mitarbeiter!$F$16,(LEN(TRIM(Mitarbeiter!$E$16))-LEN(SUBSTITUTE(TRIM(Mitarbeiter!$E$16)," ",""))+1))+1)-1)*99+1,99))="-","",TRIM(MID(SUBSTITUTE(TRIM(Mitarbeiter!$E$16)," ",REPT(" ",99)),((MOD(T$5-Mitarbeiter!$F$16,(LEN(TRIM(Mitarbeiter!$E$16))-LEN(SUBSTITUTE(TRIM(Mitarbeiter!$E$16)," ",""))+1))+1)-1)*99+1,99))))</f>
      </c>
      <c r="U17" s="54">
        <f>IF(OR($A17="",U$5="",TRIM(Mitarbeiter!$E$16)="",NOT(ISNUMBER(Mitarbeiter!$F$16))),"",IF(TRIM(MID(SUBSTITUTE(TRIM(Mitarbeiter!$E$16)," ",REPT(" ",99)),((MOD(U$5-Mitarbeiter!$F$16,(LEN(TRIM(Mitarbeiter!$E$16))-LEN(SUBSTITUTE(TRIM(Mitarbeiter!$E$16)," ",""))+1))+1)-1)*99+1,99))="-","",TRIM(MID(SUBSTITUTE(TRIM(Mitarbeiter!$E$16)," ",REPT(" ",99)),((MOD(U$5-Mitarbeiter!$F$16,(LEN(TRIM(Mitarbeiter!$E$16))-LEN(SUBSTITUTE(TRIM(Mitarbeiter!$E$16)," ",""))+1))+1)-1)*99+1,99))))</f>
      </c>
      <c r="V17" s="54">
        <f>IF(OR($A17="",V$5="",TRIM(Mitarbeiter!$E$16)="",NOT(ISNUMBER(Mitarbeiter!$F$16))),"",IF(TRIM(MID(SUBSTITUTE(TRIM(Mitarbeiter!$E$16)," ",REPT(" ",99)),((MOD(V$5-Mitarbeiter!$F$16,(LEN(TRIM(Mitarbeiter!$E$16))-LEN(SUBSTITUTE(TRIM(Mitarbeiter!$E$16)," ",""))+1))+1)-1)*99+1,99))="-","",TRIM(MID(SUBSTITUTE(TRIM(Mitarbeiter!$E$16)," ",REPT(" ",99)),((MOD(V$5-Mitarbeiter!$F$16,(LEN(TRIM(Mitarbeiter!$E$16))-LEN(SUBSTITUTE(TRIM(Mitarbeiter!$E$16)," ",""))+1))+1)-1)*99+1,99))))</f>
      </c>
      <c r="W17" s="54">
        <f>IF(OR($A17="",W$5="",TRIM(Mitarbeiter!$E$16)="",NOT(ISNUMBER(Mitarbeiter!$F$16))),"",IF(TRIM(MID(SUBSTITUTE(TRIM(Mitarbeiter!$E$16)," ",REPT(" ",99)),((MOD(W$5-Mitarbeiter!$F$16,(LEN(TRIM(Mitarbeiter!$E$16))-LEN(SUBSTITUTE(TRIM(Mitarbeiter!$E$16)," ",""))+1))+1)-1)*99+1,99))="-","",TRIM(MID(SUBSTITUTE(TRIM(Mitarbeiter!$E$16)," ",REPT(" ",99)),((MOD(W$5-Mitarbeiter!$F$16,(LEN(TRIM(Mitarbeiter!$E$16))-LEN(SUBSTITUTE(TRIM(Mitarbeiter!$E$16)," ",""))+1))+1)-1)*99+1,99))))</f>
      </c>
      <c r="X17" s="54">
        <f>IF(OR($A17="",X$5="",TRIM(Mitarbeiter!$E$16)="",NOT(ISNUMBER(Mitarbeiter!$F$16))),"",IF(TRIM(MID(SUBSTITUTE(TRIM(Mitarbeiter!$E$16)," ",REPT(" ",99)),((MOD(X$5-Mitarbeiter!$F$16,(LEN(TRIM(Mitarbeiter!$E$16))-LEN(SUBSTITUTE(TRIM(Mitarbeiter!$E$16)," ",""))+1))+1)-1)*99+1,99))="-","",TRIM(MID(SUBSTITUTE(TRIM(Mitarbeiter!$E$16)," ",REPT(" ",99)),((MOD(X$5-Mitarbeiter!$F$16,(LEN(TRIM(Mitarbeiter!$E$16))-LEN(SUBSTITUTE(TRIM(Mitarbeiter!$E$16)," ",""))+1))+1)-1)*99+1,99))))</f>
      </c>
      <c r="Y17" s="54">
        <f>IF(OR($A17="",Y$5="",TRIM(Mitarbeiter!$E$16)="",NOT(ISNUMBER(Mitarbeiter!$F$16))),"",IF(TRIM(MID(SUBSTITUTE(TRIM(Mitarbeiter!$E$16)," ",REPT(" ",99)),((MOD(Y$5-Mitarbeiter!$F$16,(LEN(TRIM(Mitarbeiter!$E$16))-LEN(SUBSTITUTE(TRIM(Mitarbeiter!$E$16)," ",""))+1))+1)-1)*99+1,99))="-","",TRIM(MID(SUBSTITUTE(TRIM(Mitarbeiter!$E$16)," ",REPT(" ",99)),((MOD(Y$5-Mitarbeiter!$F$16,(LEN(TRIM(Mitarbeiter!$E$16))-LEN(SUBSTITUTE(TRIM(Mitarbeiter!$E$16)," ",""))+1))+1)-1)*99+1,99))))</f>
      </c>
      <c r="Z17" s="54">
        <f>IF(OR($A17="",Z$5="",TRIM(Mitarbeiter!$E$16)="",NOT(ISNUMBER(Mitarbeiter!$F$16))),"",IF(TRIM(MID(SUBSTITUTE(TRIM(Mitarbeiter!$E$16)," ",REPT(" ",99)),((MOD(Z$5-Mitarbeiter!$F$16,(LEN(TRIM(Mitarbeiter!$E$16))-LEN(SUBSTITUTE(TRIM(Mitarbeiter!$E$16)," ",""))+1))+1)-1)*99+1,99))="-","",TRIM(MID(SUBSTITUTE(TRIM(Mitarbeiter!$E$16)," ",REPT(" ",99)),((MOD(Z$5-Mitarbeiter!$F$16,(LEN(TRIM(Mitarbeiter!$E$16))-LEN(SUBSTITUTE(TRIM(Mitarbeiter!$E$16)," ",""))+1))+1)-1)*99+1,99))))</f>
      </c>
      <c r="AA17" s="54">
        <f>IF(OR($A17="",AA$5="",TRIM(Mitarbeiter!$E$16)="",NOT(ISNUMBER(Mitarbeiter!$F$16))),"",IF(TRIM(MID(SUBSTITUTE(TRIM(Mitarbeiter!$E$16)," ",REPT(" ",99)),((MOD(AA$5-Mitarbeiter!$F$16,(LEN(TRIM(Mitarbeiter!$E$16))-LEN(SUBSTITUTE(TRIM(Mitarbeiter!$E$16)," ",""))+1))+1)-1)*99+1,99))="-","",TRIM(MID(SUBSTITUTE(TRIM(Mitarbeiter!$E$16)," ",REPT(" ",99)),((MOD(AA$5-Mitarbeiter!$F$16,(LEN(TRIM(Mitarbeiter!$E$16))-LEN(SUBSTITUTE(TRIM(Mitarbeiter!$E$16)," ",""))+1))+1)-1)*99+1,99))))</f>
      </c>
      <c r="AB17" s="54">
        <f>IF(OR($A17="",AB$5="",TRIM(Mitarbeiter!$E$16)="",NOT(ISNUMBER(Mitarbeiter!$F$16))),"",IF(TRIM(MID(SUBSTITUTE(TRIM(Mitarbeiter!$E$16)," ",REPT(" ",99)),((MOD(AB$5-Mitarbeiter!$F$16,(LEN(TRIM(Mitarbeiter!$E$16))-LEN(SUBSTITUTE(TRIM(Mitarbeiter!$E$16)," ",""))+1))+1)-1)*99+1,99))="-","",TRIM(MID(SUBSTITUTE(TRIM(Mitarbeiter!$E$16)," ",REPT(" ",99)),((MOD(AB$5-Mitarbeiter!$F$16,(LEN(TRIM(Mitarbeiter!$E$16))-LEN(SUBSTITUTE(TRIM(Mitarbeiter!$E$16)," ",""))+1))+1)-1)*99+1,99))))</f>
      </c>
      <c r="AC17" s="54">
        <f>IF(OR($A17="",AC$5="",TRIM(Mitarbeiter!$E$16)="",NOT(ISNUMBER(Mitarbeiter!$F$16))),"",IF(TRIM(MID(SUBSTITUTE(TRIM(Mitarbeiter!$E$16)," ",REPT(" ",99)),((MOD(AC$5-Mitarbeiter!$F$16,(LEN(TRIM(Mitarbeiter!$E$16))-LEN(SUBSTITUTE(TRIM(Mitarbeiter!$E$16)," ",""))+1))+1)-1)*99+1,99))="-","",TRIM(MID(SUBSTITUTE(TRIM(Mitarbeiter!$E$16)," ",REPT(" ",99)),((MOD(AC$5-Mitarbeiter!$F$16,(LEN(TRIM(Mitarbeiter!$E$16))-LEN(SUBSTITUTE(TRIM(Mitarbeiter!$E$16)," ",""))+1))+1)-1)*99+1,99))))</f>
      </c>
      <c r="AD17" s="54">
        <f>IF(OR($A17="",AD$5="",TRIM(Mitarbeiter!$E$16)="",NOT(ISNUMBER(Mitarbeiter!$F$16))),"",IF(TRIM(MID(SUBSTITUTE(TRIM(Mitarbeiter!$E$16)," ",REPT(" ",99)),((MOD(AD$5-Mitarbeiter!$F$16,(LEN(TRIM(Mitarbeiter!$E$16))-LEN(SUBSTITUTE(TRIM(Mitarbeiter!$E$16)," ",""))+1))+1)-1)*99+1,99))="-","",TRIM(MID(SUBSTITUTE(TRIM(Mitarbeiter!$E$16)," ",REPT(" ",99)),((MOD(AD$5-Mitarbeiter!$F$16,(LEN(TRIM(Mitarbeiter!$E$16))-LEN(SUBSTITUTE(TRIM(Mitarbeiter!$E$16)," ",""))+1))+1)-1)*99+1,99))))</f>
      </c>
      <c r="AE17" s="54">
        <f>IF(OR($A17="",AE$5="",TRIM(Mitarbeiter!$E$16)="",NOT(ISNUMBER(Mitarbeiter!$F$16))),"",IF(TRIM(MID(SUBSTITUTE(TRIM(Mitarbeiter!$E$16)," ",REPT(" ",99)),((MOD(AE$5-Mitarbeiter!$F$16,(LEN(TRIM(Mitarbeiter!$E$16))-LEN(SUBSTITUTE(TRIM(Mitarbeiter!$E$16)," ",""))+1))+1)-1)*99+1,99))="-","",TRIM(MID(SUBSTITUTE(TRIM(Mitarbeiter!$E$16)," ",REPT(" ",99)),((MOD(AE$5-Mitarbeiter!$F$16,(LEN(TRIM(Mitarbeiter!$E$16))-LEN(SUBSTITUTE(TRIM(Mitarbeiter!$E$16)," ",""))+1))+1)-1)*99+1,99))))</f>
      </c>
      <c r="AF17" s="54">
        <f>IF(OR($A17="",AF$5="",TRIM(Mitarbeiter!$E$16)="",NOT(ISNUMBER(Mitarbeiter!$F$16))),"",IF(TRIM(MID(SUBSTITUTE(TRIM(Mitarbeiter!$E$16)," ",REPT(" ",99)),((MOD(AF$5-Mitarbeiter!$F$16,(LEN(TRIM(Mitarbeiter!$E$16))-LEN(SUBSTITUTE(TRIM(Mitarbeiter!$E$16)," ",""))+1))+1)-1)*99+1,99))="-","",TRIM(MID(SUBSTITUTE(TRIM(Mitarbeiter!$E$16)," ",REPT(" ",99)),((MOD(AF$5-Mitarbeiter!$F$16,(LEN(TRIM(Mitarbeiter!$E$16))-LEN(SUBSTITUTE(TRIM(Mitarbeiter!$E$16)," ",""))+1))+1)-1)*99+1,99))))</f>
      </c>
      <c r="AG17" s="55">
        <f>IF(OR($A17="",TRIM(Mitarbeiter!$E$16)=""),"",IF(NOT(ISNUMBER(Mitarbeiter!$F$16)),"Rhythmus ab: Datum fehlt",IF(COUNTIF(B17:AF17,"?*")-SUMPRODUCT(COUNTIF(B17:AF17,Codes)*(Codes&lt;&gt;"")*Erste)&gt;0,"Rhythmus enthält ein unbekanntes Kürzel","")))</f>
      </c>
    </row>
    <row r="18" spans="1:33" x14ac:dyDescent="0.25">
      <c r="A18" s="49">
        <f>Mitarbeiter!$A$17&amp;""</f>
      </c>
      <c r="B18" s="54">
        <f>IF(OR($A18="",B$5="",TRIM(Mitarbeiter!$E$17)="",NOT(ISNUMBER(Mitarbeiter!$F$17))),"",IF(TRIM(MID(SUBSTITUTE(TRIM(Mitarbeiter!$E$17)," ",REPT(" ",99)),((MOD(B$5-Mitarbeiter!$F$17,(LEN(TRIM(Mitarbeiter!$E$17))-LEN(SUBSTITUTE(TRIM(Mitarbeiter!$E$17)," ",""))+1))+1)-1)*99+1,99))="-","",TRIM(MID(SUBSTITUTE(TRIM(Mitarbeiter!$E$17)," ",REPT(" ",99)),((MOD(B$5-Mitarbeiter!$F$17,(LEN(TRIM(Mitarbeiter!$E$17))-LEN(SUBSTITUTE(TRIM(Mitarbeiter!$E$17)," ",""))+1))+1)-1)*99+1,99))))</f>
      </c>
      <c r="C18" s="54">
        <f>IF(OR($A18="",C$5="",TRIM(Mitarbeiter!$E$17)="",NOT(ISNUMBER(Mitarbeiter!$F$17))),"",IF(TRIM(MID(SUBSTITUTE(TRIM(Mitarbeiter!$E$17)," ",REPT(" ",99)),((MOD(C$5-Mitarbeiter!$F$17,(LEN(TRIM(Mitarbeiter!$E$17))-LEN(SUBSTITUTE(TRIM(Mitarbeiter!$E$17)," ",""))+1))+1)-1)*99+1,99))="-","",TRIM(MID(SUBSTITUTE(TRIM(Mitarbeiter!$E$17)," ",REPT(" ",99)),((MOD(C$5-Mitarbeiter!$F$17,(LEN(TRIM(Mitarbeiter!$E$17))-LEN(SUBSTITUTE(TRIM(Mitarbeiter!$E$17)," ",""))+1))+1)-1)*99+1,99))))</f>
      </c>
      <c r="D18" s="54">
        <f>IF(OR($A18="",D$5="",TRIM(Mitarbeiter!$E$17)="",NOT(ISNUMBER(Mitarbeiter!$F$17))),"",IF(TRIM(MID(SUBSTITUTE(TRIM(Mitarbeiter!$E$17)," ",REPT(" ",99)),((MOD(D$5-Mitarbeiter!$F$17,(LEN(TRIM(Mitarbeiter!$E$17))-LEN(SUBSTITUTE(TRIM(Mitarbeiter!$E$17)," ",""))+1))+1)-1)*99+1,99))="-","",TRIM(MID(SUBSTITUTE(TRIM(Mitarbeiter!$E$17)," ",REPT(" ",99)),((MOD(D$5-Mitarbeiter!$F$17,(LEN(TRIM(Mitarbeiter!$E$17))-LEN(SUBSTITUTE(TRIM(Mitarbeiter!$E$17)," ",""))+1))+1)-1)*99+1,99))))</f>
      </c>
      <c r="E18" s="54">
        <f>IF(OR($A18="",E$5="",TRIM(Mitarbeiter!$E$17)="",NOT(ISNUMBER(Mitarbeiter!$F$17))),"",IF(TRIM(MID(SUBSTITUTE(TRIM(Mitarbeiter!$E$17)," ",REPT(" ",99)),((MOD(E$5-Mitarbeiter!$F$17,(LEN(TRIM(Mitarbeiter!$E$17))-LEN(SUBSTITUTE(TRIM(Mitarbeiter!$E$17)," ",""))+1))+1)-1)*99+1,99))="-","",TRIM(MID(SUBSTITUTE(TRIM(Mitarbeiter!$E$17)," ",REPT(" ",99)),((MOD(E$5-Mitarbeiter!$F$17,(LEN(TRIM(Mitarbeiter!$E$17))-LEN(SUBSTITUTE(TRIM(Mitarbeiter!$E$17)," ",""))+1))+1)-1)*99+1,99))))</f>
      </c>
      <c r="F18" s="54">
        <f>IF(OR($A18="",F$5="",TRIM(Mitarbeiter!$E$17)="",NOT(ISNUMBER(Mitarbeiter!$F$17))),"",IF(TRIM(MID(SUBSTITUTE(TRIM(Mitarbeiter!$E$17)," ",REPT(" ",99)),((MOD(F$5-Mitarbeiter!$F$17,(LEN(TRIM(Mitarbeiter!$E$17))-LEN(SUBSTITUTE(TRIM(Mitarbeiter!$E$17)," ",""))+1))+1)-1)*99+1,99))="-","",TRIM(MID(SUBSTITUTE(TRIM(Mitarbeiter!$E$17)," ",REPT(" ",99)),((MOD(F$5-Mitarbeiter!$F$17,(LEN(TRIM(Mitarbeiter!$E$17))-LEN(SUBSTITUTE(TRIM(Mitarbeiter!$E$17)," ",""))+1))+1)-1)*99+1,99))))</f>
      </c>
      <c r="G18" s="54">
        <f>IF(OR($A18="",G$5="",TRIM(Mitarbeiter!$E$17)="",NOT(ISNUMBER(Mitarbeiter!$F$17))),"",IF(TRIM(MID(SUBSTITUTE(TRIM(Mitarbeiter!$E$17)," ",REPT(" ",99)),((MOD(G$5-Mitarbeiter!$F$17,(LEN(TRIM(Mitarbeiter!$E$17))-LEN(SUBSTITUTE(TRIM(Mitarbeiter!$E$17)," ",""))+1))+1)-1)*99+1,99))="-","",TRIM(MID(SUBSTITUTE(TRIM(Mitarbeiter!$E$17)," ",REPT(" ",99)),((MOD(G$5-Mitarbeiter!$F$17,(LEN(TRIM(Mitarbeiter!$E$17))-LEN(SUBSTITUTE(TRIM(Mitarbeiter!$E$17)," ",""))+1))+1)-1)*99+1,99))))</f>
      </c>
      <c r="H18" s="54">
        <f>IF(OR($A18="",H$5="",TRIM(Mitarbeiter!$E$17)="",NOT(ISNUMBER(Mitarbeiter!$F$17))),"",IF(TRIM(MID(SUBSTITUTE(TRIM(Mitarbeiter!$E$17)," ",REPT(" ",99)),((MOD(H$5-Mitarbeiter!$F$17,(LEN(TRIM(Mitarbeiter!$E$17))-LEN(SUBSTITUTE(TRIM(Mitarbeiter!$E$17)," ",""))+1))+1)-1)*99+1,99))="-","",TRIM(MID(SUBSTITUTE(TRIM(Mitarbeiter!$E$17)," ",REPT(" ",99)),((MOD(H$5-Mitarbeiter!$F$17,(LEN(TRIM(Mitarbeiter!$E$17))-LEN(SUBSTITUTE(TRIM(Mitarbeiter!$E$17)," ",""))+1))+1)-1)*99+1,99))))</f>
      </c>
      <c r="I18" s="54">
        <f>IF(OR($A18="",I$5="",TRIM(Mitarbeiter!$E$17)="",NOT(ISNUMBER(Mitarbeiter!$F$17))),"",IF(TRIM(MID(SUBSTITUTE(TRIM(Mitarbeiter!$E$17)," ",REPT(" ",99)),((MOD(I$5-Mitarbeiter!$F$17,(LEN(TRIM(Mitarbeiter!$E$17))-LEN(SUBSTITUTE(TRIM(Mitarbeiter!$E$17)," ",""))+1))+1)-1)*99+1,99))="-","",TRIM(MID(SUBSTITUTE(TRIM(Mitarbeiter!$E$17)," ",REPT(" ",99)),((MOD(I$5-Mitarbeiter!$F$17,(LEN(TRIM(Mitarbeiter!$E$17))-LEN(SUBSTITUTE(TRIM(Mitarbeiter!$E$17)," ",""))+1))+1)-1)*99+1,99))))</f>
      </c>
      <c r="J18" s="54">
        <f>IF(OR($A18="",J$5="",TRIM(Mitarbeiter!$E$17)="",NOT(ISNUMBER(Mitarbeiter!$F$17))),"",IF(TRIM(MID(SUBSTITUTE(TRIM(Mitarbeiter!$E$17)," ",REPT(" ",99)),((MOD(J$5-Mitarbeiter!$F$17,(LEN(TRIM(Mitarbeiter!$E$17))-LEN(SUBSTITUTE(TRIM(Mitarbeiter!$E$17)," ",""))+1))+1)-1)*99+1,99))="-","",TRIM(MID(SUBSTITUTE(TRIM(Mitarbeiter!$E$17)," ",REPT(" ",99)),((MOD(J$5-Mitarbeiter!$F$17,(LEN(TRIM(Mitarbeiter!$E$17))-LEN(SUBSTITUTE(TRIM(Mitarbeiter!$E$17)," ",""))+1))+1)-1)*99+1,99))))</f>
      </c>
      <c r="K18" s="54">
        <f>IF(OR($A18="",K$5="",TRIM(Mitarbeiter!$E$17)="",NOT(ISNUMBER(Mitarbeiter!$F$17))),"",IF(TRIM(MID(SUBSTITUTE(TRIM(Mitarbeiter!$E$17)," ",REPT(" ",99)),((MOD(K$5-Mitarbeiter!$F$17,(LEN(TRIM(Mitarbeiter!$E$17))-LEN(SUBSTITUTE(TRIM(Mitarbeiter!$E$17)," ",""))+1))+1)-1)*99+1,99))="-","",TRIM(MID(SUBSTITUTE(TRIM(Mitarbeiter!$E$17)," ",REPT(" ",99)),((MOD(K$5-Mitarbeiter!$F$17,(LEN(TRIM(Mitarbeiter!$E$17))-LEN(SUBSTITUTE(TRIM(Mitarbeiter!$E$17)," ",""))+1))+1)-1)*99+1,99))))</f>
      </c>
      <c r="L18" s="54">
        <f>IF(OR($A18="",L$5="",TRIM(Mitarbeiter!$E$17)="",NOT(ISNUMBER(Mitarbeiter!$F$17))),"",IF(TRIM(MID(SUBSTITUTE(TRIM(Mitarbeiter!$E$17)," ",REPT(" ",99)),((MOD(L$5-Mitarbeiter!$F$17,(LEN(TRIM(Mitarbeiter!$E$17))-LEN(SUBSTITUTE(TRIM(Mitarbeiter!$E$17)," ",""))+1))+1)-1)*99+1,99))="-","",TRIM(MID(SUBSTITUTE(TRIM(Mitarbeiter!$E$17)," ",REPT(" ",99)),((MOD(L$5-Mitarbeiter!$F$17,(LEN(TRIM(Mitarbeiter!$E$17))-LEN(SUBSTITUTE(TRIM(Mitarbeiter!$E$17)," ",""))+1))+1)-1)*99+1,99))))</f>
      </c>
      <c r="M18" s="54">
        <f>IF(OR($A18="",M$5="",TRIM(Mitarbeiter!$E$17)="",NOT(ISNUMBER(Mitarbeiter!$F$17))),"",IF(TRIM(MID(SUBSTITUTE(TRIM(Mitarbeiter!$E$17)," ",REPT(" ",99)),((MOD(M$5-Mitarbeiter!$F$17,(LEN(TRIM(Mitarbeiter!$E$17))-LEN(SUBSTITUTE(TRIM(Mitarbeiter!$E$17)," ",""))+1))+1)-1)*99+1,99))="-","",TRIM(MID(SUBSTITUTE(TRIM(Mitarbeiter!$E$17)," ",REPT(" ",99)),((MOD(M$5-Mitarbeiter!$F$17,(LEN(TRIM(Mitarbeiter!$E$17))-LEN(SUBSTITUTE(TRIM(Mitarbeiter!$E$17)," ",""))+1))+1)-1)*99+1,99))))</f>
      </c>
      <c r="N18" s="54">
        <f>IF(OR($A18="",N$5="",TRIM(Mitarbeiter!$E$17)="",NOT(ISNUMBER(Mitarbeiter!$F$17))),"",IF(TRIM(MID(SUBSTITUTE(TRIM(Mitarbeiter!$E$17)," ",REPT(" ",99)),((MOD(N$5-Mitarbeiter!$F$17,(LEN(TRIM(Mitarbeiter!$E$17))-LEN(SUBSTITUTE(TRIM(Mitarbeiter!$E$17)," ",""))+1))+1)-1)*99+1,99))="-","",TRIM(MID(SUBSTITUTE(TRIM(Mitarbeiter!$E$17)," ",REPT(" ",99)),((MOD(N$5-Mitarbeiter!$F$17,(LEN(TRIM(Mitarbeiter!$E$17))-LEN(SUBSTITUTE(TRIM(Mitarbeiter!$E$17)," ",""))+1))+1)-1)*99+1,99))))</f>
      </c>
      <c r="O18" s="54">
        <f>IF(OR($A18="",O$5="",TRIM(Mitarbeiter!$E$17)="",NOT(ISNUMBER(Mitarbeiter!$F$17))),"",IF(TRIM(MID(SUBSTITUTE(TRIM(Mitarbeiter!$E$17)," ",REPT(" ",99)),((MOD(O$5-Mitarbeiter!$F$17,(LEN(TRIM(Mitarbeiter!$E$17))-LEN(SUBSTITUTE(TRIM(Mitarbeiter!$E$17)," ",""))+1))+1)-1)*99+1,99))="-","",TRIM(MID(SUBSTITUTE(TRIM(Mitarbeiter!$E$17)," ",REPT(" ",99)),((MOD(O$5-Mitarbeiter!$F$17,(LEN(TRIM(Mitarbeiter!$E$17))-LEN(SUBSTITUTE(TRIM(Mitarbeiter!$E$17)," ",""))+1))+1)-1)*99+1,99))))</f>
      </c>
      <c r="P18" s="54">
        <f>IF(OR($A18="",P$5="",TRIM(Mitarbeiter!$E$17)="",NOT(ISNUMBER(Mitarbeiter!$F$17))),"",IF(TRIM(MID(SUBSTITUTE(TRIM(Mitarbeiter!$E$17)," ",REPT(" ",99)),((MOD(P$5-Mitarbeiter!$F$17,(LEN(TRIM(Mitarbeiter!$E$17))-LEN(SUBSTITUTE(TRIM(Mitarbeiter!$E$17)," ",""))+1))+1)-1)*99+1,99))="-","",TRIM(MID(SUBSTITUTE(TRIM(Mitarbeiter!$E$17)," ",REPT(" ",99)),((MOD(P$5-Mitarbeiter!$F$17,(LEN(TRIM(Mitarbeiter!$E$17))-LEN(SUBSTITUTE(TRIM(Mitarbeiter!$E$17)," ",""))+1))+1)-1)*99+1,99))))</f>
      </c>
      <c r="Q18" s="54">
        <f>IF(OR($A18="",Q$5="",TRIM(Mitarbeiter!$E$17)="",NOT(ISNUMBER(Mitarbeiter!$F$17))),"",IF(TRIM(MID(SUBSTITUTE(TRIM(Mitarbeiter!$E$17)," ",REPT(" ",99)),((MOD(Q$5-Mitarbeiter!$F$17,(LEN(TRIM(Mitarbeiter!$E$17))-LEN(SUBSTITUTE(TRIM(Mitarbeiter!$E$17)," ",""))+1))+1)-1)*99+1,99))="-","",TRIM(MID(SUBSTITUTE(TRIM(Mitarbeiter!$E$17)," ",REPT(" ",99)),((MOD(Q$5-Mitarbeiter!$F$17,(LEN(TRIM(Mitarbeiter!$E$17))-LEN(SUBSTITUTE(TRIM(Mitarbeiter!$E$17)," ",""))+1))+1)-1)*99+1,99))))</f>
      </c>
      <c r="R18" s="54">
        <f>IF(OR($A18="",R$5="",TRIM(Mitarbeiter!$E$17)="",NOT(ISNUMBER(Mitarbeiter!$F$17))),"",IF(TRIM(MID(SUBSTITUTE(TRIM(Mitarbeiter!$E$17)," ",REPT(" ",99)),((MOD(R$5-Mitarbeiter!$F$17,(LEN(TRIM(Mitarbeiter!$E$17))-LEN(SUBSTITUTE(TRIM(Mitarbeiter!$E$17)," ",""))+1))+1)-1)*99+1,99))="-","",TRIM(MID(SUBSTITUTE(TRIM(Mitarbeiter!$E$17)," ",REPT(" ",99)),((MOD(R$5-Mitarbeiter!$F$17,(LEN(TRIM(Mitarbeiter!$E$17))-LEN(SUBSTITUTE(TRIM(Mitarbeiter!$E$17)," ",""))+1))+1)-1)*99+1,99))))</f>
      </c>
      <c r="S18" s="54">
        <f>IF(OR($A18="",S$5="",TRIM(Mitarbeiter!$E$17)="",NOT(ISNUMBER(Mitarbeiter!$F$17))),"",IF(TRIM(MID(SUBSTITUTE(TRIM(Mitarbeiter!$E$17)," ",REPT(" ",99)),((MOD(S$5-Mitarbeiter!$F$17,(LEN(TRIM(Mitarbeiter!$E$17))-LEN(SUBSTITUTE(TRIM(Mitarbeiter!$E$17)," ",""))+1))+1)-1)*99+1,99))="-","",TRIM(MID(SUBSTITUTE(TRIM(Mitarbeiter!$E$17)," ",REPT(" ",99)),((MOD(S$5-Mitarbeiter!$F$17,(LEN(TRIM(Mitarbeiter!$E$17))-LEN(SUBSTITUTE(TRIM(Mitarbeiter!$E$17)," ",""))+1))+1)-1)*99+1,99))))</f>
      </c>
      <c r="T18" s="54">
        <f>IF(OR($A18="",T$5="",TRIM(Mitarbeiter!$E$17)="",NOT(ISNUMBER(Mitarbeiter!$F$17))),"",IF(TRIM(MID(SUBSTITUTE(TRIM(Mitarbeiter!$E$17)," ",REPT(" ",99)),((MOD(T$5-Mitarbeiter!$F$17,(LEN(TRIM(Mitarbeiter!$E$17))-LEN(SUBSTITUTE(TRIM(Mitarbeiter!$E$17)," ",""))+1))+1)-1)*99+1,99))="-","",TRIM(MID(SUBSTITUTE(TRIM(Mitarbeiter!$E$17)," ",REPT(" ",99)),((MOD(T$5-Mitarbeiter!$F$17,(LEN(TRIM(Mitarbeiter!$E$17))-LEN(SUBSTITUTE(TRIM(Mitarbeiter!$E$17)," ",""))+1))+1)-1)*99+1,99))))</f>
      </c>
      <c r="U18" s="54">
        <f>IF(OR($A18="",U$5="",TRIM(Mitarbeiter!$E$17)="",NOT(ISNUMBER(Mitarbeiter!$F$17))),"",IF(TRIM(MID(SUBSTITUTE(TRIM(Mitarbeiter!$E$17)," ",REPT(" ",99)),((MOD(U$5-Mitarbeiter!$F$17,(LEN(TRIM(Mitarbeiter!$E$17))-LEN(SUBSTITUTE(TRIM(Mitarbeiter!$E$17)," ",""))+1))+1)-1)*99+1,99))="-","",TRIM(MID(SUBSTITUTE(TRIM(Mitarbeiter!$E$17)," ",REPT(" ",99)),((MOD(U$5-Mitarbeiter!$F$17,(LEN(TRIM(Mitarbeiter!$E$17))-LEN(SUBSTITUTE(TRIM(Mitarbeiter!$E$17)," ",""))+1))+1)-1)*99+1,99))))</f>
      </c>
      <c r="V18" s="54">
        <f>IF(OR($A18="",V$5="",TRIM(Mitarbeiter!$E$17)="",NOT(ISNUMBER(Mitarbeiter!$F$17))),"",IF(TRIM(MID(SUBSTITUTE(TRIM(Mitarbeiter!$E$17)," ",REPT(" ",99)),((MOD(V$5-Mitarbeiter!$F$17,(LEN(TRIM(Mitarbeiter!$E$17))-LEN(SUBSTITUTE(TRIM(Mitarbeiter!$E$17)," ",""))+1))+1)-1)*99+1,99))="-","",TRIM(MID(SUBSTITUTE(TRIM(Mitarbeiter!$E$17)," ",REPT(" ",99)),((MOD(V$5-Mitarbeiter!$F$17,(LEN(TRIM(Mitarbeiter!$E$17))-LEN(SUBSTITUTE(TRIM(Mitarbeiter!$E$17)," ",""))+1))+1)-1)*99+1,99))))</f>
      </c>
      <c r="W18" s="54">
        <f>IF(OR($A18="",W$5="",TRIM(Mitarbeiter!$E$17)="",NOT(ISNUMBER(Mitarbeiter!$F$17))),"",IF(TRIM(MID(SUBSTITUTE(TRIM(Mitarbeiter!$E$17)," ",REPT(" ",99)),((MOD(W$5-Mitarbeiter!$F$17,(LEN(TRIM(Mitarbeiter!$E$17))-LEN(SUBSTITUTE(TRIM(Mitarbeiter!$E$17)," ",""))+1))+1)-1)*99+1,99))="-","",TRIM(MID(SUBSTITUTE(TRIM(Mitarbeiter!$E$17)," ",REPT(" ",99)),((MOD(W$5-Mitarbeiter!$F$17,(LEN(TRIM(Mitarbeiter!$E$17))-LEN(SUBSTITUTE(TRIM(Mitarbeiter!$E$17)," ",""))+1))+1)-1)*99+1,99))))</f>
      </c>
      <c r="X18" s="54">
        <f>IF(OR($A18="",X$5="",TRIM(Mitarbeiter!$E$17)="",NOT(ISNUMBER(Mitarbeiter!$F$17))),"",IF(TRIM(MID(SUBSTITUTE(TRIM(Mitarbeiter!$E$17)," ",REPT(" ",99)),((MOD(X$5-Mitarbeiter!$F$17,(LEN(TRIM(Mitarbeiter!$E$17))-LEN(SUBSTITUTE(TRIM(Mitarbeiter!$E$17)," ",""))+1))+1)-1)*99+1,99))="-","",TRIM(MID(SUBSTITUTE(TRIM(Mitarbeiter!$E$17)," ",REPT(" ",99)),((MOD(X$5-Mitarbeiter!$F$17,(LEN(TRIM(Mitarbeiter!$E$17))-LEN(SUBSTITUTE(TRIM(Mitarbeiter!$E$17)," ",""))+1))+1)-1)*99+1,99))))</f>
      </c>
      <c r="Y18" s="54">
        <f>IF(OR($A18="",Y$5="",TRIM(Mitarbeiter!$E$17)="",NOT(ISNUMBER(Mitarbeiter!$F$17))),"",IF(TRIM(MID(SUBSTITUTE(TRIM(Mitarbeiter!$E$17)," ",REPT(" ",99)),((MOD(Y$5-Mitarbeiter!$F$17,(LEN(TRIM(Mitarbeiter!$E$17))-LEN(SUBSTITUTE(TRIM(Mitarbeiter!$E$17)," ",""))+1))+1)-1)*99+1,99))="-","",TRIM(MID(SUBSTITUTE(TRIM(Mitarbeiter!$E$17)," ",REPT(" ",99)),((MOD(Y$5-Mitarbeiter!$F$17,(LEN(TRIM(Mitarbeiter!$E$17))-LEN(SUBSTITUTE(TRIM(Mitarbeiter!$E$17)," ",""))+1))+1)-1)*99+1,99))))</f>
      </c>
      <c r="Z18" s="54">
        <f>IF(OR($A18="",Z$5="",TRIM(Mitarbeiter!$E$17)="",NOT(ISNUMBER(Mitarbeiter!$F$17))),"",IF(TRIM(MID(SUBSTITUTE(TRIM(Mitarbeiter!$E$17)," ",REPT(" ",99)),((MOD(Z$5-Mitarbeiter!$F$17,(LEN(TRIM(Mitarbeiter!$E$17))-LEN(SUBSTITUTE(TRIM(Mitarbeiter!$E$17)," ",""))+1))+1)-1)*99+1,99))="-","",TRIM(MID(SUBSTITUTE(TRIM(Mitarbeiter!$E$17)," ",REPT(" ",99)),((MOD(Z$5-Mitarbeiter!$F$17,(LEN(TRIM(Mitarbeiter!$E$17))-LEN(SUBSTITUTE(TRIM(Mitarbeiter!$E$17)," ",""))+1))+1)-1)*99+1,99))))</f>
      </c>
      <c r="AA18" s="54">
        <f>IF(OR($A18="",AA$5="",TRIM(Mitarbeiter!$E$17)="",NOT(ISNUMBER(Mitarbeiter!$F$17))),"",IF(TRIM(MID(SUBSTITUTE(TRIM(Mitarbeiter!$E$17)," ",REPT(" ",99)),((MOD(AA$5-Mitarbeiter!$F$17,(LEN(TRIM(Mitarbeiter!$E$17))-LEN(SUBSTITUTE(TRIM(Mitarbeiter!$E$17)," ",""))+1))+1)-1)*99+1,99))="-","",TRIM(MID(SUBSTITUTE(TRIM(Mitarbeiter!$E$17)," ",REPT(" ",99)),((MOD(AA$5-Mitarbeiter!$F$17,(LEN(TRIM(Mitarbeiter!$E$17))-LEN(SUBSTITUTE(TRIM(Mitarbeiter!$E$17)," ",""))+1))+1)-1)*99+1,99))))</f>
      </c>
      <c r="AB18" s="54">
        <f>IF(OR($A18="",AB$5="",TRIM(Mitarbeiter!$E$17)="",NOT(ISNUMBER(Mitarbeiter!$F$17))),"",IF(TRIM(MID(SUBSTITUTE(TRIM(Mitarbeiter!$E$17)," ",REPT(" ",99)),((MOD(AB$5-Mitarbeiter!$F$17,(LEN(TRIM(Mitarbeiter!$E$17))-LEN(SUBSTITUTE(TRIM(Mitarbeiter!$E$17)," ",""))+1))+1)-1)*99+1,99))="-","",TRIM(MID(SUBSTITUTE(TRIM(Mitarbeiter!$E$17)," ",REPT(" ",99)),((MOD(AB$5-Mitarbeiter!$F$17,(LEN(TRIM(Mitarbeiter!$E$17))-LEN(SUBSTITUTE(TRIM(Mitarbeiter!$E$17)," ",""))+1))+1)-1)*99+1,99))))</f>
      </c>
      <c r="AC18" s="54">
        <f>IF(OR($A18="",AC$5="",TRIM(Mitarbeiter!$E$17)="",NOT(ISNUMBER(Mitarbeiter!$F$17))),"",IF(TRIM(MID(SUBSTITUTE(TRIM(Mitarbeiter!$E$17)," ",REPT(" ",99)),((MOD(AC$5-Mitarbeiter!$F$17,(LEN(TRIM(Mitarbeiter!$E$17))-LEN(SUBSTITUTE(TRIM(Mitarbeiter!$E$17)," ",""))+1))+1)-1)*99+1,99))="-","",TRIM(MID(SUBSTITUTE(TRIM(Mitarbeiter!$E$17)," ",REPT(" ",99)),((MOD(AC$5-Mitarbeiter!$F$17,(LEN(TRIM(Mitarbeiter!$E$17))-LEN(SUBSTITUTE(TRIM(Mitarbeiter!$E$17)," ",""))+1))+1)-1)*99+1,99))))</f>
      </c>
      <c r="AD18" s="54">
        <f>IF(OR($A18="",AD$5="",TRIM(Mitarbeiter!$E$17)="",NOT(ISNUMBER(Mitarbeiter!$F$17))),"",IF(TRIM(MID(SUBSTITUTE(TRIM(Mitarbeiter!$E$17)," ",REPT(" ",99)),((MOD(AD$5-Mitarbeiter!$F$17,(LEN(TRIM(Mitarbeiter!$E$17))-LEN(SUBSTITUTE(TRIM(Mitarbeiter!$E$17)," ",""))+1))+1)-1)*99+1,99))="-","",TRIM(MID(SUBSTITUTE(TRIM(Mitarbeiter!$E$17)," ",REPT(" ",99)),((MOD(AD$5-Mitarbeiter!$F$17,(LEN(TRIM(Mitarbeiter!$E$17))-LEN(SUBSTITUTE(TRIM(Mitarbeiter!$E$17)," ",""))+1))+1)-1)*99+1,99))))</f>
      </c>
      <c r="AE18" s="54">
        <f>IF(OR($A18="",AE$5="",TRIM(Mitarbeiter!$E$17)="",NOT(ISNUMBER(Mitarbeiter!$F$17))),"",IF(TRIM(MID(SUBSTITUTE(TRIM(Mitarbeiter!$E$17)," ",REPT(" ",99)),((MOD(AE$5-Mitarbeiter!$F$17,(LEN(TRIM(Mitarbeiter!$E$17))-LEN(SUBSTITUTE(TRIM(Mitarbeiter!$E$17)," ",""))+1))+1)-1)*99+1,99))="-","",TRIM(MID(SUBSTITUTE(TRIM(Mitarbeiter!$E$17)," ",REPT(" ",99)),((MOD(AE$5-Mitarbeiter!$F$17,(LEN(TRIM(Mitarbeiter!$E$17))-LEN(SUBSTITUTE(TRIM(Mitarbeiter!$E$17)," ",""))+1))+1)-1)*99+1,99))))</f>
      </c>
      <c r="AF18" s="54">
        <f>IF(OR($A18="",AF$5="",TRIM(Mitarbeiter!$E$17)="",NOT(ISNUMBER(Mitarbeiter!$F$17))),"",IF(TRIM(MID(SUBSTITUTE(TRIM(Mitarbeiter!$E$17)," ",REPT(" ",99)),((MOD(AF$5-Mitarbeiter!$F$17,(LEN(TRIM(Mitarbeiter!$E$17))-LEN(SUBSTITUTE(TRIM(Mitarbeiter!$E$17)," ",""))+1))+1)-1)*99+1,99))="-","",TRIM(MID(SUBSTITUTE(TRIM(Mitarbeiter!$E$17)," ",REPT(" ",99)),((MOD(AF$5-Mitarbeiter!$F$17,(LEN(TRIM(Mitarbeiter!$E$17))-LEN(SUBSTITUTE(TRIM(Mitarbeiter!$E$17)," ",""))+1))+1)-1)*99+1,99))))</f>
      </c>
      <c r="AG18" s="55">
        <f>IF(OR($A18="",TRIM(Mitarbeiter!$E$17)=""),"",IF(NOT(ISNUMBER(Mitarbeiter!$F$17)),"Rhythmus ab: Datum fehlt",IF(COUNTIF(B18:AF18,"?*")-SUMPRODUCT(COUNTIF(B18:AF18,Codes)*(Codes&lt;&gt;"")*Erste)&gt;0,"Rhythmus enthält ein unbekanntes Kürzel","")))</f>
      </c>
    </row>
    <row r="19" spans="1:33" x14ac:dyDescent="0.25">
      <c r="A19" s="49">
        <f>Mitarbeiter!$A$18&amp;""</f>
      </c>
      <c r="B19" s="54">
        <f>IF(OR($A19="",B$5="",TRIM(Mitarbeiter!$E$18)="",NOT(ISNUMBER(Mitarbeiter!$F$18))),"",IF(TRIM(MID(SUBSTITUTE(TRIM(Mitarbeiter!$E$18)," ",REPT(" ",99)),((MOD(B$5-Mitarbeiter!$F$18,(LEN(TRIM(Mitarbeiter!$E$18))-LEN(SUBSTITUTE(TRIM(Mitarbeiter!$E$18)," ",""))+1))+1)-1)*99+1,99))="-","",TRIM(MID(SUBSTITUTE(TRIM(Mitarbeiter!$E$18)," ",REPT(" ",99)),((MOD(B$5-Mitarbeiter!$F$18,(LEN(TRIM(Mitarbeiter!$E$18))-LEN(SUBSTITUTE(TRIM(Mitarbeiter!$E$18)," ",""))+1))+1)-1)*99+1,99))))</f>
      </c>
      <c r="C19" s="54">
        <f>IF(OR($A19="",C$5="",TRIM(Mitarbeiter!$E$18)="",NOT(ISNUMBER(Mitarbeiter!$F$18))),"",IF(TRIM(MID(SUBSTITUTE(TRIM(Mitarbeiter!$E$18)," ",REPT(" ",99)),((MOD(C$5-Mitarbeiter!$F$18,(LEN(TRIM(Mitarbeiter!$E$18))-LEN(SUBSTITUTE(TRIM(Mitarbeiter!$E$18)," ",""))+1))+1)-1)*99+1,99))="-","",TRIM(MID(SUBSTITUTE(TRIM(Mitarbeiter!$E$18)," ",REPT(" ",99)),((MOD(C$5-Mitarbeiter!$F$18,(LEN(TRIM(Mitarbeiter!$E$18))-LEN(SUBSTITUTE(TRIM(Mitarbeiter!$E$18)," ",""))+1))+1)-1)*99+1,99))))</f>
      </c>
      <c r="D19" s="54">
        <f>IF(OR($A19="",D$5="",TRIM(Mitarbeiter!$E$18)="",NOT(ISNUMBER(Mitarbeiter!$F$18))),"",IF(TRIM(MID(SUBSTITUTE(TRIM(Mitarbeiter!$E$18)," ",REPT(" ",99)),((MOD(D$5-Mitarbeiter!$F$18,(LEN(TRIM(Mitarbeiter!$E$18))-LEN(SUBSTITUTE(TRIM(Mitarbeiter!$E$18)," ",""))+1))+1)-1)*99+1,99))="-","",TRIM(MID(SUBSTITUTE(TRIM(Mitarbeiter!$E$18)," ",REPT(" ",99)),((MOD(D$5-Mitarbeiter!$F$18,(LEN(TRIM(Mitarbeiter!$E$18))-LEN(SUBSTITUTE(TRIM(Mitarbeiter!$E$18)," ",""))+1))+1)-1)*99+1,99))))</f>
      </c>
      <c r="E19" s="54">
        <f>IF(OR($A19="",E$5="",TRIM(Mitarbeiter!$E$18)="",NOT(ISNUMBER(Mitarbeiter!$F$18))),"",IF(TRIM(MID(SUBSTITUTE(TRIM(Mitarbeiter!$E$18)," ",REPT(" ",99)),((MOD(E$5-Mitarbeiter!$F$18,(LEN(TRIM(Mitarbeiter!$E$18))-LEN(SUBSTITUTE(TRIM(Mitarbeiter!$E$18)," ",""))+1))+1)-1)*99+1,99))="-","",TRIM(MID(SUBSTITUTE(TRIM(Mitarbeiter!$E$18)," ",REPT(" ",99)),((MOD(E$5-Mitarbeiter!$F$18,(LEN(TRIM(Mitarbeiter!$E$18))-LEN(SUBSTITUTE(TRIM(Mitarbeiter!$E$18)," ",""))+1))+1)-1)*99+1,99))))</f>
      </c>
      <c r="F19" s="54">
        <f>IF(OR($A19="",F$5="",TRIM(Mitarbeiter!$E$18)="",NOT(ISNUMBER(Mitarbeiter!$F$18))),"",IF(TRIM(MID(SUBSTITUTE(TRIM(Mitarbeiter!$E$18)," ",REPT(" ",99)),((MOD(F$5-Mitarbeiter!$F$18,(LEN(TRIM(Mitarbeiter!$E$18))-LEN(SUBSTITUTE(TRIM(Mitarbeiter!$E$18)," ",""))+1))+1)-1)*99+1,99))="-","",TRIM(MID(SUBSTITUTE(TRIM(Mitarbeiter!$E$18)," ",REPT(" ",99)),((MOD(F$5-Mitarbeiter!$F$18,(LEN(TRIM(Mitarbeiter!$E$18))-LEN(SUBSTITUTE(TRIM(Mitarbeiter!$E$18)," ",""))+1))+1)-1)*99+1,99))))</f>
      </c>
      <c r="G19" s="54">
        <f>IF(OR($A19="",G$5="",TRIM(Mitarbeiter!$E$18)="",NOT(ISNUMBER(Mitarbeiter!$F$18))),"",IF(TRIM(MID(SUBSTITUTE(TRIM(Mitarbeiter!$E$18)," ",REPT(" ",99)),((MOD(G$5-Mitarbeiter!$F$18,(LEN(TRIM(Mitarbeiter!$E$18))-LEN(SUBSTITUTE(TRIM(Mitarbeiter!$E$18)," ",""))+1))+1)-1)*99+1,99))="-","",TRIM(MID(SUBSTITUTE(TRIM(Mitarbeiter!$E$18)," ",REPT(" ",99)),((MOD(G$5-Mitarbeiter!$F$18,(LEN(TRIM(Mitarbeiter!$E$18))-LEN(SUBSTITUTE(TRIM(Mitarbeiter!$E$18)," ",""))+1))+1)-1)*99+1,99))))</f>
      </c>
      <c r="H19" s="54">
        <f>IF(OR($A19="",H$5="",TRIM(Mitarbeiter!$E$18)="",NOT(ISNUMBER(Mitarbeiter!$F$18))),"",IF(TRIM(MID(SUBSTITUTE(TRIM(Mitarbeiter!$E$18)," ",REPT(" ",99)),((MOD(H$5-Mitarbeiter!$F$18,(LEN(TRIM(Mitarbeiter!$E$18))-LEN(SUBSTITUTE(TRIM(Mitarbeiter!$E$18)," ",""))+1))+1)-1)*99+1,99))="-","",TRIM(MID(SUBSTITUTE(TRIM(Mitarbeiter!$E$18)," ",REPT(" ",99)),((MOD(H$5-Mitarbeiter!$F$18,(LEN(TRIM(Mitarbeiter!$E$18))-LEN(SUBSTITUTE(TRIM(Mitarbeiter!$E$18)," ",""))+1))+1)-1)*99+1,99))))</f>
      </c>
      <c r="I19" s="54">
        <f>IF(OR($A19="",I$5="",TRIM(Mitarbeiter!$E$18)="",NOT(ISNUMBER(Mitarbeiter!$F$18))),"",IF(TRIM(MID(SUBSTITUTE(TRIM(Mitarbeiter!$E$18)," ",REPT(" ",99)),((MOD(I$5-Mitarbeiter!$F$18,(LEN(TRIM(Mitarbeiter!$E$18))-LEN(SUBSTITUTE(TRIM(Mitarbeiter!$E$18)," ",""))+1))+1)-1)*99+1,99))="-","",TRIM(MID(SUBSTITUTE(TRIM(Mitarbeiter!$E$18)," ",REPT(" ",99)),((MOD(I$5-Mitarbeiter!$F$18,(LEN(TRIM(Mitarbeiter!$E$18))-LEN(SUBSTITUTE(TRIM(Mitarbeiter!$E$18)," ",""))+1))+1)-1)*99+1,99))))</f>
      </c>
      <c r="J19" s="54">
        <f>IF(OR($A19="",J$5="",TRIM(Mitarbeiter!$E$18)="",NOT(ISNUMBER(Mitarbeiter!$F$18))),"",IF(TRIM(MID(SUBSTITUTE(TRIM(Mitarbeiter!$E$18)," ",REPT(" ",99)),((MOD(J$5-Mitarbeiter!$F$18,(LEN(TRIM(Mitarbeiter!$E$18))-LEN(SUBSTITUTE(TRIM(Mitarbeiter!$E$18)," ",""))+1))+1)-1)*99+1,99))="-","",TRIM(MID(SUBSTITUTE(TRIM(Mitarbeiter!$E$18)," ",REPT(" ",99)),((MOD(J$5-Mitarbeiter!$F$18,(LEN(TRIM(Mitarbeiter!$E$18))-LEN(SUBSTITUTE(TRIM(Mitarbeiter!$E$18)," ",""))+1))+1)-1)*99+1,99))))</f>
      </c>
      <c r="K19" s="54">
        <f>IF(OR($A19="",K$5="",TRIM(Mitarbeiter!$E$18)="",NOT(ISNUMBER(Mitarbeiter!$F$18))),"",IF(TRIM(MID(SUBSTITUTE(TRIM(Mitarbeiter!$E$18)," ",REPT(" ",99)),((MOD(K$5-Mitarbeiter!$F$18,(LEN(TRIM(Mitarbeiter!$E$18))-LEN(SUBSTITUTE(TRIM(Mitarbeiter!$E$18)," ",""))+1))+1)-1)*99+1,99))="-","",TRIM(MID(SUBSTITUTE(TRIM(Mitarbeiter!$E$18)," ",REPT(" ",99)),((MOD(K$5-Mitarbeiter!$F$18,(LEN(TRIM(Mitarbeiter!$E$18))-LEN(SUBSTITUTE(TRIM(Mitarbeiter!$E$18)," ",""))+1))+1)-1)*99+1,99))))</f>
      </c>
      <c r="L19" s="54">
        <f>IF(OR($A19="",L$5="",TRIM(Mitarbeiter!$E$18)="",NOT(ISNUMBER(Mitarbeiter!$F$18))),"",IF(TRIM(MID(SUBSTITUTE(TRIM(Mitarbeiter!$E$18)," ",REPT(" ",99)),((MOD(L$5-Mitarbeiter!$F$18,(LEN(TRIM(Mitarbeiter!$E$18))-LEN(SUBSTITUTE(TRIM(Mitarbeiter!$E$18)," ",""))+1))+1)-1)*99+1,99))="-","",TRIM(MID(SUBSTITUTE(TRIM(Mitarbeiter!$E$18)," ",REPT(" ",99)),((MOD(L$5-Mitarbeiter!$F$18,(LEN(TRIM(Mitarbeiter!$E$18))-LEN(SUBSTITUTE(TRIM(Mitarbeiter!$E$18)," ",""))+1))+1)-1)*99+1,99))))</f>
      </c>
      <c r="M19" s="54">
        <f>IF(OR($A19="",M$5="",TRIM(Mitarbeiter!$E$18)="",NOT(ISNUMBER(Mitarbeiter!$F$18))),"",IF(TRIM(MID(SUBSTITUTE(TRIM(Mitarbeiter!$E$18)," ",REPT(" ",99)),((MOD(M$5-Mitarbeiter!$F$18,(LEN(TRIM(Mitarbeiter!$E$18))-LEN(SUBSTITUTE(TRIM(Mitarbeiter!$E$18)," ",""))+1))+1)-1)*99+1,99))="-","",TRIM(MID(SUBSTITUTE(TRIM(Mitarbeiter!$E$18)," ",REPT(" ",99)),((MOD(M$5-Mitarbeiter!$F$18,(LEN(TRIM(Mitarbeiter!$E$18))-LEN(SUBSTITUTE(TRIM(Mitarbeiter!$E$18)," ",""))+1))+1)-1)*99+1,99))))</f>
      </c>
      <c r="N19" s="54">
        <f>IF(OR($A19="",N$5="",TRIM(Mitarbeiter!$E$18)="",NOT(ISNUMBER(Mitarbeiter!$F$18))),"",IF(TRIM(MID(SUBSTITUTE(TRIM(Mitarbeiter!$E$18)," ",REPT(" ",99)),((MOD(N$5-Mitarbeiter!$F$18,(LEN(TRIM(Mitarbeiter!$E$18))-LEN(SUBSTITUTE(TRIM(Mitarbeiter!$E$18)," ",""))+1))+1)-1)*99+1,99))="-","",TRIM(MID(SUBSTITUTE(TRIM(Mitarbeiter!$E$18)," ",REPT(" ",99)),((MOD(N$5-Mitarbeiter!$F$18,(LEN(TRIM(Mitarbeiter!$E$18))-LEN(SUBSTITUTE(TRIM(Mitarbeiter!$E$18)," ",""))+1))+1)-1)*99+1,99))))</f>
      </c>
      <c r="O19" s="54">
        <f>IF(OR($A19="",O$5="",TRIM(Mitarbeiter!$E$18)="",NOT(ISNUMBER(Mitarbeiter!$F$18))),"",IF(TRIM(MID(SUBSTITUTE(TRIM(Mitarbeiter!$E$18)," ",REPT(" ",99)),((MOD(O$5-Mitarbeiter!$F$18,(LEN(TRIM(Mitarbeiter!$E$18))-LEN(SUBSTITUTE(TRIM(Mitarbeiter!$E$18)," ",""))+1))+1)-1)*99+1,99))="-","",TRIM(MID(SUBSTITUTE(TRIM(Mitarbeiter!$E$18)," ",REPT(" ",99)),((MOD(O$5-Mitarbeiter!$F$18,(LEN(TRIM(Mitarbeiter!$E$18))-LEN(SUBSTITUTE(TRIM(Mitarbeiter!$E$18)," ",""))+1))+1)-1)*99+1,99))))</f>
      </c>
      <c r="P19" s="54">
        <f>IF(OR($A19="",P$5="",TRIM(Mitarbeiter!$E$18)="",NOT(ISNUMBER(Mitarbeiter!$F$18))),"",IF(TRIM(MID(SUBSTITUTE(TRIM(Mitarbeiter!$E$18)," ",REPT(" ",99)),((MOD(P$5-Mitarbeiter!$F$18,(LEN(TRIM(Mitarbeiter!$E$18))-LEN(SUBSTITUTE(TRIM(Mitarbeiter!$E$18)," ",""))+1))+1)-1)*99+1,99))="-","",TRIM(MID(SUBSTITUTE(TRIM(Mitarbeiter!$E$18)," ",REPT(" ",99)),((MOD(P$5-Mitarbeiter!$F$18,(LEN(TRIM(Mitarbeiter!$E$18))-LEN(SUBSTITUTE(TRIM(Mitarbeiter!$E$18)," ",""))+1))+1)-1)*99+1,99))))</f>
      </c>
      <c r="Q19" s="54">
        <f>IF(OR($A19="",Q$5="",TRIM(Mitarbeiter!$E$18)="",NOT(ISNUMBER(Mitarbeiter!$F$18))),"",IF(TRIM(MID(SUBSTITUTE(TRIM(Mitarbeiter!$E$18)," ",REPT(" ",99)),((MOD(Q$5-Mitarbeiter!$F$18,(LEN(TRIM(Mitarbeiter!$E$18))-LEN(SUBSTITUTE(TRIM(Mitarbeiter!$E$18)," ",""))+1))+1)-1)*99+1,99))="-","",TRIM(MID(SUBSTITUTE(TRIM(Mitarbeiter!$E$18)," ",REPT(" ",99)),((MOD(Q$5-Mitarbeiter!$F$18,(LEN(TRIM(Mitarbeiter!$E$18))-LEN(SUBSTITUTE(TRIM(Mitarbeiter!$E$18)," ",""))+1))+1)-1)*99+1,99))))</f>
      </c>
      <c r="R19" s="54">
        <f>IF(OR($A19="",R$5="",TRIM(Mitarbeiter!$E$18)="",NOT(ISNUMBER(Mitarbeiter!$F$18))),"",IF(TRIM(MID(SUBSTITUTE(TRIM(Mitarbeiter!$E$18)," ",REPT(" ",99)),((MOD(R$5-Mitarbeiter!$F$18,(LEN(TRIM(Mitarbeiter!$E$18))-LEN(SUBSTITUTE(TRIM(Mitarbeiter!$E$18)," ",""))+1))+1)-1)*99+1,99))="-","",TRIM(MID(SUBSTITUTE(TRIM(Mitarbeiter!$E$18)," ",REPT(" ",99)),((MOD(R$5-Mitarbeiter!$F$18,(LEN(TRIM(Mitarbeiter!$E$18))-LEN(SUBSTITUTE(TRIM(Mitarbeiter!$E$18)," ",""))+1))+1)-1)*99+1,99))))</f>
      </c>
      <c r="S19" s="54">
        <f>IF(OR($A19="",S$5="",TRIM(Mitarbeiter!$E$18)="",NOT(ISNUMBER(Mitarbeiter!$F$18))),"",IF(TRIM(MID(SUBSTITUTE(TRIM(Mitarbeiter!$E$18)," ",REPT(" ",99)),((MOD(S$5-Mitarbeiter!$F$18,(LEN(TRIM(Mitarbeiter!$E$18))-LEN(SUBSTITUTE(TRIM(Mitarbeiter!$E$18)," ",""))+1))+1)-1)*99+1,99))="-","",TRIM(MID(SUBSTITUTE(TRIM(Mitarbeiter!$E$18)," ",REPT(" ",99)),((MOD(S$5-Mitarbeiter!$F$18,(LEN(TRIM(Mitarbeiter!$E$18))-LEN(SUBSTITUTE(TRIM(Mitarbeiter!$E$18)," ",""))+1))+1)-1)*99+1,99))))</f>
      </c>
      <c r="T19" s="54">
        <f>IF(OR($A19="",T$5="",TRIM(Mitarbeiter!$E$18)="",NOT(ISNUMBER(Mitarbeiter!$F$18))),"",IF(TRIM(MID(SUBSTITUTE(TRIM(Mitarbeiter!$E$18)," ",REPT(" ",99)),((MOD(T$5-Mitarbeiter!$F$18,(LEN(TRIM(Mitarbeiter!$E$18))-LEN(SUBSTITUTE(TRIM(Mitarbeiter!$E$18)," ",""))+1))+1)-1)*99+1,99))="-","",TRIM(MID(SUBSTITUTE(TRIM(Mitarbeiter!$E$18)," ",REPT(" ",99)),((MOD(T$5-Mitarbeiter!$F$18,(LEN(TRIM(Mitarbeiter!$E$18))-LEN(SUBSTITUTE(TRIM(Mitarbeiter!$E$18)," ",""))+1))+1)-1)*99+1,99))))</f>
      </c>
      <c r="U19" s="54">
        <f>IF(OR($A19="",U$5="",TRIM(Mitarbeiter!$E$18)="",NOT(ISNUMBER(Mitarbeiter!$F$18))),"",IF(TRIM(MID(SUBSTITUTE(TRIM(Mitarbeiter!$E$18)," ",REPT(" ",99)),((MOD(U$5-Mitarbeiter!$F$18,(LEN(TRIM(Mitarbeiter!$E$18))-LEN(SUBSTITUTE(TRIM(Mitarbeiter!$E$18)," ",""))+1))+1)-1)*99+1,99))="-","",TRIM(MID(SUBSTITUTE(TRIM(Mitarbeiter!$E$18)," ",REPT(" ",99)),((MOD(U$5-Mitarbeiter!$F$18,(LEN(TRIM(Mitarbeiter!$E$18))-LEN(SUBSTITUTE(TRIM(Mitarbeiter!$E$18)," ",""))+1))+1)-1)*99+1,99))))</f>
      </c>
      <c r="V19" s="54">
        <f>IF(OR($A19="",V$5="",TRIM(Mitarbeiter!$E$18)="",NOT(ISNUMBER(Mitarbeiter!$F$18))),"",IF(TRIM(MID(SUBSTITUTE(TRIM(Mitarbeiter!$E$18)," ",REPT(" ",99)),((MOD(V$5-Mitarbeiter!$F$18,(LEN(TRIM(Mitarbeiter!$E$18))-LEN(SUBSTITUTE(TRIM(Mitarbeiter!$E$18)," ",""))+1))+1)-1)*99+1,99))="-","",TRIM(MID(SUBSTITUTE(TRIM(Mitarbeiter!$E$18)," ",REPT(" ",99)),((MOD(V$5-Mitarbeiter!$F$18,(LEN(TRIM(Mitarbeiter!$E$18))-LEN(SUBSTITUTE(TRIM(Mitarbeiter!$E$18)," ",""))+1))+1)-1)*99+1,99))))</f>
      </c>
      <c r="W19" s="54">
        <f>IF(OR($A19="",W$5="",TRIM(Mitarbeiter!$E$18)="",NOT(ISNUMBER(Mitarbeiter!$F$18))),"",IF(TRIM(MID(SUBSTITUTE(TRIM(Mitarbeiter!$E$18)," ",REPT(" ",99)),((MOD(W$5-Mitarbeiter!$F$18,(LEN(TRIM(Mitarbeiter!$E$18))-LEN(SUBSTITUTE(TRIM(Mitarbeiter!$E$18)," ",""))+1))+1)-1)*99+1,99))="-","",TRIM(MID(SUBSTITUTE(TRIM(Mitarbeiter!$E$18)," ",REPT(" ",99)),((MOD(W$5-Mitarbeiter!$F$18,(LEN(TRIM(Mitarbeiter!$E$18))-LEN(SUBSTITUTE(TRIM(Mitarbeiter!$E$18)," ",""))+1))+1)-1)*99+1,99))))</f>
      </c>
      <c r="X19" s="54">
        <f>IF(OR($A19="",X$5="",TRIM(Mitarbeiter!$E$18)="",NOT(ISNUMBER(Mitarbeiter!$F$18))),"",IF(TRIM(MID(SUBSTITUTE(TRIM(Mitarbeiter!$E$18)," ",REPT(" ",99)),((MOD(X$5-Mitarbeiter!$F$18,(LEN(TRIM(Mitarbeiter!$E$18))-LEN(SUBSTITUTE(TRIM(Mitarbeiter!$E$18)," ",""))+1))+1)-1)*99+1,99))="-","",TRIM(MID(SUBSTITUTE(TRIM(Mitarbeiter!$E$18)," ",REPT(" ",99)),((MOD(X$5-Mitarbeiter!$F$18,(LEN(TRIM(Mitarbeiter!$E$18))-LEN(SUBSTITUTE(TRIM(Mitarbeiter!$E$18)," ",""))+1))+1)-1)*99+1,99))))</f>
      </c>
      <c r="Y19" s="54">
        <f>IF(OR($A19="",Y$5="",TRIM(Mitarbeiter!$E$18)="",NOT(ISNUMBER(Mitarbeiter!$F$18))),"",IF(TRIM(MID(SUBSTITUTE(TRIM(Mitarbeiter!$E$18)," ",REPT(" ",99)),((MOD(Y$5-Mitarbeiter!$F$18,(LEN(TRIM(Mitarbeiter!$E$18))-LEN(SUBSTITUTE(TRIM(Mitarbeiter!$E$18)," ",""))+1))+1)-1)*99+1,99))="-","",TRIM(MID(SUBSTITUTE(TRIM(Mitarbeiter!$E$18)," ",REPT(" ",99)),((MOD(Y$5-Mitarbeiter!$F$18,(LEN(TRIM(Mitarbeiter!$E$18))-LEN(SUBSTITUTE(TRIM(Mitarbeiter!$E$18)," ",""))+1))+1)-1)*99+1,99))))</f>
      </c>
      <c r="Z19" s="54">
        <f>IF(OR($A19="",Z$5="",TRIM(Mitarbeiter!$E$18)="",NOT(ISNUMBER(Mitarbeiter!$F$18))),"",IF(TRIM(MID(SUBSTITUTE(TRIM(Mitarbeiter!$E$18)," ",REPT(" ",99)),((MOD(Z$5-Mitarbeiter!$F$18,(LEN(TRIM(Mitarbeiter!$E$18))-LEN(SUBSTITUTE(TRIM(Mitarbeiter!$E$18)," ",""))+1))+1)-1)*99+1,99))="-","",TRIM(MID(SUBSTITUTE(TRIM(Mitarbeiter!$E$18)," ",REPT(" ",99)),((MOD(Z$5-Mitarbeiter!$F$18,(LEN(TRIM(Mitarbeiter!$E$18))-LEN(SUBSTITUTE(TRIM(Mitarbeiter!$E$18)," ",""))+1))+1)-1)*99+1,99))))</f>
      </c>
      <c r="AA19" s="54">
        <f>IF(OR($A19="",AA$5="",TRIM(Mitarbeiter!$E$18)="",NOT(ISNUMBER(Mitarbeiter!$F$18))),"",IF(TRIM(MID(SUBSTITUTE(TRIM(Mitarbeiter!$E$18)," ",REPT(" ",99)),((MOD(AA$5-Mitarbeiter!$F$18,(LEN(TRIM(Mitarbeiter!$E$18))-LEN(SUBSTITUTE(TRIM(Mitarbeiter!$E$18)," ",""))+1))+1)-1)*99+1,99))="-","",TRIM(MID(SUBSTITUTE(TRIM(Mitarbeiter!$E$18)," ",REPT(" ",99)),((MOD(AA$5-Mitarbeiter!$F$18,(LEN(TRIM(Mitarbeiter!$E$18))-LEN(SUBSTITUTE(TRIM(Mitarbeiter!$E$18)," ",""))+1))+1)-1)*99+1,99))))</f>
      </c>
      <c r="AB19" s="54">
        <f>IF(OR($A19="",AB$5="",TRIM(Mitarbeiter!$E$18)="",NOT(ISNUMBER(Mitarbeiter!$F$18))),"",IF(TRIM(MID(SUBSTITUTE(TRIM(Mitarbeiter!$E$18)," ",REPT(" ",99)),((MOD(AB$5-Mitarbeiter!$F$18,(LEN(TRIM(Mitarbeiter!$E$18))-LEN(SUBSTITUTE(TRIM(Mitarbeiter!$E$18)," ",""))+1))+1)-1)*99+1,99))="-","",TRIM(MID(SUBSTITUTE(TRIM(Mitarbeiter!$E$18)," ",REPT(" ",99)),((MOD(AB$5-Mitarbeiter!$F$18,(LEN(TRIM(Mitarbeiter!$E$18))-LEN(SUBSTITUTE(TRIM(Mitarbeiter!$E$18)," ",""))+1))+1)-1)*99+1,99))))</f>
      </c>
      <c r="AC19" s="54">
        <f>IF(OR($A19="",AC$5="",TRIM(Mitarbeiter!$E$18)="",NOT(ISNUMBER(Mitarbeiter!$F$18))),"",IF(TRIM(MID(SUBSTITUTE(TRIM(Mitarbeiter!$E$18)," ",REPT(" ",99)),((MOD(AC$5-Mitarbeiter!$F$18,(LEN(TRIM(Mitarbeiter!$E$18))-LEN(SUBSTITUTE(TRIM(Mitarbeiter!$E$18)," ",""))+1))+1)-1)*99+1,99))="-","",TRIM(MID(SUBSTITUTE(TRIM(Mitarbeiter!$E$18)," ",REPT(" ",99)),((MOD(AC$5-Mitarbeiter!$F$18,(LEN(TRIM(Mitarbeiter!$E$18))-LEN(SUBSTITUTE(TRIM(Mitarbeiter!$E$18)," ",""))+1))+1)-1)*99+1,99))))</f>
      </c>
      <c r="AD19" s="54">
        <f>IF(OR($A19="",AD$5="",TRIM(Mitarbeiter!$E$18)="",NOT(ISNUMBER(Mitarbeiter!$F$18))),"",IF(TRIM(MID(SUBSTITUTE(TRIM(Mitarbeiter!$E$18)," ",REPT(" ",99)),((MOD(AD$5-Mitarbeiter!$F$18,(LEN(TRIM(Mitarbeiter!$E$18))-LEN(SUBSTITUTE(TRIM(Mitarbeiter!$E$18)," ",""))+1))+1)-1)*99+1,99))="-","",TRIM(MID(SUBSTITUTE(TRIM(Mitarbeiter!$E$18)," ",REPT(" ",99)),((MOD(AD$5-Mitarbeiter!$F$18,(LEN(TRIM(Mitarbeiter!$E$18))-LEN(SUBSTITUTE(TRIM(Mitarbeiter!$E$18)," ",""))+1))+1)-1)*99+1,99))))</f>
      </c>
      <c r="AE19" s="54">
        <f>IF(OR($A19="",AE$5="",TRIM(Mitarbeiter!$E$18)="",NOT(ISNUMBER(Mitarbeiter!$F$18))),"",IF(TRIM(MID(SUBSTITUTE(TRIM(Mitarbeiter!$E$18)," ",REPT(" ",99)),((MOD(AE$5-Mitarbeiter!$F$18,(LEN(TRIM(Mitarbeiter!$E$18))-LEN(SUBSTITUTE(TRIM(Mitarbeiter!$E$18)," ",""))+1))+1)-1)*99+1,99))="-","",TRIM(MID(SUBSTITUTE(TRIM(Mitarbeiter!$E$18)," ",REPT(" ",99)),((MOD(AE$5-Mitarbeiter!$F$18,(LEN(TRIM(Mitarbeiter!$E$18))-LEN(SUBSTITUTE(TRIM(Mitarbeiter!$E$18)," ",""))+1))+1)-1)*99+1,99))))</f>
      </c>
      <c r="AF19" s="54">
        <f>IF(OR($A19="",AF$5="",TRIM(Mitarbeiter!$E$18)="",NOT(ISNUMBER(Mitarbeiter!$F$18))),"",IF(TRIM(MID(SUBSTITUTE(TRIM(Mitarbeiter!$E$18)," ",REPT(" ",99)),((MOD(AF$5-Mitarbeiter!$F$18,(LEN(TRIM(Mitarbeiter!$E$18))-LEN(SUBSTITUTE(TRIM(Mitarbeiter!$E$18)," ",""))+1))+1)-1)*99+1,99))="-","",TRIM(MID(SUBSTITUTE(TRIM(Mitarbeiter!$E$18)," ",REPT(" ",99)),((MOD(AF$5-Mitarbeiter!$F$18,(LEN(TRIM(Mitarbeiter!$E$18))-LEN(SUBSTITUTE(TRIM(Mitarbeiter!$E$18)," ",""))+1))+1)-1)*99+1,99))))</f>
      </c>
      <c r="AG19" s="55">
        <f>IF(OR($A19="",TRIM(Mitarbeiter!$E$18)=""),"",IF(NOT(ISNUMBER(Mitarbeiter!$F$18)),"Rhythmus ab: Datum fehlt",IF(COUNTIF(B19:AF19,"?*")-SUMPRODUCT(COUNTIF(B19:AF19,Codes)*(Codes&lt;&gt;"")*Erste)&gt;0,"Rhythmus enthält ein unbekanntes Kürzel","")))</f>
      </c>
    </row>
    <row r="20" spans="1:33" x14ac:dyDescent="0.25">
      <c r="A20" s="49">
        <f>Mitarbeiter!$A$19&amp;""</f>
      </c>
      <c r="B20" s="54">
        <f>IF(OR($A20="",B$5="",TRIM(Mitarbeiter!$E$19)="",NOT(ISNUMBER(Mitarbeiter!$F$19))),"",IF(TRIM(MID(SUBSTITUTE(TRIM(Mitarbeiter!$E$19)," ",REPT(" ",99)),((MOD(B$5-Mitarbeiter!$F$19,(LEN(TRIM(Mitarbeiter!$E$19))-LEN(SUBSTITUTE(TRIM(Mitarbeiter!$E$19)," ",""))+1))+1)-1)*99+1,99))="-","",TRIM(MID(SUBSTITUTE(TRIM(Mitarbeiter!$E$19)," ",REPT(" ",99)),((MOD(B$5-Mitarbeiter!$F$19,(LEN(TRIM(Mitarbeiter!$E$19))-LEN(SUBSTITUTE(TRIM(Mitarbeiter!$E$19)," ",""))+1))+1)-1)*99+1,99))))</f>
      </c>
      <c r="C20" s="54">
        <f>IF(OR($A20="",C$5="",TRIM(Mitarbeiter!$E$19)="",NOT(ISNUMBER(Mitarbeiter!$F$19))),"",IF(TRIM(MID(SUBSTITUTE(TRIM(Mitarbeiter!$E$19)," ",REPT(" ",99)),((MOD(C$5-Mitarbeiter!$F$19,(LEN(TRIM(Mitarbeiter!$E$19))-LEN(SUBSTITUTE(TRIM(Mitarbeiter!$E$19)," ",""))+1))+1)-1)*99+1,99))="-","",TRIM(MID(SUBSTITUTE(TRIM(Mitarbeiter!$E$19)," ",REPT(" ",99)),((MOD(C$5-Mitarbeiter!$F$19,(LEN(TRIM(Mitarbeiter!$E$19))-LEN(SUBSTITUTE(TRIM(Mitarbeiter!$E$19)," ",""))+1))+1)-1)*99+1,99))))</f>
      </c>
      <c r="D20" s="54">
        <f>IF(OR($A20="",D$5="",TRIM(Mitarbeiter!$E$19)="",NOT(ISNUMBER(Mitarbeiter!$F$19))),"",IF(TRIM(MID(SUBSTITUTE(TRIM(Mitarbeiter!$E$19)," ",REPT(" ",99)),((MOD(D$5-Mitarbeiter!$F$19,(LEN(TRIM(Mitarbeiter!$E$19))-LEN(SUBSTITUTE(TRIM(Mitarbeiter!$E$19)," ",""))+1))+1)-1)*99+1,99))="-","",TRIM(MID(SUBSTITUTE(TRIM(Mitarbeiter!$E$19)," ",REPT(" ",99)),((MOD(D$5-Mitarbeiter!$F$19,(LEN(TRIM(Mitarbeiter!$E$19))-LEN(SUBSTITUTE(TRIM(Mitarbeiter!$E$19)," ",""))+1))+1)-1)*99+1,99))))</f>
      </c>
      <c r="E20" s="54">
        <f>IF(OR($A20="",E$5="",TRIM(Mitarbeiter!$E$19)="",NOT(ISNUMBER(Mitarbeiter!$F$19))),"",IF(TRIM(MID(SUBSTITUTE(TRIM(Mitarbeiter!$E$19)," ",REPT(" ",99)),((MOD(E$5-Mitarbeiter!$F$19,(LEN(TRIM(Mitarbeiter!$E$19))-LEN(SUBSTITUTE(TRIM(Mitarbeiter!$E$19)," ",""))+1))+1)-1)*99+1,99))="-","",TRIM(MID(SUBSTITUTE(TRIM(Mitarbeiter!$E$19)," ",REPT(" ",99)),((MOD(E$5-Mitarbeiter!$F$19,(LEN(TRIM(Mitarbeiter!$E$19))-LEN(SUBSTITUTE(TRIM(Mitarbeiter!$E$19)," ",""))+1))+1)-1)*99+1,99))))</f>
      </c>
      <c r="F20" s="54">
        <f>IF(OR($A20="",F$5="",TRIM(Mitarbeiter!$E$19)="",NOT(ISNUMBER(Mitarbeiter!$F$19))),"",IF(TRIM(MID(SUBSTITUTE(TRIM(Mitarbeiter!$E$19)," ",REPT(" ",99)),((MOD(F$5-Mitarbeiter!$F$19,(LEN(TRIM(Mitarbeiter!$E$19))-LEN(SUBSTITUTE(TRIM(Mitarbeiter!$E$19)," ",""))+1))+1)-1)*99+1,99))="-","",TRIM(MID(SUBSTITUTE(TRIM(Mitarbeiter!$E$19)," ",REPT(" ",99)),((MOD(F$5-Mitarbeiter!$F$19,(LEN(TRIM(Mitarbeiter!$E$19))-LEN(SUBSTITUTE(TRIM(Mitarbeiter!$E$19)," ",""))+1))+1)-1)*99+1,99))))</f>
      </c>
      <c r="G20" s="54">
        <f>IF(OR($A20="",G$5="",TRIM(Mitarbeiter!$E$19)="",NOT(ISNUMBER(Mitarbeiter!$F$19))),"",IF(TRIM(MID(SUBSTITUTE(TRIM(Mitarbeiter!$E$19)," ",REPT(" ",99)),((MOD(G$5-Mitarbeiter!$F$19,(LEN(TRIM(Mitarbeiter!$E$19))-LEN(SUBSTITUTE(TRIM(Mitarbeiter!$E$19)," ",""))+1))+1)-1)*99+1,99))="-","",TRIM(MID(SUBSTITUTE(TRIM(Mitarbeiter!$E$19)," ",REPT(" ",99)),((MOD(G$5-Mitarbeiter!$F$19,(LEN(TRIM(Mitarbeiter!$E$19))-LEN(SUBSTITUTE(TRIM(Mitarbeiter!$E$19)," ",""))+1))+1)-1)*99+1,99))))</f>
      </c>
      <c r="H20" s="54">
        <f>IF(OR($A20="",H$5="",TRIM(Mitarbeiter!$E$19)="",NOT(ISNUMBER(Mitarbeiter!$F$19))),"",IF(TRIM(MID(SUBSTITUTE(TRIM(Mitarbeiter!$E$19)," ",REPT(" ",99)),((MOD(H$5-Mitarbeiter!$F$19,(LEN(TRIM(Mitarbeiter!$E$19))-LEN(SUBSTITUTE(TRIM(Mitarbeiter!$E$19)," ",""))+1))+1)-1)*99+1,99))="-","",TRIM(MID(SUBSTITUTE(TRIM(Mitarbeiter!$E$19)," ",REPT(" ",99)),((MOD(H$5-Mitarbeiter!$F$19,(LEN(TRIM(Mitarbeiter!$E$19))-LEN(SUBSTITUTE(TRIM(Mitarbeiter!$E$19)," ",""))+1))+1)-1)*99+1,99))))</f>
      </c>
      <c r="I20" s="54">
        <f>IF(OR($A20="",I$5="",TRIM(Mitarbeiter!$E$19)="",NOT(ISNUMBER(Mitarbeiter!$F$19))),"",IF(TRIM(MID(SUBSTITUTE(TRIM(Mitarbeiter!$E$19)," ",REPT(" ",99)),((MOD(I$5-Mitarbeiter!$F$19,(LEN(TRIM(Mitarbeiter!$E$19))-LEN(SUBSTITUTE(TRIM(Mitarbeiter!$E$19)," ",""))+1))+1)-1)*99+1,99))="-","",TRIM(MID(SUBSTITUTE(TRIM(Mitarbeiter!$E$19)," ",REPT(" ",99)),((MOD(I$5-Mitarbeiter!$F$19,(LEN(TRIM(Mitarbeiter!$E$19))-LEN(SUBSTITUTE(TRIM(Mitarbeiter!$E$19)," ",""))+1))+1)-1)*99+1,99))))</f>
      </c>
      <c r="J20" s="54">
        <f>IF(OR($A20="",J$5="",TRIM(Mitarbeiter!$E$19)="",NOT(ISNUMBER(Mitarbeiter!$F$19))),"",IF(TRIM(MID(SUBSTITUTE(TRIM(Mitarbeiter!$E$19)," ",REPT(" ",99)),((MOD(J$5-Mitarbeiter!$F$19,(LEN(TRIM(Mitarbeiter!$E$19))-LEN(SUBSTITUTE(TRIM(Mitarbeiter!$E$19)," ",""))+1))+1)-1)*99+1,99))="-","",TRIM(MID(SUBSTITUTE(TRIM(Mitarbeiter!$E$19)," ",REPT(" ",99)),((MOD(J$5-Mitarbeiter!$F$19,(LEN(TRIM(Mitarbeiter!$E$19))-LEN(SUBSTITUTE(TRIM(Mitarbeiter!$E$19)," ",""))+1))+1)-1)*99+1,99))))</f>
      </c>
      <c r="K20" s="54">
        <f>IF(OR($A20="",K$5="",TRIM(Mitarbeiter!$E$19)="",NOT(ISNUMBER(Mitarbeiter!$F$19))),"",IF(TRIM(MID(SUBSTITUTE(TRIM(Mitarbeiter!$E$19)," ",REPT(" ",99)),((MOD(K$5-Mitarbeiter!$F$19,(LEN(TRIM(Mitarbeiter!$E$19))-LEN(SUBSTITUTE(TRIM(Mitarbeiter!$E$19)," ",""))+1))+1)-1)*99+1,99))="-","",TRIM(MID(SUBSTITUTE(TRIM(Mitarbeiter!$E$19)," ",REPT(" ",99)),((MOD(K$5-Mitarbeiter!$F$19,(LEN(TRIM(Mitarbeiter!$E$19))-LEN(SUBSTITUTE(TRIM(Mitarbeiter!$E$19)," ",""))+1))+1)-1)*99+1,99))))</f>
      </c>
      <c r="L20" s="54">
        <f>IF(OR($A20="",L$5="",TRIM(Mitarbeiter!$E$19)="",NOT(ISNUMBER(Mitarbeiter!$F$19))),"",IF(TRIM(MID(SUBSTITUTE(TRIM(Mitarbeiter!$E$19)," ",REPT(" ",99)),((MOD(L$5-Mitarbeiter!$F$19,(LEN(TRIM(Mitarbeiter!$E$19))-LEN(SUBSTITUTE(TRIM(Mitarbeiter!$E$19)," ",""))+1))+1)-1)*99+1,99))="-","",TRIM(MID(SUBSTITUTE(TRIM(Mitarbeiter!$E$19)," ",REPT(" ",99)),((MOD(L$5-Mitarbeiter!$F$19,(LEN(TRIM(Mitarbeiter!$E$19))-LEN(SUBSTITUTE(TRIM(Mitarbeiter!$E$19)," ",""))+1))+1)-1)*99+1,99))))</f>
      </c>
      <c r="M20" s="54">
        <f>IF(OR($A20="",M$5="",TRIM(Mitarbeiter!$E$19)="",NOT(ISNUMBER(Mitarbeiter!$F$19))),"",IF(TRIM(MID(SUBSTITUTE(TRIM(Mitarbeiter!$E$19)," ",REPT(" ",99)),((MOD(M$5-Mitarbeiter!$F$19,(LEN(TRIM(Mitarbeiter!$E$19))-LEN(SUBSTITUTE(TRIM(Mitarbeiter!$E$19)," ",""))+1))+1)-1)*99+1,99))="-","",TRIM(MID(SUBSTITUTE(TRIM(Mitarbeiter!$E$19)," ",REPT(" ",99)),((MOD(M$5-Mitarbeiter!$F$19,(LEN(TRIM(Mitarbeiter!$E$19))-LEN(SUBSTITUTE(TRIM(Mitarbeiter!$E$19)," ",""))+1))+1)-1)*99+1,99))))</f>
      </c>
      <c r="N20" s="54">
        <f>IF(OR($A20="",N$5="",TRIM(Mitarbeiter!$E$19)="",NOT(ISNUMBER(Mitarbeiter!$F$19))),"",IF(TRIM(MID(SUBSTITUTE(TRIM(Mitarbeiter!$E$19)," ",REPT(" ",99)),((MOD(N$5-Mitarbeiter!$F$19,(LEN(TRIM(Mitarbeiter!$E$19))-LEN(SUBSTITUTE(TRIM(Mitarbeiter!$E$19)," ",""))+1))+1)-1)*99+1,99))="-","",TRIM(MID(SUBSTITUTE(TRIM(Mitarbeiter!$E$19)," ",REPT(" ",99)),((MOD(N$5-Mitarbeiter!$F$19,(LEN(TRIM(Mitarbeiter!$E$19))-LEN(SUBSTITUTE(TRIM(Mitarbeiter!$E$19)," ",""))+1))+1)-1)*99+1,99))))</f>
      </c>
      <c r="O20" s="54">
        <f>IF(OR($A20="",O$5="",TRIM(Mitarbeiter!$E$19)="",NOT(ISNUMBER(Mitarbeiter!$F$19))),"",IF(TRIM(MID(SUBSTITUTE(TRIM(Mitarbeiter!$E$19)," ",REPT(" ",99)),((MOD(O$5-Mitarbeiter!$F$19,(LEN(TRIM(Mitarbeiter!$E$19))-LEN(SUBSTITUTE(TRIM(Mitarbeiter!$E$19)," ",""))+1))+1)-1)*99+1,99))="-","",TRIM(MID(SUBSTITUTE(TRIM(Mitarbeiter!$E$19)," ",REPT(" ",99)),((MOD(O$5-Mitarbeiter!$F$19,(LEN(TRIM(Mitarbeiter!$E$19))-LEN(SUBSTITUTE(TRIM(Mitarbeiter!$E$19)," ",""))+1))+1)-1)*99+1,99))))</f>
      </c>
      <c r="P20" s="54">
        <f>IF(OR($A20="",P$5="",TRIM(Mitarbeiter!$E$19)="",NOT(ISNUMBER(Mitarbeiter!$F$19))),"",IF(TRIM(MID(SUBSTITUTE(TRIM(Mitarbeiter!$E$19)," ",REPT(" ",99)),((MOD(P$5-Mitarbeiter!$F$19,(LEN(TRIM(Mitarbeiter!$E$19))-LEN(SUBSTITUTE(TRIM(Mitarbeiter!$E$19)," ",""))+1))+1)-1)*99+1,99))="-","",TRIM(MID(SUBSTITUTE(TRIM(Mitarbeiter!$E$19)," ",REPT(" ",99)),((MOD(P$5-Mitarbeiter!$F$19,(LEN(TRIM(Mitarbeiter!$E$19))-LEN(SUBSTITUTE(TRIM(Mitarbeiter!$E$19)," ",""))+1))+1)-1)*99+1,99))))</f>
      </c>
      <c r="Q20" s="54">
        <f>IF(OR($A20="",Q$5="",TRIM(Mitarbeiter!$E$19)="",NOT(ISNUMBER(Mitarbeiter!$F$19))),"",IF(TRIM(MID(SUBSTITUTE(TRIM(Mitarbeiter!$E$19)," ",REPT(" ",99)),((MOD(Q$5-Mitarbeiter!$F$19,(LEN(TRIM(Mitarbeiter!$E$19))-LEN(SUBSTITUTE(TRIM(Mitarbeiter!$E$19)," ",""))+1))+1)-1)*99+1,99))="-","",TRIM(MID(SUBSTITUTE(TRIM(Mitarbeiter!$E$19)," ",REPT(" ",99)),((MOD(Q$5-Mitarbeiter!$F$19,(LEN(TRIM(Mitarbeiter!$E$19))-LEN(SUBSTITUTE(TRIM(Mitarbeiter!$E$19)," ",""))+1))+1)-1)*99+1,99))))</f>
      </c>
      <c r="R20" s="54">
        <f>IF(OR($A20="",R$5="",TRIM(Mitarbeiter!$E$19)="",NOT(ISNUMBER(Mitarbeiter!$F$19))),"",IF(TRIM(MID(SUBSTITUTE(TRIM(Mitarbeiter!$E$19)," ",REPT(" ",99)),((MOD(R$5-Mitarbeiter!$F$19,(LEN(TRIM(Mitarbeiter!$E$19))-LEN(SUBSTITUTE(TRIM(Mitarbeiter!$E$19)," ",""))+1))+1)-1)*99+1,99))="-","",TRIM(MID(SUBSTITUTE(TRIM(Mitarbeiter!$E$19)," ",REPT(" ",99)),((MOD(R$5-Mitarbeiter!$F$19,(LEN(TRIM(Mitarbeiter!$E$19))-LEN(SUBSTITUTE(TRIM(Mitarbeiter!$E$19)," ",""))+1))+1)-1)*99+1,99))))</f>
      </c>
      <c r="S20" s="54">
        <f>IF(OR($A20="",S$5="",TRIM(Mitarbeiter!$E$19)="",NOT(ISNUMBER(Mitarbeiter!$F$19))),"",IF(TRIM(MID(SUBSTITUTE(TRIM(Mitarbeiter!$E$19)," ",REPT(" ",99)),((MOD(S$5-Mitarbeiter!$F$19,(LEN(TRIM(Mitarbeiter!$E$19))-LEN(SUBSTITUTE(TRIM(Mitarbeiter!$E$19)," ",""))+1))+1)-1)*99+1,99))="-","",TRIM(MID(SUBSTITUTE(TRIM(Mitarbeiter!$E$19)," ",REPT(" ",99)),((MOD(S$5-Mitarbeiter!$F$19,(LEN(TRIM(Mitarbeiter!$E$19))-LEN(SUBSTITUTE(TRIM(Mitarbeiter!$E$19)," ",""))+1))+1)-1)*99+1,99))))</f>
      </c>
      <c r="T20" s="54">
        <f>IF(OR($A20="",T$5="",TRIM(Mitarbeiter!$E$19)="",NOT(ISNUMBER(Mitarbeiter!$F$19))),"",IF(TRIM(MID(SUBSTITUTE(TRIM(Mitarbeiter!$E$19)," ",REPT(" ",99)),((MOD(T$5-Mitarbeiter!$F$19,(LEN(TRIM(Mitarbeiter!$E$19))-LEN(SUBSTITUTE(TRIM(Mitarbeiter!$E$19)," ",""))+1))+1)-1)*99+1,99))="-","",TRIM(MID(SUBSTITUTE(TRIM(Mitarbeiter!$E$19)," ",REPT(" ",99)),((MOD(T$5-Mitarbeiter!$F$19,(LEN(TRIM(Mitarbeiter!$E$19))-LEN(SUBSTITUTE(TRIM(Mitarbeiter!$E$19)," ",""))+1))+1)-1)*99+1,99))))</f>
      </c>
      <c r="U20" s="54">
        <f>IF(OR($A20="",U$5="",TRIM(Mitarbeiter!$E$19)="",NOT(ISNUMBER(Mitarbeiter!$F$19))),"",IF(TRIM(MID(SUBSTITUTE(TRIM(Mitarbeiter!$E$19)," ",REPT(" ",99)),((MOD(U$5-Mitarbeiter!$F$19,(LEN(TRIM(Mitarbeiter!$E$19))-LEN(SUBSTITUTE(TRIM(Mitarbeiter!$E$19)," ",""))+1))+1)-1)*99+1,99))="-","",TRIM(MID(SUBSTITUTE(TRIM(Mitarbeiter!$E$19)," ",REPT(" ",99)),((MOD(U$5-Mitarbeiter!$F$19,(LEN(TRIM(Mitarbeiter!$E$19))-LEN(SUBSTITUTE(TRIM(Mitarbeiter!$E$19)," ",""))+1))+1)-1)*99+1,99))))</f>
      </c>
      <c r="V20" s="54">
        <f>IF(OR($A20="",V$5="",TRIM(Mitarbeiter!$E$19)="",NOT(ISNUMBER(Mitarbeiter!$F$19))),"",IF(TRIM(MID(SUBSTITUTE(TRIM(Mitarbeiter!$E$19)," ",REPT(" ",99)),((MOD(V$5-Mitarbeiter!$F$19,(LEN(TRIM(Mitarbeiter!$E$19))-LEN(SUBSTITUTE(TRIM(Mitarbeiter!$E$19)," ",""))+1))+1)-1)*99+1,99))="-","",TRIM(MID(SUBSTITUTE(TRIM(Mitarbeiter!$E$19)," ",REPT(" ",99)),((MOD(V$5-Mitarbeiter!$F$19,(LEN(TRIM(Mitarbeiter!$E$19))-LEN(SUBSTITUTE(TRIM(Mitarbeiter!$E$19)," ",""))+1))+1)-1)*99+1,99))))</f>
      </c>
      <c r="W20" s="54">
        <f>IF(OR($A20="",W$5="",TRIM(Mitarbeiter!$E$19)="",NOT(ISNUMBER(Mitarbeiter!$F$19))),"",IF(TRIM(MID(SUBSTITUTE(TRIM(Mitarbeiter!$E$19)," ",REPT(" ",99)),((MOD(W$5-Mitarbeiter!$F$19,(LEN(TRIM(Mitarbeiter!$E$19))-LEN(SUBSTITUTE(TRIM(Mitarbeiter!$E$19)," ",""))+1))+1)-1)*99+1,99))="-","",TRIM(MID(SUBSTITUTE(TRIM(Mitarbeiter!$E$19)," ",REPT(" ",99)),((MOD(W$5-Mitarbeiter!$F$19,(LEN(TRIM(Mitarbeiter!$E$19))-LEN(SUBSTITUTE(TRIM(Mitarbeiter!$E$19)," ",""))+1))+1)-1)*99+1,99))))</f>
      </c>
      <c r="X20" s="54">
        <f>IF(OR($A20="",X$5="",TRIM(Mitarbeiter!$E$19)="",NOT(ISNUMBER(Mitarbeiter!$F$19))),"",IF(TRIM(MID(SUBSTITUTE(TRIM(Mitarbeiter!$E$19)," ",REPT(" ",99)),((MOD(X$5-Mitarbeiter!$F$19,(LEN(TRIM(Mitarbeiter!$E$19))-LEN(SUBSTITUTE(TRIM(Mitarbeiter!$E$19)," ",""))+1))+1)-1)*99+1,99))="-","",TRIM(MID(SUBSTITUTE(TRIM(Mitarbeiter!$E$19)," ",REPT(" ",99)),((MOD(X$5-Mitarbeiter!$F$19,(LEN(TRIM(Mitarbeiter!$E$19))-LEN(SUBSTITUTE(TRIM(Mitarbeiter!$E$19)," ",""))+1))+1)-1)*99+1,99))))</f>
      </c>
      <c r="Y20" s="54">
        <f>IF(OR($A20="",Y$5="",TRIM(Mitarbeiter!$E$19)="",NOT(ISNUMBER(Mitarbeiter!$F$19))),"",IF(TRIM(MID(SUBSTITUTE(TRIM(Mitarbeiter!$E$19)," ",REPT(" ",99)),((MOD(Y$5-Mitarbeiter!$F$19,(LEN(TRIM(Mitarbeiter!$E$19))-LEN(SUBSTITUTE(TRIM(Mitarbeiter!$E$19)," ",""))+1))+1)-1)*99+1,99))="-","",TRIM(MID(SUBSTITUTE(TRIM(Mitarbeiter!$E$19)," ",REPT(" ",99)),((MOD(Y$5-Mitarbeiter!$F$19,(LEN(TRIM(Mitarbeiter!$E$19))-LEN(SUBSTITUTE(TRIM(Mitarbeiter!$E$19)," ",""))+1))+1)-1)*99+1,99))))</f>
      </c>
      <c r="Z20" s="54">
        <f>IF(OR($A20="",Z$5="",TRIM(Mitarbeiter!$E$19)="",NOT(ISNUMBER(Mitarbeiter!$F$19))),"",IF(TRIM(MID(SUBSTITUTE(TRIM(Mitarbeiter!$E$19)," ",REPT(" ",99)),((MOD(Z$5-Mitarbeiter!$F$19,(LEN(TRIM(Mitarbeiter!$E$19))-LEN(SUBSTITUTE(TRIM(Mitarbeiter!$E$19)," ",""))+1))+1)-1)*99+1,99))="-","",TRIM(MID(SUBSTITUTE(TRIM(Mitarbeiter!$E$19)," ",REPT(" ",99)),((MOD(Z$5-Mitarbeiter!$F$19,(LEN(TRIM(Mitarbeiter!$E$19))-LEN(SUBSTITUTE(TRIM(Mitarbeiter!$E$19)," ",""))+1))+1)-1)*99+1,99))))</f>
      </c>
      <c r="AA20" s="54">
        <f>IF(OR($A20="",AA$5="",TRIM(Mitarbeiter!$E$19)="",NOT(ISNUMBER(Mitarbeiter!$F$19))),"",IF(TRIM(MID(SUBSTITUTE(TRIM(Mitarbeiter!$E$19)," ",REPT(" ",99)),((MOD(AA$5-Mitarbeiter!$F$19,(LEN(TRIM(Mitarbeiter!$E$19))-LEN(SUBSTITUTE(TRIM(Mitarbeiter!$E$19)," ",""))+1))+1)-1)*99+1,99))="-","",TRIM(MID(SUBSTITUTE(TRIM(Mitarbeiter!$E$19)," ",REPT(" ",99)),((MOD(AA$5-Mitarbeiter!$F$19,(LEN(TRIM(Mitarbeiter!$E$19))-LEN(SUBSTITUTE(TRIM(Mitarbeiter!$E$19)," ",""))+1))+1)-1)*99+1,99))))</f>
      </c>
      <c r="AB20" s="54">
        <f>IF(OR($A20="",AB$5="",TRIM(Mitarbeiter!$E$19)="",NOT(ISNUMBER(Mitarbeiter!$F$19))),"",IF(TRIM(MID(SUBSTITUTE(TRIM(Mitarbeiter!$E$19)," ",REPT(" ",99)),((MOD(AB$5-Mitarbeiter!$F$19,(LEN(TRIM(Mitarbeiter!$E$19))-LEN(SUBSTITUTE(TRIM(Mitarbeiter!$E$19)," ",""))+1))+1)-1)*99+1,99))="-","",TRIM(MID(SUBSTITUTE(TRIM(Mitarbeiter!$E$19)," ",REPT(" ",99)),((MOD(AB$5-Mitarbeiter!$F$19,(LEN(TRIM(Mitarbeiter!$E$19))-LEN(SUBSTITUTE(TRIM(Mitarbeiter!$E$19)," ",""))+1))+1)-1)*99+1,99))))</f>
      </c>
      <c r="AC20" s="54">
        <f>IF(OR($A20="",AC$5="",TRIM(Mitarbeiter!$E$19)="",NOT(ISNUMBER(Mitarbeiter!$F$19))),"",IF(TRIM(MID(SUBSTITUTE(TRIM(Mitarbeiter!$E$19)," ",REPT(" ",99)),((MOD(AC$5-Mitarbeiter!$F$19,(LEN(TRIM(Mitarbeiter!$E$19))-LEN(SUBSTITUTE(TRIM(Mitarbeiter!$E$19)," ",""))+1))+1)-1)*99+1,99))="-","",TRIM(MID(SUBSTITUTE(TRIM(Mitarbeiter!$E$19)," ",REPT(" ",99)),((MOD(AC$5-Mitarbeiter!$F$19,(LEN(TRIM(Mitarbeiter!$E$19))-LEN(SUBSTITUTE(TRIM(Mitarbeiter!$E$19)," ",""))+1))+1)-1)*99+1,99))))</f>
      </c>
      <c r="AD20" s="54">
        <f>IF(OR($A20="",AD$5="",TRIM(Mitarbeiter!$E$19)="",NOT(ISNUMBER(Mitarbeiter!$F$19))),"",IF(TRIM(MID(SUBSTITUTE(TRIM(Mitarbeiter!$E$19)," ",REPT(" ",99)),((MOD(AD$5-Mitarbeiter!$F$19,(LEN(TRIM(Mitarbeiter!$E$19))-LEN(SUBSTITUTE(TRIM(Mitarbeiter!$E$19)," ",""))+1))+1)-1)*99+1,99))="-","",TRIM(MID(SUBSTITUTE(TRIM(Mitarbeiter!$E$19)," ",REPT(" ",99)),((MOD(AD$5-Mitarbeiter!$F$19,(LEN(TRIM(Mitarbeiter!$E$19))-LEN(SUBSTITUTE(TRIM(Mitarbeiter!$E$19)," ",""))+1))+1)-1)*99+1,99))))</f>
      </c>
      <c r="AE20" s="54">
        <f>IF(OR($A20="",AE$5="",TRIM(Mitarbeiter!$E$19)="",NOT(ISNUMBER(Mitarbeiter!$F$19))),"",IF(TRIM(MID(SUBSTITUTE(TRIM(Mitarbeiter!$E$19)," ",REPT(" ",99)),((MOD(AE$5-Mitarbeiter!$F$19,(LEN(TRIM(Mitarbeiter!$E$19))-LEN(SUBSTITUTE(TRIM(Mitarbeiter!$E$19)," ",""))+1))+1)-1)*99+1,99))="-","",TRIM(MID(SUBSTITUTE(TRIM(Mitarbeiter!$E$19)," ",REPT(" ",99)),((MOD(AE$5-Mitarbeiter!$F$19,(LEN(TRIM(Mitarbeiter!$E$19))-LEN(SUBSTITUTE(TRIM(Mitarbeiter!$E$19)," ",""))+1))+1)-1)*99+1,99))))</f>
      </c>
      <c r="AF20" s="54">
        <f>IF(OR($A20="",AF$5="",TRIM(Mitarbeiter!$E$19)="",NOT(ISNUMBER(Mitarbeiter!$F$19))),"",IF(TRIM(MID(SUBSTITUTE(TRIM(Mitarbeiter!$E$19)," ",REPT(" ",99)),((MOD(AF$5-Mitarbeiter!$F$19,(LEN(TRIM(Mitarbeiter!$E$19))-LEN(SUBSTITUTE(TRIM(Mitarbeiter!$E$19)," ",""))+1))+1)-1)*99+1,99))="-","",TRIM(MID(SUBSTITUTE(TRIM(Mitarbeiter!$E$19)," ",REPT(" ",99)),((MOD(AF$5-Mitarbeiter!$F$19,(LEN(TRIM(Mitarbeiter!$E$19))-LEN(SUBSTITUTE(TRIM(Mitarbeiter!$E$19)," ",""))+1))+1)-1)*99+1,99))))</f>
      </c>
      <c r="AG20" s="55">
        <f>IF(OR($A20="",TRIM(Mitarbeiter!$E$19)=""),"",IF(NOT(ISNUMBER(Mitarbeiter!$F$19)),"Rhythmus ab: Datum fehlt",IF(COUNTIF(B20:AF20,"?*")-SUMPRODUCT(COUNTIF(B20:AF20,Codes)*(Codes&lt;&gt;"")*Erste)&gt;0,"Rhythmus enthält ein unbekanntes Kürzel","")))</f>
      </c>
    </row>
    <row r="21" spans="1:33" x14ac:dyDescent="0.25">
      <c r="A21" s="49">
        <f>Mitarbeiter!$A$20&amp;""</f>
      </c>
      <c r="B21" s="54">
        <f>IF(OR($A21="",B$5="",TRIM(Mitarbeiter!$E$20)="",NOT(ISNUMBER(Mitarbeiter!$F$20))),"",IF(TRIM(MID(SUBSTITUTE(TRIM(Mitarbeiter!$E$20)," ",REPT(" ",99)),((MOD(B$5-Mitarbeiter!$F$20,(LEN(TRIM(Mitarbeiter!$E$20))-LEN(SUBSTITUTE(TRIM(Mitarbeiter!$E$20)," ",""))+1))+1)-1)*99+1,99))="-","",TRIM(MID(SUBSTITUTE(TRIM(Mitarbeiter!$E$20)," ",REPT(" ",99)),((MOD(B$5-Mitarbeiter!$F$20,(LEN(TRIM(Mitarbeiter!$E$20))-LEN(SUBSTITUTE(TRIM(Mitarbeiter!$E$20)," ",""))+1))+1)-1)*99+1,99))))</f>
      </c>
      <c r="C21" s="54">
        <f>IF(OR($A21="",C$5="",TRIM(Mitarbeiter!$E$20)="",NOT(ISNUMBER(Mitarbeiter!$F$20))),"",IF(TRIM(MID(SUBSTITUTE(TRIM(Mitarbeiter!$E$20)," ",REPT(" ",99)),((MOD(C$5-Mitarbeiter!$F$20,(LEN(TRIM(Mitarbeiter!$E$20))-LEN(SUBSTITUTE(TRIM(Mitarbeiter!$E$20)," ",""))+1))+1)-1)*99+1,99))="-","",TRIM(MID(SUBSTITUTE(TRIM(Mitarbeiter!$E$20)," ",REPT(" ",99)),((MOD(C$5-Mitarbeiter!$F$20,(LEN(TRIM(Mitarbeiter!$E$20))-LEN(SUBSTITUTE(TRIM(Mitarbeiter!$E$20)," ",""))+1))+1)-1)*99+1,99))))</f>
      </c>
      <c r="D21" s="54">
        <f>IF(OR($A21="",D$5="",TRIM(Mitarbeiter!$E$20)="",NOT(ISNUMBER(Mitarbeiter!$F$20))),"",IF(TRIM(MID(SUBSTITUTE(TRIM(Mitarbeiter!$E$20)," ",REPT(" ",99)),((MOD(D$5-Mitarbeiter!$F$20,(LEN(TRIM(Mitarbeiter!$E$20))-LEN(SUBSTITUTE(TRIM(Mitarbeiter!$E$20)," ",""))+1))+1)-1)*99+1,99))="-","",TRIM(MID(SUBSTITUTE(TRIM(Mitarbeiter!$E$20)," ",REPT(" ",99)),((MOD(D$5-Mitarbeiter!$F$20,(LEN(TRIM(Mitarbeiter!$E$20))-LEN(SUBSTITUTE(TRIM(Mitarbeiter!$E$20)," ",""))+1))+1)-1)*99+1,99))))</f>
      </c>
      <c r="E21" s="54">
        <f>IF(OR($A21="",E$5="",TRIM(Mitarbeiter!$E$20)="",NOT(ISNUMBER(Mitarbeiter!$F$20))),"",IF(TRIM(MID(SUBSTITUTE(TRIM(Mitarbeiter!$E$20)," ",REPT(" ",99)),((MOD(E$5-Mitarbeiter!$F$20,(LEN(TRIM(Mitarbeiter!$E$20))-LEN(SUBSTITUTE(TRIM(Mitarbeiter!$E$20)," ",""))+1))+1)-1)*99+1,99))="-","",TRIM(MID(SUBSTITUTE(TRIM(Mitarbeiter!$E$20)," ",REPT(" ",99)),((MOD(E$5-Mitarbeiter!$F$20,(LEN(TRIM(Mitarbeiter!$E$20))-LEN(SUBSTITUTE(TRIM(Mitarbeiter!$E$20)," ",""))+1))+1)-1)*99+1,99))))</f>
      </c>
      <c r="F21" s="54">
        <f>IF(OR($A21="",F$5="",TRIM(Mitarbeiter!$E$20)="",NOT(ISNUMBER(Mitarbeiter!$F$20))),"",IF(TRIM(MID(SUBSTITUTE(TRIM(Mitarbeiter!$E$20)," ",REPT(" ",99)),((MOD(F$5-Mitarbeiter!$F$20,(LEN(TRIM(Mitarbeiter!$E$20))-LEN(SUBSTITUTE(TRIM(Mitarbeiter!$E$20)," ",""))+1))+1)-1)*99+1,99))="-","",TRIM(MID(SUBSTITUTE(TRIM(Mitarbeiter!$E$20)," ",REPT(" ",99)),((MOD(F$5-Mitarbeiter!$F$20,(LEN(TRIM(Mitarbeiter!$E$20))-LEN(SUBSTITUTE(TRIM(Mitarbeiter!$E$20)," ",""))+1))+1)-1)*99+1,99))))</f>
      </c>
      <c r="G21" s="54">
        <f>IF(OR($A21="",G$5="",TRIM(Mitarbeiter!$E$20)="",NOT(ISNUMBER(Mitarbeiter!$F$20))),"",IF(TRIM(MID(SUBSTITUTE(TRIM(Mitarbeiter!$E$20)," ",REPT(" ",99)),((MOD(G$5-Mitarbeiter!$F$20,(LEN(TRIM(Mitarbeiter!$E$20))-LEN(SUBSTITUTE(TRIM(Mitarbeiter!$E$20)," ",""))+1))+1)-1)*99+1,99))="-","",TRIM(MID(SUBSTITUTE(TRIM(Mitarbeiter!$E$20)," ",REPT(" ",99)),((MOD(G$5-Mitarbeiter!$F$20,(LEN(TRIM(Mitarbeiter!$E$20))-LEN(SUBSTITUTE(TRIM(Mitarbeiter!$E$20)," ",""))+1))+1)-1)*99+1,99))))</f>
      </c>
      <c r="H21" s="54">
        <f>IF(OR($A21="",H$5="",TRIM(Mitarbeiter!$E$20)="",NOT(ISNUMBER(Mitarbeiter!$F$20))),"",IF(TRIM(MID(SUBSTITUTE(TRIM(Mitarbeiter!$E$20)," ",REPT(" ",99)),((MOD(H$5-Mitarbeiter!$F$20,(LEN(TRIM(Mitarbeiter!$E$20))-LEN(SUBSTITUTE(TRIM(Mitarbeiter!$E$20)," ",""))+1))+1)-1)*99+1,99))="-","",TRIM(MID(SUBSTITUTE(TRIM(Mitarbeiter!$E$20)," ",REPT(" ",99)),((MOD(H$5-Mitarbeiter!$F$20,(LEN(TRIM(Mitarbeiter!$E$20))-LEN(SUBSTITUTE(TRIM(Mitarbeiter!$E$20)," ",""))+1))+1)-1)*99+1,99))))</f>
      </c>
      <c r="I21" s="54">
        <f>IF(OR($A21="",I$5="",TRIM(Mitarbeiter!$E$20)="",NOT(ISNUMBER(Mitarbeiter!$F$20))),"",IF(TRIM(MID(SUBSTITUTE(TRIM(Mitarbeiter!$E$20)," ",REPT(" ",99)),((MOD(I$5-Mitarbeiter!$F$20,(LEN(TRIM(Mitarbeiter!$E$20))-LEN(SUBSTITUTE(TRIM(Mitarbeiter!$E$20)," ",""))+1))+1)-1)*99+1,99))="-","",TRIM(MID(SUBSTITUTE(TRIM(Mitarbeiter!$E$20)," ",REPT(" ",99)),((MOD(I$5-Mitarbeiter!$F$20,(LEN(TRIM(Mitarbeiter!$E$20))-LEN(SUBSTITUTE(TRIM(Mitarbeiter!$E$20)," ",""))+1))+1)-1)*99+1,99))))</f>
      </c>
      <c r="J21" s="54">
        <f>IF(OR($A21="",J$5="",TRIM(Mitarbeiter!$E$20)="",NOT(ISNUMBER(Mitarbeiter!$F$20))),"",IF(TRIM(MID(SUBSTITUTE(TRIM(Mitarbeiter!$E$20)," ",REPT(" ",99)),((MOD(J$5-Mitarbeiter!$F$20,(LEN(TRIM(Mitarbeiter!$E$20))-LEN(SUBSTITUTE(TRIM(Mitarbeiter!$E$20)," ",""))+1))+1)-1)*99+1,99))="-","",TRIM(MID(SUBSTITUTE(TRIM(Mitarbeiter!$E$20)," ",REPT(" ",99)),((MOD(J$5-Mitarbeiter!$F$20,(LEN(TRIM(Mitarbeiter!$E$20))-LEN(SUBSTITUTE(TRIM(Mitarbeiter!$E$20)," ",""))+1))+1)-1)*99+1,99))))</f>
      </c>
      <c r="K21" s="54">
        <f>IF(OR($A21="",K$5="",TRIM(Mitarbeiter!$E$20)="",NOT(ISNUMBER(Mitarbeiter!$F$20))),"",IF(TRIM(MID(SUBSTITUTE(TRIM(Mitarbeiter!$E$20)," ",REPT(" ",99)),((MOD(K$5-Mitarbeiter!$F$20,(LEN(TRIM(Mitarbeiter!$E$20))-LEN(SUBSTITUTE(TRIM(Mitarbeiter!$E$20)," ",""))+1))+1)-1)*99+1,99))="-","",TRIM(MID(SUBSTITUTE(TRIM(Mitarbeiter!$E$20)," ",REPT(" ",99)),((MOD(K$5-Mitarbeiter!$F$20,(LEN(TRIM(Mitarbeiter!$E$20))-LEN(SUBSTITUTE(TRIM(Mitarbeiter!$E$20)," ",""))+1))+1)-1)*99+1,99))))</f>
      </c>
      <c r="L21" s="54">
        <f>IF(OR($A21="",L$5="",TRIM(Mitarbeiter!$E$20)="",NOT(ISNUMBER(Mitarbeiter!$F$20))),"",IF(TRIM(MID(SUBSTITUTE(TRIM(Mitarbeiter!$E$20)," ",REPT(" ",99)),((MOD(L$5-Mitarbeiter!$F$20,(LEN(TRIM(Mitarbeiter!$E$20))-LEN(SUBSTITUTE(TRIM(Mitarbeiter!$E$20)," ",""))+1))+1)-1)*99+1,99))="-","",TRIM(MID(SUBSTITUTE(TRIM(Mitarbeiter!$E$20)," ",REPT(" ",99)),((MOD(L$5-Mitarbeiter!$F$20,(LEN(TRIM(Mitarbeiter!$E$20))-LEN(SUBSTITUTE(TRIM(Mitarbeiter!$E$20)," ",""))+1))+1)-1)*99+1,99))))</f>
      </c>
      <c r="M21" s="54">
        <f>IF(OR($A21="",M$5="",TRIM(Mitarbeiter!$E$20)="",NOT(ISNUMBER(Mitarbeiter!$F$20))),"",IF(TRIM(MID(SUBSTITUTE(TRIM(Mitarbeiter!$E$20)," ",REPT(" ",99)),((MOD(M$5-Mitarbeiter!$F$20,(LEN(TRIM(Mitarbeiter!$E$20))-LEN(SUBSTITUTE(TRIM(Mitarbeiter!$E$20)," ",""))+1))+1)-1)*99+1,99))="-","",TRIM(MID(SUBSTITUTE(TRIM(Mitarbeiter!$E$20)," ",REPT(" ",99)),((MOD(M$5-Mitarbeiter!$F$20,(LEN(TRIM(Mitarbeiter!$E$20))-LEN(SUBSTITUTE(TRIM(Mitarbeiter!$E$20)," ",""))+1))+1)-1)*99+1,99))))</f>
      </c>
      <c r="N21" s="54">
        <f>IF(OR($A21="",N$5="",TRIM(Mitarbeiter!$E$20)="",NOT(ISNUMBER(Mitarbeiter!$F$20))),"",IF(TRIM(MID(SUBSTITUTE(TRIM(Mitarbeiter!$E$20)," ",REPT(" ",99)),((MOD(N$5-Mitarbeiter!$F$20,(LEN(TRIM(Mitarbeiter!$E$20))-LEN(SUBSTITUTE(TRIM(Mitarbeiter!$E$20)," ",""))+1))+1)-1)*99+1,99))="-","",TRIM(MID(SUBSTITUTE(TRIM(Mitarbeiter!$E$20)," ",REPT(" ",99)),((MOD(N$5-Mitarbeiter!$F$20,(LEN(TRIM(Mitarbeiter!$E$20))-LEN(SUBSTITUTE(TRIM(Mitarbeiter!$E$20)," ",""))+1))+1)-1)*99+1,99))))</f>
      </c>
      <c r="O21" s="54">
        <f>IF(OR($A21="",O$5="",TRIM(Mitarbeiter!$E$20)="",NOT(ISNUMBER(Mitarbeiter!$F$20))),"",IF(TRIM(MID(SUBSTITUTE(TRIM(Mitarbeiter!$E$20)," ",REPT(" ",99)),((MOD(O$5-Mitarbeiter!$F$20,(LEN(TRIM(Mitarbeiter!$E$20))-LEN(SUBSTITUTE(TRIM(Mitarbeiter!$E$20)," ",""))+1))+1)-1)*99+1,99))="-","",TRIM(MID(SUBSTITUTE(TRIM(Mitarbeiter!$E$20)," ",REPT(" ",99)),((MOD(O$5-Mitarbeiter!$F$20,(LEN(TRIM(Mitarbeiter!$E$20))-LEN(SUBSTITUTE(TRIM(Mitarbeiter!$E$20)," ",""))+1))+1)-1)*99+1,99))))</f>
      </c>
      <c r="P21" s="54">
        <f>IF(OR($A21="",P$5="",TRIM(Mitarbeiter!$E$20)="",NOT(ISNUMBER(Mitarbeiter!$F$20))),"",IF(TRIM(MID(SUBSTITUTE(TRIM(Mitarbeiter!$E$20)," ",REPT(" ",99)),((MOD(P$5-Mitarbeiter!$F$20,(LEN(TRIM(Mitarbeiter!$E$20))-LEN(SUBSTITUTE(TRIM(Mitarbeiter!$E$20)," ",""))+1))+1)-1)*99+1,99))="-","",TRIM(MID(SUBSTITUTE(TRIM(Mitarbeiter!$E$20)," ",REPT(" ",99)),((MOD(P$5-Mitarbeiter!$F$20,(LEN(TRIM(Mitarbeiter!$E$20))-LEN(SUBSTITUTE(TRIM(Mitarbeiter!$E$20)," ",""))+1))+1)-1)*99+1,99))))</f>
      </c>
      <c r="Q21" s="54">
        <f>IF(OR($A21="",Q$5="",TRIM(Mitarbeiter!$E$20)="",NOT(ISNUMBER(Mitarbeiter!$F$20))),"",IF(TRIM(MID(SUBSTITUTE(TRIM(Mitarbeiter!$E$20)," ",REPT(" ",99)),((MOD(Q$5-Mitarbeiter!$F$20,(LEN(TRIM(Mitarbeiter!$E$20))-LEN(SUBSTITUTE(TRIM(Mitarbeiter!$E$20)," ",""))+1))+1)-1)*99+1,99))="-","",TRIM(MID(SUBSTITUTE(TRIM(Mitarbeiter!$E$20)," ",REPT(" ",99)),((MOD(Q$5-Mitarbeiter!$F$20,(LEN(TRIM(Mitarbeiter!$E$20))-LEN(SUBSTITUTE(TRIM(Mitarbeiter!$E$20)," ",""))+1))+1)-1)*99+1,99))))</f>
      </c>
      <c r="R21" s="54">
        <f>IF(OR($A21="",R$5="",TRIM(Mitarbeiter!$E$20)="",NOT(ISNUMBER(Mitarbeiter!$F$20))),"",IF(TRIM(MID(SUBSTITUTE(TRIM(Mitarbeiter!$E$20)," ",REPT(" ",99)),((MOD(R$5-Mitarbeiter!$F$20,(LEN(TRIM(Mitarbeiter!$E$20))-LEN(SUBSTITUTE(TRIM(Mitarbeiter!$E$20)," ",""))+1))+1)-1)*99+1,99))="-","",TRIM(MID(SUBSTITUTE(TRIM(Mitarbeiter!$E$20)," ",REPT(" ",99)),((MOD(R$5-Mitarbeiter!$F$20,(LEN(TRIM(Mitarbeiter!$E$20))-LEN(SUBSTITUTE(TRIM(Mitarbeiter!$E$20)," ",""))+1))+1)-1)*99+1,99))))</f>
      </c>
      <c r="S21" s="54">
        <f>IF(OR($A21="",S$5="",TRIM(Mitarbeiter!$E$20)="",NOT(ISNUMBER(Mitarbeiter!$F$20))),"",IF(TRIM(MID(SUBSTITUTE(TRIM(Mitarbeiter!$E$20)," ",REPT(" ",99)),((MOD(S$5-Mitarbeiter!$F$20,(LEN(TRIM(Mitarbeiter!$E$20))-LEN(SUBSTITUTE(TRIM(Mitarbeiter!$E$20)," ",""))+1))+1)-1)*99+1,99))="-","",TRIM(MID(SUBSTITUTE(TRIM(Mitarbeiter!$E$20)," ",REPT(" ",99)),((MOD(S$5-Mitarbeiter!$F$20,(LEN(TRIM(Mitarbeiter!$E$20))-LEN(SUBSTITUTE(TRIM(Mitarbeiter!$E$20)," ",""))+1))+1)-1)*99+1,99))))</f>
      </c>
      <c r="T21" s="54">
        <f>IF(OR($A21="",T$5="",TRIM(Mitarbeiter!$E$20)="",NOT(ISNUMBER(Mitarbeiter!$F$20))),"",IF(TRIM(MID(SUBSTITUTE(TRIM(Mitarbeiter!$E$20)," ",REPT(" ",99)),((MOD(T$5-Mitarbeiter!$F$20,(LEN(TRIM(Mitarbeiter!$E$20))-LEN(SUBSTITUTE(TRIM(Mitarbeiter!$E$20)," ",""))+1))+1)-1)*99+1,99))="-","",TRIM(MID(SUBSTITUTE(TRIM(Mitarbeiter!$E$20)," ",REPT(" ",99)),((MOD(T$5-Mitarbeiter!$F$20,(LEN(TRIM(Mitarbeiter!$E$20))-LEN(SUBSTITUTE(TRIM(Mitarbeiter!$E$20)," ",""))+1))+1)-1)*99+1,99))))</f>
      </c>
      <c r="U21" s="54">
        <f>IF(OR($A21="",U$5="",TRIM(Mitarbeiter!$E$20)="",NOT(ISNUMBER(Mitarbeiter!$F$20))),"",IF(TRIM(MID(SUBSTITUTE(TRIM(Mitarbeiter!$E$20)," ",REPT(" ",99)),((MOD(U$5-Mitarbeiter!$F$20,(LEN(TRIM(Mitarbeiter!$E$20))-LEN(SUBSTITUTE(TRIM(Mitarbeiter!$E$20)," ",""))+1))+1)-1)*99+1,99))="-","",TRIM(MID(SUBSTITUTE(TRIM(Mitarbeiter!$E$20)," ",REPT(" ",99)),((MOD(U$5-Mitarbeiter!$F$20,(LEN(TRIM(Mitarbeiter!$E$20))-LEN(SUBSTITUTE(TRIM(Mitarbeiter!$E$20)," ",""))+1))+1)-1)*99+1,99))))</f>
      </c>
      <c r="V21" s="54">
        <f>IF(OR($A21="",V$5="",TRIM(Mitarbeiter!$E$20)="",NOT(ISNUMBER(Mitarbeiter!$F$20))),"",IF(TRIM(MID(SUBSTITUTE(TRIM(Mitarbeiter!$E$20)," ",REPT(" ",99)),((MOD(V$5-Mitarbeiter!$F$20,(LEN(TRIM(Mitarbeiter!$E$20))-LEN(SUBSTITUTE(TRIM(Mitarbeiter!$E$20)," ",""))+1))+1)-1)*99+1,99))="-","",TRIM(MID(SUBSTITUTE(TRIM(Mitarbeiter!$E$20)," ",REPT(" ",99)),((MOD(V$5-Mitarbeiter!$F$20,(LEN(TRIM(Mitarbeiter!$E$20))-LEN(SUBSTITUTE(TRIM(Mitarbeiter!$E$20)," ",""))+1))+1)-1)*99+1,99))))</f>
      </c>
      <c r="W21" s="54">
        <f>IF(OR($A21="",W$5="",TRIM(Mitarbeiter!$E$20)="",NOT(ISNUMBER(Mitarbeiter!$F$20))),"",IF(TRIM(MID(SUBSTITUTE(TRIM(Mitarbeiter!$E$20)," ",REPT(" ",99)),((MOD(W$5-Mitarbeiter!$F$20,(LEN(TRIM(Mitarbeiter!$E$20))-LEN(SUBSTITUTE(TRIM(Mitarbeiter!$E$20)," ",""))+1))+1)-1)*99+1,99))="-","",TRIM(MID(SUBSTITUTE(TRIM(Mitarbeiter!$E$20)," ",REPT(" ",99)),((MOD(W$5-Mitarbeiter!$F$20,(LEN(TRIM(Mitarbeiter!$E$20))-LEN(SUBSTITUTE(TRIM(Mitarbeiter!$E$20)," ",""))+1))+1)-1)*99+1,99))))</f>
      </c>
      <c r="X21" s="54">
        <f>IF(OR($A21="",X$5="",TRIM(Mitarbeiter!$E$20)="",NOT(ISNUMBER(Mitarbeiter!$F$20))),"",IF(TRIM(MID(SUBSTITUTE(TRIM(Mitarbeiter!$E$20)," ",REPT(" ",99)),((MOD(X$5-Mitarbeiter!$F$20,(LEN(TRIM(Mitarbeiter!$E$20))-LEN(SUBSTITUTE(TRIM(Mitarbeiter!$E$20)," ",""))+1))+1)-1)*99+1,99))="-","",TRIM(MID(SUBSTITUTE(TRIM(Mitarbeiter!$E$20)," ",REPT(" ",99)),((MOD(X$5-Mitarbeiter!$F$20,(LEN(TRIM(Mitarbeiter!$E$20))-LEN(SUBSTITUTE(TRIM(Mitarbeiter!$E$20)," ",""))+1))+1)-1)*99+1,99))))</f>
      </c>
      <c r="Y21" s="54">
        <f>IF(OR($A21="",Y$5="",TRIM(Mitarbeiter!$E$20)="",NOT(ISNUMBER(Mitarbeiter!$F$20))),"",IF(TRIM(MID(SUBSTITUTE(TRIM(Mitarbeiter!$E$20)," ",REPT(" ",99)),((MOD(Y$5-Mitarbeiter!$F$20,(LEN(TRIM(Mitarbeiter!$E$20))-LEN(SUBSTITUTE(TRIM(Mitarbeiter!$E$20)," ",""))+1))+1)-1)*99+1,99))="-","",TRIM(MID(SUBSTITUTE(TRIM(Mitarbeiter!$E$20)," ",REPT(" ",99)),((MOD(Y$5-Mitarbeiter!$F$20,(LEN(TRIM(Mitarbeiter!$E$20))-LEN(SUBSTITUTE(TRIM(Mitarbeiter!$E$20)," ",""))+1))+1)-1)*99+1,99))))</f>
      </c>
      <c r="Z21" s="54">
        <f>IF(OR($A21="",Z$5="",TRIM(Mitarbeiter!$E$20)="",NOT(ISNUMBER(Mitarbeiter!$F$20))),"",IF(TRIM(MID(SUBSTITUTE(TRIM(Mitarbeiter!$E$20)," ",REPT(" ",99)),((MOD(Z$5-Mitarbeiter!$F$20,(LEN(TRIM(Mitarbeiter!$E$20))-LEN(SUBSTITUTE(TRIM(Mitarbeiter!$E$20)," ",""))+1))+1)-1)*99+1,99))="-","",TRIM(MID(SUBSTITUTE(TRIM(Mitarbeiter!$E$20)," ",REPT(" ",99)),((MOD(Z$5-Mitarbeiter!$F$20,(LEN(TRIM(Mitarbeiter!$E$20))-LEN(SUBSTITUTE(TRIM(Mitarbeiter!$E$20)," ",""))+1))+1)-1)*99+1,99))))</f>
      </c>
      <c r="AA21" s="54">
        <f>IF(OR($A21="",AA$5="",TRIM(Mitarbeiter!$E$20)="",NOT(ISNUMBER(Mitarbeiter!$F$20))),"",IF(TRIM(MID(SUBSTITUTE(TRIM(Mitarbeiter!$E$20)," ",REPT(" ",99)),((MOD(AA$5-Mitarbeiter!$F$20,(LEN(TRIM(Mitarbeiter!$E$20))-LEN(SUBSTITUTE(TRIM(Mitarbeiter!$E$20)," ",""))+1))+1)-1)*99+1,99))="-","",TRIM(MID(SUBSTITUTE(TRIM(Mitarbeiter!$E$20)," ",REPT(" ",99)),((MOD(AA$5-Mitarbeiter!$F$20,(LEN(TRIM(Mitarbeiter!$E$20))-LEN(SUBSTITUTE(TRIM(Mitarbeiter!$E$20)," ",""))+1))+1)-1)*99+1,99))))</f>
      </c>
      <c r="AB21" s="54">
        <f>IF(OR($A21="",AB$5="",TRIM(Mitarbeiter!$E$20)="",NOT(ISNUMBER(Mitarbeiter!$F$20))),"",IF(TRIM(MID(SUBSTITUTE(TRIM(Mitarbeiter!$E$20)," ",REPT(" ",99)),((MOD(AB$5-Mitarbeiter!$F$20,(LEN(TRIM(Mitarbeiter!$E$20))-LEN(SUBSTITUTE(TRIM(Mitarbeiter!$E$20)," ",""))+1))+1)-1)*99+1,99))="-","",TRIM(MID(SUBSTITUTE(TRIM(Mitarbeiter!$E$20)," ",REPT(" ",99)),((MOD(AB$5-Mitarbeiter!$F$20,(LEN(TRIM(Mitarbeiter!$E$20))-LEN(SUBSTITUTE(TRIM(Mitarbeiter!$E$20)," ",""))+1))+1)-1)*99+1,99))))</f>
      </c>
      <c r="AC21" s="54">
        <f>IF(OR($A21="",AC$5="",TRIM(Mitarbeiter!$E$20)="",NOT(ISNUMBER(Mitarbeiter!$F$20))),"",IF(TRIM(MID(SUBSTITUTE(TRIM(Mitarbeiter!$E$20)," ",REPT(" ",99)),((MOD(AC$5-Mitarbeiter!$F$20,(LEN(TRIM(Mitarbeiter!$E$20))-LEN(SUBSTITUTE(TRIM(Mitarbeiter!$E$20)," ",""))+1))+1)-1)*99+1,99))="-","",TRIM(MID(SUBSTITUTE(TRIM(Mitarbeiter!$E$20)," ",REPT(" ",99)),((MOD(AC$5-Mitarbeiter!$F$20,(LEN(TRIM(Mitarbeiter!$E$20))-LEN(SUBSTITUTE(TRIM(Mitarbeiter!$E$20)," ",""))+1))+1)-1)*99+1,99))))</f>
      </c>
      <c r="AD21" s="54">
        <f>IF(OR($A21="",AD$5="",TRIM(Mitarbeiter!$E$20)="",NOT(ISNUMBER(Mitarbeiter!$F$20))),"",IF(TRIM(MID(SUBSTITUTE(TRIM(Mitarbeiter!$E$20)," ",REPT(" ",99)),((MOD(AD$5-Mitarbeiter!$F$20,(LEN(TRIM(Mitarbeiter!$E$20))-LEN(SUBSTITUTE(TRIM(Mitarbeiter!$E$20)," ",""))+1))+1)-1)*99+1,99))="-","",TRIM(MID(SUBSTITUTE(TRIM(Mitarbeiter!$E$20)," ",REPT(" ",99)),((MOD(AD$5-Mitarbeiter!$F$20,(LEN(TRIM(Mitarbeiter!$E$20))-LEN(SUBSTITUTE(TRIM(Mitarbeiter!$E$20)," ",""))+1))+1)-1)*99+1,99))))</f>
      </c>
      <c r="AE21" s="54">
        <f>IF(OR($A21="",AE$5="",TRIM(Mitarbeiter!$E$20)="",NOT(ISNUMBER(Mitarbeiter!$F$20))),"",IF(TRIM(MID(SUBSTITUTE(TRIM(Mitarbeiter!$E$20)," ",REPT(" ",99)),((MOD(AE$5-Mitarbeiter!$F$20,(LEN(TRIM(Mitarbeiter!$E$20))-LEN(SUBSTITUTE(TRIM(Mitarbeiter!$E$20)," ",""))+1))+1)-1)*99+1,99))="-","",TRIM(MID(SUBSTITUTE(TRIM(Mitarbeiter!$E$20)," ",REPT(" ",99)),((MOD(AE$5-Mitarbeiter!$F$20,(LEN(TRIM(Mitarbeiter!$E$20))-LEN(SUBSTITUTE(TRIM(Mitarbeiter!$E$20)," ",""))+1))+1)-1)*99+1,99))))</f>
      </c>
      <c r="AF21" s="54">
        <f>IF(OR($A21="",AF$5="",TRIM(Mitarbeiter!$E$20)="",NOT(ISNUMBER(Mitarbeiter!$F$20))),"",IF(TRIM(MID(SUBSTITUTE(TRIM(Mitarbeiter!$E$20)," ",REPT(" ",99)),((MOD(AF$5-Mitarbeiter!$F$20,(LEN(TRIM(Mitarbeiter!$E$20))-LEN(SUBSTITUTE(TRIM(Mitarbeiter!$E$20)," ",""))+1))+1)-1)*99+1,99))="-","",TRIM(MID(SUBSTITUTE(TRIM(Mitarbeiter!$E$20)," ",REPT(" ",99)),((MOD(AF$5-Mitarbeiter!$F$20,(LEN(TRIM(Mitarbeiter!$E$20))-LEN(SUBSTITUTE(TRIM(Mitarbeiter!$E$20)," ",""))+1))+1)-1)*99+1,99))))</f>
      </c>
      <c r="AG21" s="55">
        <f>IF(OR($A21="",TRIM(Mitarbeiter!$E$20)=""),"",IF(NOT(ISNUMBER(Mitarbeiter!$F$20)),"Rhythmus ab: Datum fehlt",IF(COUNTIF(B21:AF21,"?*")-SUMPRODUCT(COUNTIF(B21:AF21,Codes)*(Codes&lt;&gt;"")*Erste)&gt;0,"Rhythmus enthält ein unbekanntes Kürzel","")))</f>
      </c>
    </row>
    <row r="22" spans="1:33" x14ac:dyDescent="0.25">
      <c r="A22" s="49">
        <f>Mitarbeiter!$A$21&amp;""</f>
      </c>
      <c r="B22" s="54">
        <f>IF(OR($A22="",B$5="",TRIM(Mitarbeiter!$E$21)="",NOT(ISNUMBER(Mitarbeiter!$F$21))),"",IF(TRIM(MID(SUBSTITUTE(TRIM(Mitarbeiter!$E$21)," ",REPT(" ",99)),((MOD(B$5-Mitarbeiter!$F$21,(LEN(TRIM(Mitarbeiter!$E$21))-LEN(SUBSTITUTE(TRIM(Mitarbeiter!$E$21)," ",""))+1))+1)-1)*99+1,99))="-","",TRIM(MID(SUBSTITUTE(TRIM(Mitarbeiter!$E$21)," ",REPT(" ",99)),((MOD(B$5-Mitarbeiter!$F$21,(LEN(TRIM(Mitarbeiter!$E$21))-LEN(SUBSTITUTE(TRIM(Mitarbeiter!$E$21)," ",""))+1))+1)-1)*99+1,99))))</f>
      </c>
      <c r="C22" s="54">
        <f>IF(OR($A22="",C$5="",TRIM(Mitarbeiter!$E$21)="",NOT(ISNUMBER(Mitarbeiter!$F$21))),"",IF(TRIM(MID(SUBSTITUTE(TRIM(Mitarbeiter!$E$21)," ",REPT(" ",99)),((MOD(C$5-Mitarbeiter!$F$21,(LEN(TRIM(Mitarbeiter!$E$21))-LEN(SUBSTITUTE(TRIM(Mitarbeiter!$E$21)," ",""))+1))+1)-1)*99+1,99))="-","",TRIM(MID(SUBSTITUTE(TRIM(Mitarbeiter!$E$21)," ",REPT(" ",99)),((MOD(C$5-Mitarbeiter!$F$21,(LEN(TRIM(Mitarbeiter!$E$21))-LEN(SUBSTITUTE(TRIM(Mitarbeiter!$E$21)," ",""))+1))+1)-1)*99+1,99))))</f>
      </c>
      <c r="D22" s="54">
        <f>IF(OR($A22="",D$5="",TRIM(Mitarbeiter!$E$21)="",NOT(ISNUMBER(Mitarbeiter!$F$21))),"",IF(TRIM(MID(SUBSTITUTE(TRIM(Mitarbeiter!$E$21)," ",REPT(" ",99)),((MOD(D$5-Mitarbeiter!$F$21,(LEN(TRIM(Mitarbeiter!$E$21))-LEN(SUBSTITUTE(TRIM(Mitarbeiter!$E$21)," ",""))+1))+1)-1)*99+1,99))="-","",TRIM(MID(SUBSTITUTE(TRIM(Mitarbeiter!$E$21)," ",REPT(" ",99)),((MOD(D$5-Mitarbeiter!$F$21,(LEN(TRIM(Mitarbeiter!$E$21))-LEN(SUBSTITUTE(TRIM(Mitarbeiter!$E$21)," ",""))+1))+1)-1)*99+1,99))))</f>
      </c>
      <c r="E22" s="54">
        <f>IF(OR($A22="",E$5="",TRIM(Mitarbeiter!$E$21)="",NOT(ISNUMBER(Mitarbeiter!$F$21))),"",IF(TRIM(MID(SUBSTITUTE(TRIM(Mitarbeiter!$E$21)," ",REPT(" ",99)),((MOD(E$5-Mitarbeiter!$F$21,(LEN(TRIM(Mitarbeiter!$E$21))-LEN(SUBSTITUTE(TRIM(Mitarbeiter!$E$21)," ",""))+1))+1)-1)*99+1,99))="-","",TRIM(MID(SUBSTITUTE(TRIM(Mitarbeiter!$E$21)," ",REPT(" ",99)),((MOD(E$5-Mitarbeiter!$F$21,(LEN(TRIM(Mitarbeiter!$E$21))-LEN(SUBSTITUTE(TRIM(Mitarbeiter!$E$21)," ",""))+1))+1)-1)*99+1,99))))</f>
      </c>
      <c r="F22" s="54">
        <f>IF(OR($A22="",F$5="",TRIM(Mitarbeiter!$E$21)="",NOT(ISNUMBER(Mitarbeiter!$F$21))),"",IF(TRIM(MID(SUBSTITUTE(TRIM(Mitarbeiter!$E$21)," ",REPT(" ",99)),((MOD(F$5-Mitarbeiter!$F$21,(LEN(TRIM(Mitarbeiter!$E$21))-LEN(SUBSTITUTE(TRIM(Mitarbeiter!$E$21)," ",""))+1))+1)-1)*99+1,99))="-","",TRIM(MID(SUBSTITUTE(TRIM(Mitarbeiter!$E$21)," ",REPT(" ",99)),((MOD(F$5-Mitarbeiter!$F$21,(LEN(TRIM(Mitarbeiter!$E$21))-LEN(SUBSTITUTE(TRIM(Mitarbeiter!$E$21)," ",""))+1))+1)-1)*99+1,99))))</f>
      </c>
      <c r="G22" s="54">
        <f>IF(OR($A22="",G$5="",TRIM(Mitarbeiter!$E$21)="",NOT(ISNUMBER(Mitarbeiter!$F$21))),"",IF(TRIM(MID(SUBSTITUTE(TRIM(Mitarbeiter!$E$21)," ",REPT(" ",99)),((MOD(G$5-Mitarbeiter!$F$21,(LEN(TRIM(Mitarbeiter!$E$21))-LEN(SUBSTITUTE(TRIM(Mitarbeiter!$E$21)," ",""))+1))+1)-1)*99+1,99))="-","",TRIM(MID(SUBSTITUTE(TRIM(Mitarbeiter!$E$21)," ",REPT(" ",99)),((MOD(G$5-Mitarbeiter!$F$21,(LEN(TRIM(Mitarbeiter!$E$21))-LEN(SUBSTITUTE(TRIM(Mitarbeiter!$E$21)," ",""))+1))+1)-1)*99+1,99))))</f>
      </c>
      <c r="H22" s="54">
        <f>IF(OR($A22="",H$5="",TRIM(Mitarbeiter!$E$21)="",NOT(ISNUMBER(Mitarbeiter!$F$21))),"",IF(TRIM(MID(SUBSTITUTE(TRIM(Mitarbeiter!$E$21)," ",REPT(" ",99)),((MOD(H$5-Mitarbeiter!$F$21,(LEN(TRIM(Mitarbeiter!$E$21))-LEN(SUBSTITUTE(TRIM(Mitarbeiter!$E$21)," ",""))+1))+1)-1)*99+1,99))="-","",TRIM(MID(SUBSTITUTE(TRIM(Mitarbeiter!$E$21)," ",REPT(" ",99)),((MOD(H$5-Mitarbeiter!$F$21,(LEN(TRIM(Mitarbeiter!$E$21))-LEN(SUBSTITUTE(TRIM(Mitarbeiter!$E$21)," ",""))+1))+1)-1)*99+1,99))))</f>
      </c>
      <c r="I22" s="54">
        <f>IF(OR($A22="",I$5="",TRIM(Mitarbeiter!$E$21)="",NOT(ISNUMBER(Mitarbeiter!$F$21))),"",IF(TRIM(MID(SUBSTITUTE(TRIM(Mitarbeiter!$E$21)," ",REPT(" ",99)),((MOD(I$5-Mitarbeiter!$F$21,(LEN(TRIM(Mitarbeiter!$E$21))-LEN(SUBSTITUTE(TRIM(Mitarbeiter!$E$21)," ",""))+1))+1)-1)*99+1,99))="-","",TRIM(MID(SUBSTITUTE(TRIM(Mitarbeiter!$E$21)," ",REPT(" ",99)),((MOD(I$5-Mitarbeiter!$F$21,(LEN(TRIM(Mitarbeiter!$E$21))-LEN(SUBSTITUTE(TRIM(Mitarbeiter!$E$21)," ",""))+1))+1)-1)*99+1,99))))</f>
      </c>
      <c r="J22" s="54">
        <f>IF(OR($A22="",J$5="",TRIM(Mitarbeiter!$E$21)="",NOT(ISNUMBER(Mitarbeiter!$F$21))),"",IF(TRIM(MID(SUBSTITUTE(TRIM(Mitarbeiter!$E$21)," ",REPT(" ",99)),((MOD(J$5-Mitarbeiter!$F$21,(LEN(TRIM(Mitarbeiter!$E$21))-LEN(SUBSTITUTE(TRIM(Mitarbeiter!$E$21)," ",""))+1))+1)-1)*99+1,99))="-","",TRIM(MID(SUBSTITUTE(TRIM(Mitarbeiter!$E$21)," ",REPT(" ",99)),((MOD(J$5-Mitarbeiter!$F$21,(LEN(TRIM(Mitarbeiter!$E$21))-LEN(SUBSTITUTE(TRIM(Mitarbeiter!$E$21)," ",""))+1))+1)-1)*99+1,99))))</f>
      </c>
      <c r="K22" s="54">
        <f>IF(OR($A22="",K$5="",TRIM(Mitarbeiter!$E$21)="",NOT(ISNUMBER(Mitarbeiter!$F$21))),"",IF(TRIM(MID(SUBSTITUTE(TRIM(Mitarbeiter!$E$21)," ",REPT(" ",99)),((MOD(K$5-Mitarbeiter!$F$21,(LEN(TRIM(Mitarbeiter!$E$21))-LEN(SUBSTITUTE(TRIM(Mitarbeiter!$E$21)," ",""))+1))+1)-1)*99+1,99))="-","",TRIM(MID(SUBSTITUTE(TRIM(Mitarbeiter!$E$21)," ",REPT(" ",99)),((MOD(K$5-Mitarbeiter!$F$21,(LEN(TRIM(Mitarbeiter!$E$21))-LEN(SUBSTITUTE(TRIM(Mitarbeiter!$E$21)," ",""))+1))+1)-1)*99+1,99))))</f>
      </c>
      <c r="L22" s="54">
        <f>IF(OR($A22="",L$5="",TRIM(Mitarbeiter!$E$21)="",NOT(ISNUMBER(Mitarbeiter!$F$21))),"",IF(TRIM(MID(SUBSTITUTE(TRIM(Mitarbeiter!$E$21)," ",REPT(" ",99)),((MOD(L$5-Mitarbeiter!$F$21,(LEN(TRIM(Mitarbeiter!$E$21))-LEN(SUBSTITUTE(TRIM(Mitarbeiter!$E$21)," ",""))+1))+1)-1)*99+1,99))="-","",TRIM(MID(SUBSTITUTE(TRIM(Mitarbeiter!$E$21)," ",REPT(" ",99)),((MOD(L$5-Mitarbeiter!$F$21,(LEN(TRIM(Mitarbeiter!$E$21))-LEN(SUBSTITUTE(TRIM(Mitarbeiter!$E$21)," ",""))+1))+1)-1)*99+1,99))))</f>
      </c>
      <c r="M22" s="54">
        <f>IF(OR($A22="",M$5="",TRIM(Mitarbeiter!$E$21)="",NOT(ISNUMBER(Mitarbeiter!$F$21))),"",IF(TRIM(MID(SUBSTITUTE(TRIM(Mitarbeiter!$E$21)," ",REPT(" ",99)),((MOD(M$5-Mitarbeiter!$F$21,(LEN(TRIM(Mitarbeiter!$E$21))-LEN(SUBSTITUTE(TRIM(Mitarbeiter!$E$21)," ",""))+1))+1)-1)*99+1,99))="-","",TRIM(MID(SUBSTITUTE(TRIM(Mitarbeiter!$E$21)," ",REPT(" ",99)),((MOD(M$5-Mitarbeiter!$F$21,(LEN(TRIM(Mitarbeiter!$E$21))-LEN(SUBSTITUTE(TRIM(Mitarbeiter!$E$21)," ",""))+1))+1)-1)*99+1,99))))</f>
      </c>
      <c r="N22" s="54">
        <f>IF(OR($A22="",N$5="",TRIM(Mitarbeiter!$E$21)="",NOT(ISNUMBER(Mitarbeiter!$F$21))),"",IF(TRIM(MID(SUBSTITUTE(TRIM(Mitarbeiter!$E$21)," ",REPT(" ",99)),((MOD(N$5-Mitarbeiter!$F$21,(LEN(TRIM(Mitarbeiter!$E$21))-LEN(SUBSTITUTE(TRIM(Mitarbeiter!$E$21)," ",""))+1))+1)-1)*99+1,99))="-","",TRIM(MID(SUBSTITUTE(TRIM(Mitarbeiter!$E$21)," ",REPT(" ",99)),((MOD(N$5-Mitarbeiter!$F$21,(LEN(TRIM(Mitarbeiter!$E$21))-LEN(SUBSTITUTE(TRIM(Mitarbeiter!$E$21)," ",""))+1))+1)-1)*99+1,99))))</f>
      </c>
      <c r="O22" s="54">
        <f>IF(OR($A22="",O$5="",TRIM(Mitarbeiter!$E$21)="",NOT(ISNUMBER(Mitarbeiter!$F$21))),"",IF(TRIM(MID(SUBSTITUTE(TRIM(Mitarbeiter!$E$21)," ",REPT(" ",99)),((MOD(O$5-Mitarbeiter!$F$21,(LEN(TRIM(Mitarbeiter!$E$21))-LEN(SUBSTITUTE(TRIM(Mitarbeiter!$E$21)," ",""))+1))+1)-1)*99+1,99))="-","",TRIM(MID(SUBSTITUTE(TRIM(Mitarbeiter!$E$21)," ",REPT(" ",99)),((MOD(O$5-Mitarbeiter!$F$21,(LEN(TRIM(Mitarbeiter!$E$21))-LEN(SUBSTITUTE(TRIM(Mitarbeiter!$E$21)," ",""))+1))+1)-1)*99+1,99))))</f>
      </c>
      <c r="P22" s="54">
        <f>IF(OR($A22="",P$5="",TRIM(Mitarbeiter!$E$21)="",NOT(ISNUMBER(Mitarbeiter!$F$21))),"",IF(TRIM(MID(SUBSTITUTE(TRIM(Mitarbeiter!$E$21)," ",REPT(" ",99)),((MOD(P$5-Mitarbeiter!$F$21,(LEN(TRIM(Mitarbeiter!$E$21))-LEN(SUBSTITUTE(TRIM(Mitarbeiter!$E$21)," ",""))+1))+1)-1)*99+1,99))="-","",TRIM(MID(SUBSTITUTE(TRIM(Mitarbeiter!$E$21)," ",REPT(" ",99)),((MOD(P$5-Mitarbeiter!$F$21,(LEN(TRIM(Mitarbeiter!$E$21))-LEN(SUBSTITUTE(TRIM(Mitarbeiter!$E$21)," ",""))+1))+1)-1)*99+1,99))))</f>
      </c>
      <c r="Q22" s="54">
        <f>IF(OR($A22="",Q$5="",TRIM(Mitarbeiter!$E$21)="",NOT(ISNUMBER(Mitarbeiter!$F$21))),"",IF(TRIM(MID(SUBSTITUTE(TRIM(Mitarbeiter!$E$21)," ",REPT(" ",99)),((MOD(Q$5-Mitarbeiter!$F$21,(LEN(TRIM(Mitarbeiter!$E$21))-LEN(SUBSTITUTE(TRIM(Mitarbeiter!$E$21)," ",""))+1))+1)-1)*99+1,99))="-","",TRIM(MID(SUBSTITUTE(TRIM(Mitarbeiter!$E$21)," ",REPT(" ",99)),((MOD(Q$5-Mitarbeiter!$F$21,(LEN(TRIM(Mitarbeiter!$E$21))-LEN(SUBSTITUTE(TRIM(Mitarbeiter!$E$21)," ",""))+1))+1)-1)*99+1,99))))</f>
      </c>
      <c r="R22" s="54">
        <f>IF(OR($A22="",R$5="",TRIM(Mitarbeiter!$E$21)="",NOT(ISNUMBER(Mitarbeiter!$F$21))),"",IF(TRIM(MID(SUBSTITUTE(TRIM(Mitarbeiter!$E$21)," ",REPT(" ",99)),((MOD(R$5-Mitarbeiter!$F$21,(LEN(TRIM(Mitarbeiter!$E$21))-LEN(SUBSTITUTE(TRIM(Mitarbeiter!$E$21)," ",""))+1))+1)-1)*99+1,99))="-","",TRIM(MID(SUBSTITUTE(TRIM(Mitarbeiter!$E$21)," ",REPT(" ",99)),((MOD(R$5-Mitarbeiter!$F$21,(LEN(TRIM(Mitarbeiter!$E$21))-LEN(SUBSTITUTE(TRIM(Mitarbeiter!$E$21)," ",""))+1))+1)-1)*99+1,99))))</f>
      </c>
      <c r="S22" s="54">
        <f>IF(OR($A22="",S$5="",TRIM(Mitarbeiter!$E$21)="",NOT(ISNUMBER(Mitarbeiter!$F$21))),"",IF(TRIM(MID(SUBSTITUTE(TRIM(Mitarbeiter!$E$21)," ",REPT(" ",99)),((MOD(S$5-Mitarbeiter!$F$21,(LEN(TRIM(Mitarbeiter!$E$21))-LEN(SUBSTITUTE(TRIM(Mitarbeiter!$E$21)," ",""))+1))+1)-1)*99+1,99))="-","",TRIM(MID(SUBSTITUTE(TRIM(Mitarbeiter!$E$21)," ",REPT(" ",99)),((MOD(S$5-Mitarbeiter!$F$21,(LEN(TRIM(Mitarbeiter!$E$21))-LEN(SUBSTITUTE(TRIM(Mitarbeiter!$E$21)," ",""))+1))+1)-1)*99+1,99))))</f>
      </c>
      <c r="T22" s="54">
        <f>IF(OR($A22="",T$5="",TRIM(Mitarbeiter!$E$21)="",NOT(ISNUMBER(Mitarbeiter!$F$21))),"",IF(TRIM(MID(SUBSTITUTE(TRIM(Mitarbeiter!$E$21)," ",REPT(" ",99)),((MOD(T$5-Mitarbeiter!$F$21,(LEN(TRIM(Mitarbeiter!$E$21))-LEN(SUBSTITUTE(TRIM(Mitarbeiter!$E$21)," ",""))+1))+1)-1)*99+1,99))="-","",TRIM(MID(SUBSTITUTE(TRIM(Mitarbeiter!$E$21)," ",REPT(" ",99)),((MOD(T$5-Mitarbeiter!$F$21,(LEN(TRIM(Mitarbeiter!$E$21))-LEN(SUBSTITUTE(TRIM(Mitarbeiter!$E$21)," ",""))+1))+1)-1)*99+1,99))))</f>
      </c>
      <c r="U22" s="54">
        <f>IF(OR($A22="",U$5="",TRIM(Mitarbeiter!$E$21)="",NOT(ISNUMBER(Mitarbeiter!$F$21))),"",IF(TRIM(MID(SUBSTITUTE(TRIM(Mitarbeiter!$E$21)," ",REPT(" ",99)),((MOD(U$5-Mitarbeiter!$F$21,(LEN(TRIM(Mitarbeiter!$E$21))-LEN(SUBSTITUTE(TRIM(Mitarbeiter!$E$21)," ",""))+1))+1)-1)*99+1,99))="-","",TRIM(MID(SUBSTITUTE(TRIM(Mitarbeiter!$E$21)," ",REPT(" ",99)),((MOD(U$5-Mitarbeiter!$F$21,(LEN(TRIM(Mitarbeiter!$E$21))-LEN(SUBSTITUTE(TRIM(Mitarbeiter!$E$21)," ",""))+1))+1)-1)*99+1,99))))</f>
      </c>
      <c r="V22" s="54">
        <f>IF(OR($A22="",V$5="",TRIM(Mitarbeiter!$E$21)="",NOT(ISNUMBER(Mitarbeiter!$F$21))),"",IF(TRIM(MID(SUBSTITUTE(TRIM(Mitarbeiter!$E$21)," ",REPT(" ",99)),((MOD(V$5-Mitarbeiter!$F$21,(LEN(TRIM(Mitarbeiter!$E$21))-LEN(SUBSTITUTE(TRIM(Mitarbeiter!$E$21)," ",""))+1))+1)-1)*99+1,99))="-","",TRIM(MID(SUBSTITUTE(TRIM(Mitarbeiter!$E$21)," ",REPT(" ",99)),((MOD(V$5-Mitarbeiter!$F$21,(LEN(TRIM(Mitarbeiter!$E$21))-LEN(SUBSTITUTE(TRIM(Mitarbeiter!$E$21)," ",""))+1))+1)-1)*99+1,99))))</f>
      </c>
      <c r="W22" s="54">
        <f>IF(OR($A22="",W$5="",TRIM(Mitarbeiter!$E$21)="",NOT(ISNUMBER(Mitarbeiter!$F$21))),"",IF(TRIM(MID(SUBSTITUTE(TRIM(Mitarbeiter!$E$21)," ",REPT(" ",99)),((MOD(W$5-Mitarbeiter!$F$21,(LEN(TRIM(Mitarbeiter!$E$21))-LEN(SUBSTITUTE(TRIM(Mitarbeiter!$E$21)," ",""))+1))+1)-1)*99+1,99))="-","",TRIM(MID(SUBSTITUTE(TRIM(Mitarbeiter!$E$21)," ",REPT(" ",99)),((MOD(W$5-Mitarbeiter!$F$21,(LEN(TRIM(Mitarbeiter!$E$21))-LEN(SUBSTITUTE(TRIM(Mitarbeiter!$E$21)," ",""))+1))+1)-1)*99+1,99))))</f>
      </c>
      <c r="X22" s="54">
        <f>IF(OR($A22="",X$5="",TRIM(Mitarbeiter!$E$21)="",NOT(ISNUMBER(Mitarbeiter!$F$21))),"",IF(TRIM(MID(SUBSTITUTE(TRIM(Mitarbeiter!$E$21)," ",REPT(" ",99)),((MOD(X$5-Mitarbeiter!$F$21,(LEN(TRIM(Mitarbeiter!$E$21))-LEN(SUBSTITUTE(TRIM(Mitarbeiter!$E$21)," ",""))+1))+1)-1)*99+1,99))="-","",TRIM(MID(SUBSTITUTE(TRIM(Mitarbeiter!$E$21)," ",REPT(" ",99)),((MOD(X$5-Mitarbeiter!$F$21,(LEN(TRIM(Mitarbeiter!$E$21))-LEN(SUBSTITUTE(TRIM(Mitarbeiter!$E$21)," ",""))+1))+1)-1)*99+1,99))))</f>
      </c>
      <c r="Y22" s="54">
        <f>IF(OR($A22="",Y$5="",TRIM(Mitarbeiter!$E$21)="",NOT(ISNUMBER(Mitarbeiter!$F$21))),"",IF(TRIM(MID(SUBSTITUTE(TRIM(Mitarbeiter!$E$21)," ",REPT(" ",99)),((MOD(Y$5-Mitarbeiter!$F$21,(LEN(TRIM(Mitarbeiter!$E$21))-LEN(SUBSTITUTE(TRIM(Mitarbeiter!$E$21)," ",""))+1))+1)-1)*99+1,99))="-","",TRIM(MID(SUBSTITUTE(TRIM(Mitarbeiter!$E$21)," ",REPT(" ",99)),((MOD(Y$5-Mitarbeiter!$F$21,(LEN(TRIM(Mitarbeiter!$E$21))-LEN(SUBSTITUTE(TRIM(Mitarbeiter!$E$21)," ",""))+1))+1)-1)*99+1,99))))</f>
      </c>
      <c r="Z22" s="54">
        <f>IF(OR($A22="",Z$5="",TRIM(Mitarbeiter!$E$21)="",NOT(ISNUMBER(Mitarbeiter!$F$21))),"",IF(TRIM(MID(SUBSTITUTE(TRIM(Mitarbeiter!$E$21)," ",REPT(" ",99)),((MOD(Z$5-Mitarbeiter!$F$21,(LEN(TRIM(Mitarbeiter!$E$21))-LEN(SUBSTITUTE(TRIM(Mitarbeiter!$E$21)," ",""))+1))+1)-1)*99+1,99))="-","",TRIM(MID(SUBSTITUTE(TRIM(Mitarbeiter!$E$21)," ",REPT(" ",99)),((MOD(Z$5-Mitarbeiter!$F$21,(LEN(TRIM(Mitarbeiter!$E$21))-LEN(SUBSTITUTE(TRIM(Mitarbeiter!$E$21)," ",""))+1))+1)-1)*99+1,99))))</f>
      </c>
      <c r="AA22" s="54">
        <f>IF(OR($A22="",AA$5="",TRIM(Mitarbeiter!$E$21)="",NOT(ISNUMBER(Mitarbeiter!$F$21))),"",IF(TRIM(MID(SUBSTITUTE(TRIM(Mitarbeiter!$E$21)," ",REPT(" ",99)),((MOD(AA$5-Mitarbeiter!$F$21,(LEN(TRIM(Mitarbeiter!$E$21))-LEN(SUBSTITUTE(TRIM(Mitarbeiter!$E$21)," ",""))+1))+1)-1)*99+1,99))="-","",TRIM(MID(SUBSTITUTE(TRIM(Mitarbeiter!$E$21)," ",REPT(" ",99)),((MOD(AA$5-Mitarbeiter!$F$21,(LEN(TRIM(Mitarbeiter!$E$21))-LEN(SUBSTITUTE(TRIM(Mitarbeiter!$E$21)," ",""))+1))+1)-1)*99+1,99))))</f>
      </c>
      <c r="AB22" s="54">
        <f>IF(OR($A22="",AB$5="",TRIM(Mitarbeiter!$E$21)="",NOT(ISNUMBER(Mitarbeiter!$F$21))),"",IF(TRIM(MID(SUBSTITUTE(TRIM(Mitarbeiter!$E$21)," ",REPT(" ",99)),((MOD(AB$5-Mitarbeiter!$F$21,(LEN(TRIM(Mitarbeiter!$E$21))-LEN(SUBSTITUTE(TRIM(Mitarbeiter!$E$21)," ",""))+1))+1)-1)*99+1,99))="-","",TRIM(MID(SUBSTITUTE(TRIM(Mitarbeiter!$E$21)," ",REPT(" ",99)),((MOD(AB$5-Mitarbeiter!$F$21,(LEN(TRIM(Mitarbeiter!$E$21))-LEN(SUBSTITUTE(TRIM(Mitarbeiter!$E$21)," ",""))+1))+1)-1)*99+1,99))))</f>
      </c>
      <c r="AC22" s="54">
        <f>IF(OR($A22="",AC$5="",TRIM(Mitarbeiter!$E$21)="",NOT(ISNUMBER(Mitarbeiter!$F$21))),"",IF(TRIM(MID(SUBSTITUTE(TRIM(Mitarbeiter!$E$21)," ",REPT(" ",99)),((MOD(AC$5-Mitarbeiter!$F$21,(LEN(TRIM(Mitarbeiter!$E$21))-LEN(SUBSTITUTE(TRIM(Mitarbeiter!$E$21)," ",""))+1))+1)-1)*99+1,99))="-","",TRIM(MID(SUBSTITUTE(TRIM(Mitarbeiter!$E$21)," ",REPT(" ",99)),((MOD(AC$5-Mitarbeiter!$F$21,(LEN(TRIM(Mitarbeiter!$E$21))-LEN(SUBSTITUTE(TRIM(Mitarbeiter!$E$21)," ",""))+1))+1)-1)*99+1,99))))</f>
      </c>
      <c r="AD22" s="54">
        <f>IF(OR($A22="",AD$5="",TRIM(Mitarbeiter!$E$21)="",NOT(ISNUMBER(Mitarbeiter!$F$21))),"",IF(TRIM(MID(SUBSTITUTE(TRIM(Mitarbeiter!$E$21)," ",REPT(" ",99)),((MOD(AD$5-Mitarbeiter!$F$21,(LEN(TRIM(Mitarbeiter!$E$21))-LEN(SUBSTITUTE(TRIM(Mitarbeiter!$E$21)," ",""))+1))+1)-1)*99+1,99))="-","",TRIM(MID(SUBSTITUTE(TRIM(Mitarbeiter!$E$21)," ",REPT(" ",99)),((MOD(AD$5-Mitarbeiter!$F$21,(LEN(TRIM(Mitarbeiter!$E$21))-LEN(SUBSTITUTE(TRIM(Mitarbeiter!$E$21)," ",""))+1))+1)-1)*99+1,99))))</f>
      </c>
      <c r="AE22" s="54">
        <f>IF(OR($A22="",AE$5="",TRIM(Mitarbeiter!$E$21)="",NOT(ISNUMBER(Mitarbeiter!$F$21))),"",IF(TRIM(MID(SUBSTITUTE(TRIM(Mitarbeiter!$E$21)," ",REPT(" ",99)),((MOD(AE$5-Mitarbeiter!$F$21,(LEN(TRIM(Mitarbeiter!$E$21))-LEN(SUBSTITUTE(TRIM(Mitarbeiter!$E$21)," ",""))+1))+1)-1)*99+1,99))="-","",TRIM(MID(SUBSTITUTE(TRIM(Mitarbeiter!$E$21)," ",REPT(" ",99)),((MOD(AE$5-Mitarbeiter!$F$21,(LEN(TRIM(Mitarbeiter!$E$21))-LEN(SUBSTITUTE(TRIM(Mitarbeiter!$E$21)," ",""))+1))+1)-1)*99+1,99))))</f>
      </c>
      <c r="AF22" s="54">
        <f>IF(OR($A22="",AF$5="",TRIM(Mitarbeiter!$E$21)="",NOT(ISNUMBER(Mitarbeiter!$F$21))),"",IF(TRIM(MID(SUBSTITUTE(TRIM(Mitarbeiter!$E$21)," ",REPT(" ",99)),((MOD(AF$5-Mitarbeiter!$F$21,(LEN(TRIM(Mitarbeiter!$E$21))-LEN(SUBSTITUTE(TRIM(Mitarbeiter!$E$21)," ",""))+1))+1)-1)*99+1,99))="-","",TRIM(MID(SUBSTITUTE(TRIM(Mitarbeiter!$E$21)," ",REPT(" ",99)),((MOD(AF$5-Mitarbeiter!$F$21,(LEN(TRIM(Mitarbeiter!$E$21))-LEN(SUBSTITUTE(TRIM(Mitarbeiter!$E$21)," ",""))+1))+1)-1)*99+1,99))))</f>
      </c>
      <c r="AG22" s="55">
        <f>IF(OR($A22="",TRIM(Mitarbeiter!$E$21)=""),"",IF(NOT(ISNUMBER(Mitarbeiter!$F$21)),"Rhythmus ab: Datum fehlt",IF(COUNTIF(B22:AF22,"?*")-SUMPRODUCT(COUNTIF(B22:AF22,Codes)*(Codes&lt;&gt;"")*Erste)&gt;0,"Rhythmus enthält ein unbekanntes Kürzel","")))</f>
      </c>
    </row>
    <row r="23" spans="1:33" x14ac:dyDescent="0.25">
      <c r="A23" s="49">
        <f>Mitarbeiter!$A$22&amp;""</f>
      </c>
      <c r="B23" s="54">
        <f>IF(OR($A23="",B$5="",TRIM(Mitarbeiter!$E$22)="",NOT(ISNUMBER(Mitarbeiter!$F$22))),"",IF(TRIM(MID(SUBSTITUTE(TRIM(Mitarbeiter!$E$22)," ",REPT(" ",99)),((MOD(B$5-Mitarbeiter!$F$22,(LEN(TRIM(Mitarbeiter!$E$22))-LEN(SUBSTITUTE(TRIM(Mitarbeiter!$E$22)," ",""))+1))+1)-1)*99+1,99))="-","",TRIM(MID(SUBSTITUTE(TRIM(Mitarbeiter!$E$22)," ",REPT(" ",99)),((MOD(B$5-Mitarbeiter!$F$22,(LEN(TRIM(Mitarbeiter!$E$22))-LEN(SUBSTITUTE(TRIM(Mitarbeiter!$E$22)," ",""))+1))+1)-1)*99+1,99))))</f>
      </c>
      <c r="C23" s="54">
        <f>IF(OR($A23="",C$5="",TRIM(Mitarbeiter!$E$22)="",NOT(ISNUMBER(Mitarbeiter!$F$22))),"",IF(TRIM(MID(SUBSTITUTE(TRIM(Mitarbeiter!$E$22)," ",REPT(" ",99)),((MOD(C$5-Mitarbeiter!$F$22,(LEN(TRIM(Mitarbeiter!$E$22))-LEN(SUBSTITUTE(TRIM(Mitarbeiter!$E$22)," ",""))+1))+1)-1)*99+1,99))="-","",TRIM(MID(SUBSTITUTE(TRIM(Mitarbeiter!$E$22)," ",REPT(" ",99)),((MOD(C$5-Mitarbeiter!$F$22,(LEN(TRIM(Mitarbeiter!$E$22))-LEN(SUBSTITUTE(TRIM(Mitarbeiter!$E$22)," ",""))+1))+1)-1)*99+1,99))))</f>
      </c>
      <c r="D23" s="54">
        <f>IF(OR($A23="",D$5="",TRIM(Mitarbeiter!$E$22)="",NOT(ISNUMBER(Mitarbeiter!$F$22))),"",IF(TRIM(MID(SUBSTITUTE(TRIM(Mitarbeiter!$E$22)," ",REPT(" ",99)),((MOD(D$5-Mitarbeiter!$F$22,(LEN(TRIM(Mitarbeiter!$E$22))-LEN(SUBSTITUTE(TRIM(Mitarbeiter!$E$22)," ",""))+1))+1)-1)*99+1,99))="-","",TRIM(MID(SUBSTITUTE(TRIM(Mitarbeiter!$E$22)," ",REPT(" ",99)),((MOD(D$5-Mitarbeiter!$F$22,(LEN(TRIM(Mitarbeiter!$E$22))-LEN(SUBSTITUTE(TRIM(Mitarbeiter!$E$22)," ",""))+1))+1)-1)*99+1,99))))</f>
      </c>
      <c r="E23" s="54">
        <f>IF(OR($A23="",E$5="",TRIM(Mitarbeiter!$E$22)="",NOT(ISNUMBER(Mitarbeiter!$F$22))),"",IF(TRIM(MID(SUBSTITUTE(TRIM(Mitarbeiter!$E$22)," ",REPT(" ",99)),((MOD(E$5-Mitarbeiter!$F$22,(LEN(TRIM(Mitarbeiter!$E$22))-LEN(SUBSTITUTE(TRIM(Mitarbeiter!$E$22)," ",""))+1))+1)-1)*99+1,99))="-","",TRIM(MID(SUBSTITUTE(TRIM(Mitarbeiter!$E$22)," ",REPT(" ",99)),((MOD(E$5-Mitarbeiter!$F$22,(LEN(TRIM(Mitarbeiter!$E$22))-LEN(SUBSTITUTE(TRIM(Mitarbeiter!$E$22)," ",""))+1))+1)-1)*99+1,99))))</f>
      </c>
      <c r="F23" s="54">
        <f>IF(OR($A23="",F$5="",TRIM(Mitarbeiter!$E$22)="",NOT(ISNUMBER(Mitarbeiter!$F$22))),"",IF(TRIM(MID(SUBSTITUTE(TRIM(Mitarbeiter!$E$22)," ",REPT(" ",99)),((MOD(F$5-Mitarbeiter!$F$22,(LEN(TRIM(Mitarbeiter!$E$22))-LEN(SUBSTITUTE(TRIM(Mitarbeiter!$E$22)," ",""))+1))+1)-1)*99+1,99))="-","",TRIM(MID(SUBSTITUTE(TRIM(Mitarbeiter!$E$22)," ",REPT(" ",99)),((MOD(F$5-Mitarbeiter!$F$22,(LEN(TRIM(Mitarbeiter!$E$22))-LEN(SUBSTITUTE(TRIM(Mitarbeiter!$E$22)," ",""))+1))+1)-1)*99+1,99))))</f>
      </c>
      <c r="G23" s="54">
        <f>IF(OR($A23="",G$5="",TRIM(Mitarbeiter!$E$22)="",NOT(ISNUMBER(Mitarbeiter!$F$22))),"",IF(TRIM(MID(SUBSTITUTE(TRIM(Mitarbeiter!$E$22)," ",REPT(" ",99)),((MOD(G$5-Mitarbeiter!$F$22,(LEN(TRIM(Mitarbeiter!$E$22))-LEN(SUBSTITUTE(TRIM(Mitarbeiter!$E$22)," ",""))+1))+1)-1)*99+1,99))="-","",TRIM(MID(SUBSTITUTE(TRIM(Mitarbeiter!$E$22)," ",REPT(" ",99)),((MOD(G$5-Mitarbeiter!$F$22,(LEN(TRIM(Mitarbeiter!$E$22))-LEN(SUBSTITUTE(TRIM(Mitarbeiter!$E$22)," ",""))+1))+1)-1)*99+1,99))))</f>
      </c>
      <c r="H23" s="54">
        <f>IF(OR($A23="",H$5="",TRIM(Mitarbeiter!$E$22)="",NOT(ISNUMBER(Mitarbeiter!$F$22))),"",IF(TRIM(MID(SUBSTITUTE(TRIM(Mitarbeiter!$E$22)," ",REPT(" ",99)),((MOD(H$5-Mitarbeiter!$F$22,(LEN(TRIM(Mitarbeiter!$E$22))-LEN(SUBSTITUTE(TRIM(Mitarbeiter!$E$22)," ",""))+1))+1)-1)*99+1,99))="-","",TRIM(MID(SUBSTITUTE(TRIM(Mitarbeiter!$E$22)," ",REPT(" ",99)),((MOD(H$5-Mitarbeiter!$F$22,(LEN(TRIM(Mitarbeiter!$E$22))-LEN(SUBSTITUTE(TRIM(Mitarbeiter!$E$22)," ",""))+1))+1)-1)*99+1,99))))</f>
      </c>
      <c r="I23" s="54">
        <f>IF(OR($A23="",I$5="",TRIM(Mitarbeiter!$E$22)="",NOT(ISNUMBER(Mitarbeiter!$F$22))),"",IF(TRIM(MID(SUBSTITUTE(TRIM(Mitarbeiter!$E$22)," ",REPT(" ",99)),((MOD(I$5-Mitarbeiter!$F$22,(LEN(TRIM(Mitarbeiter!$E$22))-LEN(SUBSTITUTE(TRIM(Mitarbeiter!$E$22)," ",""))+1))+1)-1)*99+1,99))="-","",TRIM(MID(SUBSTITUTE(TRIM(Mitarbeiter!$E$22)," ",REPT(" ",99)),((MOD(I$5-Mitarbeiter!$F$22,(LEN(TRIM(Mitarbeiter!$E$22))-LEN(SUBSTITUTE(TRIM(Mitarbeiter!$E$22)," ",""))+1))+1)-1)*99+1,99))))</f>
      </c>
      <c r="J23" s="54">
        <f>IF(OR($A23="",J$5="",TRIM(Mitarbeiter!$E$22)="",NOT(ISNUMBER(Mitarbeiter!$F$22))),"",IF(TRIM(MID(SUBSTITUTE(TRIM(Mitarbeiter!$E$22)," ",REPT(" ",99)),((MOD(J$5-Mitarbeiter!$F$22,(LEN(TRIM(Mitarbeiter!$E$22))-LEN(SUBSTITUTE(TRIM(Mitarbeiter!$E$22)," ",""))+1))+1)-1)*99+1,99))="-","",TRIM(MID(SUBSTITUTE(TRIM(Mitarbeiter!$E$22)," ",REPT(" ",99)),((MOD(J$5-Mitarbeiter!$F$22,(LEN(TRIM(Mitarbeiter!$E$22))-LEN(SUBSTITUTE(TRIM(Mitarbeiter!$E$22)," ",""))+1))+1)-1)*99+1,99))))</f>
      </c>
      <c r="K23" s="54">
        <f>IF(OR($A23="",K$5="",TRIM(Mitarbeiter!$E$22)="",NOT(ISNUMBER(Mitarbeiter!$F$22))),"",IF(TRIM(MID(SUBSTITUTE(TRIM(Mitarbeiter!$E$22)," ",REPT(" ",99)),((MOD(K$5-Mitarbeiter!$F$22,(LEN(TRIM(Mitarbeiter!$E$22))-LEN(SUBSTITUTE(TRIM(Mitarbeiter!$E$22)," ",""))+1))+1)-1)*99+1,99))="-","",TRIM(MID(SUBSTITUTE(TRIM(Mitarbeiter!$E$22)," ",REPT(" ",99)),((MOD(K$5-Mitarbeiter!$F$22,(LEN(TRIM(Mitarbeiter!$E$22))-LEN(SUBSTITUTE(TRIM(Mitarbeiter!$E$22)," ",""))+1))+1)-1)*99+1,99))))</f>
      </c>
      <c r="L23" s="54">
        <f>IF(OR($A23="",L$5="",TRIM(Mitarbeiter!$E$22)="",NOT(ISNUMBER(Mitarbeiter!$F$22))),"",IF(TRIM(MID(SUBSTITUTE(TRIM(Mitarbeiter!$E$22)," ",REPT(" ",99)),((MOD(L$5-Mitarbeiter!$F$22,(LEN(TRIM(Mitarbeiter!$E$22))-LEN(SUBSTITUTE(TRIM(Mitarbeiter!$E$22)," ",""))+1))+1)-1)*99+1,99))="-","",TRIM(MID(SUBSTITUTE(TRIM(Mitarbeiter!$E$22)," ",REPT(" ",99)),((MOD(L$5-Mitarbeiter!$F$22,(LEN(TRIM(Mitarbeiter!$E$22))-LEN(SUBSTITUTE(TRIM(Mitarbeiter!$E$22)," ",""))+1))+1)-1)*99+1,99))))</f>
      </c>
      <c r="M23" s="54">
        <f>IF(OR($A23="",M$5="",TRIM(Mitarbeiter!$E$22)="",NOT(ISNUMBER(Mitarbeiter!$F$22))),"",IF(TRIM(MID(SUBSTITUTE(TRIM(Mitarbeiter!$E$22)," ",REPT(" ",99)),((MOD(M$5-Mitarbeiter!$F$22,(LEN(TRIM(Mitarbeiter!$E$22))-LEN(SUBSTITUTE(TRIM(Mitarbeiter!$E$22)," ",""))+1))+1)-1)*99+1,99))="-","",TRIM(MID(SUBSTITUTE(TRIM(Mitarbeiter!$E$22)," ",REPT(" ",99)),((MOD(M$5-Mitarbeiter!$F$22,(LEN(TRIM(Mitarbeiter!$E$22))-LEN(SUBSTITUTE(TRIM(Mitarbeiter!$E$22)," ",""))+1))+1)-1)*99+1,99))))</f>
      </c>
      <c r="N23" s="54">
        <f>IF(OR($A23="",N$5="",TRIM(Mitarbeiter!$E$22)="",NOT(ISNUMBER(Mitarbeiter!$F$22))),"",IF(TRIM(MID(SUBSTITUTE(TRIM(Mitarbeiter!$E$22)," ",REPT(" ",99)),((MOD(N$5-Mitarbeiter!$F$22,(LEN(TRIM(Mitarbeiter!$E$22))-LEN(SUBSTITUTE(TRIM(Mitarbeiter!$E$22)," ",""))+1))+1)-1)*99+1,99))="-","",TRIM(MID(SUBSTITUTE(TRIM(Mitarbeiter!$E$22)," ",REPT(" ",99)),((MOD(N$5-Mitarbeiter!$F$22,(LEN(TRIM(Mitarbeiter!$E$22))-LEN(SUBSTITUTE(TRIM(Mitarbeiter!$E$22)," ",""))+1))+1)-1)*99+1,99))))</f>
      </c>
      <c r="O23" s="54">
        <f>IF(OR($A23="",O$5="",TRIM(Mitarbeiter!$E$22)="",NOT(ISNUMBER(Mitarbeiter!$F$22))),"",IF(TRIM(MID(SUBSTITUTE(TRIM(Mitarbeiter!$E$22)," ",REPT(" ",99)),((MOD(O$5-Mitarbeiter!$F$22,(LEN(TRIM(Mitarbeiter!$E$22))-LEN(SUBSTITUTE(TRIM(Mitarbeiter!$E$22)," ",""))+1))+1)-1)*99+1,99))="-","",TRIM(MID(SUBSTITUTE(TRIM(Mitarbeiter!$E$22)," ",REPT(" ",99)),((MOD(O$5-Mitarbeiter!$F$22,(LEN(TRIM(Mitarbeiter!$E$22))-LEN(SUBSTITUTE(TRIM(Mitarbeiter!$E$22)," ",""))+1))+1)-1)*99+1,99))))</f>
      </c>
      <c r="P23" s="54">
        <f>IF(OR($A23="",P$5="",TRIM(Mitarbeiter!$E$22)="",NOT(ISNUMBER(Mitarbeiter!$F$22))),"",IF(TRIM(MID(SUBSTITUTE(TRIM(Mitarbeiter!$E$22)," ",REPT(" ",99)),((MOD(P$5-Mitarbeiter!$F$22,(LEN(TRIM(Mitarbeiter!$E$22))-LEN(SUBSTITUTE(TRIM(Mitarbeiter!$E$22)," ",""))+1))+1)-1)*99+1,99))="-","",TRIM(MID(SUBSTITUTE(TRIM(Mitarbeiter!$E$22)," ",REPT(" ",99)),((MOD(P$5-Mitarbeiter!$F$22,(LEN(TRIM(Mitarbeiter!$E$22))-LEN(SUBSTITUTE(TRIM(Mitarbeiter!$E$22)," ",""))+1))+1)-1)*99+1,99))))</f>
      </c>
      <c r="Q23" s="54">
        <f>IF(OR($A23="",Q$5="",TRIM(Mitarbeiter!$E$22)="",NOT(ISNUMBER(Mitarbeiter!$F$22))),"",IF(TRIM(MID(SUBSTITUTE(TRIM(Mitarbeiter!$E$22)," ",REPT(" ",99)),((MOD(Q$5-Mitarbeiter!$F$22,(LEN(TRIM(Mitarbeiter!$E$22))-LEN(SUBSTITUTE(TRIM(Mitarbeiter!$E$22)," ",""))+1))+1)-1)*99+1,99))="-","",TRIM(MID(SUBSTITUTE(TRIM(Mitarbeiter!$E$22)," ",REPT(" ",99)),((MOD(Q$5-Mitarbeiter!$F$22,(LEN(TRIM(Mitarbeiter!$E$22))-LEN(SUBSTITUTE(TRIM(Mitarbeiter!$E$22)," ",""))+1))+1)-1)*99+1,99))))</f>
      </c>
      <c r="R23" s="54">
        <f>IF(OR($A23="",R$5="",TRIM(Mitarbeiter!$E$22)="",NOT(ISNUMBER(Mitarbeiter!$F$22))),"",IF(TRIM(MID(SUBSTITUTE(TRIM(Mitarbeiter!$E$22)," ",REPT(" ",99)),((MOD(R$5-Mitarbeiter!$F$22,(LEN(TRIM(Mitarbeiter!$E$22))-LEN(SUBSTITUTE(TRIM(Mitarbeiter!$E$22)," ",""))+1))+1)-1)*99+1,99))="-","",TRIM(MID(SUBSTITUTE(TRIM(Mitarbeiter!$E$22)," ",REPT(" ",99)),((MOD(R$5-Mitarbeiter!$F$22,(LEN(TRIM(Mitarbeiter!$E$22))-LEN(SUBSTITUTE(TRIM(Mitarbeiter!$E$22)," ",""))+1))+1)-1)*99+1,99))))</f>
      </c>
      <c r="S23" s="54">
        <f>IF(OR($A23="",S$5="",TRIM(Mitarbeiter!$E$22)="",NOT(ISNUMBER(Mitarbeiter!$F$22))),"",IF(TRIM(MID(SUBSTITUTE(TRIM(Mitarbeiter!$E$22)," ",REPT(" ",99)),((MOD(S$5-Mitarbeiter!$F$22,(LEN(TRIM(Mitarbeiter!$E$22))-LEN(SUBSTITUTE(TRIM(Mitarbeiter!$E$22)," ",""))+1))+1)-1)*99+1,99))="-","",TRIM(MID(SUBSTITUTE(TRIM(Mitarbeiter!$E$22)," ",REPT(" ",99)),((MOD(S$5-Mitarbeiter!$F$22,(LEN(TRIM(Mitarbeiter!$E$22))-LEN(SUBSTITUTE(TRIM(Mitarbeiter!$E$22)," ",""))+1))+1)-1)*99+1,99))))</f>
      </c>
      <c r="T23" s="54">
        <f>IF(OR($A23="",T$5="",TRIM(Mitarbeiter!$E$22)="",NOT(ISNUMBER(Mitarbeiter!$F$22))),"",IF(TRIM(MID(SUBSTITUTE(TRIM(Mitarbeiter!$E$22)," ",REPT(" ",99)),((MOD(T$5-Mitarbeiter!$F$22,(LEN(TRIM(Mitarbeiter!$E$22))-LEN(SUBSTITUTE(TRIM(Mitarbeiter!$E$22)," ",""))+1))+1)-1)*99+1,99))="-","",TRIM(MID(SUBSTITUTE(TRIM(Mitarbeiter!$E$22)," ",REPT(" ",99)),((MOD(T$5-Mitarbeiter!$F$22,(LEN(TRIM(Mitarbeiter!$E$22))-LEN(SUBSTITUTE(TRIM(Mitarbeiter!$E$22)," ",""))+1))+1)-1)*99+1,99))))</f>
      </c>
      <c r="U23" s="54">
        <f>IF(OR($A23="",U$5="",TRIM(Mitarbeiter!$E$22)="",NOT(ISNUMBER(Mitarbeiter!$F$22))),"",IF(TRIM(MID(SUBSTITUTE(TRIM(Mitarbeiter!$E$22)," ",REPT(" ",99)),((MOD(U$5-Mitarbeiter!$F$22,(LEN(TRIM(Mitarbeiter!$E$22))-LEN(SUBSTITUTE(TRIM(Mitarbeiter!$E$22)," ",""))+1))+1)-1)*99+1,99))="-","",TRIM(MID(SUBSTITUTE(TRIM(Mitarbeiter!$E$22)," ",REPT(" ",99)),((MOD(U$5-Mitarbeiter!$F$22,(LEN(TRIM(Mitarbeiter!$E$22))-LEN(SUBSTITUTE(TRIM(Mitarbeiter!$E$22)," ",""))+1))+1)-1)*99+1,99))))</f>
      </c>
      <c r="V23" s="54">
        <f>IF(OR($A23="",V$5="",TRIM(Mitarbeiter!$E$22)="",NOT(ISNUMBER(Mitarbeiter!$F$22))),"",IF(TRIM(MID(SUBSTITUTE(TRIM(Mitarbeiter!$E$22)," ",REPT(" ",99)),((MOD(V$5-Mitarbeiter!$F$22,(LEN(TRIM(Mitarbeiter!$E$22))-LEN(SUBSTITUTE(TRIM(Mitarbeiter!$E$22)," ",""))+1))+1)-1)*99+1,99))="-","",TRIM(MID(SUBSTITUTE(TRIM(Mitarbeiter!$E$22)," ",REPT(" ",99)),((MOD(V$5-Mitarbeiter!$F$22,(LEN(TRIM(Mitarbeiter!$E$22))-LEN(SUBSTITUTE(TRIM(Mitarbeiter!$E$22)," ",""))+1))+1)-1)*99+1,99))))</f>
      </c>
      <c r="W23" s="54">
        <f>IF(OR($A23="",W$5="",TRIM(Mitarbeiter!$E$22)="",NOT(ISNUMBER(Mitarbeiter!$F$22))),"",IF(TRIM(MID(SUBSTITUTE(TRIM(Mitarbeiter!$E$22)," ",REPT(" ",99)),((MOD(W$5-Mitarbeiter!$F$22,(LEN(TRIM(Mitarbeiter!$E$22))-LEN(SUBSTITUTE(TRIM(Mitarbeiter!$E$22)," ",""))+1))+1)-1)*99+1,99))="-","",TRIM(MID(SUBSTITUTE(TRIM(Mitarbeiter!$E$22)," ",REPT(" ",99)),((MOD(W$5-Mitarbeiter!$F$22,(LEN(TRIM(Mitarbeiter!$E$22))-LEN(SUBSTITUTE(TRIM(Mitarbeiter!$E$22)," ",""))+1))+1)-1)*99+1,99))))</f>
      </c>
      <c r="X23" s="54">
        <f>IF(OR($A23="",X$5="",TRIM(Mitarbeiter!$E$22)="",NOT(ISNUMBER(Mitarbeiter!$F$22))),"",IF(TRIM(MID(SUBSTITUTE(TRIM(Mitarbeiter!$E$22)," ",REPT(" ",99)),((MOD(X$5-Mitarbeiter!$F$22,(LEN(TRIM(Mitarbeiter!$E$22))-LEN(SUBSTITUTE(TRIM(Mitarbeiter!$E$22)," ",""))+1))+1)-1)*99+1,99))="-","",TRIM(MID(SUBSTITUTE(TRIM(Mitarbeiter!$E$22)," ",REPT(" ",99)),((MOD(X$5-Mitarbeiter!$F$22,(LEN(TRIM(Mitarbeiter!$E$22))-LEN(SUBSTITUTE(TRIM(Mitarbeiter!$E$22)," ",""))+1))+1)-1)*99+1,99))))</f>
      </c>
      <c r="Y23" s="54">
        <f>IF(OR($A23="",Y$5="",TRIM(Mitarbeiter!$E$22)="",NOT(ISNUMBER(Mitarbeiter!$F$22))),"",IF(TRIM(MID(SUBSTITUTE(TRIM(Mitarbeiter!$E$22)," ",REPT(" ",99)),((MOD(Y$5-Mitarbeiter!$F$22,(LEN(TRIM(Mitarbeiter!$E$22))-LEN(SUBSTITUTE(TRIM(Mitarbeiter!$E$22)," ",""))+1))+1)-1)*99+1,99))="-","",TRIM(MID(SUBSTITUTE(TRIM(Mitarbeiter!$E$22)," ",REPT(" ",99)),((MOD(Y$5-Mitarbeiter!$F$22,(LEN(TRIM(Mitarbeiter!$E$22))-LEN(SUBSTITUTE(TRIM(Mitarbeiter!$E$22)," ",""))+1))+1)-1)*99+1,99))))</f>
      </c>
      <c r="Z23" s="54">
        <f>IF(OR($A23="",Z$5="",TRIM(Mitarbeiter!$E$22)="",NOT(ISNUMBER(Mitarbeiter!$F$22))),"",IF(TRIM(MID(SUBSTITUTE(TRIM(Mitarbeiter!$E$22)," ",REPT(" ",99)),((MOD(Z$5-Mitarbeiter!$F$22,(LEN(TRIM(Mitarbeiter!$E$22))-LEN(SUBSTITUTE(TRIM(Mitarbeiter!$E$22)," ",""))+1))+1)-1)*99+1,99))="-","",TRIM(MID(SUBSTITUTE(TRIM(Mitarbeiter!$E$22)," ",REPT(" ",99)),((MOD(Z$5-Mitarbeiter!$F$22,(LEN(TRIM(Mitarbeiter!$E$22))-LEN(SUBSTITUTE(TRIM(Mitarbeiter!$E$22)," ",""))+1))+1)-1)*99+1,99))))</f>
      </c>
      <c r="AA23" s="54">
        <f>IF(OR($A23="",AA$5="",TRIM(Mitarbeiter!$E$22)="",NOT(ISNUMBER(Mitarbeiter!$F$22))),"",IF(TRIM(MID(SUBSTITUTE(TRIM(Mitarbeiter!$E$22)," ",REPT(" ",99)),((MOD(AA$5-Mitarbeiter!$F$22,(LEN(TRIM(Mitarbeiter!$E$22))-LEN(SUBSTITUTE(TRIM(Mitarbeiter!$E$22)," ",""))+1))+1)-1)*99+1,99))="-","",TRIM(MID(SUBSTITUTE(TRIM(Mitarbeiter!$E$22)," ",REPT(" ",99)),((MOD(AA$5-Mitarbeiter!$F$22,(LEN(TRIM(Mitarbeiter!$E$22))-LEN(SUBSTITUTE(TRIM(Mitarbeiter!$E$22)," ",""))+1))+1)-1)*99+1,99))))</f>
      </c>
      <c r="AB23" s="54">
        <f>IF(OR($A23="",AB$5="",TRIM(Mitarbeiter!$E$22)="",NOT(ISNUMBER(Mitarbeiter!$F$22))),"",IF(TRIM(MID(SUBSTITUTE(TRIM(Mitarbeiter!$E$22)," ",REPT(" ",99)),((MOD(AB$5-Mitarbeiter!$F$22,(LEN(TRIM(Mitarbeiter!$E$22))-LEN(SUBSTITUTE(TRIM(Mitarbeiter!$E$22)," ",""))+1))+1)-1)*99+1,99))="-","",TRIM(MID(SUBSTITUTE(TRIM(Mitarbeiter!$E$22)," ",REPT(" ",99)),((MOD(AB$5-Mitarbeiter!$F$22,(LEN(TRIM(Mitarbeiter!$E$22))-LEN(SUBSTITUTE(TRIM(Mitarbeiter!$E$22)," ",""))+1))+1)-1)*99+1,99))))</f>
      </c>
      <c r="AC23" s="54">
        <f>IF(OR($A23="",AC$5="",TRIM(Mitarbeiter!$E$22)="",NOT(ISNUMBER(Mitarbeiter!$F$22))),"",IF(TRIM(MID(SUBSTITUTE(TRIM(Mitarbeiter!$E$22)," ",REPT(" ",99)),((MOD(AC$5-Mitarbeiter!$F$22,(LEN(TRIM(Mitarbeiter!$E$22))-LEN(SUBSTITUTE(TRIM(Mitarbeiter!$E$22)," ",""))+1))+1)-1)*99+1,99))="-","",TRIM(MID(SUBSTITUTE(TRIM(Mitarbeiter!$E$22)," ",REPT(" ",99)),((MOD(AC$5-Mitarbeiter!$F$22,(LEN(TRIM(Mitarbeiter!$E$22))-LEN(SUBSTITUTE(TRIM(Mitarbeiter!$E$22)," ",""))+1))+1)-1)*99+1,99))))</f>
      </c>
      <c r="AD23" s="54">
        <f>IF(OR($A23="",AD$5="",TRIM(Mitarbeiter!$E$22)="",NOT(ISNUMBER(Mitarbeiter!$F$22))),"",IF(TRIM(MID(SUBSTITUTE(TRIM(Mitarbeiter!$E$22)," ",REPT(" ",99)),((MOD(AD$5-Mitarbeiter!$F$22,(LEN(TRIM(Mitarbeiter!$E$22))-LEN(SUBSTITUTE(TRIM(Mitarbeiter!$E$22)," ",""))+1))+1)-1)*99+1,99))="-","",TRIM(MID(SUBSTITUTE(TRIM(Mitarbeiter!$E$22)," ",REPT(" ",99)),((MOD(AD$5-Mitarbeiter!$F$22,(LEN(TRIM(Mitarbeiter!$E$22))-LEN(SUBSTITUTE(TRIM(Mitarbeiter!$E$22)," ",""))+1))+1)-1)*99+1,99))))</f>
      </c>
      <c r="AE23" s="54">
        <f>IF(OR($A23="",AE$5="",TRIM(Mitarbeiter!$E$22)="",NOT(ISNUMBER(Mitarbeiter!$F$22))),"",IF(TRIM(MID(SUBSTITUTE(TRIM(Mitarbeiter!$E$22)," ",REPT(" ",99)),((MOD(AE$5-Mitarbeiter!$F$22,(LEN(TRIM(Mitarbeiter!$E$22))-LEN(SUBSTITUTE(TRIM(Mitarbeiter!$E$22)," ",""))+1))+1)-1)*99+1,99))="-","",TRIM(MID(SUBSTITUTE(TRIM(Mitarbeiter!$E$22)," ",REPT(" ",99)),((MOD(AE$5-Mitarbeiter!$F$22,(LEN(TRIM(Mitarbeiter!$E$22))-LEN(SUBSTITUTE(TRIM(Mitarbeiter!$E$22)," ",""))+1))+1)-1)*99+1,99))))</f>
      </c>
      <c r="AF23" s="54">
        <f>IF(OR($A23="",AF$5="",TRIM(Mitarbeiter!$E$22)="",NOT(ISNUMBER(Mitarbeiter!$F$22))),"",IF(TRIM(MID(SUBSTITUTE(TRIM(Mitarbeiter!$E$22)," ",REPT(" ",99)),((MOD(AF$5-Mitarbeiter!$F$22,(LEN(TRIM(Mitarbeiter!$E$22))-LEN(SUBSTITUTE(TRIM(Mitarbeiter!$E$22)," ",""))+1))+1)-1)*99+1,99))="-","",TRIM(MID(SUBSTITUTE(TRIM(Mitarbeiter!$E$22)," ",REPT(" ",99)),((MOD(AF$5-Mitarbeiter!$F$22,(LEN(TRIM(Mitarbeiter!$E$22))-LEN(SUBSTITUTE(TRIM(Mitarbeiter!$E$22)," ",""))+1))+1)-1)*99+1,99))))</f>
      </c>
      <c r="AG23" s="55">
        <f>IF(OR($A23="",TRIM(Mitarbeiter!$E$22)=""),"",IF(NOT(ISNUMBER(Mitarbeiter!$F$22)),"Rhythmus ab: Datum fehlt",IF(COUNTIF(B23:AF23,"?*")-SUMPRODUCT(COUNTIF(B23:AF23,Codes)*(Codes&lt;&gt;"")*Erste)&gt;0,"Rhythmus enthält ein unbekanntes Kürzel","")))</f>
      </c>
    </row>
    <row r="24" spans="1:33" x14ac:dyDescent="0.25">
      <c r="A24" s="49">
        <f>Mitarbeiter!$A$23&amp;""</f>
      </c>
      <c r="B24" s="54">
        <f>IF(OR($A24="",B$5="",TRIM(Mitarbeiter!$E$23)="",NOT(ISNUMBER(Mitarbeiter!$F$23))),"",IF(TRIM(MID(SUBSTITUTE(TRIM(Mitarbeiter!$E$23)," ",REPT(" ",99)),((MOD(B$5-Mitarbeiter!$F$23,(LEN(TRIM(Mitarbeiter!$E$23))-LEN(SUBSTITUTE(TRIM(Mitarbeiter!$E$23)," ",""))+1))+1)-1)*99+1,99))="-","",TRIM(MID(SUBSTITUTE(TRIM(Mitarbeiter!$E$23)," ",REPT(" ",99)),((MOD(B$5-Mitarbeiter!$F$23,(LEN(TRIM(Mitarbeiter!$E$23))-LEN(SUBSTITUTE(TRIM(Mitarbeiter!$E$23)," ",""))+1))+1)-1)*99+1,99))))</f>
      </c>
      <c r="C24" s="54">
        <f>IF(OR($A24="",C$5="",TRIM(Mitarbeiter!$E$23)="",NOT(ISNUMBER(Mitarbeiter!$F$23))),"",IF(TRIM(MID(SUBSTITUTE(TRIM(Mitarbeiter!$E$23)," ",REPT(" ",99)),((MOD(C$5-Mitarbeiter!$F$23,(LEN(TRIM(Mitarbeiter!$E$23))-LEN(SUBSTITUTE(TRIM(Mitarbeiter!$E$23)," ",""))+1))+1)-1)*99+1,99))="-","",TRIM(MID(SUBSTITUTE(TRIM(Mitarbeiter!$E$23)," ",REPT(" ",99)),((MOD(C$5-Mitarbeiter!$F$23,(LEN(TRIM(Mitarbeiter!$E$23))-LEN(SUBSTITUTE(TRIM(Mitarbeiter!$E$23)," ",""))+1))+1)-1)*99+1,99))))</f>
      </c>
      <c r="D24" s="54">
        <f>IF(OR($A24="",D$5="",TRIM(Mitarbeiter!$E$23)="",NOT(ISNUMBER(Mitarbeiter!$F$23))),"",IF(TRIM(MID(SUBSTITUTE(TRIM(Mitarbeiter!$E$23)," ",REPT(" ",99)),((MOD(D$5-Mitarbeiter!$F$23,(LEN(TRIM(Mitarbeiter!$E$23))-LEN(SUBSTITUTE(TRIM(Mitarbeiter!$E$23)," ",""))+1))+1)-1)*99+1,99))="-","",TRIM(MID(SUBSTITUTE(TRIM(Mitarbeiter!$E$23)," ",REPT(" ",99)),((MOD(D$5-Mitarbeiter!$F$23,(LEN(TRIM(Mitarbeiter!$E$23))-LEN(SUBSTITUTE(TRIM(Mitarbeiter!$E$23)," ",""))+1))+1)-1)*99+1,99))))</f>
      </c>
      <c r="E24" s="54">
        <f>IF(OR($A24="",E$5="",TRIM(Mitarbeiter!$E$23)="",NOT(ISNUMBER(Mitarbeiter!$F$23))),"",IF(TRIM(MID(SUBSTITUTE(TRIM(Mitarbeiter!$E$23)," ",REPT(" ",99)),((MOD(E$5-Mitarbeiter!$F$23,(LEN(TRIM(Mitarbeiter!$E$23))-LEN(SUBSTITUTE(TRIM(Mitarbeiter!$E$23)," ",""))+1))+1)-1)*99+1,99))="-","",TRIM(MID(SUBSTITUTE(TRIM(Mitarbeiter!$E$23)," ",REPT(" ",99)),((MOD(E$5-Mitarbeiter!$F$23,(LEN(TRIM(Mitarbeiter!$E$23))-LEN(SUBSTITUTE(TRIM(Mitarbeiter!$E$23)," ",""))+1))+1)-1)*99+1,99))))</f>
      </c>
      <c r="F24" s="54">
        <f>IF(OR($A24="",F$5="",TRIM(Mitarbeiter!$E$23)="",NOT(ISNUMBER(Mitarbeiter!$F$23))),"",IF(TRIM(MID(SUBSTITUTE(TRIM(Mitarbeiter!$E$23)," ",REPT(" ",99)),((MOD(F$5-Mitarbeiter!$F$23,(LEN(TRIM(Mitarbeiter!$E$23))-LEN(SUBSTITUTE(TRIM(Mitarbeiter!$E$23)," ",""))+1))+1)-1)*99+1,99))="-","",TRIM(MID(SUBSTITUTE(TRIM(Mitarbeiter!$E$23)," ",REPT(" ",99)),((MOD(F$5-Mitarbeiter!$F$23,(LEN(TRIM(Mitarbeiter!$E$23))-LEN(SUBSTITUTE(TRIM(Mitarbeiter!$E$23)," ",""))+1))+1)-1)*99+1,99))))</f>
      </c>
      <c r="G24" s="54">
        <f>IF(OR($A24="",G$5="",TRIM(Mitarbeiter!$E$23)="",NOT(ISNUMBER(Mitarbeiter!$F$23))),"",IF(TRIM(MID(SUBSTITUTE(TRIM(Mitarbeiter!$E$23)," ",REPT(" ",99)),((MOD(G$5-Mitarbeiter!$F$23,(LEN(TRIM(Mitarbeiter!$E$23))-LEN(SUBSTITUTE(TRIM(Mitarbeiter!$E$23)," ",""))+1))+1)-1)*99+1,99))="-","",TRIM(MID(SUBSTITUTE(TRIM(Mitarbeiter!$E$23)," ",REPT(" ",99)),((MOD(G$5-Mitarbeiter!$F$23,(LEN(TRIM(Mitarbeiter!$E$23))-LEN(SUBSTITUTE(TRIM(Mitarbeiter!$E$23)," ",""))+1))+1)-1)*99+1,99))))</f>
      </c>
      <c r="H24" s="54">
        <f>IF(OR($A24="",H$5="",TRIM(Mitarbeiter!$E$23)="",NOT(ISNUMBER(Mitarbeiter!$F$23))),"",IF(TRIM(MID(SUBSTITUTE(TRIM(Mitarbeiter!$E$23)," ",REPT(" ",99)),((MOD(H$5-Mitarbeiter!$F$23,(LEN(TRIM(Mitarbeiter!$E$23))-LEN(SUBSTITUTE(TRIM(Mitarbeiter!$E$23)," ",""))+1))+1)-1)*99+1,99))="-","",TRIM(MID(SUBSTITUTE(TRIM(Mitarbeiter!$E$23)," ",REPT(" ",99)),((MOD(H$5-Mitarbeiter!$F$23,(LEN(TRIM(Mitarbeiter!$E$23))-LEN(SUBSTITUTE(TRIM(Mitarbeiter!$E$23)," ",""))+1))+1)-1)*99+1,99))))</f>
      </c>
      <c r="I24" s="54">
        <f>IF(OR($A24="",I$5="",TRIM(Mitarbeiter!$E$23)="",NOT(ISNUMBER(Mitarbeiter!$F$23))),"",IF(TRIM(MID(SUBSTITUTE(TRIM(Mitarbeiter!$E$23)," ",REPT(" ",99)),((MOD(I$5-Mitarbeiter!$F$23,(LEN(TRIM(Mitarbeiter!$E$23))-LEN(SUBSTITUTE(TRIM(Mitarbeiter!$E$23)," ",""))+1))+1)-1)*99+1,99))="-","",TRIM(MID(SUBSTITUTE(TRIM(Mitarbeiter!$E$23)," ",REPT(" ",99)),((MOD(I$5-Mitarbeiter!$F$23,(LEN(TRIM(Mitarbeiter!$E$23))-LEN(SUBSTITUTE(TRIM(Mitarbeiter!$E$23)," ",""))+1))+1)-1)*99+1,99))))</f>
      </c>
      <c r="J24" s="54">
        <f>IF(OR($A24="",J$5="",TRIM(Mitarbeiter!$E$23)="",NOT(ISNUMBER(Mitarbeiter!$F$23))),"",IF(TRIM(MID(SUBSTITUTE(TRIM(Mitarbeiter!$E$23)," ",REPT(" ",99)),((MOD(J$5-Mitarbeiter!$F$23,(LEN(TRIM(Mitarbeiter!$E$23))-LEN(SUBSTITUTE(TRIM(Mitarbeiter!$E$23)," ",""))+1))+1)-1)*99+1,99))="-","",TRIM(MID(SUBSTITUTE(TRIM(Mitarbeiter!$E$23)," ",REPT(" ",99)),((MOD(J$5-Mitarbeiter!$F$23,(LEN(TRIM(Mitarbeiter!$E$23))-LEN(SUBSTITUTE(TRIM(Mitarbeiter!$E$23)," ",""))+1))+1)-1)*99+1,99))))</f>
      </c>
      <c r="K24" s="54">
        <f>IF(OR($A24="",K$5="",TRIM(Mitarbeiter!$E$23)="",NOT(ISNUMBER(Mitarbeiter!$F$23))),"",IF(TRIM(MID(SUBSTITUTE(TRIM(Mitarbeiter!$E$23)," ",REPT(" ",99)),((MOD(K$5-Mitarbeiter!$F$23,(LEN(TRIM(Mitarbeiter!$E$23))-LEN(SUBSTITUTE(TRIM(Mitarbeiter!$E$23)," ",""))+1))+1)-1)*99+1,99))="-","",TRIM(MID(SUBSTITUTE(TRIM(Mitarbeiter!$E$23)," ",REPT(" ",99)),((MOD(K$5-Mitarbeiter!$F$23,(LEN(TRIM(Mitarbeiter!$E$23))-LEN(SUBSTITUTE(TRIM(Mitarbeiter!$E$23)," ",""))+1))+1)-1)*99+1,99))))</f>
      </c>
      <c r="L24" s="54">
        <f>IF(OR($A24="",L$5="",TRIM(Mitarbeiter!$E$23)="",NOT(ISNUMBER(Mitarbeiter!$F$23))),"",IF(TRIM(MID(SUBSTITUTE(TRIM(Mitarbeiter!$E$23)," ",REPT(" ",99)),((MOD(L$5-Mitarbeiter!$F$23,(LEN(TRIM(Mitarbeiter!$E$23))-LEN(SUBSTITUTE(TRIM(Mitarbeiter!$E$23)," ",""))+1))+1)-1)*99+1,99))="-","",TRIM(MID(SUBSTITUTE(TRIM(Mitarbeiter!$E$23)," ",REPT(" ",99)),((MOD(L$5-Mitarbeiter!$F$23,(LEN(TRIM(Mitarbeiter!$E$23))-LEN(SUBSTITUTE(TRIM(Mitarbeiter!$E$23)," ",""))+1))+1)-1)*99+1,99))))</f>
      </c>
      <c r="M24" s="54">
        <f>IF(OR($A24="",M$5="",TRIM(Mitarbeiter!$E$23)="",NOT(ISNUMBER(Mitarbeiter!$F$23))),"",IF(TRIM(MID(SUBSTITUTE(TRIM(Mitarbeiter!$E$23)," ",REPT(" ",99)),((MOD(M$5-Mitarbeiter!$F$23,(LEN(TRIM(Mitarbeiter!$E$23))-LEN(SUBSTITUTE(TRIM(Mitarbeiter!$E$23)," ",""))+1))+1)-1)*99+1,99))="-","",TRIM(MID(SUBSTITUTE(TRIM(Mitarbeiter!$E$23)," ",REPT(" ",99)),((MOD(M$5-Mitarbeiter!$F$23,(LEN(TRIM(Mitarbeiter!$E$23))-LEN(SUBSTITUTE(TRIM(Mitarbeiter!$E$23)," ",""))+1))+1)-1)*99+1,99))))</f>
      </c>
      <c r="N24" s="54">
        <f>IF(OR($A24="",N$5="",TRIM(Mitarbeiter!$E$23)="",NOT(ISNUMBER(Mitarbeiter!$F$23))),"",IF(TRIM(MID(SUBSTITUTE(TRIM(Mitarbeiter!$E$23)," ",REPT(" ",99)),((MOD(N$5-Mitarbeiter!$F$23,(LEN(TRIM(Mitarbeiter!$E$23))-LEN(SUBSTITUTE(TRIM(Mitarbeiter!$E$23)," ",""))+1))+1)-1)*99+1,99))="-","",TRIM(MID(SUBSTITUTE(TRIM(Mitarbeiter!$E$23)," ",REPT(" ",99)),((MOD(N$5-Mitarbeiter!$F$23,(LEN(TRIM(Mitarbeiter!$E$23))-LEN(SUBSTITUTE(TRIM(Mitarbeiter!$E$23)," ",""))+1))+1)-1)*99+1,99))))</f>
      </c>
      <c r="O24" s="54">
        <f>IF(OR($A24="",O$5="",TRIM(Mitarbeiter!$E$23)="",NOT(ISNUMBER(Mitarbeiter!$F$23))),"",IF(TRIM(MID(SUBSTITUTE(TRIM(Mitarbeiter!$E$23)," ",REPT(" ",99)),((MOD(O$5-Mitarbeiter!$F$23,(LEN(TRIM(Mitarbeiter!$E$23))-LEN(SUBSTITUTE(TRIM(Mitarbeiter!$E$23)," ",""))+1))+1)-1)*99+1,99))="-","",TRIM(MID(SUBSTITUTE(TRIM(Mitarbeiter!$E$23)," ",REPT(" ",99)),((MOD(O$5-Mitarbeiter!$F$23,(LEN(TRIM(Mitarbeiter!$E$23))-LEN(SUBSTITUTE(TRIM(Mitarbeiter!$E$23)," ",""))+1))+1)-1)*99+1,99))))</f>
      </c>
      <c r="P24" s="54">
        <f>IF(OR($A24="",P$5="",TRIM(Mitarbeiter!$E$23)="",NOT(ISNUMBER(Mitarbeiter!$F$23))),"",IF(TRIM(MID(SUBSTITUTE(TRIM(Mitarbeiter!$E$23)," ",REPT(" ",99)),((MOD(P$5-Mitarbeiter!$F$23,(LEN(TRIM(Mitarbeiter!$E$23))-LEN(SUBSTITUTE(TRIM(Mitarbeiter!$E$23)," ",""))+1))+1)-1)*99+1,99))="-","",TRIM(MID(SUBSTITUTE(TRIM(Mitarbeiter!$E$23)," ",REPT(" ",99)),((MOD(P$5-Mitarbeiter!$F$23,(LEN(TRIM(Mitarbeiter!$E$23))-LEN(SUBSTITUTE(TRIM(Mitarbeiter!$E$23)," ",""))+1))+1)-1)*99+1,99))))</f>
      </c>
      <c r="Q24" s="54">
        <f>IF(OR($A24="",Q$5="",TRIM(Mitarbeiter!$E$23)="",NOT(ISNUMBER(Mitarbeiter!$F$23))),"",IF(TRIM(MID(SUBSTITUTE(TRIM(Mitarbeiter!$E$23)," ",REPT(" ",99)),((MOD(Q$5-Mitarbeiter!$F$23,(LEN(TRIM(Mitarbeiter!$E$23))-LEN(SUBSTITUTE(TRIM(Mitarbeiter!$E$23)," ",""))+1))+1)-1)*99+1,99))="-","",TRIM(MID(SUBSTITUTE(TRIM(Mitarbeiter!$E$23)," ",REPT(" ",99)),((MOD(Q$5-Mitarbeiter!$F$23,(LEN(TRIM(Mitarbeiter!$E$23))-LEN(SUBSTITUTE(TRIM(Mitarbeiter!$E$23)," ",""))+1))+1)-1)*99+1,99))))</f>
      </c>
      <c r="R24" s="54">
        <f>IF(OR($A24="",R$5="",TRIM(Mitarbeiter!$E$23)="",NOT(ISNUMBER(Mitarbeiter!$F$23))),"",IF(TRIM(MID(SUBSTITUTE(TRIM(Mitarbeiter!$E$23)," ",REPT(" ",99)),((MOD(R$5-Mitarbeiter!$F$23,(LEN(TRIM(Mitarbeiter!$E$23))-LEN(SUBSTITUTE(TRIM(Mitarbeiter!$E$23)," ",""))+1))+1)-1)*99+1,99))="-","",TRIM(MID(SUBSTITUTE(TRIM(Mitarbeiter!$E$23)," ",REPT(" ",99)),((MOD(R$5-Mitarbeiter!$F$23,(LEN(TRIM(Mitarbeiter!$E$23))-LEN(SUBSTITUTE(TRIM(Mitarbeiter!$E$23)," ",""))+1))+1)-1)*99+1,99))))</f>
      </c>
      <c r="S24" s="54">
        <f>IF(OR($A24="",S$5="",TRIM(Mitarbeiter!$E$23)="",NOT(ISNUMBER(Mitarbeiter!$F$23))),"",IF(TRIM(MID(SUBSTITUTE(TRIM(Mitarbeiter!$E$23)," ",REPT(" ",99)),((MOD(S$5-Mitarbeiter!$F$23,(LEN(TRIM(Mitarbeiter!$E$23))-LEN(SUBSTITUTE(TRIM(Mitarbeiter!$E$23)," ",""))+1))+1)-1)*99+1,99))="-","",TRIM(MID(SUBSTITUTE(TRIM(Mitarbeiter!$E$23)," ",REPT(" ",99)),((MOD(S$5-Mitarbeiter!$F$23,(LEN(TRIM(Mitarbeiter!$E$23))-LEN(SUBSTITUTE(TRIM(Mitarbeiter!$E$23)," ",""))+1))+1)-1)*99+1,99))))</f>
      </c>
      <c r="T24" s="54">
        <f>IF(OR($A24="",T$5="",TRIM(Mitarbeiter!$E$23)="",NOT(ISNUMBER(Mitarbeiter!$F$23))),"",IF(TRIM(MID(SUBSTITUTE(TRIM(Mitarbeiter!$E$23)," ",REPT(" ",99)),((MOD(T$5-Mitarbeiter!$F$23,(LEN(TRIM(Mitarbeiter!$E$23))-LEN(SUBSTITUTE(TRIM(Mitarbeiter!$E$23)," ",""))+1))+1)-1)*99+1,99))="-","",TRIM(MID(SUBSTITUTE(TRIM(Mitarbeiter!$E$23)," ",REPT(" ",99)),((MOD(T$5-Mitarbeiter!$F$23,(LEN(TRIM(Mitarbeiter!$E$23))-LEN(SUBSTITUTE(TRIM(Mitarbeiter!$E$23)," ",""))+1))+1)-1)*99+1,99))))</f>
      </c>
      <c r="U24" s="54">
        <f>IF(OR($A24="",U$5="",TRIM(Mitarbeiter!$E$23)="",NOT(ISNUMBER(Mitarbeiter!$F$23))),"",IF(TRIM(MID(SUBSTITUTE(TRIM(Mitarbeiter!$E$23)," ",REPT(" ",99)),((MOD(U$5-Mitarbeiter!$F$23,(LEN(TRIM(Mitarbeiter!$E$23))-LEN(SUBSTITUTE(TRIM(Mitarbeiter!$E$23)," ",""))+1))+1)-1)*99+1,99))="-","",TRIM(MID(SUBSTITUTE(TRIM(Mitarbeiter!$E$23)," ",REPT(" ",99)),((MOD(U$5-Mitarbeiter!$F$23,(LEN(TRIM(Mitarbeiter!$E$23))-LEN(SUBSTITUTE(TRIM(Mitarbeiter!$E$23)," ",""))+1))+1)-1)*99+1,99))))</f>
      </c>
      <c r="V24" s="54">
        <f>IF(OR($A24="",V$5="",TRIM(Mitarbeiter!$E$23)="",NOT(ISNUMBER(Mitarbeiter!$F$23))),"",IF(TRIM(MID(SUBSTITUTE(TRIM(Mitarbeiter!$E$23)," ",REPT(" ",99)),((MOD(V$5-Mitarbeiter!$F$23,(LEN(TRIM(Mitarbeiter!$E$23))-LEN(SUBSTITUTE(TRIM(Mitarbeiter!$E$23)," ",""))+1))+1)-1)*99+1,99))="-","",TRIM(MID(SUBSTITUTE(TRIM(Mitarbeiter!$E$23)," ",REPT(" ",99)),((MOD(V$5-Mitarbeiter!$F$23,(LEN(TRIM(Mitarbeiter!$E$23))-LEN(SUBSTITUTE(TRIM(Mitarbeiter!$E$23)," ",""))+1))+1)-1)*99+1,99))))</f>
      </c>
      <c r="W24" s="54">
        <f>IF(OR($A24="",W$5="",TRIM(Mitarbeiter!$E$23)="",NOT(ISNUMBER(Mitarbeiter!$F$23))),"",IF(TRIM(MID(SUBSTITUTE(TRIM(Mitarbeiter!$E$23)," ",REPT(" ",99)),((MOD(W$5-Mitarbeiter!$F$23,(LEN(TRIM(Mitarbeiter!$E$23))-LEN(SUBSTITUTE(TRIM(Mitarbeiter!$E$23)," ",""))+1))+1)-1)*99+1,99))="-","",TRIM(MID(SUBSTITUTE(TRIM(Mitarbeiter!$E$23)," ",REPT(" ",99)),((MOD(W$5-Mitarbeiter!$F$23,(LEN(TRIM(Mitarbeiter!$E$23))-LEN(SUBSTITUTE(TRIM(Mitarbeiter!$E$23)," ",""))+1))+1)-1)*99+1,99))))</f>
      </c>
      <c r="X24" s="54">
        <f>IF(OR($A24="",X$5="",TRIM(Mitarbeiter!$E$23)="",NOT(ISNUMBER(Mitarbeiter!$F$23))),"",IF(TRIM(MID(SUBSTITUTE(TRIM(Mitarbeiter!$E$23)," ",REPT(" ",99)),((MOD(X$5-Mitarbeiter!$F$23,(LEN(TRIM(Mitarbeiter!$E$23))-LEN(SUBSTITUTE(TRIM(Mitarbeiter!$E$23)," ",""))+1))+1)-1)*99+1,99))="-","",TRIM(MID(SUBSTITUTE(TRIM(Mitarbeiter!$E$23)," ",REPT(" ",99)),((MOD(X$5-Mitarbeiter!$F$23,(LEN(TRIM(Mitarbeiter!$E$23))-LEN(SUBSTITUTE(TRIM(Mitarbeiter!$E$23)," ",""))+1))+1)-1)*99+1,99))))</f>
      </c>
      <c r="Y24" s="54">
        <f>IF(OR($A24="",Y$5="",TRIM(Mitarbeiter!$E$23)="",NOT(ISNUMBER(Mitarbeiter!$F$23))),"",IF(TRIM(MID(SUBSTITUTE(TRIM(Mitarbeiter!$E$23)," ",REPT(" ",99)),((MOD(Y$5-Mitarbeiter!$F$23,(LEN(TRIM(Mitarbeiter!$E$23))-LEN(SUBSTITUTE(TRIM(Mitarbeiter!$E$23)," ",""))+1))+1)-1)*99+1,99))="-","",TRIM(MID(SUBSTITUTE(TRIM(Mitarbeiter!$E$23)," ",REPT(" ",99)),((MOD(Y$5-Mitarbeiter!$F$23,(LEN(TRIM(Mitarbeiter!$E$23))-LEN(SUBSTITUTE(TRIM(Mitarbeiter!$E$23)," ",""))+1))+1)-1)*99+1,99))))</f>
      </c>
      <c r="Z24" s="54">
        <f>IF(OR($A24="",Z$5="",TRIM(Mitarbeiter!$E$23)="",NOT(ISNUMBER(Mitarbeiter!$F$23))),"",IF(TRIM(MID(SUBSTITUTE(TRIM(Mitarbeiter!$E$23)," ",REPT(" ",99)),((MOD(Z$5-Mitarbeiter!$F$23,(LEN(TRIM(Mitarbeiter!$E$23))-LEN(SUBSTITUTE(TRIM(Mitarbeiter!$E$23)," ",""))+1))+1)-1)*99+1,99))="-","",TRIM(MID(SUBSTITUTE(TRIM(Mitarbeiter!$E$23)," ",REPT(" ",99)),((MOD(Z$5-Mitarbeiter!$F$23,(LEN(TRIM(Mitarbeiter!$E$23))-LEN(SUBSTITUTE(TRIM(Mitarbeiter!$E$23)," ",""))+1))+1)-1)*99+1,99))))</f>
      </c>
      <c r="AA24" s="54">
        <f>IF(OR($A24="",AA$5="",TRIM(Mitarbeiter!$E$23)="",NOT(ISNUMBER(Mitarbeiter!$F$23))),"",IF(TRIM(MID(SUBSTITUTE(TRIM(Mitarbeiter!$E$23)," ",REPT(" ",99)),((MOD(AA$5-Mitarbeiter!$F$23,(LEN(TRIM(Mitarbeiter!$E$23))-LEN(SUBSTITUTE(TRIM(Mitarbeiter!$E$23)," ",""))+1))+1)-1)*99+1,99))="-","",TRIM(MID(SUBSTITUTE(TRIM(Mitarbeiter!$E$23)," ",REPT(" ",99)),((MOD(AA$5-Mitarbeiter!$F$23,(LEN(TRIM(Mitarbeiter!$E$23))-LEN(SUBSTITUTE(TRIM(Mitarbeiter!$E$23)," ",""))+1))+1)-1)*99+1,99))))</f>
      </c>
      <c r="AB24" s="54">
        <f>IF(OR($A24="",AB$5="",TRIM(Mitarbeiter!$E$23)="",NOT(ISNUMBER(Mitarbeiter!$F$23))),"",IF(TRIM(MID(SUBSTITUTE(TRIM(Mitarbeiter!$E$23)," ",REPT(" ",99)),((MOD(AB$5-Mitarbeiter!$F$23,(LEN(TRIM(Mitarbeiter!$E$23))-LEN(SUBSTITUTE(TRIM(Mitarbeiter!$E$23)," ",""))+1))+1)-1)*99+1,99))="-","",TRIM(MID(SUBSTITUTE(TRIM(Mitarbeiter!$E$23)," ",REPT(" ",99)),((MOD(AB$5-Mitarbeiter!$F$23,(LEN(TRIM(Mitarbeiter!$E$23))-LEN(SUBSTITUTE(TRIM(Mitarbeiter!$E$23)," ",""))+1))+1)-1)*99+1,99))))</f>
      </c>
      <c r="AC24" s="54">
        <f>IF(OR($A24="",AC$5="",TRIM(Mitarbeiter!$E$23)="",NOT(ISNUMBER(Mitarbeiter!$F$23))),"",IF(TRIM(MID(SUBSTITUTE(TRIM(Mitarbeiter!$E$23)," ",REPT(" ",99)),((MOD(AC$5-Mitarbeiter!$F$23,(LEN(TRIM(Mitarbeiter!$E$23))-LEN(SUBSTITUTE(TRIM(Mitarbeiter!$E$23)," ",""))+1))+1)-1)*99+1,99))="-","",TRIM(MID(SUBSTITUTE(TRIM(Mitarbeiter!$E$23)," ",REPT(" ",99)),((MOD(AC$5-Mitarbeiter!$F$23,(LEN(TRIM(Mitarbeiter!$E$23))-LEN(SUBSTITUTE(TRIM(Mitarbeiter!$E$23)," ",""))+1))+1)-1)*99+1,99))))</f>
      </c>
      <c r="AD24" s="54">
        <f>IF(OR($A24="",AD$5="",TRIM(Mitarbeiter!$E$23)="",NOT(ISNUMBER(Mitarbeiter!$F$23))),"",IF(TRIM(MID(SUBSTITUTE(TRIM(Mitarbeiter!$E$23)," ",REPT(" ",99)),((MOD(AD$5-Mitarbeiter!$F$23,(LEN(TRIM(Mitarbeiter!$E$23))-LEN(SUBSTITUTE(TRIM(Mitarbeiter!$E$23)," ",""))+1))+1)-1)*99+1,99))="-","",TRIM(MID(SUBSTITUTE(TRIM(Mitarbeiter!$E$23)," ",REPT(" ",99)),((MOD(AD$5-Mitarbeiter!$F$23,(LEN(TRIM(Mitarbeiter!$E$23))-LEN(SUBSTITUTE(TRIM(Mitarbeiter!$E$23)," ",""))+1))+1)-1)*99+1,99))))</f>
      </c>
      <c r="AE24" s="54">
        <f>IF(OR($A24="",AE$5="",TRIM(Mitarbeiter!$E$23)="",NOT(ISNUMBER(Mitarbeiter!$F$23))),"",IF(TRIM(MID(SUBSTITUTE(TRIM(Mitarbeiter!$E$23)," ",REPT(" ",99)),((MOD(AE$5-Mitarbeiter!$F$23,(LEN(TRIM(Mitarbeiter!$E$23))-LEN(SUBSTITUTE(TRIM(Mitarbeiter!$E$23)," ",""))+1))+1)-1)*99+1,99))="-","",TRIM(MID(SUBSTITUTE(TRIM(Mitarbeiter!$E$23)," ",REPT(" ",99)),((MOD(AE$5-Mitarbeiter!$F$23,(LEN(TRIM(Mitarbeiter!$E$23))-LEN(SUBSTITUTE(TRIM(Mitarbeiter!$E$23)," ",""))+1))+1)-1)*99+1,99))))</f>
      </c>
      <c r="AF24" s="54">
        <f>IF(OR($A24="",AF$5="",TRIM(Mitarbeiter!$E$23)="",NOT(ISNUMBER(Mitarbeiter!$F$23))),"",IF(TRIM(MID(SUBSTITUTE(TRIM(Mitarbeiter!$E$23)," ",REPT(" ",99)),((MOD(AF$5-Mitarbeiter!$F$23,(LEN(TRIM(Mitarbeiter!$E$23))-LEN(SUBSTITUTE(TRIM(Mitarbeiter!$E$23)," ",""))+1))+1)-1)*99+1,99))="-","",TRIM(MID(SUBSTITUTE(TRIM(Mitarbeiter!$E$23)," ",REPT(" ",99)),((MOD(AF$5-Mitarbeiter!$F$23,(LEN(TRIM(Mitarbeiter!$E$23))-LEN(SUBSTITUTE(TRIM(Mitarbeiter!$E$23)," ",""))+1))+1)-1)*99+1,99))))</f>
      </c>
      <c r="AG24" s="55">
        <f>IF(OR($A24="",TRIM(Mitarbeiter!$E$23)=""),"",IF(NOT(ISNUMBER(Mitarbeiter!$F$23)),"Rhythmus ab: Datum fehlt",IF(COUNTIF(B24:AF24,"?*")-SUMPRODUCT(COUNTIF(B24:AF24,Codes)*(Codes&lt;&gt;"")*Erste)&gt;0,"Rhythmus enthält ein unbekanntes Kürzel","")))</f>
      </c>
    </row>
    <row r="25" spans="1:33" x14ac:dyDescent="0.25">
      <c r="A25" s="49">
        <f>Mitarbeiter!$A$24&amp;""</f>
      </c>
      <c r="B25" s="54">
        <f>IF(OR($A25="",B$5="",TRIM(Mitarbeiter!$E$24)="",NOT(ISNUMBER(Mitarbeiter!$F$24))),"",IF(TRIM(MID(SUBSTITUTE(TRIM(Mitarbeiter!$E$24)," ",REPT(" ",99)),((MOD(B$5-Mitarbeiter!$F$24,(LEN(TRIM(Mitarbeiter!$E$24))-LEN(SUBSTITUTE(TRIM(Mitarbeiter!$E$24)," ",""))+1))+1)-1)*99+1,99))="-","",TRIM(MID(SUBSTITUTE(TRIM(Mitarbeiter!$E$24)," ",REPT(" ",99)),((MOD(B$5-Mitarbeiter!$F$24,(LEN(TRIM(Mitarbeiter!$E$24))-LEN(SUBSTITUTE(TRIM(Mitarbeiter!$E$24)," ",""))+1))+1)-1)*99+1,99))))</f>
      </c>
      <c r="C25" s="54">
        <f>IF(OR($A25="",C$5="",TRIM(Mitarbeiter!$E$24)="",NOT(ISNUMBER(Mitarbeiter!$F$24))),"",IF(TRIM(MID(SUBSTITUTE(TRIM(Mitarbeiter!$E$24)," ",REPT(" ",99)),((MOD(C$5-Mitarbeiter!$F$24,(LEN(TRIM(Mitarbeiter!$E$24))-LEN(SUBSTITUTE(TRIM(Mitarbeiter!$E$24)," ",""))+1))+1)-1)*99+1,99))="-","",TRIM(MID(SUBSTITUTE(TRIM(Mitarbeiter!$E$24)," ",REPT(" ",99)),((MOD(C$5-Mitarbeiter!$F$24,(LEN(TRIM(Mitarbeiter!$E$24))-LEN(SUBSTITUTE(TRIM(Mitarbeiter!$E$24)," ",""))+1))+1)-1)*99+1,99))))</f>
      </c>
      <c r="D25" s="54">
        <f>IF(OR($A25="",D$5="",TRIM(Mitarbeiter!$E$24)="",NOT(ISNUMBER(Mitarbeiter!$F$24))),"",IF(TRIM(MID(SUBSTITUTE(TRIM(Mitarbeiter!$E$24)," ",REPT(" ",99)),((MOD(D$5-Mitarbeiter!$F$24,(LEN(TRIM(Mitarbeiter!$E$24))-LEN(SUBSTITUTE(TRIM(Mitarbeiter!$E$24)," ",""))+1))+1)-1)*99+1,99))="-","",TRIM(MID(SUBSTITUTE(TRIM(Mitarbeiter!$E$24)," ",REPT(" ",99)),((MOD(D$5-Mitarbeiter!$F$24,(LEN(TRIM(Mitarbeiter!$E$24))-LEN(SUBSTITUTE(TRIM(Mitarbeiter!$E$24)," ",""))+1))+1)-1)*99+1,99))))</f>
      </c>
      <c r="E25" s="54">
        <f>IF(OR($A25="",E$5="",TRIM(Mitarbeiter!$E$24)="",NOT(ISNUMBER(Mitarbeiter!$F$24))),"",IF(TRIM(MID(SUBSTITUTE(TRIM(Mitarbeiter!$E$24)," ",REPT(" ",99)),((MOD(E$5-Mitarbeiter!$F$24,(LEN(TRIM(Mitarbeiter!$E$24))-LEN(SUBSTITUTE(TRIM(Mitarbeiter!$E$24)," ",""))+1))+1)-1)*99+1,99))="-","",TRIM(MID(SUBSTITUTE(TRIM(Mitarbeiter!$E$24)," ",REPT(" ",99)),((MOD(E$5-Mitarbeiter!$F$24,(LEN(TRIM(Mitarbeiter!$E$24))-LEN(SUBSTITUTE(TRIM(Mitarbeiter!$E$24)," ",""))+1))+1)-1)*99+1,99))))</f>
      </c>
      <c r="F25" s="54">
        <f>IF(OR($A25="",F$5="",TRIM(Mitarbeiter!$E$24)="",NOT(ISNUMBER(Mitarbeiter!$F$24))),"",IF(TRIM(MID(SUBSTITUTE(TRIM(Mitarbeiter!$E$24)," ",REPT(" ",99)),((MOD(F$5-Mitarbeiter!$F$24,(LEN(TRIM(Mitarbeiter!$E$24))-LEN(SUBSTITUTE(TRIM(Mitarbeiter!$E$24)," ",""))+1))+1)-1)*99+1,99))="-","",TRIM(MID(SUBSTITUTE(TRIM(Mitarbeiter!$E$24)," ",REPT(" ",99)),((MOD(F$5-Mitarbeiter!$F$24,(LEN(TRIM(Mitarbeiter!$E$24))-LEN(SUBSTITUTE(TRIM(Mitarbeiter!$E$24)," ",""))+1))+1)-1)*99+1,99))))</f>
      </c>
      <c r="G25" s="54">
        <f>IF(OR($A25="",G$5="",TRIM(Mitarbeiter!$E$24)="",NOT(ISNUMBER(Mitarbeiter!$F$24))),"",IF(TRIM(MID(SUBSTITUTE(TRIM(Mitarbeiter!$E$24)," ",REPT(" ",99)),((MOD(G$5-Mitarbeiter!$F$24,(LEN(TRIM(Mitarbeiter!$E$24))-LEN(SUBSTITUTE(TRIM(Mitarbeiter!$E$24)," ",""))+1))+1)-1)*99+1,99))="-","",TRIM(MID(SUBSTITUTE(TRIM(Mitarbeiter!$E$24)," ",REPT(" ",99)),((MOD(G$5-Mitarbeiter!$F$24,(LEN(TRIM(Mitarbeiter!$E$24))-LEN(SUBSTITUTE(TRIM(Mitarbeiter!$E$24)," ",""))+1))+1)-1)*99+1,99))))</f>
      </c>
      <c r="H25" s="54">
        <f>IF(OR($A25="",H$5="",TRIM(Mitarbeiter!$E$24)="",NOT(ISNUMBER(Mitarbeiter!$F$24))),"",IF(TRIM(MID(SUBSTITUTE(TRIM(Mitarbeiter!$E$24)," ",REPT(" ",99)),((MOD(H$5-Mitarbeiter!$F$24,(LEN(TRIM(Mitarbeiter!$E$24))-LEN(SUBSTITUTE(TRIM(Mitarbeiter!$E$24)," ",""))+1))+1)-1)*99+1,99))="-","",TRIM(MID(SUBSTITUTE(TRIM(Mitarbeiter!$E$24)," ",REPT(" ",99)),((MOD(H$5-Mitarbeiter!$F$24,(LEN(TRIM(Mitarbeiter!$E$24))-LEN(SUBSTITUTE(TRIM(Mitarbeiter!$E$24)," ",""))+1))+1)-1)*99+1,99))))</f>
      </c>
      <c r="I25" s="54">
        <f>IF(OR($A25="",I$5="",TRIM(Mitarbeiter!$E$24)="",NOT(ISNUMBER(Mitarbeiter!$F$24))),"",IF(TRIM(MID(SUBSTITUTE(TRIM(Mitarbeiter!$E$24)," ",REPT(" ",99)),((MOD(I$5-Mitarbeiter!$F$24,(LEN(TRIM(Mitarbeiter!$E$24))-LEN(SUBSTITUTE(TRIM(Mitarbeiter!$E$24)," ",""))+1))+1)-1)*99+1,99))="-","",TRIM(MID(SUBSTITUTE(TRIM(Mitarbeiter!$E$24)," ",REPT(" ",99)),((MOD(I$5-Mitarbeiter!$F$24,(LEN(TRIM(Mitarbeiter!$E$24))-LEN(SUBSTITUTE(TRIM(Mitarbeiter!$E$24)," ",""))+1))+1)-1)*99+1,99))))</f>
      </c>
      <c r="J25" s="54">
        <f>IF(OR($A25="",J$5="",TRIM(Mitarbeiter!$E$24)="",NOT(ISNUMBER(Mitarbeiter!$F$24))),"",IF(TRIM(MID(SUBSTITUTE(TRIM(Mitarbeiter!$E$24)," ",REPT(" ",99)),((MOD(J$5-Mitarbeiter!$F$24,(LEN(TRIM(Mitarbeiter!$E$24))-LEN(SUBSTITUTE(TRIM(Mitarbeiter!$E$24)," ",""))+1))+1)-1)*99+1,99))="-","",TRIM(MID(SUBSTITUTE(TRIM(Mitarbeiter!$E$24)," ",REPT(" ",99)),((MOD(J$5-Mitarbeiter!$F$24,(LEN(TRIM(Mitarbeiter!$E$24))-LEN(SUBSTITUTE(TRIM(Mitarbeiter!$E$24)," ",""))+1))+1)-1)*99+1,99))))</f>
      </c>
      <c r="K25" s="54">
        <f>IF(OR($A25="",K$5="",TRIM(Mitarbeiter!$E$24)="",NOT(ISNUMBER(Mitarbeiter!$F$24))),"",IF(TRIM(MID(SUBSTITUTE(TRIM(Mitarbeiter!$E$24)," ",REPT(" ",99)),((MOD(K$5-Mitarbeiter!$F$24,(LEN(TRIM(Mitarbeiter!$E$24))-LEN(SUBSTITUTE(TRIM(Mitarbeiter!$E$24)," ",""))+1))+1)-1)*99+1,99))="-","",TRIM(MID(SUBSTITUTE(TRIM(Mitarbeiter!$E$24)," ",REPT(" ",99)),((MOD(K$5-Mitarbeiter!$F$24,(LEN(TRIM(Mitarbeiter!$E$24))-LEN(SUBSTITUTE(TRIM(Mitarbeiter!$E$24)," ",""))+1))+1)-1)*99+1,99))))</f>
      </c>
      <c r="L25" s="54">
        <f>IF(OR($A25="",L$5="",TRIM(Mitarbeiter!$E$24)="",NOT(ISNUMBER(Mitarbeiter!$F$24))),"",IF(TRIM(MID(SUBSTITUTE(TRIM(Mitarbeiter!$E$24)," ",REPT(" ",99)),((MOD(L$5-Mitarbeiter!$F$24,(LEN(TRIM(Mitarbeiter!$E$24))-LEN(SUBSTITUTE(TRIM(Mitarbeiter!$E$24)," ",""))+1))+1)-1)*99+1,99))="-","",TRIM(MID(SUBSTITUTE(TRIM(Mitarbeiter!$E$24)," ",REPT(" ",99)),((MOD(L$5-Mitarbeiter!$F$24,(LEN(TRIM(Mitarbeiter!$E$24))-LEN(SUBSTITUTE(TRIM(Mitarbeiter!$E$24)," ",""))+1))+1)-1)*99+1,99))))</f>
      </c>
      <c r="M25" s="54">
        <f>IF(OR($A25="",M$5="",TRIM(Mitarbeiter!$E$24)="",NOT(ISNUMBER(Mitarbeiter!$F$24))),"",IF(TRIM(MID(SUBSTITUTE(TRIM(Mitarbeiter!$E$24)," ",REPT(" ",99)),((MOD(M$5-Mitarbeiter!$F$24,(LEN(TRIM(Mitarbeiter!$E$24))-LEN(SUBSTITUTE(TRIM(Mitarbeiter!$E$24)," ",""))+1))+1)-1)*99+1,99))="-","",TRIM(MID(SUBSTITUTE(TRIM(Mitarbeiter!$E$24)," ",REPT(" ",99)),((MOD(M$5-Mitarbeiter!$F$24,(LEN(TRIM(Mitarbeiter!$E$24))-LEN(SUBSTITUTE(TRIM(Mitarbeiter!$E$24)," ",""))+1))+1)-1)*99+1,99))))</f>
      </c>
      <c r="N25" s="54">
        <f>IF(OR($A25="",N$5="",TRIM(Mitarbeiter!$E$24)="",NOT(ISNUMBER(Mitarbeiter!$F$24))),"",IF(TRIM(MID(SUBSTITUTE(TRIM(Mitarbeiter!$E$24)," ",REPT(" ",99)),((MOD(N$5-Mitarbeiter!$F$24,(LEN(TRIM(Mitarbeiter!$E$24))-LEN(SUBSTITUTE(TRIM(Mitarbeiter!$E$24)," ",""))+1))+1)-1)*99+1,99))="-","",TRIM(MID(SUBSTITUTE(TRIM(Mitarbeiter!$E$24)," ",REPT(" ",99)),((MOD(N$5-Mitarbeiter!$F$24,(LEN(TRIM(Mitarbeiter!$E$24))-LEN(SUBSTITUTE(TRIM(Mitarbeiter!$E$24)," ",""))+1))+1)-1)*99+1,99))))</f>
      </c>
      <c r="O25" s="54">
        <f>IF(OR($A25="",O$5="",TRIM(Mitarbeiter!$E$24)="",NOT(ISNUMBER(Mitarbeiter!$F$24))),"",IF(TRIM(MID(SUBSTITUTE(TRIM(Mitarbeiter!$E$24)," ",REPT(" ",99)),((MOD(O$5-Mitarbeiter!$F$24,(LEN(TRIM(Mitarbeiter!$E$24))-LEN(SUBSTITUTE(TRIM(Mitarbeiter!$E$24)," ",""))+1))+1)-1)*99+1,99))="-","",TRIM(MID(SUBSTITUTE(TRIM(Mitarbeiter!$E$24)," ",REPT(" ",99)),((MOD(O$5-Mitarbeiter!$F$24,(LEN(TRIM(Mitarbeiter!$E$24))-LEN(SUBSTITUTE(TRIM(Mitarbeiter!$E$24)," ",""))+1))+1)-1)*99+1,99))))</f>
      </c>
      <c r="P25" s="54">
        <f>IF(OR($A25="",P$5="",TRIM(Mitarbeiter!$E$24)="",NOT(ISNUMBER(Mitarbeiter!$F$24))),"",IF(TRIM(MID(SUBSTITUTE(TRIM(Mitarbeiter!$E$24)," ",REPT(" ",99)),((MOD(P$5-Mitarbeiter!$F$24,(LEN(TRIM(Mitarbeiter!$E$24))-LEN(SUBSTITUTE(TRIM(Mitarbeiter!$E$24)," ",""))+1))+1)-1)*99+1,99))="-","",TRIM(MID(SUBSTITUTE(TRIM(Mitarbeiter!$E$24)," ",REPT(" ",99)),((MOD(P$5-Mitarbeiter!$F$24,(LEN(TRIM(Mitarbeiter!$E$24))-LEN(SUBSTITUTE(TRIM(Mitarbeiter!$E$24)," ",""))+1))+1)-1)*99+1,99))))</f>
      </c>
      <c r="Q25" s="54">
        <f>IF(OR($A25="",Q$5="",TRIM(Mitarbeiter!$E$24)="",NOT(ISNUMBER(Mitarbeiter!$F$24))),"",IF(TRIM(MID(SUBSTITUTE(TRIM(Mitarbeiter!$E$24)," ",REPT(" ",99)),((MOD(Q$5-Mitarbeiter!$F$24,(LEN(TRIM(Mitarbeiter!$E$24))-LEN(SUBSTITUTE(TRIM(Mitarbeiter!$E$24)," ",""))+1))+1)-1)*99+1,99))="-","",TRIM(MID(SUBSTITUTE(TRIM(Mitarbeiter!$E$24)," ",REPT(" ",99)),((MOD(Q$5-Mitarbeiter!$F$24,(LEN(TRIM(Mitarbeiter!$E$24))-LEN(SUBSTITUTE(TRIM(Mitarbeiter!$E$24)," ",""))+1))+1)-1)*99+1,99))))</f>
      </c>
      <c r="R25" s="54">
        <f>IF(OR($A25="",R$5="",TRIM(Mitarbeiter!$E$24)="",NOT(ISNUMBER(Mitarbeiter!$F$24))),"",IF(TRIM(MID(SUBSTITUTE(TRIM(Mitarbeiter!$E$24)," ",REPT(" ",99)),((MOD(R$5-Mitarbeiter!$F$24,(LEN(TRIM(Mitarbeiter!$E$24))-LEN(SUBSTITUTE(TRIM(Mitarbeiter!$E$24)," ",""))+1))+1)-1)*99+1,99))="-","",TRIM(MID(SUBSTITUTE(TRIM(Mitarbeiter!$E$24)," ",REPT(" ",99)),((MOD(R$5-Mitarbeiter!$F$24,(LEN(TRIM(Mitarbeiter!$E$24))-LEN(SUBSTITUTE(TRIM(Mitarbeiter!$E$24)," ",""))+1))+1)-1)*99+1,99))))</f>
      </c>
      <c r="S25" s="54">
        <f>IF(OR($A25="",S$5="",TRIM(Mitarbeiter!$E$24)="",NOT(ISNUMBER(Mitarbeiter!$F$24))),"",IF(TRIM(MID(SUBSTITUTE(TRIM(Mitarbeiter!$E$24)," ",REPT(" ",99)),((MOD(S$5-Mitarbeiter!$F$24,(LEN(TRIM(Mitarbeiter!$E$24))-LEN(SUBSTITUTE(TRIM(Mitarbeiter!$E$24)," ",""))+1))+1)-1)*99+1,99))="-","",TRIM(MID(SUBSTITUTE(TRIM(Mitarbeiter!$E$24)," ",REPT(" ",99)),((MOD(S$5-Mitarbeiter!$F$24,(LEN(TRIM(Mitarbeiter!$E$24))-LEN(SUBSTITUTE(TRIM(Mitarbeiter!$E$24)," ",""))+1))+1)-1)*99+1,99))))</f>
      </c>
      <c r="T25" s="54">
        <f>IF(OR($A25="",T$5="",TRIM(Mitarbeiter!$E$24)="",NOT(ISNUMBER(Mitarbeiter!$F$24))),"",IF(TRIM(MID(SUBSTITUTE(TRIM(Mitarbeiter!$E$24)," ",REPT(" ",99)),((MOD(T$5-Mitarbeiter!$F$24,(LEN(TRIM(Mitarbeiter!$E$24))-LEN(SUBSTITUTE(TRIM(Mitarbeiter!$E$24)," ",""))+1))+1)-1)*99+1,99))="-","",TRIM(MID(SUBSTITUTE(TRIM(Mitarbeiter!$E$24)," ",REPT(" ",99)),((MOD(T$5-Mitarbeiter!$F$24,(LEN(TRIM(Mitarbeiter!$E$24))-LEN(SUBSTITUTE(TRIM(Mitarbeiter!$E$24)," ",""))+1))+1)-1)*99+1,99))))</f>
      </c>
      <c r="U25" s="54">
        <f>IF(OR($A25="",U$5="",TRIM(Mitarbeiter!$E$24)="",NOT(ISNUMBER(Mitarbeiter!$F$24))),"",IF(TRIM(MID(SUBSTITUTE(TRIM(Mitarbeiter!$E$24)," ",REPT(" ",99)),((MOD(U$5-Mitarbeiter!$F$24,(LEN(TRIM(Mitarbeiter!$E$24))-LEN(SUBSTITUTE(TRIM(Mitarbeiter!$E$24)," ",""))+1))+1)-1)*99+1,99))="-","",TRIM(MID(SUBSTITUTE(TRIM(Mitarbeiter!$E$24)," ",REPT(" ",99)),((MOD(U$5-Mitarbeiter!$F$24,(LEN(TRIM(Mitarbeiter!$E$24))-LEN(SUBSTITUTE(TRIM(Mitarbeiter!$E$24)," ",""))+1))+1)-1)*99+1,99))))</f>
      </c>
      <c r="V25" s="54">
        <f>IF(OR($A25="",V$5="",TRIM(Mitarbeiter!$E$24)="",NOT(ISNUMBER(Mitarbeiter!$F$24))),"",IF(TRIM(MID(SUBSTITUTE(TRIM(Mitarbeiter!$E$24)," ",REPT(" ",99)),((MOD(V$5-Mitarbeiter!$F$24,(LEN(TRIM(Mitarbeiter!$E$24))-LEN(SUBSTITUTE(TRIM(Mitarbeiter!$E$24)," ",""))+1))+1)-1)*99+1,99))="-","",TRIM(MID(SUBSTITUTE(TRIM(Mitarbeiter!$E$24)," ",REPT(" ",99)),((MOD(V$5-Mitarbeiter!$F$24,(LEN(TRIM(Mitarbeiter!$E$24))-LEN(SUBSTITUTE(TRIM(Mitarbeiter!$E$24)," ",""))+1))+1)-1)*99+1,99))))</f>
      </c>
      <c r="W25" s="54">
        <f>IF(OR($A25="",W$5="",TRIM(Mitarbeiter!$E$24)="",NOT(ISNUMBER(Mitarbeiter!$F$24))),"",IF(TRIM(MID(SUBSTITUTE(TRIM(Mitarbeiter!$E$24)," ",REPT(" ",99)),((MOD(W$5-Mitarbeiter!$F$24,(LEN(TRIM(Mitarbeiter!$E$24))-LEN(SUBSTITUTE(TRIM(Mitarbeiter!$E$24)," ",""))+1))+1)-1)*99+1,99))="-","",TRIM(MID(SUBSTITUTE(TRIM(Mitarbeiter!$E$24)," ",REPT(" ",99)),((MOD(W$5-Mitarbeiter!$F$24,(LEN(TRIM(Mitarbeiter!$E$24))-LEN(SUBSTITUTE(TRIM(Mitarbeiter!$E$24)," ",""))+1))+1)-1)*99+1,99))))</f>
      </c>
      <c r="X25" s="54">
        <f>IF(OR($A25="",X$5="",TRIM(Mitarbeiter!$E$24)="",NOT(ISNUMBER(Mitarbeiter!$F$24))),"",IF(TRIM(MID(SUBSTITUTE(TRIM(Mitarbeiter!$E$24)," ",REPT(" ",99)),((MOD(X$5-Mitarbeiter!$F$24,(LEN(TRIM(Mitarbeiter!$E$24))-LEN(SUBSTITUTE(TRIM(Mitarbeiter!$E$24)," ",""))+1))+1)-1)*99+1,99))="-","",TRIM(MID(SUBSTITUTE(TRIM(Mitarbeiter!$E$24)," ",REPT(" ",99)),((MOD(X$5-Mitarbeiter!$F$24,(LEN(TRIM(Mitarbeiter!$E$24))-LEN(SUBSTITUTE(TRIM(Mitarbeiter!$E$24)," ",""))+1))+1)-1)*99+1,99))))</f>
      </c>
      <c r="Y25" s="54">
        <f>IF(OR($A25="",Y$5="",TRIM(Mitarbeiter!$E$24)="",NOT(ISNUMBER(Mitarbeiter!$F$24))),"",IF(TRIM(MID(SUBSTITUTE(TRIM(Mitarbeiter!$E$24)," ",REPT(" ",99)),((MOD(Y$5-Mitarbeiter!$F$24,(LEN(TRIM(Mitarbeiter!$E$24))-LEN(SUBSTITUTE(TRIM(Mitarbeiter!$E$24)," ",""))+1))+1)-1)*99+1,99))="-","",TRIM(MID(SUBSTITUTE(TRIM(Mitarbeiter!$E$24)," ",REPT(" ",99)),((MOD(Y$5-Mitarbeiter!$F$24,(LEN(TRIM(Mitarbeiter!$E$24))-LEN(SUBSTITUTE(TRIM(Mitarbeiter!$E$24)," ",""))+1))+1)-1)*99+1,99))))</f>
      </c>
      <c r="Z25" s="54">
        <f>IF(OR($A25="",Z$5="",TRIM(Mitarbeiter!$E$24)="",NOT(ISNUMBER(Mitarbeiter!$F$24))),"",IF(TRIM(MID(SUBSTITUTE(TRIM(Mitarbeiter!$E$24)," ",REPT(" ",99)),((MOD(Z$5-Mitarbeiter!$F$24,(LEN(TRIM(Mitarbeiter!$E$24))-LEN(SUBSTITUTE(TRIM(Mitarbeiter!$E$24)," ",""))+1))+1)-1)*99+1,99))="-","",TRIM(MID(SUBSTITUTE(TRIM(Mitarbeiter!$E$24)," ",REPT(" ",99)),((MOD(Z$5-Mitarbeiter!$F$24,(LEN(TRIM(Mitarbeiter!$E$24))-LEN(SUBSTITUTE(TRIM(Mitarbeiter!$E$24)," ",""))+1))+1)-1)*99+1,99))))</f>
      </c>
      <c r="AA25" s="54">
        <f>IF(OR($A25="",AA$5="",TRIM(Mitarbeiter!$E$24)="",NOT(ISNUMBER(Mitarbeiter!$F$24))),"",IF(TRIM(MID(SUBSTITUTE(TRIM(Mitarbeiter!$E$24)," ",REPT(" ",99)),((MOD(AA$5-Mitarbeiter!$F$24,(LEN(TRIM(Mitarbeiter!$E$24))-LEN(SUBSTITUTE(TRIM(Mitarbeiter!$E$24)," ",""))+1))+1)-1)*99+1,99))="-","",TRIM(MID(SUBSTITUTE(TRIM(Mitarbeiter!$E$24)," ",REPT(" ",99)),((MOD(AA$5-Mitarbeiter!$F$24,(LEN(TRIM(Mitarbeiter!$E$24))-LEN(SUBSTITUTE(TRIM(Mitarbeiter!$E$24)," ",""))+1))+1)-1)*99+1,99))))</f>
      </c>
      <c r="AB25" s="54">
        <f>IF(OR($A25="",AB$5="",TRIM(Mitarbeiter!$E$24)="",NOT(ISNUMBER(Mitarbeiter!$F$24))),"",IF(TRIM(MID(SUBSTITUTE(TRIM(Mitarbeiter!$E$24)," ",REPT(" ",99)),((MOD(AB$5-Mitarbeiter!$F$24,(LEN(TRIM(Mitarbeiter!$E$24))-LEN(SUBSTITUTE(TRIM(Mitarbeiter!$E$24)," ",""))+1))+1)-1)*99+1,99))="-","",TRIM(MID(SUBSTITUTE(TRIM(Mitarbeiter!$E$24)," ",REPT(" ",99)),((MOD(AB$5-Mitarbeiter!$F$24,(LEN(TRIM(Mitarbeiter!$E$24))-LEN(SUBSTITUTE(TRIM(Mitarbeiter!$E$24)," ",""))+1))+1)-1)*99+1,99))))</f>
      </c>
      <c r="AC25" s="54">
        <f>IF(OR($A25="",AC$5="",TRIM(Mitarbeiter!$E$24)="",NOT(ISNUMBER(Mitarbeiter!$F$24))),"",IF(TRIM(MID(SUBSTITUTE(TRIM(Mitarbeiter!$E$24)," ",REPT(" ",99)),((MOD(AC$5-Mitarbeiter!$F$24,(LEN(TRIM(Mitarbeiter!$E$24))-LEN(SUBSTITUTE(TRIM(Mitarbeiter!$E$24)," ",""))+1))+1)-1)*99+1,99))="-","",TRIM(MID(SUBSTITUTE(TRIM(Mitarbeiter!$E$24)," ",REPT(" ",99)),((MOD(AC$5-Mitarbeiter!$F$24,(LEN(TRIM(Mitarbeiter!$E$24))-LEN(SUBSTITUTE(TRIM(Mitarbeiter!$E$24)," ",""))+1))+1)-1)*99+1,99))))</f>
      </c>
      <c r="AD25" s="54">
        <f>IF(OR($A25="",AD$5="",TRIM(Mitarbeiter!$E$24)="",NOT(ISNUMBER(Mitarbeiter!$F$24))),"",IF(TRIM(MID(SUBSTITUTE(TRIM(Mitarbeiter!$E$24)," ",REPT(" ",99)),((MOD(AD$5-Mitarbeiter!$F$24,(LEN(TRIM(Mitarbeiter!$E$24))-LEN(SUBSTITUTE(TRIM(Mitarbeiter!$E$24)," ",""))+1))+1)-1)*99+1,99))="-","",TRIM(MID(SUBSTITUTE(TRIM(Mitarbeiter!$E$24)," ",REPT(" ",99)),((MOD(AD$5-Mitarbeiter!$F$24,(LEN(TRIM(Mitarbeiter!$E$24))-LEN(SUBSTITUTE(TRIM(Mitarbeiter!$E$24)," ",""))+1))+1)-1)*99+1,99))))</f>
      </c>
      <c r="AE25" s="54">
        <f>IF(OR($A25="",AE$5="",TRIM(Mitarbeiter!$E$24)="",NOT(ISNUMBER(Mitarbeiter!$F$24))),"",IF(TRIM(MID(SUBSTITUTE(TRIM(Mitarbeiter!$E$24)," ",REPT(" ",99)),((MOD(AE$5-Mitarbeiter!$F$24,(LEN(TRIM(Mitarbeiter!$E$24))-LEN(SUBSTITUTE(TRIM(Mitarbeiter!$E$24)," ",""))+1))+1)-1)*99+1,99))="-","",TRIM(MID(SUBSTITUTE(TRIM(Mitarbeiter!$E$24)," ",REPT(" ",99)),((MOD(AE$5-Mitarbeiter!$F$24,(LEN(TRIM(Mitarbeiter!$E$24))-LEN(SUBSTITUTE(TRIM(Mitarbeiter!$E$24)," ",""))+1))+1)-1)*99+1,99))))</f>
      </c>
      <c r="AF25" s="54">
        <f>IF(OR($A25="",AF$5="",TRIM(Mitarbeiter!$E$24)="",NOT(ISNUMBER(Mitarbeiter!$F$24))),"",IF(TRIM(MID(SUBSTITUTE(TRIM(Mitarbeiter!$E$24)," ",REPT(" ",99)),((MOD(AF$5-Mitarbeiter!$F$24,(LEN(TRIM(Mitarbeiter!$E$24))-LEN(SUBSTITUTE(TRIM(Mitarbeiter!$E$24)," ",""))+1))+1)-1)*99+1,99))="-","",TRIM(MID(SUBSTITUTE(TRIM(Mitarbeiter!$E$24)," ",REPT(" ",99)),((MOD(AF$5-Mitarbeiter!$F$24,(LEN(TRIM(Mitarbeiter!$E$24))-LEN(SUBSTITUTE(TRIM(Mitarbeiter!$E$24)," ",""))+1))+1)-1)*99+1,99))))</f>
      </c>
      <c r="AG25" s="55">
        <f>IF(OR($A25="",TRIM(Mitarbeiter!$E$24)=""),"",IF(NOT(ISNUMBER(Mitarbeiter!$F$24)),"Rhythmus ab: Datum fehlt",IF(COUNTIF(B25:AF25,"?*")-SUMPRODUCT(COUNTIF(B25:AF25,Codes)*(Codes&lt;&gt;"")*Erste)&gt;0,"Rhythmus enthält ein unbekanntes Kürzel","")))</f>
      </c>
    </row>
    <row r="26" spans="1:33" x14ac:dyDescent="0.25">
      <c r="A26" s="49">
        <f>Mitarbeiter!$A$25&amp;""</f>
      </c>
      <c r="B26" s="54">
        <f>IF(OR($A26="",B$5="",TRIM(Mitarbeiter!$E$25)="",NOT(ISNUMBER(Mitarbeiter!$F$25))),"",IF(TRIM(MID(SUBSTITUTE(TRIM(Mitarbeiter!$E$25)," ",REPT(" ",99)),((MOD(B$5-Mitarbeiter!$F$25,(LEN(TRIM(Mitarbeiter!$E$25))-LEN(SUBSTITUTE(TRIM(Mitarbeiter!$E$25)," ",""))+1))+1)-1)*99+1,99))="-","",TRIM(MID(SUBSTITUTE(TRIM(Mitarbeiter!$E$25)," ",REPT(" ",99)),((MOD(B$5-Mitarbeiter!$F$25,(LEN(TRIM(Mitarbeiter!$E$25))-LEN(SUBSTITUTE(TRIM(Mitarbeiter!$E$25)," ",""))+1))+1)-1)*99+1,99))))</f>
      </c>
      <c r="C26" s="54">
        <f>IF(OR($A26="",C$5="",TRIM(Mitarbeiter!$E$25)="",NOT(ISNUMBER(Mitarbeiter!$F$25))),"",IF(TRIM(MID(SUBSTITUTE(TRIM(Mitarbeiter!$E$25)," ",REPT(" ",99)),((MOD(C$5-Mitarbeiter!$F$25,(LEN(TRIM(Mitarbeiter!$E$25))-LEN(SUBSTITUTE(TRIM(Mitarbeiter!$E$25)," ",""))+1))+1)-1)*99+1,99))="-","",TRIM(MID(SUBSTITUTE(TRIM(Mitarbeiter!$E$25)," ",REPT(" ",99)),((MOD(C$5-Mitarbeiter!$F$25,(LEN(TRIM(Mitarbeiter!$E$25))-LEN(SUBSTITUTE(TRIM(Mitarbeiter!$E$25)," ",""))+1))+1)-1)*99+1,99))))</f>
      </c>
      <c r="D26" s="54">
        <f>IF(OR($A26="",D$5="",TRIM(Mitarbeiter!$E$25)="",NOT(ISNUMBER(Mitarbeiter!$F$25))),"",IF(TRIM(MID(SUBSTITUTE(TRIM(Mitarbeiter!$E$25)," ",REPT(" ",99)),((MOD(D$5-Mitarbeiter!$F$25,(LEN(TRIM(Mitarbeiter!$E$25))-LEN(SUBSTITUTE(TRIM(Mitarbeiter!$E$25)," ",""))+1))+1)-1)*99+1,99))="-","",TRIM(MID(SUBSTITUTE(TRIM(Mitarbeiter!$E$25)," ",REPT(" ",99)),((MOD(D$5-Mitarbeiter!$F$25,(LEN(TRIM(Mitarbeiter!$E$25))-LEN(SUBSTITUTE(TRIM(Mitarbeiter!$E$25)," ",""))+1))+1)-1)*99+1,99))))</f>
      </c>
      <c r="E26" s="54">
        <f>IF(OR($A26="",E$5="",TRIM(Mitarbeiter!$E$25)="",NOT(ISNUMBER(Mitarbeiter!$F$25))),"",IF(TRIM(MID(SUBSTITUTE(TRIM(Mitarbeiter!$E$25)," ",REPT(" ",99)),((MOD(E$5-Mitarbeiter!$F$25,(LEN(TRIM(Mitarbeiter!$E$25))-LEN(SUBSTITUTE(TRIM(Mitarbeiter!$E$25)," ",""))+1))+1)-1)*99+1,99))="-","",TRIM(MID(SUBSTITUTE(TRIM(Mitarbeiter!$E$25)," ",REPT(" ",99)),((MOD(E$5-Mitarbeiter!$F$25,(LEN(TRIM(Mitarbeiter!$E$25))-LEN(SUBSTITUTE(TRIM(Mitarbeiter!$E$25)," ",""))+1))+1)-1)*99+1,99))))</f>
      </c>
      <c r="F26" s="54">
        <f>IF(OR($A26="",F$5="",TRIM(Mitarbeiter!$E$25)="",NOT(ISNUMBER(Mitarbeiter!$F$25))),"",IF(TRIM(MID(SUBSTITUTE(TRIM(Mitarbeiter!$E$25)," ",REPT(" ",99)),((MOD(F$5-Mitarbeiter!$F$25,(LEN(TRIM(Mitarbeiter!$E$25))-LEN(SUBSTITUTE(TRIM(Mitarbeiter!$E$25)," ",""))+1))+1)-1)*99+1,99))="-","",TRIM(MID(SUBSTITUTE(TRIM(Mitarbeiter!$E$25)," ",REPT(" ",99)),((MOD(F$5-Mitarbeiter!$F$25,(LEN(TRIM(Mitarbeiter!$E$25))-LEN(SUBSTITUTE(TRIM(Mitarbeiter!$E$25)," ",""))+1))+1)-1)*99+1,99))))</f>
      </c>
      <c r="G26" s="54">
        <f>IF(OR($A26="",G$5="",TRIM(Mitarbeiter!$E$25)="",NOT(ISNUMBER(Mitarbeiter!$F$25))),"",IF(TRIM(MID(SUBSTITUTE(TRIM(Mitarbeiter!$E$25)," ",REPT(" ",99)),((MOD(G$5-Mitarbeiter!$F$25,(LEN(TRIM(Mitarbeiter!$E$25))-LEN(SUBSTITUTE(TRIM(Mitarbeiter!$E$25)," ",""))+1))+1)-1)*99+1,99))="-","",TRIM(MID(SUBSTITUTE(TRIM(Mitarbeiter!$E$25)," ",REPT(" ",99)),((MOD(G$5-Mitarbeiter!$F$25,(LEN(TRIM(Mitarbeiter!$E$25))-LEN(SUBSTITUTE(TRIM(Mitarbeiter!$E$25)," ",""))+1))+1)-1)*99+1,99))))</f>
      </c>
      <c r="H26" s="54">
        <f>IF(OR($A26="",H$5="",TRIM(Mitarbeiter!$E$25)="",NOT(ISNUMBER(Mitarbeiter!$F$25))),"",IF(TRIM(MID(SUBSTITUTE(TRIM(Mitarbeiter!$E$25)," ",REPT(" ",99)),((MOD(H$5-Mitarbeiter!$F$25,(LEN(TRIM(Mitarbeiter!$E$25))-LEN(SUBSTITUTE(TRIM(Mitarbeiter!$E$25)," ",""))+1))+1)-1)*99+1,99))="-","",TRIM(MID(SUBSTITUTE(TRIM(Mitarbeiter!$E$25)," ",REPT(" ",99)),((MOD(H$5-Mitarbeiter!$F$25,(LEN(TRIM(Mitarbeiter!$E$25))-LEN(SUBSTITUTE(TRIM(Mitarbeiter!$E$25)," ",""))+1))+1)-1)*99+1,99))))</f>
      </c>
      <c r="I26" s="54">
        <f>IF(OR($A26="",I$5="",TRIM(Mitarbeiter!$E$25)="",NOT(ISNUMBER(Mitarbeiter!$F$25))),"",IF(TRIM(MID(SUBSTITUTE(TRIM(Mitarbeiter!$E$25)," ",REPT(" ",99)),((MOD(I$5-Mitarbeiter!$F$25,(LEN(TRIM(Mitarbeiter!$E$25))-LEN(SUBSTITUTE(TRIM(Mitarbeiter!$E$25)," ",""))+1))+1)-1)*99+1,99))="-","",TRIM(MID(SUBSTITUTE(TRIM(Mitarbeiter!$E$25)," ",REPT(" ",99)),((MOD(I$5-Mitarbeiter!$F$25,(LEN(TRIM(Mitarbeiter!$E$25))-LEN(SUBSTITUTE(TRIM(Mitarbeiter!$E$25)," ",""))+1))+1)-1)*99+1,99))))</f>
      </c>
      <c r="J26" s="54">
        <f>IF(OR($A26="",J$5="",TRIM(Mitarbeiter!$E$25)="",NOT(ISNUMBER(Mitarbeiter!$F$25))),"",IF(TRIM(MID(SUBSTITUTE(TRIM(Mitarbeiter!$E$25)," ",REPT(" ",99)),((MOD(J$5-Mitarbeiter!$F$25,(LEN(TRIM(Mitarbeiter!$E$25))-LEN(SUBSTITUTE(TRIM(Mitarbeiter!$E$25)," ",""))+1))+1)-1)*99+1,99))="-","",TRIM(MID(SUBSTITUTE(TRIM(Mitarbeiter!$E$25)," ",REPT(" ",99)),((MOD(J$5-Mitarbeiter!$F$25,(LEN(TRIM(Mitarbeiter!$E$25))-LEN(SUBSTITUTE(TRIM(Mitarbeiter!$E$25)," ",""))+1))+1)-1)*99+1,99))))</f>
      </c>
      <c r="K26" s="54">
        <f>IF(OR($A26="",K$5="",TRIM(Mitarbeiter!$E$25)="",NOT(ISNUMBER(Mitarbeiter!$F$25))),"",IF(TRIM(MID(SUBSTITUTE(TRIM(Mitarbeiter!$E$25)," ",REPT(" ",99)),((MOD(K$5-Mitarbeiter!$F$25,(LEN(TRIM(Mitarbeiter!$E$25))-LEN(SUBSTITUTE(TRIM(Mitarbeiter!$E$25)," ",""))+1))+1)-1)*99+1,99))="-","",TRIM(MID(SUBSTITUTE(TRIM(Mitarbeiter!$E$25)," ",REPT(" ",99)),((MOD(K$5-Mitarbeiter!$F$25,(LEN(TRIM(Mitarbeiter!$E$25))-LEN(SUBSTITUTE(TRIM(Mitarbeiter!$E$25)," ",""))+1))+1)-1)*99+1,99))))</f>
      </c>
      <c r="L26" s="54">
        <f>IF(OR($A26="",L$5="",TRIM(Mitarbeiter!$E$25)="",NOT(ISNUMBER(Mitarbeiter!$F$25))),"",IF(TRIM(MID(SUBSTITUTE(TRIM(Mitarbeiter!$E$25)," ",REPT(" ",99)),((MOD(L$5-Mitarbeiter!$F$25,(LEN(TRIM(Mitarbeiter!$E$25))-LEN(SUBSTITUTE(TRIM(Mitarbeiter!$E$25)," ",""))+1))+1)-1)*99+1,99))="-","",TRIM(MID(SUBSTITUTE(TRIM(Mitarbeiter!$E$25)," ",REPT(" ",99)),((MOD(L$5-Mitarbeiter!$F$25,(LEN(TRIM(Mitarbeiter!$E$25))-LEN(SUBSTITUTE(TRIM(Mitarbeiter!$E$25)," ",""))+1))+1)-1)*99+1,99))))</f>
      </c>
      <c r="M26" s="54">
        <f>IF(OR($A26="",M$5="",TRIM(Mitarbeiter!$E$25)="",NOT(ISNUMBER(Mitarbeiter!$F$25))),"",IF(TRIM(MID(SUBSTITUTE(TRIM(Mitarbeiter!$E$25)," ",REPT(" ",99)),((MOD(M$5-Mitarbeiter!$F$25,(LEN(TRIM(Mitarbeiter!$E$25))-LEN(SUBSTITUTE(TRIM(Mitarbeiter!$E$25)," ",""))+1))+1)-1)*99+1,99))="-","",TRIM(MID(SUBSTITUTE(TRIM(Mitarbeiter!$E$25)," ",REPT(" ",99)),((MOD(M$5-Mitarbeiter!$F$25,(LEN(TRIM(Mitarbeiter!$E$25))-LEN(SUBSTITUTE(TRIM(Mitarbeiter!$E$25)," ",""))+1))+1)-1)*99+1,99))))</f>
      </c>
      <c r="N26" s="54">
        <f>IF(OR($A26="",N$5="",TRIM(Mitarbeiter!$E$25)="",NOT(ISNUMBER(Mitarbeiter!$F$25))),"",IF(TRIM(MID(SUBSTITUTE(TRIM(Mitarbeiter!$E$25)," ",REPT(" ",99)),((MOD(N$5-Mitarbeiter!$F$25,(LEN(TRIM(Mitarbeiter!$E$25))-LEN(SUBSTITUTE(TRIM(Mitarbeiter!$E$25)," ",""))+1))+1)-1)*99+1,99))="-","",TRIM(MID(SUBSTITUTE(TRIM(Mitarbeiter!$E$25)," ",REPT(" ",99)),((MOD(N$5-Mitarbeiter!$F$25,(LEN(TRIM(Mitarbeiter!$E$25))-LEN(SUBSTITUTE(TRIM(Mitarbeiter!$E$25)," ",""))+1))+1)-1)*99+1,99))))</f>
      </c>
      <c r="O26" s="54">
        <f>IF(OR($A26="",O$5="",TRIM(Mitarbeiter!$E$25)="",NOT(ISNUMBER(Mitarbeiter!$F$25))),"",IF(TRIM(MID(SUBSTITUTE(TRIM(Mitarbeiter!$E$25)," ",REPT(" ",99)),((MOD(O$5-Mitarbeiter!$F$25,(LEN(TRIM(Mitarbeiter!$E$25))-LEN(SUBSTITUTE(TRIM(Mitarbeiter!$E$25)," ",""))+1))+1)-1)*99+1,99))="-","",TRIM(MID(SUBSTITUTE(TRIM(Mitarbeiter!$E$25)," ",REPT(" ",99)),((MOD(O$5-Mitarbeiter!$F$25,(LEN(TRIM(Mitarbeiter!$E$25))-LEN(SUBSTITUTE(TRIM(Mitarbeiter!$E$25)," ",""))+1))+1)-1)*99+1,99))))</f>
      </c>
      <c r="P26" s="54">
        <f>IF(OR($A26="",P$5="",TRIM(Mitarbeiter!$E$25)="",NOT(ISNUMBER(Mitarbeiter!$F$25))),"",IF(TRIM(MID(SUBSTITUTE(TRIM(Mitarbeiter!$E$25)," ",REPT(" ",99)),((MOD(P$5-Mitarbeiter!$F$25,(LEN(TRIM(Mitarbeiter!$E$25))-LEN(SUBSTITUTE(TRIM(Mitarbeiter!$E$25)," ",""))+1))+1)-1)*99+1,99))="-","",TRIM(MID(SUBSTITUTE(TRIM(Mitarbeiter!$E$25)," ",REPT(" ",99)),((MOD(P$5-Mitarbeiter!$F$25,(LEN(TRIM(Mitarbeiter!$E$25))-LEN(SUBSTITUTE(TRIM(Mitarbeiter!$E$25)," ",""))+1))+1)-1)*99+1,99))))</f>
      </c>
      <c r="Q26" s="54">
        <f>IF(OR($A26="",Q$5="",TRIM(Mitarbeiter!$E$25)="",NOT(ISNUMBER(Mitarbeiter!$F$25))),"",IF(TRIM(MID(SUBSTITUTE(TRIM(Mitarbeiter!$E$25)," ",REPT(" ",99)),((MOD(Q$5-Mitarbeiter!$F$25,(LEN(TRIM(Mitarbeiter!$E$25))-LEN(SUBSTITUTE(TRIM(Mitarbeiter!$E$25)," ",""))+1))+1)-1)*99+1,99))="-","",TRIM(MID(SUBSTITUTE(TRIM(Mitarbeiter!$E$25)," ",REPT(" ",99)),((MOD(Q$5-Mitarbeiter!$F$25,(LEN(TRIM(Mitarbeiter!$E$25))-LEN(SUBSTITUTE(TRIM(Mitarbeiter!$E$25)," ",""))+1))+1)-1)*99+1,99))))</f>
      </c>
      <c r="R26" s="54">
        <f>IF(OR($A26="",R$5="",TRIM(Mitarbeiter!$E$25)="",NOT(ISNUMBER(Mitarbeiter!$F$25))),"",IF(TRIM(MID(SUBSTITUTE(TRIM(Mitarbeiter!$E$25)," ",REPT(" ",99)),((MOD(R$5-Mitarbeiter!$F$25,(LEN(TRIM(Mitarbeiter!$E$25))-LEN(SUBSTITUTE(TRIM(Mitarbeiter!$E$25)," ",""))+1))+1)-1)*99+1,99))="-","",TRIM(MID(SUBSTITUTE(TRIM(Mitarbeiter!$E$25)," ",REPT(" ",99)),((MOD(R$5-Mitarbeiter!$F$25,(LEN(TRIM(Mitarbeiter!$E$25))-LEN(SUBSTITUTE(TRIM(Mitarbeiter!$E$25)," ",""))+1))+1)-1)*99+1,99))))</f>
      </c>
      <c r="S26" s="54">
        <f>IF(OR($A26="",S$5="",TRIM(Mitarbeiter!$E$25)="",NOT(ISNUMBER(Mitarbeiter!$F$25))),"",IF(TRIM(MID(SUBSTITUTE(TRIM(Mitarbeiter!$E$25)," ",REPT(" ",99)),((MOD(S$5-Mitarbeiter!$F$25,(LEN(TRIM(Mitarbeiter!$E$25))-LEN(SUBSTITUTE(TRIM(Mitarbeiter!$E$25)," ",""))+1))+1)-1)*99+1,99))="-","",TRIM(MID(SUBSTITUTE(TRIM(Mitarbeiter!$E$25)," ",REPT(" ",99)),((MOD(S$5-Mitarbeiter!$F$25,(LEN(TRIM(Mitarbeiter!$E$25))-LEN(SUBSTITUTE(TRIM(Mitarbeiter!$E$25)," ",""))+1))+1)-1)*99+1,99))))</f>
      </c>
      <c r="T26" s="54">
        <f>IF(OR($A26="",T$5="",TRIM(Mitarbeiter!$E$25)="",NOT(ISNUMBER(Mitarbeiter!$F$25))),"",IF(TRIM(MID(SUBSTITUTE(TRIM(Mitarbeiter!$E$25)," ",REPT(" ",99)),((MOD(T$5-Mitarbeiter!$F$25,(LEN(TRIM(Mitarbeiter!$E$25))-LEN(SUBSTITUTE(TRIM(Mitarbeiter!$E$25)," ",""))+1))+1)-1)*99+1,99))="-","",TRIM(MID(SUBSTITUTE(TRIM(Mitarbeiter!$E$25)," ",REPT(" ",99)),((MOD(T$5-Mitarbeiter!$F$25,(LEN(TRIM(Mitarbeiter!$E$25))-LEN(SUBSTITUTE(TRIM(Mitarbeiter!$E$25)," ",""))+1))+1)-1)*99+1,99))))</f>
      </c>
      <c r="U26" s="54">
        <f>IF(OR($A26="",U$5="",TRIM(Mitarbeiter!$E$25)="",NOT(ISNUMBER(Mitarbeiter!$F$25))),"",IF(TRIM(MID(SUBSTITUTE(TRIM(Mitarbeiter!$E$25)," ",REPT(" ",99)),((MOD(U$5-Mitarbeiter!$F$25,(LEN(TRIM(Mitarbeiter!$E$25))-LEN(SUBSTITUTE(TRIM(Mitarbeiter!$E$25)," ",""))+1))+1)-1)*99+1,99))="-","",TRIM(MID(SUBSTITUTE(TRIM(Mitarbeiter!$E$25)," ",REPT(" ",99)),((MOD(U$5-Mitarbeiter!$F$25,(LEN(TRIM(Mitarbeiter!$E$25))-LEN(SUBSTITUTE(TRIM(Mitarbeiter!$E$25)," ",""))+1))+1)-1)*99+1,99))))</f>
      </c>
      <c r="V26" s="54">
        <f>IF(OR($A26="",V$5="",TRIM(Mitarbeiter!$E$25)="",NOT(ISNUMBER(Mitarbeiter!$F$25))),"",IF(TRIM(MID(SUBSTITUTE(TRIM(Mitarbeiter!$E$25)," ",REPT(" ",99)),((MOD(V$5-Mitarbeiter!$F$25,(LEN(TRIM(Mitarbeiter!$E$25))-LEN(SUBSTITUTE(TRIM(Mitarbeiter!$E$25)," ",""))+1))+1)-1)*99+1,99))="-","",TRIM(MID(SUBSTITUTE(TRIM(Mitarbeiter!$E$25)," ",REPT(" ",99)),((MOD(V$5-Mitarbeiter!$F$25,(LEN(TRIM(Mitarbeiter!$E$25))-LEN(SUBSTITUTE(TRIM(Mitarbeiter!$E$25)," ",""))+1))+1)-1)*99+1,99))))</f>
      </c>
      <c r="W26" s="54">
        <f>IF(OR($A26="",W$5="",TRIM(Mitarbeiter!$E$25)="",NOT(ISNUMBER(Mitarbeiter!$F$25))),"",IF(TRIM(MID(SUBSTITUTE(TRIM(Mitarbeiter!$E$25)," ",REPT(" ",99)),((MOD(W$5-Mitarbeiter!$F$25,(LEN(TRIM(Mitarbeiter!$E$25))-LEN(SUBSTITUTE(TRIM(Mitarbeiter!$E$25)," ",""))+1))+1)-1)*99+1,99))="-","",TRIM(MID(SUBSTITUTE(TRIM(Mitarbeiter!$E$25)," ",REPT(" ",99)),((MOD(W$5-Mitarbeiter!$F$25,(LEN(TRIM(Mitarbeiter!$E$25))-LEN(SUBSTITUTE(TRIM(Mitarbeiter!$E$25)," ",""))+1))+1)-1)*99+1,99))))</f>
      </c>
      <c r="X26" s="54">
        <f>IF(OR($A26="",X$5="",TRIM(Mitarbeiter!$E$25)="",NOT(ISNUMBER(Mitarbeiter!$F$25))),"",IF(TRIM(MID(SUBSTITUTE(TRIM(Mitarbeiter!$E$25)," ",REPT(" ",99)),((MOD(X$5-Mitarbeiter!$F$25,(LEN(TRIM(Mitarbeiter!$E$25))-LEN(SUBSTITUTE(TRIM(Mitarbeiter!$E$25)," ",""))+1))+1)-1)*99+1,99))="-","",TRIM(MID(SUBSTITUTE(TRIM(Mitarbeiter!$E$25)," ",REPT(" ",99)),((MOD(X$5-Mitarbeiter!$F$25,(LEN(TRIM(Mitarbeiter!$E$25))-LEN(SUBSTITUTE(TRIM(Mitarbeiter!$E$25)," ",""))+1))+1)-1)*99+1,99))))</f>
      </c>
      <c r="Y26" s="54">
        <f>IF(OR($A26="",Y$5="",TRIM(Mitarbeiter!$E$25)="",NOT(ISNUMBER(Mitarbeiter!$F$25))),"",IF(TRIM(MID(SUBSTITUTE(TRIM(Mitarbeiter!$E$25)," ",REPT(" ",99)),((MOD(Y$5-Mitarbeiter!$F$25,(LEN(TRIM(Mitarbeiter!$E$25))-LEN(SUBSTITUTE(TRIM(Mitarbeiter!$E$25)," ",""))+1))+1)-1)*99+1,99))="-","",TRIM(MID(SUBSTITUTE(TRIM(Mitarbeiter!$E$25)," ",REPT(" ",99)),((MOD(Y$5-Mitarbeiter!$F$25,(LEN(TRIM(Mitarbeiter!$E$25))-LEN(SUBSTITUTE(TRIM(Mitarbeiter!$E$25)," ",""))+1))+1)-1)*99+1,99))))</f>
      </c>
      <c r="Z26" s="54">
        <f>IF(OR($A26="",Z$5="",TRIM(Mitarbeiter!$E$25)="",NOT(ISNUMBER(Mitarbeiter!$F$25))),"",IF(TRIM(MID(SUBSTITUTE(TRIM(Mitarbeiter!$E$25)," ",REPT(" ",99)),((MOD(Z$5-Mitarbeiter!$F$25,(LEN(TRIM(Mitarbeiter!$E$25))-LEN(SUBSTITUTE(TRIM(Mitarbeiter!$E$25)," ",""))+1))+1)-1)*99+1,99))="-","",TRIM(MID(SUBSTITUTE(TRIM(Mitarbeiter!$E$25)," ",REPT(" ",99)),((MOD(Z$5-Mitarbeiter!$F$25,(LEN(TRIM(Mitarbeiter!$E$25))-LEN(SUBSTITUTE(TRIM(Mitarbeiter!$E$25)," ",""))+1))+1)-1)*99+1,99))))</f>
      </c>
      <c r="AA26" s="54">
        <f>IF(OR($A26="",AA$5="",TRIM(Mitarbeiter!$E$25)="",NOT(ISNUMBER(Mitarbeiter!$F$25))),"",IF(TRIM(MID(SUBSTITUTE(TRIM(Mitarbeiter!$E$25)," ",REPT(" ",99)),((MOD(AA$5-Mitarbeiter!$F$25,(LEN(TRIM(Mitarbeiter!$E$25))-LEN(SUBSTITUTE(TRIM(Mitarbeiter!$E$25)," ",""))+1))+1)-1)*99+1,99))="-","",TRIM(MID(SUBSTITUTE(TRIM(Mitarbeiter!$E$25)," ",REPT(" ",99)),((MOD(AA$5-Mitarbeiter!$F$25,(LEN(TRIM(Mitarbeiter!$E$25))-LEN(SUBSTITUTE(TRIM(Mitarbeiter!$E$25)," ",""))+1))+1)-1)*99+1,99))))</f>
      </c>
      <c r="AB26" s="54">
        <f>IF(OR($A26="",AB$5="",TRIM(Mitarbeiter!$E$25)="",NOT(ISNUMBER(Mitarbeiter!$F$25))),"",IF(TRIM(MID(SUBSTITUTE(TRIM(Mitarbeiter!$E$25)," ",REPT(" ",99)),((MOD(AB$5-Mitarbeiter!$F$25,(LEN(TRIM(Mitarbeiter!$E$25))-LEN(SUBSTITUTE(TRIM(Mitarbeiter!$E$25)," ",""))+1))+1)-1)*99+1,99))="-","",TRIM(MID(SUBSTITUTE(TRIM(Mitarbeiter!$E$25)," ",REPT(" ",99)),((MOD(AB$5-Mitarbeiter!$F$25,(LEN(TRIM(Mitarbeiter!$E$25))-LEN(SUBSTITUTE(TRIM(Mitarbeiter!$E$25)," ",""))+1))+1)-1)*99+1,99))))</f>
      </c>
      <c r="AC26" s="54">
        <f>IF(OR($A26="",AC$5="",TRIM(Mitarbeiter!$E$25)="",NOT(ISNUMBER(Mitarbeiter!$F$25))),"",IF(TRIM(MID(SUBSTITUTE(TRIM(Mitarbeiter!$E$25)," ",REPT(" ",99)),((MOD(AC$5-Mitarbeiter!$F$25,(LEN(TRIM(Mitarbeiter!$E$25))-LEN(SUBSTITUTE(TRIM(Mitarbeiter!$E$25)," ",""))+1))+1)-1)*99+1,99))="-","",TRIM(MID(SUBSTITUTE(TRIM(Mitarbeiter!$E$25)," ",REPT(" ",99)),((MOD(AC$5-Mitarbeiter!$F$25,(LEN(TRIM(Mitarbeiter!$E$25))-LEN(SUBSTITUTE(TRIM(Mitarbeiter!$E$25)," ",""))+1))+1)-1)*99+1,99))))</f>
      </c>
      <c r="AD26" s="54">
        <f>IF(OR($A26="",AD$5="",TRIM(Mitarbeiter!$E$25)="",NOT(ISNUMBER(Mitarbeiter!$F$25))),"",IF(TRIM(MID(SUBSTITUTE(TRIM(Mitarbeiter!$E$25)," ",REPT(" ",99)),((MOD(AD$5-Mitarbeiter!$F$25,(LEN(TRIM(Mitarbeiter!$E$25))-LEN(SUBSTITUTE(TRIM(Mitarbeiter!$E$25)," ",""))+1))+1)-1)*99+1,99))="-","",TRIM(MID(SUBSTITUTE(TRIM(Mitarbeiter!$E$25)," ",REPT(" ",99)),((MOD(AD$5-Mitarbeiter!$F$25,(LEN(TRIM(Mitarbeiter!$E$25))-LEN(SUBSTITUTE(TRIM(Mitarbeiter!$E$25)," ",""))+1))+1)-1)*99+1,99))))</f>
      </c>
      <c r="AE26" s="54">
        <f>IF(OR($A26="",AE$5="",TRIM(Mitarbeiter!$E$25)="",NOT(ISNUMBER(Mitarbeiter!$F$25))),"",IF(TRIM(MID(SUBSTITUTE(TRIM(Mitarbeiter!$E$25)," ",REPT(" ",99)),((MOD(AE$5-Mitarbeiter!$F$25,(LEN(TRIM(Mitarbeiter!$E$25))-LEN(SUBSTITUTE(TRIM(Mitarbeiter!$E$25)," ",""))+1))+1)-1)*99+1,99))="-","",TRIM(MID(SUBSTITUTE(TRIM(Mitarbeiter!$E$25)," ",REPT(" ",99)),((MOD(AE$5-Mitarbeiter!$F$25,(LEN(TRIM(Mitarbeiter!$E$25))-LEN(SUBSTITUTE(TRIM(Mitarbeiter!$E$25)," ",""))+1))+1)-1)*99+1,99))))</f>
      </c>
      <c r="AF26" s="54">
        <f>IF(OR($A26="",AF$5="",TRIM(Mitarbeiter!$E$25)="",NOT(ISNUMBER(Mitarbeiter!$F$25))),"",IF(TRIM(MID(SUBSTITUTE(TRIM(Mitarbeiter!$E$25)," ",REPT(" ",99)),((MOD(AF$5-Mitarbeiter!$F$25,(LEN(TRIM(Mitarbeiter!$E$25))-LEN(SUBSTITUTE(TRIM(Mitarbeiter!$E$25)," ",""))+1))+1)-1)*99+1,99))="-","",TRIM(MID(SUBSTITUTE(TRIM(Mitarbeiter!$E$25)," ",REPT(" ",99)),((MOD(AF$5-Mitarbeiter!$F$25,(LEN(TRIM(Mitarbeiter!$E$25))-LEN(SUBSTITUTE(TRIM(Mitarbeiter!$E$25)," ",""))+1))+1)-1)*99+1,99))))</f>
      </c>
      <c r="AG26" s="55">
        <f>IF(OR($A26="",TRIM(Mitarbeiter!$E$25)=""),"",IF(NOT(ISNUMBER(Mitarbeiter!$F$25)),"Rhythmus ab: Datum fehlt",IF(COUNTIF(B26:AF26,"?*")-SUMPRODUCT(COUNTIF(B26:AF26,Codes)*(Codes&lt;&gt;"")*Erste)&gt;0,"Rhythmus enthält ein unbekanntes Kürzel","")))</f>
      </c>
    </row>
    <row r="27" spans="1:33" x14ac:dyDescent="0.25">
      <c r="A27" s="49">
        <f>Mitarbeiter!$A$26&amp;""</f>
      </c>
      <c r="B27" s="54">
        <f>IF(OR($A27="",B$5="",TRIM(Mitarbeiter!$E$26)="",NOT(ISNUMBER(Mitarbeiter!$F$26))),"",IF(TRIM(MID(SUBSTITUTE(TRIM(Mitarbeiter!$E$26)," ",REPT(" ",99)),((MOD(B$5-Mitarbeiter!$F$26,(LEN(TRIM(Mitarbeiter!$E$26))-LEN(SUBSTITUTE(TRIM(Mitarbeiter!$E$26)," ",""))+1))+1)-1)*99+1,99))="-","",TRIM(MID(SUBSTITUTE(TRIM(Mitarbeiter!$E$26)," ",REPT(" ",99)),((MOD(B$5-Mitarbeiter!$F$26,(LEN(TRIM(Mitarbeiter!$E$26))-LEN(SUBSTITUTE(TRIM(Mitarbeiter!$E$26)," ",""))+1))+1)-1)*99+1,99))))</f>
      </c>
      <c r="C27" s="54">
        <f>IF(OR($A27="",C$5="",TRIM(Mitarbeiter!$E$26)="",NOT(ISNUMBER(Mitarbeiter!$F$26))),"",IF(TRIM(MID(SUBSTITUTE(TRIM(Mitarbeiter!$E$26)," ",REPT(" ",99)),((MOD(C$5-Mitarbeiter!$F$26,(LEN(TRIM(Mitarbeiter!$E$26))-LEN(SUBSTITUTE(TRIM(Mitarbeiter!$E$26)," ",""))+1))+1)-1)*99+1,99))="-","",TRIM(MID(SUBSTITUTE(TRIM(Mitarbeiter!$E$26)," ",REPT(" ",99)),((MOD(C$5-Mitarbeiter!$F$26,(LEN(TRIM(Mitarbeiter!$E$26))-LEN(SUBSTITUTE(TRIM(Mitarbeiter!$E$26)," ",""))+1))+1)-1)*99+1,99))))</f>
      </c>
      <c r="D27" s="54">
        <f>IF(OR($A27="",D$5="",TRIM(Mitarbeiter!$E$26)="",NOT(ISNUMBER(Mitarbeiter!$F$26))),"",IF(TRIM(MID(SUBSTITUTE(TRIM(Mitarbeiter!$E$26)," ",REPT(" ",99)),((MOD(D$5-Mitarbeiter!$F$26,(LEN(TRIM(Mitarbeiter!$E$26))-LEN(SUBSTITUTE(TRIM(Mitarbeiter!$E$26)," ",""))+1))+1)-1)*99+1,99))="-","",TRIM(MID(SUBSTITUTE(TRIM(Mitarbeiter!$E$26)," ",REPT(" ",99)),((MOD(D$5-Mitarbeiter!$F$26,(LEN(TRIM(Mitarbeiter!$E$26))-LEN(SUBSTITUTE(TRIM(Mitarbeiter!$E$26)," ",""))+1))+1)-1)*99+1,99))))</f>
      </c>
      <c r="E27" s="54">
        <f>IF(OR($A27="",E$5="",TRIM(Mitarbeiter!$E$26)="",NOT(ISNUMBER(Mitarbeiter!$F$26))),"",IF(TRIM(MID(SUBSTITUTE(TRIM(Mitarbeiter!$E$26)," ",REPT(" ",99)),((MOD(E$5-Mitarbeiter!$F$26,(LEN(TRIM(Mitarbeiter!$E$26))-LEN(SUBSTITUTE(TRIM(Mitarbeiter!$E$26)," ",""))+1))+1)-1)*99+1,99))="-","",TRIM(MID(SUBSTITUTE(TRIM(Mitarbeiter!$E$26)," ",REPT(" ",99)),((MOD(E$5-Mitarbeiter!$F$26,(LEN(TRIM(Mitarbeiter!$E$26))-LEN(SUBSTITUTE(TRIM(Mitarbeiter!$E$26)," ",""))+1))+1)-1)*99+1,99))))</f>
      </c>
      <c r="F27" s="54">
        <f>IF(OR($A27="",F$5="",TRIM(Mitarbeiter!$E$26)="",NOT(ISNUMBER(Mitarbeiter!$F$26))),"",IF(TRIM(MID(SUBSTITUTE(TRIM(Mitarbeiter!$E$26)," ",REPT(" ",99)),((MOD(F$5-Mitarbeiter!$F$26,(LEN(TRIM(Mitarbeiter!$E$26))-LEN(SUBSTITUTE(TRIM(Mitarbeiter!$E$26)," ",""))+1))+1)-1)*99+1,99))="-","",TRIM(MID(SUBSTITUTE(TRIM(Mitarbeiter!$E$26)," ",REPT(" ",99)),((MOD(F$5-Mitarbeiter!$F$26,(LEN(TRIM(Mitarbeiter!$E$26))-LEN(SUBSTITUTE(TRIM(Mitarbeiter!$E$26)," ",""))+1))+1)-1)*99+1,99))))</f>
      </c>
      <c r="G27" s="54">
        <f>IF(OR($A27="",G$5="",TRIM(Mitarbeiter!$E$26)="",NOT(ISNUMBER(Mitarbeiter!$F$26))),"",IF(TRIM(MID(SUBSTITUTE(TRIM(Mitarbeiter!$E$26)," ",REPT(" ",99)),((MOD(G$5-Mitarbeiter!$F$26,(LEN(TRIM(Mitarbeiter!$E$26))-LEN(SUBSTITUTE(TRIM(Mitarbeiter!$E$26)," ",""))+1))+1)-1)*99+1,99))="-","",TRIM(MID(SUBSTITUTE(TRIM(Mitarbeiter!$E$26)," ",REPT(" ",99)),((MOD(G$5-Mitarbeiter!$F$26,(LEN(TRIM(Mitarbeiter!$E$26))-LEN(SUBSTITUTE(TRIM(Mitarbeiter!$E$26)," ",""))+1))+1)-1)*99+1,99))))</f>
      </c>
      <c r="H27" s="54">
        <f>IF(OR($A27="",H$5="",TRIM(Mitarbeiter!$E$26)="",NOT(ISNUMBER(Mitarbeiter!$F$26))),"",IF(TRIM(MID(SUBSTITUTE(TRIM(Mitarbeiter!$E$26)," ",REPT(" ",99)),((MOD(H$5-Mitarbeiter!$F$26,(LEN(TRIM(Mitarbeiter!$E$26))-LEN(SUBSTITUTE(TRIM(Mitarbeiter!$E$26)," ",""))+1))+1)-1)*99+1,99))="-","",TRIM(MID(SUBSTITUTE(TRIM(Mitarbeiter!$E$26)," ",REPT(" ",99)),((MOD(H$5-Mitarbeiter!$F$26,(LEN(TRIM(Mitarbeiter!$E$26))-LEN(SUBSTITUTE(TRIM(Mitarbeiter!$E$26)," ",""))+1))+1)-1)*99+1,99))))</f>
      </c>
      <c r="I27" s="54">
        <f>IF(OR($A27="",I$5="",TRIM(Mitarbeiter!$E$26)="",NOT(ISNUMBER(Mitarbeiter!$F$26))),"",IF(TRIM(MID(SUBSTITUTE(TRIM(Mitarbeiter!$E$26)," ",REPT(" ",99)),((MOD(I$5-Mitarbeiter!$F$26,(LEN(TRIM(Mitarbeiter!$E$26))-LEN(SUBSTITUTE(TRIM(Mitarbeiter!$E$26)," ",""))+1))+1)-1)*99+1,99))="-","",TRIM(MID(SUBSTITUTE(TRIM(Mitarbeiter!$E$26)," ",REPT(" ",99)),((MOD(I$5-Mitarbeiter!$F$26,(LEN(TRIM(Mitarbeiter!$E$26))-LEN(SUBSTITUTE(TRIM(Mitarbeiter!$E$26)," ",""))+1))+1)-1)*99+1,99))))</f>
      </c>
      <c r="J27" s="54">
        <f>IF(OR($A27="",J$5="",TRIM(Mitarbeiter!$E$26)="",NOT(ISNUMBER(Mitarbeiter!$F$26))),"",IF(TRIM(MID(SUBSTITUTE(TRIM(Mitarbeiter!$E$26)," ",REPT(" ",99)),((MOD(J$5-Mitarbeiter!$F$26,(LEN(TRIM(Mitarbeiter!$E$26))-LEN(SUBSTITUTE(TRIM(Mitarbeiter!$E$26)," ",""))+1))+1)-1)*99+1,99))="-","",TRIM(MID(SUBSTITUTE(TRIM(Mitarbeiter!$E$26)," ",REPT(" ",99)),((MOD(J$5-Mitarbeiter!$F$26,(LEN(TRIM(Mitarbeiter!$E$26))-LEN(SUBSTITUTE(TRIM(Mitarbeiter!$E$26)," ",""))+1))+1)-1)*99+1,99))))</f>
      </c>
      <c r="K27" s="54">
        <f>IF(OR($A27="",K$5="",TRIM(Mitarbeiter!$E$26)="",NOT(ISNUMBER(Mitarbeiter!$F$26))),"",IF(TRIM(MID(SUBSTITUTE(TRIM(Mitarbeiter!$E$26)," ",REPT(" ",99)),((MOD(K$5-Mitarbeiter!$F$26,(LEN(TRIM(Mitarbeiter!$E$26))-LEN(SUBSTITUTE(TRIM(Mitarbeiter!$E$26)," ",""))+1))+1)-1)*99+1,99))="-","",TRIM(MID(SUBSTITUTE(TRIM(Mitarbeiter!$E$26)," ",REPT(" ",99)),((MOD(K$5-Mitarbeiter!$F$26,(LEN(TRIM(Mitarbeiter!$E$26))-LEN(SUBSTITUTE(TRIM(Mitarbeiter!$E$26)," ",""))+1))+1)-1)*99+1,99))))</f>
      </c>
      <c r="L27" s="54">
        <f>IF(OR($A27="",L$5="",TRIM(Mitarbeiter!$E$26)="",NOT(ISNUMBER(Mitarbeiter!$F$26))),"",IF(TRIM(MID(SUBSTITUTE(TRIM(Mitarbeiter!$E$26)," ",REPT(" ",99)),((MOD(L$5-Mitarbeiter!$F$26,(LEN(TRIM(Mitarbeiter!$E$26))-LEN(SUBSTITUTE(TRIM(Mitarbeiter!$E$26)," ",""))+1))+1)-1)*99+1,99))="-","",TRIM(MID(SUBSTITUTE(TRIM(Mitarbeiter!$E$26)," ",REPT(" ",99)),((MOD(L$5-Mitarbeiter!$F$26,(LEN(TRIM(Mitarbeiter!$E$26))-LEN(SUBSTITUTE(TRIM(Mitarbeiter!$E$26)," ",""))+1))+1)-1)*99+1,99))))</f>
      </c>
      <c r="M27" s="54">
        <f>IF(OR($A27="",M$5="",TRIM(Mitarbeiter!$E$26)="",NOT(ISNUMBER(Mitarbeiter!$F$26))),"",IF(TRIM(MID(SUBSTITUTE(TRIM(Mitarbeiter!$E$26)," ",REPT(" ",99)),((MOD(M$5-Mitarbeiter!$F$26,(LEN(TRIM(Mitarbeiter!$E$26))-LEN(SUBSTITUTE(TRIM(Mitarbeiter!$E$26)," ",""))+1))+1)-1)*99+1,99))="-","",TRIM(MID(SUBSTITUTE(TRIM(Mitarbeiter!$E$26)," ",REPT(" ",99)),((MOD(M$5-Mitarbeiter!$F$26,(LEN(TRIM(Mitarbeiter!$E$26))-LEN(SUBSTITUTE(TRIM(Mitarbeiter!$E$26)," ",""))+1))+1)-1)*99+1,99))))</f>
      </c>
      <c r="N27" s="54">
        <f>IF(OR($A27="",N$5="",TRIM(Mitarbeiter!$E$26)="",NOT(ISNUMBER(Mitarbeiter!$F$26))),"",IF(TRIM(MID(SUBSTITUTE(TRIM(Mitarbeiter!$E$26)," ",REPT(" ",99)),((MOD(N$5-Mitarbeiter!$F$26,(LEN(TRIM(Mitarbeiter!$E$26))-LEN(SUBSTITUTE(TRIM(Mitarbeiter!$E$26)," ",""))+1))+1)-1)*99+1,99))="-","",TRIM(MID(SUBSTITUTE(TRIM(Mitarbeiter!$E$26)," ",REPT(" ",99)),((MOD(N$5-Mitarbeiter!$F$26,(LEN(TRIM(Mitarbeiter!$E$26))-LEN(SUBSTITUTE(TRIM(Mitarbeiter!$E$26)," ",""))+1))+1)-1)*99+1,99))))</f>
      </c>
      <c r="O27" s="54">
        <f>IF(OR($A27="",O$5="",TRIM(Mitarbeiter!$E$26)="",NOT(ISNUMBER(Mitarbeiter!$F$26))),"",IF(TRIM(MID(SUBSTITUTE(TRIM(Mitarbeiter!$E$26)," ",REPT(" ",99)),((MOD(O$5-Mitarbeiter!$F$26,(LEN(TRIM(Mitarbeiter!$E$26))-LEN(SUBSTITUTE(TRIM(Mitarbeiter!$E$26)," ",""))+1))+1)-1)*99+1,99))="-","",TRIM(MID(SUBSTITUTE(TRIM(Mitarbeiter!$E$26)," ",REPT(" ",99)),((MOD(O$5-Mitarbeiter!$F$26,(LEN(TRIM(Mitarbeiter!$E$26))-LEN(SUBSTITUTE(TRIM(Mitarbeiter!$E$26)," ",""))+1))+1)-1)*99+1,99))))</f>
      </c>
      <c r="P27" s="54">
        <f>IF(OR($A27="",P$5="",TRIM(Mitarbeiter!$E$26)="",NOT(ISNUMBER(Mitarbeiter!$F$26))),"",IF(TRIM(MID(SUBSTITUTE(TRIM(Mitarbeiter!$E$26)," ",REPT(" ",99)),((MOD(P$5-Mitarbeiter!$F$26,(LEN(TRIM(Mitarbeiter!$E$26))-LEN(SUBSTITUTE(TRIM(Mitarbeiter!$E$26)," ",""))+1))+1)-1)*99+1,99))="-","",TRIM(MID(SUBSTITUTE(TRIM(Mitarbeiter!$E$26)," ",REPT(" ",99)),((MOD(P$5-Mitarbeiter!$F$26,(LEN(TRIM(Mitarbeiter!$E$26))-LEN(SUBSTITUTE(TRIM(Mitarbeiter!$E$26)," ",""))+1))+1)-1)*99+1,99))))</f>
      </c>
      <c r="Q27" s="54">
        <f>IF(OR($A27="",Q$5="",TRIM(Mitarbeiter!$E$26)="",NOT(ISNUMBER(Mitarbeiter!$F$26))),"",IF(TRIM(MID(SUBSTITUTE(TRIM(Mitarbeiter!$E$26)," ",REPT(" ",99)),((MOD(Q$5-Mitarbeiter!$F$26,(LEN(TRIM(Mitarbeiter!$E$26))-LEN(SUBSTITUTE(TRIM(Mitarbeiter!$E$26)," ",""))+1))+1)-1)*99+1,99))="-","",TRIM(MID(SUBSTITUTE(TRIM(Mitarbeiter!$E$26)," ",REPT(" ",99)),((MOD(Q$5-Mitarbeiter!$F$26,(LEN(TRIM(Mitarbeiter!$E$26))-LEN(SUBSTITUTE(TRIM(Mitarbeiter!$E$26)," ",""))+1))+1)-1)*99+1,99))))</f>
      </c>
      <c r="R27" s="54">
        <f>IF(OR($A27="",R$5="",TRIM(Mitarbeiter!$E$26)="",NOT(ISNUMBER(Mitarbeiter!$F$26))),"",IF(TRIM(MID(SUBSTITUTE(TRIM(Mitarbeiter!$E$26)," ",REPT(" ",99)),((MOD(R$5-Mitarbeiter!$F$26,(LEN(TRIM(Mitarbeiter!$E$26))-LEN(SUBSTITUTE(TRIM(Mitarbeiter!$E$26)," ",""))+1))+1)-1)*99+1,99))="-","",TRIM(MID(SUBSTITUTE(TRIM(Mitarbeiter!$E$26)," ",REPT(" ",99)),((MOD(R$5-Mitarbeiter!$F$26,(LEN(TRIM(Mitarbeiter!$E$26))-LEN(SUBSTITUTE(TRIM(Mitarbeiter!$E$26)," ",""))+1))+1)-1)*99+1,99))))</f>
      </c>
      <c r="S27" s="54">
        <f>IF(OR($A27="",S$5="",TRIM(Mitarbeiter!$E$26)="",NOT(ISNUMBER(Mitarbeiter!$F$26))),"",IF(TRIM(MID(SUBSTITUTE(TRIM(Mitarbeiter!$E$26)," ",REPT(" ",99)),((MOD(S$5-Mitarbeiter!$F$26,(LEN(TRIM(Mitarbeiter!$E$26))-LEN(SUBSTITUTE(TRIM(Mitarbeiter!$E$26)," ",""))+1))+1)-1)*99+1,99))="-","",TRIM(MID(SUBSTITUTE(TRIM(Mitarbeiter!$E$26)," ",REPT(" ",99)),((MOD(S$5-Mitarbeiter!$F$26,(LEN(TRIM(Mitarbeiter!$E$26))-LEN(SUBSTITUTE(TRIM(Mitarbeiter!$E$26)," ",""))+1))+1)-1)*99+1,99))))</f>
      </c>
      <c r="T27" s="54">
        <f>IF(OR($A27="",T$5="",TRIM(Mitarbeiter!$E$26)="",NOT(ISNUMBER(Mitarbeiter!$F$26))),"",IF(TRIM(MID(SUBSTITUTE(TRIM(Mitarbeiter!$E$26)," ",REPT(" ",99)),((MOD(T$5-Mitarbeiter!$F$26,(LEN(TRIM(Mitarbeiter!$E$26))-LEN(SUBSTITUTE(TRIM(Mitarbeiter!$E$26)," ",""))+1))+1)-1)*99+1,99))="-","",TRIM(MID(SUBSTITUTE(TRIM(Mitarbeiter!$E$26)," ",REPT(" ",99)),((MOD(T$5-Mitarbeiter!$F$26,(LEN(TRIM(Mitarbeiter!$E$26))-LEN(SUBSTITUTE(TRIM(Mitarbeiter!$E$26)," ",""))+1))+1)-1)*99+1,99))))</f>
      </c>
      <c r="U27" s="54">
        <f>IF(OR($A27="",U$5="",TRIM(Mitarbeiter!$E$26)="",NOT(ISNUMBER(Mitarbeiter!$F$26))),"",IF(TRIM(MID(SUBSTITUTE(TRIM(Mitarbeiter!$E$26)," ",REPT(" ",99)),((MOD(U$5-Mitarbeiter!$F$26,(LEN(TRIM(Mitarbeiter!$E$26))-LEN(SUBSTITUTE(TRIM(Mitarbeiter!$E$26)," ",""))+1))+1)-1)*99+1,99))="-","",TRIM(MID(SUBSTITUTE(TRIM(Mitarbeiter!$E$26)," ",REPT(" ",99)),((MOD(U$5-Mitarbeiter!$F$26,(LEN(TRIM(Mitarbeiter!$E$26))-LEN(SUBSTITUTE(TRIM(Mitarbeiter!$E$26)," ",""))+1))+1)-1)*99+1,99))))</f>
      </c>
      <c r="V27" s="54">
        <f>IF(OR($A27="",V$5="",TRIM(Mitarbeiter!$E$26)="",NOT(ISNUMBER(Mitarbeiter!$F$26))),"",IF(TRIM(MID(SUBSTITUTE(TRIM(Mitarbeiter!$E$26)," ",REPT(" ",99)),((MOD(V$5-Mitarbeiter!$F$26,(LEN(TRIM(Mitarbeiter!$E$26))-LEN(SUBSTITUTE(TRIM(Mitarbeiter!$E$26)," ",""))+1))+1)-1)*99+1,99))="-","",TRIM(MID(SUBSTITUTE(TRIM(Mitarbeiter!$E$26)," ",REPT(" ",99)),((MOD(V$5-Mitarbeiter!$F$26,(LEN(TRIM(Mitarbeiter!$E$26))-LEN(SUBSTITUTE(TRIM(Mitarbeiter!$E$26)," ",""))+1))+1)-1)*99+1,99))))</f>
      </c>
      <c r="W27" s="54">
        <f>IF(OR($A27="",W$5="",TRIM(Mitarbeiter!$E$26)="",NOT(ISNUMBER(Mitarbeiter!$F$26))),"",IF(TRIM(MID(SUBSTITUTE(TRIM(Mitarbeiter!$E$26)," ",REPT(" ",99)),((MOD(W$5-Mitarbeiter!$F$26,(LEN(TRIM(Mitarbeiter!$E$26))-LEN(SUBSTITUTE(TRIM(Mitarbeiter!$E$26)," ",""))+1))+1)-1)*99+1,99))="-","",TRIM(MID(SUBSTITUTE(TRIM(Mitarbeiter!$E$26)," ",REPT(" ",99)),((MOD(W$5-Mitarbeiter!$F$26,(LEN(TRIM(Mitarbeiter!$E$26))-LEN(SUBSTITUTE(TRIM(Mitarbeiter!$E$26)," ",""))+1))+1)-1)*99+1,99))))</f>
      </c>
      <c r="X27" s="54">
        <f>IF(OR($A27="",X$5="",TRIM(Mitarbeiter!$E$26)="",NOT(ISNUMBER(Mitarbeiter!$F$26))),"",IF(TRIM(MID(SUBSTITUTE(TRIM(Mitarbeiter!$E$26)," ",REPT(" ",99)),((MOD(X$5-Mitarbeiter!$F$26,(LEN(TRIM(Mitarbeiter!$E$26))-LEN(SUBSTITUTE(TRIM(Mitarbeiter!$E$26)," ",""))+1))+1)-1)*99+1,99))="-","",TRIM(MID(SUBSTITUTE(TRIM(Mitarbeiter!$E$26)," ",REPT(" ",99)),((MOD(X$5-Mitarbeiter!$F$26,(LEN(TRIM(Mitarbeiter!$E$26))-LEN(SUBSTITUTE(TRIM(Mitarbeiter!$E$26)," ",""))+1))+1)-1)*99+1,99))))</f>
      </c>
      <c r="Y27" s="54">
        <f>IF(OR($A27="",Y$5="",TRIM(Mitarbeiter!$E$26)="",NOT(ISNUMBER(Mitarbeiter!$F$26))),"",IF(TRIM(MID(SUBSTITUTE(TRIM(Mitarbeiter!$E$26)," ",REPT(" ",99)),((MOD(Y$5-Mitarbeiter!$F$26,(LEN(TRIM(Mitarbeiter!$E$26))-LEN(SUBSTITUTE(TRIM(Mitarbeiter!$E$26)," ",""))+1))+1)-1)*99+1,99))="-","",TRIM(MID(SUBSTITUTE(TRIM(Mitarbeiter!$E$26)," ",REPT(" ",99)),((MOD(Y$5-Mitarbeiter!$F$26,(LEN(TRIM(Mitarbeiter!$E$26))-LEN(SUBSTITUTE(TRIM(Mitarbeiter!$E$26)," ",""))+1))+1)-1)*99+1,99))))</f>
      </c>
      <c r="Z27" s="54">
        <f>IF(OR($A27="",Z$5="",TRIM(Mitarbeiter!$E$26)="",NOT(ISNUMBER(Mitarbeiter!$F$26))),"",IF(TRIM(MID(SUBSTITUTE(TRIM(Mitarbeiter!$E$26)," ",REPT(" ",99)),((MOD(Z$5-Mitarbeiter!$F$26,(LEN(TRIM(Mitarbeiter!$E$26))-LEN(SUBSTITUTE(TRIM(Mitarbeiter!$E$26)," ",""))+1))+1)-1)*99+1,99))="-","",TRIM(MID(SUBSTITUTE(TRIM(Mitarbeiter!$E$26)," ",REPT(" ",99)),((MOD(Z$5-Mitarbeiter!$F$26,(LEN(TRIM(Mitarbeiter!$E$26))-LEN(SUBSTITUTE(TRIM(Mitarbeiter!$E$26)," ",""))+1))+1)-1)*99+1,99))))</f>
      </c>
      <c r="AA27" s="54">
        <f>IF(OR($A27="",AA$5="",TRIM(Mitarbeiter!$E$26)="",NOT(ISNUMBER(Mitarbeiter!$F$26))),"",IF(TRIM(MID(SUBSTITUTE(TRIM(Mitarbeiter!$E$26)," ",REPT(" ",99)),((MOD(AA$5-Mitarbeiter!$F$26,(LEN(TRIM(Mitarbeiter!$E$26))-LEN(SUBSTITUTE(TRIM(Mitarbeiter!$E$26)," ",""))+1))+1)-1)*99+1,99))="-","",TRIM(MID(SUBSTITUTE(TRIM(Mitarbeiter!$E$26)," ",REPT(" ",99)),((MOD(AA$5-Mitarbeiter!$F$26,(LEN(TRIM(Mitarbeiter!$E$26))-LEN(SUBSTITUTE(TRIM(Mitarbeiter!$E$26)," ",""))+1))+1)-1)*99+1,99))))</f>
      </c>
      <c r="AB27" s="54">
        <f>IF(OR($A27="",AB$5="",TRIM(Mitarbeiter!$E$26)="",NOT(ISNUMBER(Mitarbeiter!$F$26))),"",IF(TRIM(MID(SUBSTITUTE(TRIM(Mitarbeiter!$E$26)," ",REPT(" ",99)),((MOD(AB$5-Mitarbeiter!$F$26,(LEN(TRIM(Mitarbeiter!$E$26))-LEN(SUBSTITUTE(TRIM(Mitarbeiter!$E$26)," ",""))+1))+1)-1)*99+1,99))="-","",TRIM(MID(SUBSTITUTE(TRIM(Mitarbeiter!$E$26)," ",REPT(" ",99)),((MOD(AB$5-Mitarbeiter!$F$26,(LEN(TRIM(Mitarbeiter!$E$26))-LEN(SUBSTITUTE(TRIM(Mitarbeiter!$E$26)," ",""))+1))+1)-1)*99+1,99))))</f>
      </c>
      <c r="AC27" s="54">
        <f>IF(OR($A27="",AC$5="",TRIM(Mitarbeiter!$E$26)="",NOT(ISNUMBER(Mitarbeiter!$F$26))),"",IF(TRIM(MID(SUBSTITUTE(TRIM(Mitarbeiter!$E$26)," ",REPT(" ",99)),((MOD(AC$5-Mitarbeiter!$F$26,(LEN(TRIM(Mitarbeiter!$E$26))-LEN(SUBSTITUTE(TRIM(Mitarbeiter!$E$26)," ",""))+1))+1)-1)*99+1,99))="-","",TRIM(MID(SUBSTITUTE(TRIM(Mitarbeiter!$E$26)," ",REPT(" ",99)),((MOD(AC$5-Mitarbeiter!$F$26,(LEN(TRIM(Mitarbeiter!$E$26))-LEN(SUBSTITUTE(TRIM(Mitarbeiter!$E$26)," ",""))+1))+1)-1)*99+1,99))))</f>
      </c>
      <c r="AD27" s="54">
        <f>IF(OR($A27="",AD$5="",TRIM(Mitarbeiter!$E$26)="",NOT(ISNUMBER(Mitarbeiter!$F$26))),"",IF(TRIM(MID(SUBSTITUTE(TRIM(Mitarbeiter!$E$26)," ",REPT(" ",99)),((MOD(AD$5-Mitarbeiter!$F$26,(LEN(TRIM(Mitarbeiter!$E$26))-LEN(SUBSTITUTE(TRIM(Mitarbeiter!$E$26)," ",""))+1))+1)-1)*99+1,99))="-","",TRIM(MID(SUBSTITUTE(TRIM(Mitarbeiter!$E$26)," ",REPT(" ",99)),((MOD(AD$5-Mitarbeiter!$F$26,(LEN(TRIM(Mitarbeiter!$E$26))-LEN(SUBSTITUTE(TRIM(Mitarbeiter!$E$26)," ",""))+1))+1)-1)*99+1,99))))</f>
      </c>
      <c r="AE27" s="54">
        <f>IF(OR($A27="",AE$5="",TRIM(Mitarbeiter!$E$26)="",NOT(ISNUMBER(Mitarbeiter!$F$26))),"",IF(TRIM(MID(SUBSTITUTE(TRIM(Mitarbeiter!$E$26)," ",REPT(" ",99)),((MOD(AE$5-Mitarbeiter!$F$26,(LEN(TRIM(Mitarbeiter!$E$26))-LEN(SUBSTITUTE(TRIM(Mitarbeiter!$E$26)," ",""))+1))+1)-1)*99+1,99))="-","",TRIM(MID(SUBSTITUTE(TRIM(Mitarbeiter!$E$26)," ",REPT(" ",99)),((MOD(AE$5-Mitarbeiter!$F$26,(LEN(TRIM(Mitarbeiter!$E$26))-LEN(SUBSTITUTE(TRIM(Mitarbeiter!$E$26)," ",""))+1))+1)-1)*99+1,99))))</f>
      </c>
      <c r="AF27" s="54">
        <f>IF(OR($A27="",AF$5="",TRIM(Mitarbeiter!$E$26)="",NOT(ISNUMBER(Mitarbeiter!$F$26))),"",IF(TRIM(MID(SUBSTITUTE(TRIM(Mitarbeiter!$E$26)," ",REPT(" ",99)),((MOD(AF$5-Mitarbeiter!$F$26,(LEN(TRIM(Mitarbeiter!$E$26))-LEN(SUBSTITUTE(TRIM(Mitarbeiter!$E$26)," ",""))+1))+1)-1)*99+1,99))="-","",TRIM(MID(SUBSTITUTE(TRIM(Mitarbeiter!$E$26)," ",REPT(" ",99)),((MOD(AF$5-Mitarbeiter!$F$26,(LEN(TRIM(Mitarbeiter!$E$26))-LEN(SUBSTITUTE(TRIM(Mitarbeiter!$E$26)," ",""))+1))+1)-1)*99+1,99))))</f>
      </c>
      <c r="AG27" s="55">
        <f>IF(OR($A27="",TRIM(Mitarbeiter!$E$26)=""),"",IF(NOT(ISNUMBER(Mitarbeiter!$F$26)),"Rhythmus ab: Datum fehlt",IF(COUNTIF(B27:AF27,"?*")-SUMPRODUCT(COUNTIF(B27:AF27,Codes)*(Codes&lt;&gt;"")*Erste)&gt;0,"Rhythmus enthält ein unbekanntes Kürzel","")))</f>
      </c>
    </row>
    <row r="28" spans="1:33" x14ac:dyDescent="0.25">
      <c r="A28" s="49">
        <f>Mitarbeiter!$A$27&amp;""</f>
      </c>
      <c r="B28" s="54">
        <f>IF(OR($A28="",B$5="",TRIM(Mitarbeiter!$E$27)="",NOT(ISNUMBER(Mitarbeiter!$F$27))),"",IF(TRIM(MID(SUBSTITUTE(TRIM(Mitarbeiter!$E$27)," ",REPT(" ",99)),((MOD(B$5-Mitarbeiter!$F$27,(LEN(TRIM(Mitarbeiter!$E$27))-LEN(SUBSTITUTE(TRIM(Mitarbeiter!$E$27)," ",""))+1))+1)-1)*99+1,99))="-","",TRIM(MID(SUBSTITUTE(TRIM(Mitarbeiter!$E$27)," ",REPT(" ",99)),((MOD(B$5-Mitarbeiter!$F$27,(LEN(TRIM(Mitarbeiter!$E$27))-LEN(SUBSTITUTE(TRIM(Mitarbeiter!$E$27)," ",""))+1))+1)-1)*99+1,99))))</f>
      </c>
      <c r="C28" s="54">
        <f>IF(OR($A28="",C$5="",TRIM(Mitarbeiter!$E$27)="",NOT(ISNUMBER(Mitarbeiter!$F$27))),"",IF(TRIM(MID(SUBSTITUTE(TRIM(Mitarbeiter!$E$27)," ",REPT(" ",99)),((MOD(C$5-Mitarbeiter!$F$27,(LEN(TRIM(Mitarbeiter!$E$27))-LEN(SUBSTITUTE(TRIM(Mitarbeiter!$E$27)," ",""))+1))+1)-1)*99+1,99))="-","",TRIM(MID(SUBSTITUTE(TRIM(Mitarbeiter!$E$27)," ",REPT(" ",99)),((MOD(C$5-Mitarbeiter!$F$27,(LEN(TRIM(Mitarbeiter!$E$27))-LEN(SUBSTITUTE(TRIM(Mitarbeiter!$E$27)," ",""))+1))+1)-1)*99+1,99))))</f>
      </c>
      <c r="D28" s="54">
        <f>IF(OR($A28="",D$5="",TRIM(Mitarbeiter!$E$27)="",NOT(ISNUMBER(Mitarbeiter!$F$27))),"",IF(TRIM(MID(SUBSTITUTE(TRIM(Mitarbeiter!$E$27)," ",REPT(" ",99)),((MOD(D$5-Mitarbeiter!$F$27,(LEN(TRIM(Mitarbeiter!$E$27))-LEN(SUBSTITUTE(TRIM(Mitarbeiter!$E$27)," ",""))+1))+1)-1)*99+1,99))="-","",TRIM(MID(SUBSTITUTE(TRIM(Mitarbeiter!$E$27)," ",REPT(" ",99)),((MOD(D$5-Mitarbeiter!$F$27,(LEN(TRIM(Mitarbeiter!$E$27))-LEN(SUBSTITUTE(TRIM(Mitarbeiter!$E$27)," ",""))+1))+1)-1)*99+1,99))))</f>
      </c>
      <c r="E28" s="54">
        <f>IF(OR($A28="",E$5="",TRIM(Mitarbeiter!$E$27)="",NOT(ISNUMBER(Mitarbeiter!$F$27))),"",IF(TRIM(MID(SUBSTITUTE(TRIM(Mitarbeiter!$E$27)," ",REPT(" ",99)),((MOD(E$5-Mitarbeiter!$F$27,(LEN(TRIM(Mitarbeiter!$E$27))-LEN(SUBSTITUTE(TRIM(Mitarbeiter!$E$27)," ",""))+1))+1)-1)*99+1,99))="-","",TRIM(MID(SUBSTITUTE(TRIM(Mitarbeiter!$E$27)," ",REPT(" ",99)),((MOD(E$5-Mitarbeiter!$F$27,(LEN(TRIM(Mitarbeiter!$E$27))-LEN(SUBSTITUTE(TRIM(Mitarbeiter!$E$27)," ",""))+1))+1)-1)*99+1,99))))</f>
      </c>
      <c r="F28" s="54">
        <f>IF(OR($A28="",F$5="",TRIM(Mitarbeiter!$E$27)="",NOT(ISNUMBER(Mitarbeiter!$F$27))),"",IF(TRIM(MID(SUBSTITUTE(TRIM(Mitarbeiter!$E$27)," ",REPT(" ",99)),((MOD(F$5-Mitarbeiter!$F$27,(LEN(TRIM(Mitarbeiter!$E$27))-LEN(SUBSTITUTE(TRIM(Mitarbeiter!$E$27)," ",""))+1))+1)-1)*99+1,99))="-","",TRIM(MID(SUBSTITUTE(TRIM(Mitarbeiter!$E$27)," ",REPT(" ",99)),((MOD(F$5-Mitarbeiter!$F$27,(LEN(TRIM(Mitarbeiter!$E$27))-LEN(SUBSTITUTE(TRIM(Mitarbeiter!$E$27)," ",""))+1))+1)-1)*99+1,99))))</f>
      </c>
      <c r="G28" s="54">
        <f>IF(OR($A28="",G$5="",TRIM(Mitarbeiter!$E$27)="",NOT(ISNUMBER(Mitarbeiter!$F$27))),"",IF(TRIM(MID(SUBSTITUTE(TRIM(Mitarbeiter!$E$27)," ",REPT(" ",99)),((MOD(G$5-Mitarbeiter!$F$27,(LEN(TRIM(Mitarbeiter!$E$27))-LEN(SUBSTITUTE(TRIM(Mitarbeiter!$E$27)," ",""))+1))+1)-1)*99+1,99))="-","",TRIM(MID(SUBSTITUTE(TRIM(Mitarbeiter!$E$27)," ",REPT(" ",99)),((MOD(G$5-Mitarbeiter!$F$27,(LEN(TRIM(Mitarbeiter!$E$27))-LEN(SUBSTITUTE(TRIM(Mitarbeiter!$E$27)," ",""))+1))+1)-1)*99+1,99))))</f>
      </c>
      <c r="H28" s="54">
        <f>IF(OR($A28="",H$5="",TRIM(Mitarbeiter!$E$27)="",NOT(ISNUMBER(Mitarbeiter!$F$27))),"",IF(TRIM(MID(SUBSTITUTE(TRIM(Mitarbeiter!$E$27)," ",REPT(" ",99)),((MOD(H$5-Mitarbeiter!$F$27,(LEN(TRIM(Mitarbeiter!$E$27))-LEN(SUBSTITUTE(TRIM(Mitarbeiter!$E$27)," ",""))+1))+1)-1)*99+1,99))="-","",TRIM(MID(SUBSTITUTE(TRIM(Mitarbeiter!$E$27)," ",REPT(" ",99)),((MOD(H$5-Mitarbeiter!$F$27,(LEN(TRIM(Mitarbeiter!$E$27))-LEN(SUBSTITUTE(TRIM(Mitarbeiter!$E$27)," ",""))+1))+1)-1)*99+1,99))))</f>
      </c>
      <c r="I28" s="54">
        <f>IF(OR($A28="",I$5="",TRIM(Mitarbeiter!$E$27)="",NOT(ISNUMBER(Mitarbeiter!$F$27))),"",IF(TRIM(MID(SUBSTITUTE(TRIM(Mitarbeiter!$E$27)," ",REPT(" ",99)),((MOD(I$5-Mitarbeiter!$F$27,(LEN(TRIM(Mitarbeiter!$E$27))-LEN(SUBSTITUTE(TRIM(Mitarbeiter!$E$27)," ",""))+1))+1)-1)*99+1,99))="-","",TRIM(MID(SUBSTITUTE(TRIM(Mitarbeiter!$E$27)," ",REPT(" ",99)),((MOD(I$5-Mitarbeiter!$F$27,(LEN(TRIM(Mitarbeiter!$E$27))-LEN(SUBSTITUTE(TRIM(Mitarbeiter!$E$27)," ",""))+1))+1)-1)*99+1,99))))</f>
      </c>
      <c r="J28" s="54">
        <f>IF(OR($A28="",J$5="",TRIM(Mitarbeiter!$E$27)="",NOT(ISNUMBER(Mitarbeiter!$F$27))),"",IF(TRIM(MID(SUBSTITUTE(TRIM(Mitarbeiter!$E$27)," ",REPT(" ",99)),((MOD(J$5-Mitarbeiter!$F$27,(LEN(TRIM(Mitarbeiter!$E$27))-LEN(SUBSTITUTE(TRIM(Mitarbeiter!$E$27)," ",""))+1))+1)-1)*99+1,99))="-","",TRIM(MID(SUBSTITUTE(TRIM(Mitarbeiter!$E$27)," ",REPT(" ",99)),((MOD(J$5-Mitarbeiter!$F$27,(LEN(TRIM(Mitarbeiter!$E$27))-LEN(SUBSTITUTE(TRIM(Mitarbeiter!$E$27)," ",""))+1))+1)-1)*99+1,99))))</f>
      </c>
      <c r="K28" s="54">
        <f>IF(OR($A28="",K$5="",TRIM(Mitarbeiter!$E$27)="",NOT(ISNUMBER(Mitarbeiter!$F$27))),"",IF(TRIM(MID(SUBSTITUTE(TRIM(Mitarbeiter!$E$27)," ",REPT(" ",99)),((MOD(K$5-Mitarbeiter!$F$27,(LEN(TRIM(Mitarbeiter!$E$27))-LEN(SUBSTITUTE(TRIM(Mitarbeiter!$E$27)," ",""))+1))+1)-1)*99+1,99))="-","",TRIM(MID(SUBSTITUTE(TRIM(Mitarbeiter!$E$27)," ",REPT(" ",99)),((MOD(K$5-Mitarbeiter!$F$27,(LEN(TRIM(Mitarbeiter!$E$27))-LEN(SUBSTITUTE(TRIM(Mitarbeiter!$E$27)," ",""))+1))+1)-1)*99+1,99))))</f>
      </c>
      <c r="L28" s="54">
        <f>IF(OR($A28="",L$5="",TRIM(Mitarbeiter!$E$27)="",NOT(ISNUMBER(Mitarbeiter!$F$27))),"",IF(TRIM(MID(SUBSTITUTE(TRIM(Mitarbeiter!$E$27)," ",REPT(" ",99)),((MOD(L$5-Mitarbeiter!$F$27,(LEN(TRIM(Mitarbeiter!$E$27))-LEN(SUBSTITUTE(TRIM(Mitarbeiter!$E$27)," ",""))+1))+1)-1)*99+1,99))="-","",TRIM(MID(SUBSTITUTE(TRIM(Mitarbeiter!$E$27)," ",REPT(" ",99)),((MOD(L$5-Mitarbeiter!$F$27,(LEN(TRIM(Mitarbeiter!$E$27))-LEN(SUBSTITUTE(TRIM(Mitarbeiter!$E$27)," ",""))+1))+1)-1)*99+1,99))))</f>
      </c>
      <c r="M28" s="54">
        <f>IF(OR($A28="",M$5="",TRIM(Mitarbeiter!$E$27)="",NOT(ISNUMBER(Mitarbeiter!$F$27))),"",IF(TRIM(MID(SUBSTITUTE(TRIM(Mitarbeiter!$E$27)," ",REPT(" ",99)),((MOD(M$5-Mitarbeiter!$F$27,(LEN(TRIM(Mitarbeiter!$E$27))-LEN(SUBSTITUTE(TRIM(Mitarbeiter!$E$27)," ",""))+1))+1)-1)*99+1,99))="-","",TRIM(MID(SUBSTITUTE(TRIM(Mitarbeiter!$E$27)," ",REPT(" ",99)),((MOD(M$5-Mitarbeiter!$F$27,(LEN(TRIM(Mitarbeiter!$E$27))-LEN(SUBSTITUTE(TRIM(Mitarbeiter!$E$27)," ",""))+1))+1)-1)*99+1,99))))</f>
      </c>
      <c r="N28" s="54">
        <f>IF(OR($A28="",N$5="",TRIM(Mitarbeiter!$E$27)="",NOT(ISNUMBER(Mitarbeiter!$F$27))),"",IF(TRIM(MID(SUBSTITUTE(TRIM(Mitarbeiter!$E$27)," ",REPT(" ",99)),((MOD(N$5-Mitarbeiter!$F$27,(LEN(TRIM(Mitarbeiter!$E$27))-LEN(SUBSTITUTE(TRIM(Mitarbeiter!$E$27)," ",""))+1))+1)-1)*99+1,99))="-","",TRIM(MID(SUBSTITUTE(TRIM(Mitarbeiter!$E$27)," ",REPT(" ",99)),((MOD(N$5-Mitarbeiter!$F$27,(LEN(TRIM(Mitarbeiter!$E$27))-LEN(SUBSTITUTE(TRIM(Mitarbeiter!$E$27)," ",""))+1))+1)-1)*99+1,99))))</f>
      </c>
      <c r="O28" s="54">
        <f>IF(OR($A28="",O$5="",TRIM(Mitarbeiter!$E$27)="",NOT(ISNUMBER(Mitarbeiter!$F$27))),"",IF(TRIM(MID(SUBSTITUTE(TRIM(Mitarbeiter!$E$27)," ",REPT(" ",99)),((MOD(O$5-Mitarbeiter!$F$27,(LEN(TRIM(Mitarbeiter!$E$27))-LEN(SUBSTITUTE(TRIM(Mitarbeiter!$E$27)," ",""))+1))+1)-1)*99+1,99))="-","",TRIM(MID(SUBSTITUTE(TRIM(Mitarbeiter!$E$27)," ",REPT(" ",99)),((MOD(O$5-Mitarbeiter!$F$27,(LEN(TRIM(Mitarbeiter!$E$27))-LEN(SUBSTITUTE(TRIM(Mitarbeiter!$E$27)," ",""))+1))+1)-1)*99+1,99))))</f>
      </c>
      <c r="P28" s="54">
        <f>IF(OR($A28="",P$5="",TRIM(Mitarbeiter!$E$27)="",NOT(ISNUMBER(Mitarbeiter!$F$27))),"",IF(TRIM(MID(SUBSTITUTE(TRIM(Mitarbeiter!$E$27)," ",REPT(" ",99)),((MOD(P$5-Mitarbeiter!$F$27,(LEN(TRIM(Mitarbeiter!$E$27))-LEN(SUBSTITUTE(TRIM(Mitarbeiter!$E$27)," ",""))+1))+1)-1)*99+1,99))="-","",TRIM(MID(SUBSTITUTE(TRIM(Mitarbeiter!$E$27)," ",REPT(" ",99)),((MOD(P$5-Mitarbeiter!$F$27,(LEN(TRIM(Mitarbeiter!$E$27))-LEN(SUBSTITUTE(TRIM(Mitarbeiter!$E$27)," ",""))+1))+1)-1)*99+1,99))))</f>
      </c>
      <c r="Q28" s="54">
        <f>IF(OR($A28="",Q$5="",TRIM(Mitarbeiter!$E$27)="",NOT(ISNUMBER(Mitarbeiter!$F$27))),"",IF(TRIM(MID(SUBSTITUTE(TRIM(Mitarbeiter!$E$27)," ",REPT(" ",99)),((MOD(Q$5-Mitarbeiter!$F$27,(LEN(TRIM(Mitarbeiter!$E$27))-LEN(SUBSTITUTE(TRIM(Mitarbeiter!$E$27)," ",""))+1))+1)-1)*99+1,99))="-","",TRIM(MID(SUBSTITUTE(TRIM(Mitarbeiter!$E$27)," ",REPT(" ",99)),((MOD(Q$5-Mitarbeiter!$F$27,(LEN(TRIM(Mitarbeiter!$E$27))-LEN(SUBSTITUTE(TRIM(Mitarbeiter!$E$27)," ",""))+1))+1)-1)*99+1,99))))</f>
      </c>
      <c r="R28" s="54">
        <f>IF(OR($A28="",R$5="",TRIM(Mitarbeiter!$E$27)="",NOT(ISNUMBER(Mitarbeiter!$F$27))),"",IF(TRIM(MID(SUBSTITUTE(TRIM(Mitarbeiter!$E$27)," ",REPT(" ",99)),((MOD(R$5-Mitarbeiter!$F$27,(LEN(TRIM(Mitarbeiter!$E$27))-LEN(SUBSTITUTE(TRIM(Mitarbeiter!$E$27)," ",""))+1))+1)-1)*99+1,99))="-","",TRIM(MID(SUBSTITUTE(TRIM(Mitarbeiter!$E$27)," ",REPT(" ",99)),((MOD(R$5-Mitarbeiter!$F$27,(LEN(TRIM(Mitarbeiter!$E$27))-LEN(SUBSTITUTE(TRIM(Mitarbeiter!$E$27)," ",""))+1))+1)-1)*99+1,99))))</f>
      </c>
      <c r="S28" s="54">
        <f>IF(OR($A28="",S$5="",TRIM(Mitarbeiter!$E$27)="",NOT(ISNUMBER(Mitarbeiter!$F$27))),"",IF(TRIM(MID(SUBSTITUTE(TRIM(Mitarbeiter!$E$27)," ",REPT(" ",99)),((MOD(S$5-Mitarbeiter!$F$27,(LEN(TRIM(Mitarbeiter!$E$27))-LEN(SUBSTITUTE(TRIM(Mitarbeiter!$E$27)," ",""))+1))+1)-1)*99+1,99))="-","",TRIM(MID(SUBSTITUTE(TRIM(Mitarbeiter!$E$27)," ",REPT(" ",99)),((MOD(S$5-Mitarbeiter!$F$27,(LEN(TRIM(Mitarbeiter!$E$27))-LEN(SUBSTITUTE(TRIM(Mitarbeiter!$E$27)," ",""))+1))+1)-1)*99+1,99))))</f>
      </c>
      <c r="T28" s="54">
        <f>IF(OR($A28="",T$5="",TRIM(Mitarbeiter!$E$27)="",NOT(ISNUMBER(Mitarbeiter!$F$27))),"",IF(TRIM(MID(SUBSTITUTE(TRIM(Mitarbeiter!$E$27)," ",REPT(" ",99)),((MOD(T$5-Mitarbeiter!$F$27,(LEN(TRIM(Mitarbeiter!$E$27))-LEN(SUBSTITUTE(TRIM(Mitarbeiter!$E$27)," ",""))+1))+1)-1)*99+1,99))="-","",TRIM(MID(SUBSTITUTE(TRIM(Mitarbeiter!$E$27)," ",REPT(" ",99)),((MOD(T$5-Mitarbeiter!$F$27,(LEN(TRIM(Mitarbeiter!$E$27))-LEN(SUBSTITUTE(TRIM(Mitarbeiter!$E$27)," ",""))+1))+1)-1)*99+1,99))))</f>
      </c>
      <c r="U28" s="54">
        <f>IF(OR($A28="",U$5="",TRIM(Mitarbeiter!$E$27)="",NOT(ISNUMBER(Mitarbeiter!$F$27))),"",IF(TRIM(MID(SUBSTITUTE(TRIM(Mitarbeiter!$E$27)," ",REPT(" ",99)),((MOD(U$5-Mitarbeiter!$F$27,(LEN(TRIM(Mitarbeiter!$E$27))-LEN(SUBSTITUTE(TRIM(Mitarbeiter!$E$27)," ",""))+1))+1)-1)*99+1,99))="-","",TRIM(MID(SUBSTITUTE(TRIM(Mitarbeiter!$E$27)," ",REPT(" ",99)),((MOD(U$5-Mitarbeiter!$F$27,(LEN(TRIM(Mitarbeiter!$E$27))-LEN(SUBSTITUTE(TRIM(Mitarbeiter!$E$27)," ",""))+1))+1)-1)*99+1,99))))</f>
      </c>
      <c r="V28" s="54">
        <f>IF(OR($A28="",V$5="",TRIM(Mitarbeiter!$E$27)="",NOT(ISNUMBER(Mitarbeiter!$F$27))),"",IF(TRIM(MID(SUBSTITUTE(TRIM(Mitarbeiter!$E$27)," ",REPT(" ",99)),((MOD(V$5-Mitarbeiter!$F$27,(LEN(TRIM(Mitarbeiter!$E$27))-LEN(SUBSTITUTE(TRIM(Mitarbeiter!$E$27)," ",""))+1))+1)-1)*99+1,99))="-","",TRIM(MID(SUBSTITUTE(TRIM(Mitarbeiter!$E$27)," ",REPT(" ",99)),((MOD(V$5-Mitarbeiter!$F$27,(LEN(TRIM(Mitarbeiter!$E$27))-LEN(SUBSTITUTE(TRIM(Mitarbeiter!$E$27)," ",""))+1))+1)-1)*99+1,99))))</f>
      </c>
      <c r="W28" s="54">
        <f>IF(OR($A28="",W$5="",TRIM(Mitarbeiter!$E$27)="",NOT(ISNUMBER(Mitarbeiter!$F$27))),"",IF(TRIM(MID(SUBSTITUTE(TRIM(Mitarbeiter!$E$27)," ",REPT(" ",99)),((MOD(W$5-Mitarbeiter!$F$27,(LEN(TRIM(Mitarbeiter!$E$27))-LEN(SUBSTITUTE(TRIM(Mitarbeiter!$E$27)," ",""))+1))+1)-1)*99+1,99))="-","",TRIM(MID(SUBSTITUTE(TRIM(Mitarbeiter!$E$27)," ",REPT(" ",99)),((MOD(W$5-Mitarbeiter!$F$27,(LEN(TRIM(Mitarbeiter!$E$27))-LEN(SUBSTITUTE(TRIM(Mitarbeiter!$E$27)," ",""))+1))+1)-1)*99+1,99))))</f>
      </c>
      <c r="X28" s="54">
        <f>IF(OR($A28="",X$5="",TRIM(Mitarbeiter!$E$27)="",NOT(ISNUMBER(Mitarbeiter!$F$27))),"",IF(TRIM(MID(SUBSTITUTE(TRIM(Mitarbeiter!$E$27)," ",REPT(" ",99)),((MOD(X$5-Mitarbeiter!$F$27,(LEN(TRIM(Mitarbeiter!$E$27))-LEN(SUBSTITUTE(TRIM(Mitarbeiter!$E$27)," ",""))+1))+1)-1)*99+1,99))="-","",TRIM(MID(SUBSTITUTE(TRIM(Mitarbeiter!$E$27)," ",REPT(" ",99)),((MOD(X$5-Mitarbeiter!$F$27,(LEN(TRIM(Mitarbeiter!$E$27))-LEN(SUBSTITUTE(TRIM(Mitarbeiter!$E$27)," ",""))+1))+1)-1)*99+1,99))))</f>
      </c>
      <c r="Y28" s="54">
        <f>IF(OR($A28="",Y$5="",TRIM(Mitarbeiter!$E$27)="",NOT(ISNUMBER(Mitarbeiter!$F$27))),"",IF(TRIM(MID(SUBSTITUTE(TRIM(Mitarbeiter!$E$27)," ",REPT(" ",99)),((MOD(Y$5-Mitarbeiter!$F$27,(LEN(TRIM(Mitarbeiter!$E$27))-LEN(SUBSTITUTE(TRIM(Mitarbeiter!$E$27)," ",""))+1))+1)-1)*99+1,99))="-","",TRIM(MID(SUBSTITUTE(TRIM(Mitarbeiter!$E$27)," ",REPT(" ",99)),((MOD(Y$5-Mitarbeiter!$F$27,(LEN(TRIM(Mitarbeiter!$E$27))-LEN(SUBSTITUTE(TRIM(Mitarbeiter!$E$27)," ",""))+1))+1)-1)*99+1,99))))</f>
      </c>
      <c r="Z28" s="54">
        <f>IF(OR($A28="",Z$5="",TRIM(Mitarbeiter!$E$27)="",NOT(ISNUMBER(Mitarbeiter!$F$27))),"",IF(TRIM(MID(SUBSTITUTE(TRIM(Mitarbeiter!$E$27)," ",REPT(" ",99)),((MOD(Z$5-Mitarbeiter!$F$27,(LEN(TRIM(Mitarbeiter!$E$27))-LEN(SUBSTITUTE(TRIM(Mitarbeiter!$E$27)," ",""))+1))+1)-1)*99+1,99))="-","",TRIM(MID(SUBSTITUTE(TRIM(Mitarbeiter!$E$27)," ",REPT(" ",99)),((MOD(Z$5-Mitarbeiter!$F$27,(LEN(TRIM(Mitarbeiter!$E$27))-LEN(SUBSTITUTE(TRIM(Mitarbeiter!$E$27)," ",""))+1))+1)-1)*99+1,99))))</f>
      </c>
      <c r="AA28" s="54">
        <f>IF(OR($A28="",AA$5="",TRIM(Mitarbeiter!$E$27)="",NOT(ISNUMBER(Mitarbeiter!$F$27))),"",IF(TRIM(MID(SUBSTITUTE(TRIM(Mitarbeiter!$E$27)," ",REPT(" ",99)),((MOD(AA$5-Mitarbeiter!$F$27,(LEN(TRIM(Mitarbeiter!$E$27))-LEN(SUBSTITUTE(TRIM(Mitarbeiter!$E$27)," ",""))+1))+1)-1)*99+1,99))="-","",TRIM(MID(SUBSTITUTE(TRIM(Mitarbeiter!$E$27)," ",REPT(" ",99)),((MOD(AA$5-Mitarbeiter!$F$27,(LEN(TRIM(Mitarbeiter!$E$27))-LEN(SUBSTITUTE(TRIM(Mitarbeiter!$E$27)," ",""))+1))+1)-1)*99+1,99))))</f>
      </c>
      <c r="AB28" s="54">
        <f>IF(OR($A28="",AB$5="",TRIM(Mitarbeiter!$E$27)="",NOT(ISNUMBER(Mitarbeiter!$F$27))),"",IF(TRIM(MID(SUBSTITUTE(TRIM(Mitarbeiter!$E$27)," ",REPT(" ",99)),((MOD(AB$5-Mitarbeiter!$F$27,(LEN(TRIM(Mitarbeiter!$E$27))-LEN(SUBSTITUTE(TRIM(Mitarbeiter!$E$27)," ",""))+1))+1)-1)*99+1,99))="-","",TRIM(MID(SUBSTITUTE(TRIM(Mitarbeiter!$E$27)," ",REPT(" ",99)),((MOD(AB$5-Mitarbeiter!$F$27,(LEN(TRIM(Mitarbeiter!$E$27))-LEN(SUBSTITUTE(TRIM(Mitarbeiter!$E$27)," ",""))+1))+1)-1)*99+1,99))))</f>
      </c>
      <c r="AC28" s="54">
        <f>IF(OR($A28="",AC$5="",TRIM(Mitarbeiter!$E$27)="",NOT(ISNUMBER(Mitarbeiter!$F$27))),"",IF(TRIM(MID(SUBSTITUTE(TRIM(Mitarbeiter!$E$27)," ",REPT(" ",99)),((MOD(AC$5-Mitarbeiter!$F$27,(LEN(TRIM(Mitarbeiter!$E$27))-LEN(SUBSTITUTE(TRIM(Mitarbeiter!$E$27)," ",""))+1))+1)-1)*99+1,99))="-","",TRIM(MID(SUBSTITUTE(TRIM(Mitarbeiter!$E$27)," ",REPT(" ",99)),((MOD(AC$5-Mitarbeiter!$F$27,(LEN(TRIM(Mitarbeiter!$E$27))-LEN(SUBSTITUTE(TRIM(Mitarbeiter!$E$27)," ",""))+1))+1)-1)*99+1,99))))</f>
      </c>
      <c r="AD28" s="54">
        <f>IF(OR($A28="",AD$5="",TRIM(Mitarbeiter!$E$27)="",NOT(ISNUMBER(Mitarbeiter!$F$27))),"",IF(TRIM(MID(SUBSTITUTE(TRIM(Mitarbeiter!$E$27)," ",REPT(" ",99)),((MOD(AD$5-Mitarbeiter!$F$27,(LEN(TRIM(Mitarbeiter!$E$27))-LEN(SUBSTITUTE(TRIM(Mitarbeiter!$E$27)," ",""))+1))+1)-1)*99+1,99))="-","",TRIM(MID(SUBSTITUTE(TRIM(Mitarbeiter!$E$27)," ",REPT(" ",99)),((MOD(AD$5-Mitarbeiter!$F$27,(LEN(TRIM(Mitarbeiter!$E$27))-LEN(SUBSTITUTE(TRIM(Mitarbeiter!$E$27)," ",""))+1))+1)-1)*99+1,99))))</f>
      </c>
      <c r="AE28" s="54">
        <f>IF(OR($A28="",AE$5="",TRIM(Mitarbeiter!$E$27)="",NOT(ISNUMBER(Mitarbeiter!$F$27))),"",IF(TRIM(MID(SUBSTITUTE(TRIM(Mitarbeiter!$E$27)," ",REPT(" ",99)),((MOD(AE$5-Mitarbeiter!$F$27,(LEN(TRIM(Mitarbeiter!$E$27))-LEN(SUBSTITUTE(TRIM(Mitarbeiter!$E$27)," ",""))+1))+1)-1)*99+1,99))="-","",TRIM(MID(SUBSTITUTE(TRIM(Mitarbeiter!$E$27)," ",REPT(" ",99)),((MOD(AE$5-Mitarbeiter!$F$27,(LEN(TRIM(Mitarbeiter!$E$27))-LEN(SUBSTITUTE(TRIM(Mitarbeiter!$E$27)," ",""))+1))+1)-1)*99+1,99))))</f>
      </c>
      <c r="AF28" s="54">
        <f>IF(OR($A28="",AF$5="",TRIM(Mitarbeiter!$E$27)="",NOT(ISNUMBER(Mitarbeiter!$F$27))),"",IF(TRIM(MID(SUBSTITUTE(TRIM(Mitarbeiter!$E$27)," ",REPT(" ",99)),((MOD(AF$5-Mitarbeiter!$F$27,(LEN(TRIM(Mitarbeiter!$E$27))-LEN(SUBSTITUTE(TRIM(Mitarbeiter!$E$27)," ",""))+1))+1)-1)*99+1,99))="-","",TRIM(MID(SUBSTITUTE(TRIM(Mitarbeiter!$E$27)," ",REPT(" ",99)),((MOD(AF$5-Mitarbeiter!$F$27,(LEN(TRIM(Mitarbeiter!$E$27))-LEN(SUBSTITUTE(TRIM(Mitarbeiter!$E$27)," ",""))+1))+1)-1)*99+1,99))))</f>
      </c>
      <c r="AG28" s="55">
        <f>IF(OR($A28="",TRIM(Mitarbeiter!$E$27)=""),"",IF(NOT(ISNUMBER(Mitarbeiter!$F$27)),"Rhythmus ab: Datum fehlt",IF(COUNTIF(B28:AF28,"?*")-SUMPRODUCT(COUNTIF(B28:AF28,Codes)*(Codes&lt;&gt;"")*Erste)&gt;0,"Rhythmus enthält ein unbekanntes Kürzel","")))</f>
      </c>
    </row>
    <row r="29" spans="1:33" x14ac:dyDescent="0.25">
      <c r="A29" s="49">
        <f>Mitarbeiter!$A$28&amp;""</f>
      </c>
      <c r="B29" s="54">
        <f>IF(OR($A29="",B$5="",TRIM(Mitarbeiter!$E$28)="",NOT(ISNUMBER(Mitarbeiter!$F$28))),"",IF(TRIM(MID(SUBSTITUTE(TRIM(Mitarbeiter!$E$28)," ",REPT(" ",99)),((MOD(B$5-Mitarbeiter!$F$28,(LEN(TRIM(Mitarbeiter!$E$28))-LEN(SUBSTITUTE(TRIM(Mitarbeiter!$E$28)," ",""))+1))+1)-1)*99+1,99))="-","",TRIM(MID(SUBSTITUTE(TRIM(Mitarbeiter!$E$28)," ",REPT(" ",99)),((MOD(B$5-Mitarbeiter!$F$28,(LEN(TRIM(Mitarbeiter!$E$28))-LEN(SUBSTITUTE(TRIM(Mitarbeiter!$E$28)," ",""))+1))+1)-1)*99+1,99))))</f>
      </c>
      <c r="C29" s="54">
        <f>IF(OR($A29="",C$5="",TRIM(Mitarbeiter!$E$28)="",NOT(ISNUMBER(Mitarbeiter!$F$28))),"",IF(TRIM(MID(SUBSTITUTE(TRIM(Mitarbeiter!$E$28)," ",REPT(" ",99)),((MOD(C$5-Mitarbeiter!$F$28,(LEN(TRIM(Mitarbeiter!$E$28))-LEN(SUBSTITUTE(TRIM(Mitarbeiter!$E$28)," ",""))+1))+1)-1)*99+1,99))="-","",TRIM(MID(SUBSTITUTE(TRIM(Mitarbeiter!$E$28)," ",REPT(" ",99)),((MOD(C$5-Mitarbeiter!$F$28,(LEN(TRIM(Mitarbeiter!$E$28))-LEN(SUBSTITUTE(TRIM(Mitarbeiter!$E$28)," ",""))+1))+1)-1)*99+1,99))))</f>
      </c>
      <c r="D29" s="54">
        <f>IF(OR($A29="",D$5="",TRIM(Mitarbeiter!$E$28)="",NOT(ISNUMBER(Mitarbeiter!$F$28))),"",IF(TRIM(MID(SUBSTITUTE(TRIM(Mitarbeiter!$E$28)," ",REPT(" ",99)),((MOD(D$5-Mitarbeiter!$F$28,(LEN(TRIM(Mitarbeiter!$E$28))-LEN(SUBSTITUTE(TRIM(Mitarbeiter!$E$28)," ",""))+1))+1)-1)*99+1,99))="-","",TRIM(MID(SUBSTITUTE(TRIM(Mitarbeiter!$E$28)," ",REPT(" ",99)),((MOD(D$5-Mitarbeiter!$F$28,(LEN(TRIM(Mitarbeiter!$E$28))-LEN(SUBSTITUTE(TRIM(Mitarbeiter!$E$28)," ",""))+1))+1)-1)*99+1,99))))</f>
      </c>
      <c r="E29" s="54">
        <f>IF(OR($A29="",E$5="",TRIM(Mitarbeiter!$E$28)="",NOT(ISNUMBER(Mitarbeiter!$F$28))),"",IF(TRIM(MID(SUBSTITUTE(TRIM(Mitarbeiter!$E$28)," ",REPT(" ",99)),((MOD(E$5-Mitarbeiter!$F$28,(LEN(TRIM(Mitarbeiter!$E$28))-LEN(SUBSTITUTE(TRIM(Mitarbeiter!$E$28)," ",""))+1))+1)-1)*99+1,99))="-","",TRIM(MID(SUBSTITUTE(TRIM(Mitarbeiter!$E$28)," ",REPT(" ",99)),((MOD(E$5-Mitarbeiter!$F$28,(LEN(TRIM(Mitarbeiter!$E$28))-LEN(SUBSTITUTE(TRIM(Mitarbeiter!$E$28)," ",""))+1))+1)-1)*99+1,99))))</f>
      </c>
      <c r="F29" s="54">
        <f>IF(OR($A29="",F$5="",TRIM(Mitarbeiter!$E$28)="",NOT(ISNUMBER(Mitarbeiter!$F$28))),"",IF(TRIM(MID(SUBSTITUTE(TRIM(Mitarbeiter!$E$28)," ",REPT(" ",99)),((MOD(F$5-Mitarbeiter!$F$28,(LEN(TRIM(Mitarbeiter!$E$28))-LEN(SUBSTITUTE(TRIM(Mitarbeiter!$E$28)," ",""))+1))+1)-1)*99+1,99))="-","",TRIM(MID(SUBSTITUTE(TRIM(Mitarbeiter!$E$28)," ",REPT(" ",99)),((MOD(F$5-Mitarbeiter!$F$28,(LEN(TRIM(Mitarbeiter!$E$28))-LEN(SUBSTITUTE(TRIM(Mitarbeiter!$E$28)," ",""))+1))+1)-1)*99+1,99))))</f>
      </c>
      <c r="G29" s="54">
        <f>IF(OR($A29="",G$5="",TRIM(Mitarbeiter!$E$28)="",NOT(ISNUMBER(Mitarbeiter!$F$28))),"",IF(TRIM(MID(SUBSTITUTE(TRIM(Mitarbeiter!$E$28)," ",REPT(" ",99)),((MOD(G$5-Mitarbeiter!$F$28,(LEN(TRIM(Mitarbeiter!$E$28))-LEN(SUBSTITUTE(TRIM(Mitarbeiter!$E$28)," ",""))+1))+1)-1)*99+1,99))="-","",TRIM(MID(SUBSTITUTE(TRIM(Mitarbeiter!$E$28)," ",REPT(" ",99)),((MOD(G$5-Mitarbeiter!$F$28,(LEN(TRIM(Mitarbeiter!$E$28))-LEN(SUBSTITUTE(TRIM(Mitarbeiter!$E$28)," ",""))+1))+1)-1)*99+1,99))))</f>
      </c>
      <c r="H29" s="54">
        <f>IF(OR($A29="",H$5="",TRIM(Mitarbeiter!$E$28)="",NOT(ISNUMBER(Mitarbeiter!$F$28))),"",IF(TRIM(MID(SUBSTITUTE(TRIM(Mitarbeiter!$E$28)," ",REPT(" ",99)),((MOD(H$5-Mitarbeiter!$F$28,(LEN(TRIM(Mitarbeiter!$E$28))-LEN(SUBSTITUTE(TRIM(Mitarbeiter!$E$28)," ",""))+1))+1)-1)*99+1,99))="-","",TRIM(MID(SUBSTITUTE(TRIM(Mitarbeiter!$E$28)," ",REPT(" ",99)),((MOD(H$5-Mitarbeiter!$F$28,(LEN(TRIM(Mitarbeiter!$E$28))-LEN(SUBSTITUTE(TRIM(Mitarbeiter!$E$28)," ",""))+1))+1)-1)*99+1,99))))</f>
      </c>
      <c r="I29" s="54">
        <f>IF(OR($A29="",I$5="",TRIM(Mitarbeiter!$E$28)="",NOT(ISNUMBER(Mitarbeiter!$F$28))),"",IF(TRIM(MID(SUBSTITUTE(TRIM(Mitarbeiter!$E$28)," ",REPT(" ",99)),((MOD(I$5-Mitarbeiter!$F$28,(LEN(TRIM(Mitarbeiter!$E$28))-LEN(SUBSTITUTE(TRIM(Mitarbeiter!$E$28)," ",""))+1))+1)-1)*99+1,99))="-","",TRIM(MID(SUBSTITUTE(TRIM(Mitarbeiter!$E$28)," ",REPT(" ",99)),((MOD(I$5-Mitarbeiter!$F$28,(LEN(TRIM(Mitarbeiter!$E$28))-LEN(SUBSTITUTE(TRIM(Mitarbeiter!$E$28)," ",""))+1))+1)-1)*99+1,99))))</f>
      </c>
      <c r="J29" s="54">
        <f>IF(OR($A29="",J$5="",TRIM(Mitarbeiter!$E$28)="",NOT(ISNUMBER(Mitarbeiter!$F$28))),"",IF(TRIM(MID(SUBSTITUTE(TRIM(Mitarbeiter!$E$28)," ",REPT(" ",99)),((MOD(J$5-Mitarbeiter!$F$28,(LEN(TRIM(Mitarbeiter!$E$28))-LEN(SUBSTITUTE(TRIM(Mitarbeiter!$E$28)," ",""))+1))+1)-1)*99+1,99))="-","",TRIM(MID(SUBSTITUTE(TRIM(Mitarbeiter!$E$28)," ",REPT(" ",99)),((MOD(J$5-Mitarbeiter!$F$28,(LEN(TRIM(Mitarbeiter!$E$28))-LEN(SUBSTITUTE(TRIM(Mitarbeiter!$E$28)," ",""))+1))+1)-1)*99+1,99))))</f>
      </c>
      <c r="K29" s="54">
        <f>IF(OR($A29="",K$5="",TRIM(Mitarbeiter!$E$28)="",NOT(ISNUMBER(Mitarbeiter!$F$28))),"",IF(TRIM(MID(SUBSTITUTE(TRIM(Mitarbeiter!$E$28)," ",REPT(" ",99)),((MOD(K$5-Mitarbeiter!$F$28,(LEN(TRIM(Mitarbeiter!$E$28))-LEN(SUBSTITUTE(TRIM(Mitarbeiter!$E$28)," ",""))+1))+1)-1)*99+1,99))="-","",TRIM(MID(SUBSTITUTE(TRIM(Mitarbeiter!$E$28)," ",REPT(" ",99)),((MOD(K$5-Mitarbeiter!$F$28,(LEN(TRIM(Mitarbeiter!$E$28))-LEN(SUBSTITUTE(TRIM(Mitarbeiter!$E$28)," ",""))+1))+1)-1)*99+1,99))))</f>
      </c>
      <c r="L29" s="54">
        <f>IF(OR($A29="",L$5="",TRIM(Mitarbeiter!$E$28)="",NOT(ISNUMBER(Mitarbeiter!$F$28))),"",IF(TRIM(MID(SUBSTITUTE(TRIM(Mitarbeiter!$E$28)," ",REPT(" ",99)),((MOD(L$5-Mitarbeiter!$F$28,(LEN(TRIM(Mitarbeiter!$E$28))-LEN(SUBSTITUTE(TRIM(Mitarbeiter!$E$28)," ",""))+1))+1)-1)*99+1,99))="-","",TRIM(MID(SUBSTITUTE(TRIM(Mitarbeiter!$E$28)," ",REPT(" ",99)),((MOD(L$5-Mitarbeiter!$F$28,(LEN(TRIM(Mitarbeiter!$E$28))-LEN(SUBSTITUTE(TRIM(Mitarbeiter!$E$28)," ",""))+1))+1)-1)*99+1,99))))</f>
      </c>
      <c r="M29" s="54">
        <f>IF(OR($A29="",M$5="",TRIM(Mitarbeiter!$E$28)="",NOT(ISNUMBER(Mitarbeiter!$F$28))),"",IF(TRIM(MID(SUBSTITUTE(TRIM(Mitarbeiter!$E$28)," ",REPT(" ",99)),((MOD(M$5-Mitarbeiter!$F$28,(LEN(TRIM(Mitarbeiter!$E$28))-LEN(SUBSTITUTE(TRIM(Mitarbeiter!$E$28)," ",""))+1))+1)-1)*99+1,99))="-","",TRIM(MID(SUBSTITUTE(TRIM(Mitarbeiter!$E$28)," ",REPT(" ",99)),((MOD(M$5-Mitarbeiter!$F$28,(LEN(TRIM(Mitarbeiter!$E$28))-LEN(SUBSTITUTE(TRIM(Mitarbeiter!$E$28)," ",""))+1))+1)-1)*99+1,99))))</f>
      </c>
      <c r="N29" s="54">
        <f>IF(OR($A29="",N$5="",TRIM(Mitarbeiter!$E$28)="",NOT(ISNUMBER(Mitarbeiter!$F$28))),"",IF(TRIM(MID(SUBSTITUTE(TRIM(Mitarbeiter!$E$28)," ",REPT(" ",99)),((MOD(N$5-Mitarbeiter!$F$28,(LEN(TRIM(Mitarbeiter!$E$28))-LEN(SUBSTITUTE(TRIM(Mitarbeiter!$E$28)," ",""))+1))+1)-1)*99+1,99))="-","",TRIM(MID(SUBSTITUTE(TRIM(Mitarbeiter!$E$28)," ",REPT(" ",99)),((MOD(N$5-Mitarbeiter!$F$28,(LEN(TRIM(Mitarbeiter!$E$28))-LEN(SUBSTITUTE(TRIM(Mitarbeiter!$E$28)," ",""))+1))+1)-1)*99+1,99))))</f>
      </c>
      <c r="O29" s="54">
        <f>IF(OR($A29="",O$5="",TRIM(Mitarbeiter!$E$28)="",NOT(ISNUMBER(Mitarbeiter!$F$28))),"",IF(TRIM(MID(SUBSTITUTE(TRIM(Mitarbeiter!$E$28)," ",REPT(" ",99)),((MOD(O$5-Mitarbeiter!$F$28,(LEN(TRIM(Mitarbeiter!$E$28))-LEN(SUBSTITUTE(TRIM(Mitarbeiter!$E$28)," ",""))+1))+1)-1)*99+1,99))="-","",TRIM(MID(SUBSTITUTE(TRIM(Mitarbeiter!$E$28)," ",REPT(" ",99)),((MOD(O$5-Mitarbeiter!$F$28,(LEN(TRIM(Mitarbeiter!$E$28))-LEN(SUBSTITUTE(TRIM(Mitarbeiter!$E$28)," ",""))+1))+1)-1)*99+1,99))))</f>
      </c>
      <c r="P29" s="54">
        <f>IF(OR($A29="",P$5="",TRIM(Mitarbeiter!$E$28)="",NOT(ISNUMBER(Mitarbeiter!$F$28))),"",IF(TRIM(MID(SUBSTITUTE(TRIM(Mitarbeiter!$E$28)," ",REPT(" ",99)),((MOD(P$5-Mitarbeiter!$F$28,(LEN(TRIM(Mitarbeiter!$E$28))-LEN(SUBSTITUTE(TRIM(Mitarbeiter!$E$28)," ",""))+1))+1)-1)*99+1,99))="-","",TRIM(MID(SUBSTITUTE(TRIM(Mitarbeiter!$E$28)," ",REPT(" ",99)),((MOD(P$5-Mitarbeiter!$F$28,(LEN(TRIM(Mitarbeiter!$E$28))-LEN(SUBSTITUTE(TRIM(Mitarbeiter!$E$28)," ",""))+1))+1)-1)*99+1,99))))</f>
      </c>
      <c r="Q29" s="54">
        <f>IF(OR($A29="",Q$5="",TRIM(Mitarbeiter!$E$28)="",NOT(ISNUMBER(Mitarbeiter!$F$28))),"",IF(TRIM(MID(SUBSTITUTE(TRIM(Mitarbeiter!$E$28)," ",REPT(" ",99)),((MOD(Q$5-Mitarbeiter!$F$28,(LEN(TRIM(Mitarbeiter!$E$28))-LEN(SUBSTITUTE(TRIM(Mitarbeiter!$E$28)," ",""))+1))+1)-1)*99+1,99))="-","",TRIM(MID(SUBSTITUTE(TRIM(Mitarbeiter!$E$28)," ",REPT(" ",99)),((MOD(Q$5-Mitarbeiter!$F$28,(LEN(TRIM(Mitarbeiter!$E$28))-LEN(SUBSTITUTE(TRIM(Mitarbeiter!$E$28)," ",""))+1))+1)-1)*99+1,99))))</f>
      </c>
      <c r="R29" s="54">
        <f>IF(OR($A29="",R$5="",TRIM(Mitarbeiter!$E$28)="",NOT(ISNUMBER(Mitarbeiter!$F$28))),"",IF(TRIM(MID(SUBSTITUTE(TRIM(Mitarbeiter!$E$28)," ",REPT(" ",99)),((MOD(R$5-Mitarbeiter!$F$28,(LEN(TRIM(Mitarbeiter!$E$28))-LEN(SUBSTITUTE(TRIM(Mitarbeiter!$E$28)," ",""))+1))+1)-1)*99+1,99))="-","",TRIM(MID(SUBSTITUTE(TRIM(Mitarbeiter!$E$28)," ",REPT(" ",99)),((MOD(R$5-Mitarbeiter!$F$28,(LEN(TRIM(Mitarbeiter!$E$28))-LEN(SUBSTITUTE(TRIM(Mitarbeiter!$E$28)," ",""))+1))+1)-1)*99+1,99))))</f>
      </c>
      <c r="S29" s="54">
        <f>IF(OR($A29="",S$5="",TRIM(Mitarbeiter!$E$28)="",NOT(ISNUMBER(Mitarbeiter!$F$28))),"",IF(TRIM(MID(SUBSTITUTE(TRIM(Mitarbeiter!$E$28)," ",REPT(" ",99)),((MOD(S$5-Mitarbeiter!$F$28,(LEN(TRIM(Mitarbeiter!$E$28))-LEN(SUBSTITUTE(TRIM(Mitarbeiter!$E$28)," ",""))+1))+1)-1)*99+1,99))="-","",TRIM(MID(SUBSTITUTE(TRIM(Mitarbeiter!$E$28)," ",REPT(" ",99)),((MOD(S$5-Mitarbeiter!$F$28,(LEN(TRIM(Mitarbeiter!$E$28))-LEN(SUBSTITUTE(TRIM(Mitarbeiter!$E$28)," ",""))+1))+1)-1)*99+1,99))))</f>
      </c>
      <c r="T29" s="54">
        <f>IF(OR($A29="",T$5="",TRIM(Mitarbeiter!$E$28)="",NOT(ISNUMBER(Mitarbeiter!$F$28))),"",IF(TRIM(MID(SUBSTITUTE(TRIM(Mitarbeiter!$E$28)," ",REPT(" ",99)),((MOD(T$5-Mitarbeiter!$F$28,(LEN(TRIM(Mitarbeiter!$E$28))-LEN(SUBSTITUTE(TRIM(Mitarbeiter!$E$28)," ",""))+1))+1)-1)*99+1,99))="-","",TRIM(MID(SUBSTITUTE(TRIM(Mitarbeiter!$E$28)," ",REPT(" ",99)),((MOD(T$5-Mitarbeiter!$F$28,(LEN(TRIM(Mitarbeiter!$E$28))-LEN(SUBSTITUTE(TRIM(Mitarbeiter!$E$28)," ",""))+1))+1)-1)*99+1,99))))</f>
      </c>
      <c r="U29" s="54">
        <f>IF(OR($A29="",U$5="",TRIM(Mitarbeiter!$E$28)="",NOT(ISNUMBER(Mitarbeiter!$F$28))),"",IF(TRIM(MID(SUBSTITUTE(TRIM(Mitarbeiter!$E$28)," ",REPT(" ",99)),((MOD(U$5-Mitarbeiter!$F$28,(LEN(TRIM(Mitarbeiter!$E$28))-LEN(SUBSTITUTE(TRIM(Mitarbeiter!$E$28)," ",""))+1))+1)-1)*99+1,99))="-","",TRIM(MID(SUBSTITUTE(TRIM(Mitarbeiter!$E$28)," ",REPT(" ",99)),((MOD(U$5-Mitarbeiter!$F$28,(LEN(TRIM(Mitarbeiter!$E$28))-LEN(SUBSTITUTE(TRIM(Mitarbeiter!$E$28)," ",""))+1))+1)-1)*99+1,99))))</f>
      </c>
      <c r="V29" s="54">
        <f>IF(OR($A29="",V$5="",TRIM(Mitarbeiter!$E$28)="",NOT(ISNUMBER(Mitarbeiter!$F$28))),"",IF(TRIM(MID(SUBSTITUTE(TRIM(Mitarbeiter!$E$28)," ",REPT(" ",99)),((MOD(V$5-Mitarbeiter!$F$28,(LEN(TRIM(Mitarbeiter!$E$28))-LEN(SUBSTITUTE(TRIM(Mitarbeiter!$E$28)," ",""))+1))+1)-1)*99+1,99))="-","",TRIM(MID(SUBSTITUTE(TRIM(Mitarbeiter!$E$28)," ",REPT(" ",99)),((MOD(V$5-Mitarbeiter!$F$28,(LEN(TRIM(Mitarbeiter!$E$28))-LEN(SUBSTITUTE(TRIM(Mitarbeiter!$E$28)," ",""))+1))+1)-1)*99+1,99))))</f>
      </c>
      <c r="W29" s="54">
        <f>IF(OR($A29="",W$5="",TRIM(Mitarbeiter!$E$28)="",NOT(ISNUMBER(Mitarbeiter!$F$28))),"",IF(TRIM(MID(SUBSTITUTE(TRIM(Mitarbeiter!$E$28)," ",REPT(" ",99)),((MOD(W$5-Mitarbeiter!$F$28,(LEN(TRIM(Mitarbeiter!$E$28))-LEN(SUBSTITUTE(TRIM(Mitarbeiter!$E$28)," ",""))+1))+1)-1)*99+1,99))="-","",TRIM(MID(SUBSTITUTE(TRIM(Mitarbeiter!$E$28)," ",REPT(" ",99)),((MOD(W$5-Mitarbeiter!$F$28,(LEN(TRIM(Mitarbeiter!$E$28))-LEN(SUBSTITUTE(TRIM(Mitarbeiter!$E$28)," ",""))+1))+1)-1)*99+1,99))))</f>
      </c>
      <c r="X29" s="54">
        <f>IF(OR($A29="",X$5="",TRIM(Mitarbeiter!$E$28)="",NOT(ISNUMBER(Mitarbeiter!$F$28))),"",IF(TRIM(MID(SUBSTITUTE(TRIM(Mitarbeiter!$E$28)," ",REPT(" ",99)),((MOD(X$5-Mitarbeiter!$F$28,(LEN(TRIM(Mitarbeiter!$E$28))-LEN(SUBSTITUTE(TRIM(Mitarbeiter!$E$28)," ",""))+1))+1)-1)*99+1,99))="-","",TRIM(MID(SUBSTITUTE(TRIM(Mitarbeiter!$E$28)," ",REPT(" ",99)),((MOD(X$5-Mitarbeiter!$F$28,(LEN(TRIM(Mitarbeiter!$E$28))-LEN(SUBSTITUTE(TRIM(Mitarbeiter!$E$28)," ",""))+1))+1)-1)*99+1,99))))</f>
      </c>
      <c r="Y29" s="54">
        <f>IF(OR($A29="",Y$5="",TRIM(Mitarbeiter!$E$28)="",NOT(ISNUMBER(Mitarbeiter!$F$28))),"",IF(TRIM(MID(SUBSTITUTE(TRIM(Mitarbeiter!$E$28)," ",REPT(" ",99)),((MOD(Y$5-Mitarbeiter!$F$28,(LEN(TRIM(Mitarbeiter!$E$28))-LEN(SUBSTITUTE(TRIM(Mitarbeiter!$E$28)," ",""))+1))+1)-1)*99+1,99))="-","",TRIM(MID(SUBSTITUTE(TRIM(Mitarbeiter!$E$28)," ",REPT(" ",99)),((MOD(Y$5-Mitarbeiter!$F$28,(LEN(TRIM(Mitarbeiter!$E$28))-LEN(SUBSTITUTE(TRIM(Mitarbeiter!$E$28)," ",""))+1))+1)-1)*99+1,99))))</f>
      </c>
      <c r="Z29" s="54">
        <f>IF(OR($A29="",Z$5="",TRIM(Mitarbeiter!$E$28)="",NOT(ISNUMBER(Mitarbeiter!$F$28))),"",IF(TRIM(MID(SUBSTITUTE(TRIM(Mitarbeiter!$E$28)," ",REPT(" ",99)),((MOD(Z$5-Mitarbeiter!$F$28,(LEN(TRIM(Mitarbeiter!$E$28))-LEN(SUBSTITUTE(TRIM(Mitarbeiter!$E$28)," ",""))+1))+1)-1)*99+1,99))="-","",TRIM(MID(SUBSTITUTE(TRIM(Mitarbeiter!$E$28)," ",REPT(" ",99)),((MOD(Z$5-Mitarbeiter!$F$28,(LEN(TRIM(Mitarbeiter!$E$28))-LEN(SUBSTITUTE(TRIM(Mitarbeiter!$E$28)," ",""))+1))+1)-1)*99+1,99))))</f>
      </c>
      <c r="AA29" s="54">
        <f>IF(OR($A29="",AA$5="",TRIM(Mitarbeiter!$E$28)="",NOT(ISNUMBER(Mitarbeiter!$F$28))),"",IF(TRIM(MID(SUBSTITUTE(TRIM(Mitarbeiter!$E$28)," ",REPT(" ",99)),((MOD(AA$5-Mitarbeiter!$F$28,(LEN(TRIM(Mitarbeiter!$E$28))-LEN(SUBSTITUTE(TRIM(Mitarbeiter!$E$28)," ",""))+1))+1)-1)*99+1,99))="-","",TRIM(MID(SUBSTITUTE(TRIM(Mitarbeiter!$E$28)," ",REPT(" ",99)),((MOD(AA$5-Mitarbeiter!$F$28,(LEN(TRIM(Mitarbeiter!$E$28))-LEN(SUBSTITUTE(TRIM(Mitarbeiter!$E$28)," ",""))+1))+1)-1)*99+1,99))))</f>
      </c>
      <c r="AB29" s="54">
        <f>IF(OR($A29="",AB$5="",TRIM(Mitarbeiter!$E$28)="",NOT(ISNUMBER(Mitarbeiter!$F$28))),"",IF(TRIM(MID(SUBSTITUTE(TRIM(Mitarbeiter!$E$28)," ",REPT(" ",99)),((MOD(AB$5-Mitarbeiter!$F$28,(LEN(TRIM(Mitarbeiter!$E$28))-LEN(SUBSTITUTE(TRIM(Mitarbeiter!$E$28)," ",""))+1))+1)-1)*99+1,99))="-","",TRIM(MID(SUBSTITUTE(TRIM(Mitarbeiter!$E$28)," ",REPT(" ",99)),((MOD(AB$5-Mitarbeiter!$F$28,(LEN(TRIM(Mitarbeiter!$E$28))-LEN(SUBSTITUTE(TRIM(Mitarbeiter!$E$28)," ",""))+1))+1)-1)*99+1,99))))</f>
      </c>
      <c r="AC29" s="54">
        <f>IF(OR($A29="",AC$5="",TRIM(Mitarbeiter!$E$28)="",NOT(ISNUMBER(Mitarbeiter!$F$28))),"",IF(TRIM(MID(SUBSTITUTE(TRIM(Mitarbeiter!$E$28)," ",REPT(" ",99)),((MOD(AC$5-Mitarbeiter!$F$28,(LEN(TRIM(Mitarbeiter!$E$28))-LEN(SUBSTITUTE(TRIM(Mitarbeiter!$E$28)," ",""))+1))+1)-1)*99+1,99))="-","",TRIM(MID(SUBSTITUTE(TRIM(Mitarbeiter!$E$28)," ",REPT(" ",99)),((MOD(AC$5-Mitarbeiter!$F$28,(LEN(TRIM(Mitarbeiter!$E$28))-LEN(SUBSTITUTE(TRIM(Mitarbeiter!$E$28)," ",""))+1))+1)-1)*99+1,99))))</f>
      </c>
      <c r="AD29" s="54">
        <f>IF(OR($A29="",AD$5="",TRIM(Mitarbeiter!$E$28)="",NOT(ISNUMBER(Mitarbeiter!$F$28))),"",IF(TRIM(MID(SUBSTITUTE(TRIM(Mitarbeiter!$E$28)," ",REPT(" ",99)),((MOD(AD$5-Mitarbeiter!$F$28,(LEN(TRIM(Mitarbeiter!$E$28))-LEN(SUBSTITUTE(TRIM(Mitarbeiter!$E$28)," ",""))+1))+1)-1)*99+1,99))="-","",TRIM(MID(SUBSTITUTE(TRIM(Mitarbeiter!$E$28)," ",REPT(" ",99)),((MOD(AD$5-Mitarbeiter!$F$28,(LEN(TRIM(Mitarbeiter!$E$28))-LEN(SUBSTITUTE(TRIM(Mitarbeiter!$E$28)," ",""))+1))+1)-1)*99+1,99))))</f>
      </c>
      <c r="AE29" s="54">
        <f>IF(OR($A29="",AE$5="",TRIM(Mitarbeiter!$E$28)="",NOT(ISNUMBER(Mitarbeiter!$F$28))),"",IF(TRIM(MID(SUBSTITUTE(TRIM(Mitarbeiter!$E$28)," ",REPT(" ",99)),((MOD(AE$5-Mitarbeiter!$F$28,(LEN(TRIM(Mitarbeiter!$E$28))-LEN(SUBSTITUTE(TRIM(Mitarbeiter!$E$28)," ",""))+1))+1)-1)*99+1,99))="-","",TRIM(MID(SUBSTITUTE(TRIM(Mitarbeiter!$E$28)," ",REPT(" ",99)),((MOD(AE$5-Mitarbeiter!$F$28,(LEN(TRIM(Mitarbeiter!$E$28))-LEN(SUBSTITUTE(TRIM(Mitarbeiter!$E$28)," ",""))+1))+1)-1)*99+1,99))))</f>
      </c>
      <c r="AF29" s="54">
        <f>IF(OR($A29="",AF$5="",TRIM(Mitarbeiter!$E$28)="",NOT(ISNUMBER(Mitarbeiter!$F$28))),"",IF(TRIM(MID(SUBSTITUTE(TRIM(Mitarbeiter!$E$28)," ",REPT(" ",99)),((MOD(AF$5-Mitarbeiter!$F$28,(LEN(TRIM(Mitarbeiter!$E$28))-LEN(SUBSTITUTE(TRIM(Mitarbeiter!$E$28)," ",""))+1))+1)-1)*99+1,99))="-","",TRIM(MID(SUBSTITUTE(TRIM(Mitarbeiter!$E$28)," ",REPT(" ",99)),((MOD(AF$5-Mitarbeiter!$F$28,(LEN(TRIM(Mitarbeiter!$E$28))-LEN(SUBSTITUTE(TRIM(Mitarbeiter!$E$28)," ",""))+1))+1)-1)*99+1,99))))</f>
      </c>
      <c r="AG29" s="55">
        <f>IF(OR($A29="",TRIM(Mitarbeiter!$E$28)=""),"",IF(NOT(ISNUMBER(Mitarbeiter!$F$28)),"Rhythmus ab: Datum fehlt",IF(COUNTIF(B29:AF29,"?*")-SUMPRODUCT(COUNTIF(B29:AF29,Codes)*(Codes&lt;&gt;"")*Erste)&gt;0,"Rhythmus enthält ein unbekanntes Kürzel","")))</f>
      </c>
    </row>
    <row r="30" spans="1:33" x14ac:dyDescent="0.25">
      <c r="A30" s="49">
        <f>Mitarbeiter!$A$29&amp;""</f>
      </c>
      <c r="B30" s="54">
        <f>IF(OR($A30="",B$5="",TRIM(Mitarbeiter!$E$29)="",NOT(ISNUMBER(Mitarbeiter!$F$29))),"",IF(TRIM(MID(SUBSTITUTE(TRIM(Mitarbeiter!$E$29)," ",REPT(" ",99)),((MOD(B$5-Mitarbeiter!$F$29,(LEN(TRIM(Mitarbeiter!$E$29))-LEN(SUBSTITUTE(TRIM(Mitarbeiter!$E$29)," ",""))+1))+1)-1)*99+1,99))="-","",TRIM(MID(SUBSTITUTE(TRIM(Mitarbeiter!$E$29)," ",REPT(" ",99)),((MOD(B$5-Mitarbeiter!$F$29,(LEN(TRIM(Mitarbeiter!$E$29))-LEN(SUBSTITUTE(TRIM(Mitarbeiter!$E$29)," ",""))+1))+1)-1)*99+1,99))))</f>
      </c>
      <c r="C30" s="54">
        <f>IF(OR($A30="",C$5="",TRIM(Mitarbeiter!$E$29)="",NOT(ISNUMBER(Mitarbeiter!$F$29))),"",IF(TRIM(MID(SUBSTITUTE(TRIM(Mitarbeiter!$E$29)," ",REPT(" ",99)),((MOD(C$5-Mitarbeiter!$F$29,(LEN(TRIM(Mitarbeiter!$E$29))-LEN(SUBSTITUTE(TRIM(Mitarbeiter!$E$29)," ",""))+1))+1)-1)*99+1,99))="-","",TRIM(MID(SUBSTITUTE(TRIM(Mitarbeiter!$E$29)," ",REPT(" ",99)),((MOD(C$5-Mitarbeiter!$F$29,(LEN(TRIM(Mitarbeiter!$E$29))-LEN(SUBSTITUTE(TRIM(Mitarbeiter!$E$29)," ",""))+1))+1)-1)*99+1,99))))</f>
      </c>
      <c r="D30" s="54">
        <f>IF(OR($A30="",D$5="",TRIM(Mitarbeiter!$E$29)="",NOT(ISNUMBER(Mitarbeiter!$F$29))),"",IF(TRIM(MID(SUBSTITUTE(TRIM(Mitarbeiter!$E$29)," ",REPT(" ",99)),((MOD(D$5-Mitarbeiter!$F$29,(LEN(TRIM(Mitarbeiter!$E$29))-LEN(SUBSTITUTE(TRIM(Mitarbeiter!$E$29)," ",""))+1))+1)-1)*99+1,99))="-","",TRIM(MID(SUBSTITUTE(TRIM(Mitarbeiter!$E$29)," ",REPT(" ",99)),((MOD(D$5-Mitarbeiter!$F$29,(LEN(TRIM(Mitarbeiter!$E$29))-LEN(SUBSTITUTE(TRIM(Mitarbeiter!$E$29)," ",""))+1))+1)-1)*99+1,99))))</f>
      </c>
      <c r="E30" s="54">
        <f>IF(OR($A30="",E$5="",TRIM(Mitarbeiter!$E$29)="",NOT(ISNUMBER(Mitarbeiter!$F$29))),"",IF(TRIM(MID(SUBSTITUTE(TRIM(Mitarbeiter!$E$29)," ",REPT(" ",99)),((MOD(E$5-Mitarbeiter!$F$29,(LEN(TRIM(Mitarbeiter!$E$29))-LEN(SUBSTITUTE(TRIM(Mitarbeiter!$E$29)," ",""))+1))+1)-1)*99+1,99))="-","",TRIM(MID(SUBSTITUTE(TRIM(Mitarbeiter!$E$29)," ",REPT(" ",99)),((MOD(E$5-Mitarbeiter!$F$29,(LEN(TRIM(Mitarbeiter!$E$29))-LEN(SUBSTITUTE(TRIM(Mitarbeiter!$E$29)," ",""))+1))+1)-1)*99+1,99))))</f>
      </c>
      <c r="F30" s="54">
        <f>IF(OR($A30="",F$5="",TRIM(Mitarbeiter!$E$29)="",NOT(ISNUMBER(Mitarbeiter!$F$29))),"",IF(TRIM(MID(SUBSTITUTE(TRIM(Mitarbeiter!$E$29)," ",REPT(" ",99)),((MOD(F$5-Mitarbeiter!$F$29,(LEN(TRIM(Mitarbeiter!$E$29))-LEN(SUBSTITUTE(TRIM(Mitarbeiter!$E$29)," ",""))+1))+1)-1)*99+1,99))="-","",TRIM(MID(SUBSTITUTE(TRIM(Mitarbeiter!$E$29)," ",REPT(" ",99)),((MOD(F$5-Mitarbeiter!$F$29,(LEN(TRIM(Mitarbeiter!$E$29))-LEN(SUBSTITUTE(TRIM(Mitarbeiter!$E$29)," ",""))+1))+1)-1)*99+1,99))))</f>
      </c>
      <c r="G30" s="54">
        <f>IF(OR($A30="",G$5="",TRIM(Mitarbeiter!$E$29)="",NOT(ISNUMBER(Mitarbeiter!$F$29))),"",IF(TRIM(MID(SUBSTITUTE(TRIM(Mitarbeiter!$E$29)," ",REPT(" ",99)),((MOD(G$5-Mitarbeiter!$F$29,(LEN(TRIM(Mitarbeiter!$E$29))-LEN(SUBSTITUTE(TRIM(Mitarbeiter!$E$29)," ",""))+1))+1)-1)*99+1,99))="-","",TRIM(MID(SUBSTITUTE(TRIM(Mitarbeiter!$E$29)," ",REPT(" ",99)),((MOD(G$5-Mitarbeiter!$F$29,(LEN(TRIM(Mitarbeiter!$E$29))-LEN(SUBSTITUTE(TRIM(Mitarbeiter!$E$29)," ",""))+1))+1)-1)*99+1,99))))</f>
      </c>
      <c r="H30" s="54">
        <f>IF(OR($A30="",H$5="",TRIM(Mitarbeiter!$E$29)="",NOT(ISNUMBER(Mitarbeiter!$F$29))),"",IF(TRIM(MID(SUBSTITUTE(TRIM(Mitarbeiter!$E$29)," ",REPT(" ",99)),((MOD(H$5-Mitarbeiter!$F$29,(LEN(TRIM(Mitarbeiter!$E$29))-LEN(SUBSTITUTE(TRIM(Mitarbeiter!$E$29)," ",""))+1))+1)-1)*99+1,99))="-","",TRIM(MID(SUBSTITUTE(TRIM(Mitarbeiter!$E$29)," ",REPT(" ",99)),((MOD(H$5-Mitarbeiter!$F$29,(LEN(TRIM(Mitarbeiter!$E$29))-LEN(SUBSTITUTE(TRIM(Mitarbeiter!$E$29)," ",""))+1))+1)-1)*99+1,99))))</f>
      </c>
      <c r="I30" s="54">
        <f>IF(OR($A30="",I$5="",TRIM(Mitarbeiter!$E$29)="",NOT(ISNUMBER(Mitarbeiter!$F$29))),"",IF(TRIM(MID(SUBSTITUTE(TRIM(Mitarbeiter!$E$29)," ",REPT(" ",99)),((MOD(I$5-Mitarbeiter!$F$29,(LEN(TRIM(Mitarbeiter!$E$29))-LEN(SUBSTITUTE(TRIM(Mitarbeiter!$E$29)," ",""))+1))+1)-1)*99+1,99))="-","",TRIM(MID(SUBSTITUTE(TRIM(Mitarbeiter!$E$29)," ",REPT(" ",99)),((MOD(I$5-Mitarbeiter!$F$29,(LEN(TRIM(Mitarbeiter!$E$29))-LEN(SUBSTITUTE(TRIM(Mitarbeiter!$E$29)," ",""))+1))+1)-1)*99+1,99))))</f>
      </c>
      <c r="J30" s="54">
        <f>IF(OR($A30="",J$5="",TRIM(Mitarbeiter!$E$29)="",NOT(ISNUMBER(Mitarbeiter!$F$29))),"",IF(TRIM(MID(SUBSTITUTE(TRIM(Mitarbeiter!$E$29)," ",REPT(" ",99)),((MOD(J$5-Mitarbeiter!$F$29,(LEN(TRIM(Mitarbeiter!$E$29))-LEN(SUBSTITUTE(TRIM(Mitarbeiter!$E$29)," ",""))+1))+1)-1)*99+1,99))="-","",TRIM(MID(SUBSTITUTE(TRIM(Mitarbeiter!$E$29)," ",REPT(" ",99)),((MOD(J$5-Mitarbeiter!$F$29,(LEN(TRIM(Mitarbeiter!$E$29))-LEN(SUBSTITUTE(TRIM(Mitarbeiter!$E$29)," ",""))+1))+1)-1)*99+1,99))))</f>
      </c>
      <c r="K30" s="54">
        <f>IF(OR($A30="",K$5="",TRIM(Mitarbeiter!$E$29)="",NOT(ISNUMBER(Mitarbeiter!$F$29))),"",IF(TRIM(MID(SUBSTITUTE(TRIM(Mitarbeiter!$E$29)," ",REPT(" ",99)),((MOD(K$5-Mitarbeiter!$F$29,(LEN(TRIM(Mitarbeiter!$E$29))-LEN(SUBSTITUTE(TRIM(Mitarbeiter!$E$29)," ",""))+1))+1)-1)*99+1,99))="-","",TRIM(MID(SUBSTITUTE(TRIM(Mitarbeiter!$E$29)," ",REPT(" ",99)),((MOD(K$5-Mitarbeiter!$F$29,(LEN(TRIM(Mitarbeiter!$E$29))-LEN(SUBSTITUTE(TRIM(Mitarbeiter!$E$29)," ",""))+1))+1)-1)*99+1,99))))</f>
      </c>
      <c r="L30" s="54">
        <f>IF(OR($A30="",L$5="",TRIM(Mitarbeiter!$E$29)="",NOT(ISNUMBER(Mitarbeiter!$F$29))),"",IF(TRIM(MID(SUBSTITUTE(TRIM(Mitarbeiter!$E$29)," ",REPT(" ",99)),((MOD(L$5-Mitarbeiter!$F$29,(LEN(TRIM(Mitarbeiter!$E$29))-LEN(SUBSTITUTE(TRIM(Mitarbeiter!$E$29)," ",""))+1))+1)-1)*99+1,99))="-","",TRIM(MID(SUBSTITUTE(TRIM(Mitarbeiter!$E$29)," ",REPT(" ",99)),((MOD(L$5-Mitarbeiter!$F$29,(LEN(TRIM(Mitarbeiter!$E$29))-LEN(SUBSTITUTE(TRIM(Mitarbeiter!$E$29)," ",""))+1))+1)-1)*99+1,99))))</f>
      </c>
      <c r="M30" s="54">
        <f>IF(OR($A30="",M$5="",TRIM(Mitarbeiter!$E$29)="",NOT(ISNUMBER(Mitarbeiter!$F$29))),"",IF(TRIM(MID(SUBSTITUTE(TRIM(Mitarbeiter!$E$29)," ",REPT(" ",99)),((MOD(M$5-Mitarbeiter!$F$29,(LEN(TRIM(Mitarbeiter!$E$29))-LEN(SUBSTITUTE(TRIM(Mitarbeiter!$E$29)," ",""))+1))+1)-1)*99+1,99))="-","",TRIM(MID(SUBSTITUTE(TRIM(Mitarbeiter!$E$29)," ",REPT(" ",99)),((MOD(M$5-Mitarbeiter!$F$29,(LEN(TRIM(Mitarbeiter!$E$29))-LEN(SUBSTITUTE(TRIM(Mitarbeiter!$E$29)," ",""))+1))+1)-1)*99+1,99))))</f>
      </c>
      <c r="N30" s="54">
        <f>IF(OR($A30="",N$5="",TRIM(Mitarbeiter!$E$29)="",NOT(ISNUMBER(Mitarbeiter!$F$29))),"",IF(TRIM(MID(SUBSTITUTE(TRIM(Mitarbeiter!$E$29)," ",REPT(" ",99)),((MOD(N$5-Mitarbeiter!$F$29,(LEN(TRIM(Mitarbeiter!$E$29))-LEN(SUBSTITUTE(TRIM(Mitarbeiter!$E$29)," ",""))+1))+1)-1)*99+1,99))="-","",TRIM(MID(SUBSTITUTE(TRIM(Mitarbeiter!$E$29)," ",REPT(" ",99)),((MOD(N$5-Mitarbeiter!$F$29,(LEN(TRIM(Mitarbeiter!$E$29))-LEN(SUBSTITUTE(TRIM(Mitarbeiter!$E$29)," ",""))+1))+1)-1)*99+1,99))))</f>
      </c>
      <c r="O30" s="54">
        <f>IF(OR($A30="",O$5="",TRIM(Mitarbeiter!$E$29)="",NOT(ISNUMBER(Mitarbeiter!$F$29))),"",IF(TRIM(MID(SUBSTITUTE(TRIM(Mitarbeiter!$E$29)," ",REPT(" ",99)),((MOD(O$5-Mitarbeiter!$F$29,(LEN(TRIM(Mitarbeiter!$E$29))-LEN(SUBSTITUTE(TRIM(Mitarbeiter!$E$29)," ",""))+1))+1)-1)*99+1,99))="-","",TRIM(MID(SUBSTITUTE(TRIM(Mitarbeiter!$E$29)," ",REPT(" ",99)),((MOD(O$5-Mitarbeiter!$F$29,(LEN(TRIM(Mitarbeiter!$E$29))-LEN(SUBSTITUTE(TRIM(Mitarbeiter!$E$29)," ",""))+1))+1)-1)*99+1,99))))</f>
      </c>
      <c r="P30" s="54">
        <f>IF(OR($A30="",P$5="",TRIM(Mitarbeiter!$E$29)="",NOT(ISNUMBER(Mitarbeiter!$F$29))),"",IF(TRIM(MID(SUBSTITUTE(TRIM(Mitarbeiter!$E$29)," ",REPT(" ",99)),((MOD(P$5-Mitarbeiter!$F$29,(LEN(TRIM(Mitarbeiter!$E$29))-LEN(SUBSTITUTE(TRIM(Mitarbeiter!$E$29)," ",""))+1))+1)-1)*99+1,99))="-","",TRIM(MID(SUBSTITUTE(TRIM(Mitarbeiter!$E$29)," ",REPT(" ",99)),((MOD(P$5-Mitarbeiter!$F$29,(LEN(TRIM(Mitarbeiter!$E$29))-LEN(SUBSTITUTE(TRIM(Mitarbeiter!$E$29)," ",""))+1))+1)-1)*99+1,99))))</f>
      </c>
      <c r="Q30" s="54">
        <f>IF(OR($A30="",Q$5="",TRIM(Mitarbeiter!$E$29)="",NOT(ISNUMBER(Mitarbeiter!$F$29))),"",IF(TRIM(MID(SUBSTITUTE(TRIM(Mitarbeiter!$E$29)," ",REPT(" ",99)),((MOD(Q$5-Mitarbeiter!$F$29,(LEN(TRIM(Mitarbeiter!$E$29))-LEN(SUBSTITUTE(TRIM(Mitarbeiter!$E$29)," ",""))+1))+1)-1)*99+1,99))="-","",TRIM(MID(SUBSTITUTE(TRIM(Mitarbeiter!$E$29)," ",REPT(" ",99)),((MOD(Q$5-Mitarbeiter!$F$29,(LEN(TRIM(Mitarbeiter!$E$29))-LEN(SUBSTITUTE(TRIM(Mitarbeiter!$E$29)," ",""))+1))+1)-1)*99+1,99))))</f>
      </c>
      <c r="R30" s="54">
        <f>IF(OR($A30="",R$5="",TRIM(Mitarbeiter!$E$29)="",NOT(ISNUMBER(Mitarbeiter!$F$29))),"",IF(TRIM(MID(SUBSTITUTE(TRIM(Mitarbeiter!$E$29)," ",REPT(" ",99)),((MOD(R$5-Mitarbeiter!$F$29,(LEN(TRIM(Mitarbeiter!$E$29))-LEN(SUBSTITUTE(TRIM(Mitarbeiter!$E$29)," ",""))+1))+1)-1)*99+1,99))="-","",TRIM(MID(SUBSTITUTE(TRIM(Mitarbeiter!$E$29)," ",REPT(" ",99)),((MOD(R$5-Mitarbeiter!$F$29,(LEN(TRIM(Mitarbeiter!$E$29))-LEN(SUBSTITUTE(TRIM(Mitarbeiter!$E$29)," ",""))+1))+1)-1)*99+1,99))))</f>
      </c>
      <c r="S30" s="54">
        <f>IF(OR($A30="",S$5="",TRIM(Mitarbeiter!$E$29)="",NOT(ISNUMBER(Mitarbeiter!$F$29))),"",IF(TRIM(MID(SUBSTITUTE(TRIM(Mitarbeiter!$E$29)," ",REPT(" ",99)),((MOD(S$5-Mitarbeiter!$F$29,(LEN(TRIM(Mitarbeiter!$E$29))-LEN(SUBSTITUTE(TRIM(Mitarbeiter!$E$29)," ",""))+1))+1)-1)*99+1,99))="-","",TRIM(MID(SUBSTITUTE(TRIM(Mitarbeiter!$E$29)," ",REPT(" ",99)),((MOD(S$5-Mitarbeiter!$F$29,(LEN(TRIM(Mitarbeiter!$E$29))-LEN(SUBSTITUTE(TRIM(Mitarbeiter!$E$29)," ",""))+1))+1)-1)*99+1,99))))</f>
      </c>
      <c r="T30" s="54">
        <f>IF(OR($A30="",T$5="",TRIM(Mitarbeiter!$E$29)="",NOT(ISNUMBER(Mitarbeiter!$F$29))),"",IF(TRIM(MID(SUBSTITUTE(TRIM(Mitarbeiter!$E$29)," ",REPT(" ",99)),((MOD(T$5-Mitarbeiter!$F$29,(LEN(TRIM(Mitarbeiter!$E$29))-LEN(SUBSTITUTE(TRIM(Mitarbeiter!$E$29)," ",""))+1))+1)-1)*99+1,99))="-","",TRIM(MID(SUBSTITUTE(TRIM(Mitarbeiter!$E$29)," ",REPT(" ",99)),((MOD(T$5-Mitarbeiter!$F$29,(LEN(TRIM(Mitarbeiter!$E$29))-LEN(SUBSTITUTE(TRIM(Mitarbeiter!$E$29)," ",""))+1))+1)-1)*99+1,99))))</f>
      </c>
      <c r="U30" s="54">
        <f>IF(OR($A30="",U$5="",TRIM(Mitarbeiter!$E$29)="",NOT(ISNUMBER(Mitarbeiter!$F$29))),"",IF(TRIM(MID(SUBSTITUTE(TRIM(Mitarbeiter!$E$29)," ",REPT(" ",99)),((MOD(U$5-Mitarbeiter!$F$29,(LEN(TRIM(Mitarbeiter!$E$29))-LEN(SUBSTITUTE(TRIM(Mitarbeiter!$E$29)," ",""))+1))+1)-1)*99+1,99))="-","",TRIM(MID(SUBSTITUTE(TRIM(Mitarbeiter!$E$29)," ",REPT(" ",99)),((MOD(U$5-Mitarbeiter!$F$29,(LEN(TRIM(Mitarbeiter!$E$29))-LEN(SUBSTITUTE(TRIM(Mitarbeiter!$E$29)," ",""))+1))+1)-1)*99+1,99))))</f>
      </c>
      <c r="V30" s="54">
        <f>IF(OR($A30="",V$5="",TRIM(Mitarbeiter!$E$29)="",NOT(ISNUMBER(Mitarbeiter!$F$29))),"",IF(TRIM(MID(SUBSTITUTE(TRIM(Mitarbeiter!$E$29)," ",REPT(" ",99)),((MOD(V$5-Mitarbeiter!$F$29,(LEN(TRIM(Mitarbeiter!$E$29))-LEN(SUBSTITUTE(TRIM(Mitarbeiter!$E$29)," ",""))+1))+1)-1)*99+1,99))="-","",TRIM(MID(SUBSTITUTE(TRIM(Mitarbeiter!$E$29)," ",REPT(" ",99)),((MOD(V$5-Mitarbeiter!$F$29,(LEN(TRIM(Mitarbeiter!$E$29))-LEN(SUBSTITUTE(TRIM(Mitarbeiter!$E$29)," ",""))+1))+1)-1)*99+1,99))))</f>
      </c>
      <c r="W30" s="54">
        <f>IF(OR($A30="",W$5="",TRIM(Mitarbeiter!$E$29)="",NOT(ISNUMBER(Mitarbeiter!$F$29))),"",IF(TRIM(MID(SUBSTITUTE(TRIM(Mitarbeiter!$E$29)," ",REPT(" ",99)),((MOD(W$5-Mitarbeiter!$F$29,(LEN(TRIM(Mitarbeiter!$E$29))-LEN(SUBSTITUTE(TRIM(Mitarbeiter!$E$29)," ",""))+1))+1)-1)*99+1,99))="-","",TRIM(MID(SUBSTITUTE(TRIM(Mitarbeiter!$E$29)," ",REPT(" ",99)),((MOD(W$5-Mitarbeiter!$F$29,(LEN(TRIM(Mitarbeiter!$E$29))-LEN(SUBSTITUTE(TRIM(Mitarbeiter!$E$29)," ",""))+1))+1)-1)*99+1,99))))</f>
      </c>
      <c r="X30" s="54">
        <f>IF(OR($A30="",X$5="",TRIM(Mitarbeiter!$E$29)="",NOT(ISNUMBER(Mitarbeiter!$F$29))),"",IF(TRIM(MID(SUBSTITUTE(TRIM(Mitarbeiter!$E$29)," ",REPT(" ",99)),((MOD(X$5-Mitarbeiter!$F$29,(LEN(TRIM(Mitarbeiter!$E$29))-LEN(SUBSTITUTE(TRIM(Mitarbeiter!$E$29)," ",""))+1))+1)-1)*99+1,99))="-","",TRIM(MID(SUBSTITUTE(TRIM(Mitarbeiter!$E$29)," ",REPT(" ",99)),((MOD(X$5-Mitarbeiter!$F$29,(LEN(TRIM(Mitarbeiter!$E$29))-LEN(SUBSTITUTE(TRIM(Mitarbeiter!$E$29)," ",""))+1))+1)-1)*99+1,99))))</f>
      </c>
      <c r="Y30" s="54">
        <f>IF(OR($A30="",Y$5="",TRIM(Mitarbeiter!$E$29)="",NOT(ISNUMBER(Mitarbeiter!$F$29))),"",IF(TRIM(MID(SUBSTITUTE(TRIM(Mitarbeiter!$E$29)," ",REPT(" ",99)),((MOD(Y$5-Mitarbeiter!$F$29,(LEN(TRIM(Mitarbeiter!$E$29))-LEN(SUBSTITUTE(TRIM(Mitarbeiter!$E$29)," ",""))+1))+1)-1)*99+1,99))="-","",TRIM(MID(SUBSTITUTE(TRIM(Mitarbeiter!$E$29)," ",REPT(" ",99)),((MOD(Y$5-Mitarbeiter!$F$29,(LEN(TRIM(Mitarbeiter!$E$29))-LEN(SUBSTITUTE(TRIM(Mitarbeiter!$E$29)," ",""))+1))+1)-1)*99+1,99))))</f>
      </c>
      <c r="Z30" s="54">
        <f>IF(OR($A30="",Z$5="",TRIM(Mitarbeiter!$E$29)="",NOT(ISNUMBER(Mitarbeiter!$F$29))),"",IF(TRIM(MID(SUBSTITUTE(TRIM(Mitarbeiter!$E$29)," ",REPT(" ",99)),((MOD(Z$5-Mitarbeiter!$F$29,(LEN(TRIM(Mitarbeiter!$E$29))-LEN(SUBSTITUTE(TRIM(Mitarbeiter!$E$29)," ",""))+1))+1)-1)*99+1,99))="-","",TRIM(MID(SUBSTITUTE(TRIM(Mitarbeiter!$E$29)," ",REPT(" ",99)),((MOD(Z$5-Mitarbeiter!$F$29,(LEN(TRIM(Mitarbeiter!$E$29))-LEN(SUBSTITUTE(TRIM(Mitarbeiter!$E$29)," ",""))+1))+1)-1)*99+1,99))))</f>
      </c>
      <c r="AA30" s="54">
        <f>IF(OR($A30="",AA$5="",TRIM(Mitarbeiter!$E$29)="",NOT(ISNUMBER(Mitarbeiter!$F$29))),"",IF(TRIM(MID(SUBSTITUTE(TRIM(Mitarbeiter!$E$29)," ",REPT(" ",99)),((MOD(AA$5-Mitarbeiter!$F$29,(LEN(TRIM(Mitarbeiter!$E$29))-LEN(SUBSTITUTE(TRIM(Mitarbeiter!$E$29)," ",""))+1))+1)-1)*99+1,99))="-","",TRIM(MID(SUBSTITUTE(TRIM(Mitarbeiter!$E$29)," ",REPT(" ",99)),((MOD(AA$5-Mitarbeiter!$F$29,(LEN(TRIM(Mitarbeiter!$E$29))-LEN(SUBSTITUTE(TRIM(Mitarbeiter!$E$29)," ",""))+1))+1)-1)*99+1,99))))</f>
      </c>
      <c r="AB30" s="54">
        <f>IF(OR($A30="",AB$5="",TRIM(Mitarbeiter!$E$29)="",NOT(ISNUMBER(Mitarbeiter!$F$29))),"",IF(TRIM(MID(SUBSTITUTE(TRIM(Mitarbeiter!$E$29)," ",REPT(" ",99)),((MOD(AB$5-Mitarbeiter!$F$29,(LEN(TRIM(Mitarbeiter!$E$29))-LEN(SUBSTITUTE(TRIM(Mitarbeiter!$E$29)," ",""))+1))+1)-1)*99+1,99))="-","",TRIM(MID(SUBSTITUTE(TRIM(Mitarbeiter!$E$29)," ",REPT(" ",99)),((MOD(AB$5-Mitarbeiter!$F$29,(LEN(TRIM(Mitarbeiter!$E$29))-LEN(SUBSTITUTE(TRIM(Mitarbeiter!$E$29)," ",""))+1))+1)-1)*99+1,99))))</f>
      </c>
      <c r="AC30" s="54">
        <f>IF(OR($A30="",AC$5="",TRIM(Mitarbeiter!$E$29)="",NOT(ISNUMBER(Mitarbeiter!$F$29))),"",IF(TRIM(MID(SUBSTITUTE(TRIM(Mitarbeiter!$E$29)," ",REPT(" ",99)),((MOD(AC$5-Mitarbeiter!$F$29,(LEN(TRIM(Mitarbeiter!$E$29))-LEN(SUBSTITUTE(TRIM(Mitarbeiter!$E$29)," ",""))+1))+1)-1)*99+1,99))="-","",TRIM(MID(SUBSTITUTE(TRIM(Mitarbeiter!$E$29)," ",REPT(" ",99)),((MOD(AC$5-Mitarbeiter!$F$29,(LEN(TRIM(Mitarbeiter!$E$29))-LEN(SUBSTITUTE(TRIM(Mitarbeiter!$E$29)," ",""))+1))+1)-1)*99+1,99))))</f>
      </c>
      <c r="AD30" s="54">
        <f>IF(OR($A30="",AD$5="",TRIM(Mitarbeiter!$E$29)="",NOT(ISNUMBER(Mitarbeiter!$F$29))),"",IF(TRIM(MID(SUBSTITUTE(TRIM(Mitarbeiter!$E$29)," ",REPT(" ",99)),((MOD(AD$5-Mitarbeiter!$F$29,(LEN(TRIM(Mitarbeiter!$E$29))-LEN(SUBSTITUTE(TRIM(Mitarbeiter!$E$29)," ",""))+1))+1)-1)*99+1,99))="-","",TRIM(MID(SUBSTITUTE(TRIM(Mitarbeiter!$E$29)," ",REPT(" ",99)),((MOD(AD$5-Mitarbeiter!$F$29,(LEN(TRIM(Mitarbeiter!$E$29))-LEN(SUBSTITUTE(TRIM(Mitarbeiter!$E$29)," ",""))+1))+1)-1)*99+1,99))))</f>
      </c>
      <c r="AE30" s="54">
        <f>IF(OR($A30="",AE$5="",TRIM(Mitarbeiter!$E$29)="",NOT(ISNUMBER(Mitarbeiter!$F$29))),"",IF(TRIM(MID(SUBSTITUTE(TRIM(Mitarbeiter!$E$29)," ",REPT(" ",99)),((MOD(AE$5-Mitarbeiter!$F$29,(LEN(TRIM(Mitarbeiter!$E$29))-LEN(SUBSTITUTE(TRIM(Mitarbeiter!$E$29)," ",""))+1))+1)-1)*99+1,99))="-","",TRIM(MID(SUBSTITUTE(TRIM(Mitarbeiter!$E$29)," ",REPT(" ",99)),((MOD(AE$5-Mitarbeiter!$F$29,(LEN(TRIM(Mitarbeiter!$E$29))-LEN(SUBSTITUTE(TRIM(Mitarbeiter!$E$29)," ",""))+1))+1)-1)*99+1,99))))</f>
      </c>
      <c r="AF30" s="54">
        <f>IF(OR($A30="",AF$5="",TRIM(Mitarbeiter!$E$29)="",NOT(ISNUMBER(Mitarbeiter!$F$29))),"",IF(TRIM(MID(SUBSTITUTE(TRIM(Mitarbeiter!$E$29)," ",REPT(" ",99)),((MOD(AF$5-Mitarbeiter!$F$29,(LEN(TRIM(Mitarbeiter!$E$29))-LEN(SUBSTITUTE(TRIM(Mitarbeiter!$E$29)," ",""))+1))+1)-1)*99+1,99))="-","",TRIM(MID(SUBSTITUTE(TRIM(Mitarbeiter!$E$29)," ",REPT(" ",99)),((MOD(AF$5-Mitarbeiter!$F$29,(LEN(TRIM(Mitarbeiter!$E$29))-LEN(SUBSTITUTE(TRIM(Mitarbeiter!$E$29)," ",""))+1))+1)-1)*99+1,99))))</f>
      </c>
      <c r="AG30" s="55">
        <f>IF(OR($A30="",TRIM(Mitarbeiter!$E$29)=""),"",IF(NOT(ISNUMBER(Mitarbeiter!$F$29)),"Rhythmus ab: Datum fehlt",IF(COUNTIF(B30:AF30,"?*")-SUMPRODUCT(COUNTIF(B30:AF30,Codes)*(Codes&lt;&gt;"")*Erste)&gt;0,"Rhythmus enthält ein unbekanntes Kürzel","")))</f>
      </c>
    </row>
    <row r="31" spans="1:33" x14ac:dyDescent="0.25">
      <c r="A31" s="49">
        <f>Mitarbeiter!$A$30&amp;""</f>
      </c>
      <c r="B31" s="54">
        <f>IF(OR($A31="",B$5="",TRIM(Mitarbeiter!$E$30)="",NOT(ISNUMBER(Mitarbeiter!$F$30))),"",IF(TRIM(MID(SUBSTITUTE(TRIM(Mitarbeiter!$E$30)," ",REPT(" ",99)),((MOD(B$5-Mitarbeiter!$F$30,(LEN(TRIM(Mitarbeiter!$E$30))-LEN(SUBSTITUTE(TRIM(Mitarbeiter!$E$30)," ",""))+1))+1)-1)*99+1,99))="-","",TRIM(MID(SUBSTITUTE(TRIM(Mitarbeiter!$E$30)," ",REPT(" ",99)),((MOD(B$5-Mitarbeiter!$F$30,(LEN(TRIM(Mitarbeiter!$E$30))-LEN(SUBSTITUTE(TRIM(Mitarbeiter!$E$30)," ",""))+1))+1)-1)*99+1,99))))</f>
      </c>
      <c r="C31" s="54">
        <f>IF(OR($A31="",C$5="",TRIM(Mitarbeiter!$E$30)="",NOT(ISNUMBER(Mitarbeiter!$F$30))),"",IF(TRIM(MID(SUBSTITUTE(TRIM(Mitarbeiter!$E$30)," ",REPT(" ",99)),((MOD(C$5-Mitarbeiter!$F$30,(LEN(TRIM(Mitarbeiter!$E$30))-LEN(SUBSTITUTE(TRIM(Mitarbeiter!$E$30)," ",""))+1))+1)-1)*99+1,99))="-","",TRIM(MID(SUBSTITUTE(TRIM(Mitarbeiter!$E$30)," ",REPT(" ",99)),((MOD(C$5-Mitarbeiter!$F$30,(LEN(TRIM(Mitarbeiter!$E$30))-LEN(SUBSTITUTE(TRIM(Mitarbeiter!$E$30)," ",""))+1))+1)-1)*99+1,99))))</f>
      </c>
      <c r="D31" s="54">
        <f>IF(OR($A31="",D$5="",TRIM(Mitarbeiter!$E$30)="",NOT(ISNUMBER(Mitarbeiter!$F$30))),"",IF(TRIM(MID(SUBSTITUTE(TRIM(Mitarbeiter!$E$30)," ",REPT(" ",99)),((MOD(D$5-Mitarbeiter!$F$30,(LEN(TRIM(Mitarbeiter!$E$30))-LEN(SUBSTITUTE(TRIM(Mitarbeiter!$E$30)," ",""))+1))+1)-1)*99+1,99))="-","",TRIM(MID(SUBSTITUTE(TRIM(Mitarbeiter!$E$30)," ",REPT(" ",99)),((MOD(D$5-Mitarbeiter!$F$30,(LEN(TRIM(Mitarbeiter!$E$30))-LEN(SUBSTITUTE(TRIM(Mitarbeiter!$E$30)," ",""))+1))+1)-1)*99+1,99))))</f>
      </c>
      <c r="E31" s="54">
        <f>IF(OR($A31="",E$5="",TRIM(Mitarbeiter!$E$30)="",NOT(ISNUMBER(Mitarbeiter!$F$30))),"",IF(TRIM(MID(SUBSTITUTE(TRIM(Mitarbeiter!$E$30)," ",REPT(" ",99)),((MOD(E$5-Mitarbeiter!$F$30,(LEN(TRIM(Mitarbeiter!$E$30))-LEN(SUBSTITUTE(TRIM(Mitarbeiter!$E$30)," ",""))+1))+1)-1)*99+1,99))="-","",TRIM(MID(SUBSTITUTE(TRIM(Mitarbeiter!$E$30)," ",REPT(" ",99)),((MOD(E$5-Mitarbeiter!$F$30,(LEN(TRIM(Mitarbeiter!$E$30))-LEN(SUBSTITUTE(TRIM(Mitarbeiter!$E$30)," ",""))+1))+1)-1)*99+1,99))))</f>
      </c>
      <c r="F31" s="54">
        <f>IF(OR($A31="",F$5="",TRIM(Mitarbeiter!$E$30)="",NOT(ISNUMBER(Mitarbeiter!$F$30))),"",IF(TRIM(MID(SUBSTITUTE(TRIM(Mitarbeiter!$E$30)," ",REPT(" ",99)),((MOD(F$5-Mitarbeiter!$F$30,(LEN(TRIM(Mitarbeiter!$E$30))-LEN(SUBSTITUTE(TRIM(Mitarbeiter!$E$30)," ",""))+1))+1)-1)*99+1,99))="-","",TRIM(MID(SUBSTITUTE(TRIM(Mitarbeiter!$E$30)," ",REPT(" ",99)),((MOD(F$5-Mitarbeiter!$F$30,(LEN(TRIM(Mitarbeiter!$E$30))-LEN(SUBSTITUTE(TRIM(Mitarbeiter!$E$30)," ",""))+1))+1)-1)*99+1,99))))</f>
      </c>
      <c r="G31" s="54">
        <f>IF(OR($A31="",G$5="",TRIM(Mitarbeiter!$E$30)="",NOT(ISNUMBER(Mitarbeiter!$F$30))),"",IF(TRIM(MID(SUBSTITUTE(TRIM(Mitarbeiter!$E$30)," ",REPT(" ",99)),((MOD(G$5-Mitarbeiter!$F$30,(LEN(TRIM(Mitarbeiter!$E$30))-LEN(SUBSTITUTE(TRIM(Mitarbeiter!$E$30)," ",""))+1))+1)-1)*99+1,99))="-","",TRIM(MID(SUBSTITUTE(TRIM(Mitarbeiter!$E$30)," ",REPT(" ",99)),((MOD(G$5-Mitarbeiter!$F$30,(LEN(TRIM(Mitarbeiter!$E$30))-LEN(SUBSTITUTE(TRIM(Mitarbeiter!$E$30)," ",""))+1))+1)-1)*99+1,99))))</f>
      </c>
      <c r="H31" s="54">
        <f>IF(OR($A31="",H$5="",TRIM(Mitarbeiter!$E$30)="",NOT(ISNUMBER(Mitarbeiter!$F$30))),"",IF(TRIM(MID(SUBSTITUTE(TRIM(Mitarbeiter!$E$30)," ",REPT(" ",99)),((MOD(H$5-Mitarbeiter!$F$30,(LEN(TRIM(Mitarbeiter!$E$30))-LEN(SUBSTITUTE(TRIM(Mitarbeiter!$E$30)," ",""))+1))+1)-1)*99+1,99))="-","",TRIM(MID(SUBSTITUTE(TRIM(Mitarbeiter!$E$30)," ",REPT(" ",99)),((MOD(H$5-Mitarbeiter!$F$30,(LEN(TRIM(Mitarbeiter!$E$30))-LEN(SUBSTITUTE(TRIM(Mitarbeiter!$E$30)," ",""))+1))+1)-1)*99+1,99))))</f>
      </c>
      <c r="I31" s="54">
        <f>IF(OR($A31="",I$5="",TRIM(Mitarbeiter!$E$30)="",NOT(ISNUMBER(Mitarbeiter!$F$30))),"",IF(TRIM(MID(SUBSTITUTE(TRIM(Mitarbeiter!$E$30)," ",REPT(" ",99)),((MOD(I$5-Mitarbeiter!$F$30,(LEN(TRIM(Mitarbeiter!$E$30))-LEN(SUBSTITUTE(TRIM(Mitarbeiter!$E$30)," ",""))+1))+1)-1)*99+1,99))="-","",TRIM(MID(SUBSTITUTE(TRIM(Mitarbeiter!$E$30)," ",REPT(" ",99)),((MOD(I$5-Mitarbeiter!$F$30,(LEN(TRIM(Mitarbeiter!$E$30))-LEN(SUBSTITUTE(TRIM(Mitarbeiter!$E$30)," ",""))+1))+1)-1)*99+1,99))))</f>
      </c>
      <c r="J31" s="54">
        <f>IF(OR($A31="",J$5="",TRIM(Mitarbeiter!$E$30)="",NOT(ISNUMBER(Mitarbeiter!$F$30))),"",IF(TRIM(MID(SUBSTITUTE(TRIM(Mitarbeiter!$E$30)," ",REPT(" ",99)),((MOD(J$5-Mitarbeiter!$F$30,(LEN(TRIM(Mitarbeiter!$E$30))-LEN(SUBSTITUTE(TRIM(Mitarbeiter!$E$30)," ",""))+1))+1)-1)*99+1,99))="-","",TRIM(MID(SUBSTITUTE(TRIM(Mitarbeiter!$E$30)," ",REPT(" ",99)),((MOD(J$5-Mitarbeiter!$F$30,(LEN(TRIM(Mitarbeiter!$E$30))-LEN(SUBSTITUTE(TRIM(Mitarbeiter!$E$30)," ",""))+1))+1)-1)*99+1,99))))</f>
      </c>
      <c r="K31" s="54">
        <f>IF(OR($A31="",K$5="",TRIM(Mitarbeiter!$E$30)="",NOT(ISNUMBER(Mitarbeiter!$F$30))),"",IF(TRIM(MID(SUBSTITUTE(TRIM(Mitarbeiter!$E$30)," ",REPT(" ",99)),((MOD(K$5-Mitarbeiter!$F$30,(LEN(TRIM(Mitarbeiter!$E$30))-LEN(SUBSTITUTE(TRIM(Mitarbeiter!$E$30)," ",""))+1))+1)-1)*99+1,99))="-","",TRIM(MID(SUBSTITUTE(TRIM(Mitarbeiter!$E$30)," ",REPT(" ",99)),((MOD(K$5-Mitarbeiter!$F$30,(LEN(TRIM(Mitarbeiter!$E$30))-LEN(SUBSTITUTE(TRIM(Mitarbeiter!$E$30)," ",""))+1))+1)-1)*99+1,99))))</f>
      </c>
      <c r="L31" s="54">
        <f>IF(OR($A31="",L$5="",TRIM(Mitarbeiter!$E$30)="",NOT(ISNUMBER(Mitarbeiter!$F$30))),"",IF(TRIM(MID(SUBSTITUTE(TRIM(Mitarbeiter!$E$30)," ",REPT(" ",99)),((MOD(L$5-Mitarbeiter!$F$30,(LEN(TRIM(Mitarbeiter!$E$30))-LEN(SUBSTITUTE(TRIM(Mitarbeiter!$E$30)," ",""))+1))+1)-1)*99+1,99))="-","",TRIM(MID(SUBSTITUTE(TRIM(Mitarbeiter!$E$30)," ",REPT(" ",99)),((MOD(L$5-Mitarbeiter!$F$30,(LEN(TRIM(Mitarbeiter!$E$30))-LEN(SUBSTITUTE(TRIM(Mitarbeiter!$E$30)," ",""))+1))+1)-1)*99+1,99))))</f>
      </c>
      <c r="M31" s="54">
        <f>IF(OR($A31="",M$5="",TRIM(Mitarbeiter!$E$30)="",NOT(ISNUMBER(Mitarbeiter!$F$30))),"",IF(TRIM(MID(SUBSTITUTE(TRIM(Mitarbeiter!$E$30)," ",REPT(" ",99)),((MOD(M$5-Mitarbeiter!$F$30,(LEN(TRIM(Mitarbeiter!$E$30))-LEN(SUBSTITUTE(TRIM(Mitarbeiter!$E$30)," ",""))+1))+1)-1)*99+1,99))="-","",TRIM(MID(SUBSTITUTE(TRIM(Mitarbeiter!$E$30)," ",REPT(" ",99)),((MOD(M$5-Mitarbeiter!$F$30,(LEN(TRIM(Mitarbeiter!$E$30))-LEN(SUBSTITUTE(TRIM(Mitarbeiter!$E$30)," ",""))+1))+1)-1)*99+1,99))))</f>
      </c>
      <c r="N31" s="54">
        <f>IF(OR($A31="",N$5="",TRIM(Mitarbeiter!$E$30)="",NOT(ISNUMBER(Mitarbeiter!$F$30))),"",IF(TRIM(MID(SUBSTITUTE(TRIM(Mitarbeiter!$E$30)," ",REPT(" ",99)),((MOD(N$5-Mitarbeiter!$F$30,(LEN(TRIM(Mitarbeiter!$E$30))-LEN(SUBSTITUTE(TRIM(Mitarbeiter!$E$30)," ",""))+1))+1)-1)*99+1,99))="-","",TRIM(MID(SUBSTITUTE(TRIM(Mitarbeiter!$E$30)," ",REPT(" ",99)),((MOD(N$5-Mitarbeiter!$F$30,(LEN(TRIM(Mitarbeiter!$E$30))-LEN(SUBSTITUTE(TRIM(Mitarbeiter!$E$30)," ",""))+1))+1)-1)*99+1,99))))</f>
      </c>
      <c r="O31" s="54">
        <f>IF(OR($A31="",O$5="",TRIM(Mitarbeiter!$E$30)="",NOT(ISNUMBER(Mitarbeiter!$F$30))),"",IF(TRIM(MID(SUBSTITUTE(TRIM(Mitarbeiter!$E$30)," ",REPT(" ",99)),((MOD(O$5-Mitarbeiter!$F$30,(LEN(TRIM(Mitarbeiter!$E$30))-LEN(SUBSTITUTE(TRIM(Mitarbeiter!$E$30)," ",""))+1))+1)-1)*99+1,99))="-","",TRIM(MID(SUBSTITUTE(TRIM(Mitarbeiter!$E$30)," ",REPT(" ",99)),((MOD(O$5-Mitarbeiter!$F$30,(LEN(TRIM(Mitarbeiter!$E$30))-LEN(SUBSTITUTE(TRIM(Mitarbeiter!$E$30)," ",""))+1))+1)-1)*99+1,99))))</f>
      </c>
      <c r="P31" s="54">
        <f>IF(OR($A31="",P$5="",TRIM(Mitarbeiter!$E$30)="",NOT(ISNUMBER(Mitarbeiter!$F$30))),"",IF(TRIM(MID(SUBSTITUTE(TRIM(Mitarbeiter!$E$30)," ",REPT(" ",99)),((MOD(P$5-Mitarbeiter!$F$30,(LEN(TRIM(Mitarbeiter!$E$30))-LEN(SUBSTITUTE(TRIM(Mitarbeiter!$E$30)," ",""))+1))+1)-1)*99+1,99))="-","",TRIM(MID(SUBSTITUTE(TRIM(Mitarbeiter!$E$30)," ",REPT(" ",99)),((MOD(P$5-Mitarbeiter!$F$30,(LEN(TRIM(Mitarbeiter!$E$30))-LEN(SUBSTITUTE(TRIM(Mitarbeiter!$E$30)," ",""))+1))+1)-1)*99+1,99))))</f>
      </c>
      <c r="Q31" s="54">
        <f>IF(OR($A31="",Q$5="",TRIM(Mitarbeiter!$E$30)="",NOT(ISNUMBER(Mitarbeiter!$F$30))),"",IF(TRIM(MID(SUBSTITUTE(TRIM(Mitarbeiter!$E$30)," ",REPT(" ",99)),((MOD(Q$5-Mitarbeiter!$F$30,(LEN(TRIM(Mitarbeiter!$E$30))-LEN(SUBSTITUTE(TRIM(Mitarbeiter!$E$30)," ",""))+1))+1)-1)*99+1,99))="-","",TRIM(MID(SUBSTITUTE(TRIM(Mitarbeiter!$E$30)," ",REPT(" ",99)),((MOD(Q$5-Mitarbeiter!$F$30,(LEN(TRIM(Mitarbeiter!$E$30))-LEN(SUBSTITUTE(TRIM(Mitarbeiter!$E$30)," ",""))+1))+1)-1)*99+1,99))))</f>
      </c>
      <c r="R31" s="54">
        <f>IF(OR($A31="",R$5="",TRIM(Mitarbeiter!$E$30)="",NOT(ISNUMBER(Mitarbeiter!$F$30))),"",IF(TRIM(MID(SUBSTITUTE(TRIM(Mitarbeiter!$E$30)," ",REPT(" ",99)),((MOD(R$5-Mitarbeiter!$F$30,(LEN(TRIM(Mitarbeiter!$E$30))-LEN(SUBSTITUTE(TRIM(Mitarbeiter!$E$30)," ",""))+1))+1)-1)*99+1,99))="-","",TRIM(MID(SUBSTITUTE(TRIM(Mitarbeiter!$E$30)," ",REPT(" ",99)),((MOD(R$5-Mitarbeiter!$F$30,(LEN(TRIM(Mitarbeiter!$E$30))-LEN(SUBSTITUTE(TRIM(Mitarbeiter!$E$30)," ",""))+1))+1)-1)*99+1,99))))</f>
      </c>
      <c r="S31" s="54">
        <f>IF(OR($A31="",S$5="",TRIM(Mitarbeiter!$E$30)="",NOT(ISNUMBER(Mitarbeiter!$F$30))),"",IF(TRIM(MID(SUBSTITUTE(TRIM(Mitarbeiter!$E$30)," ",REPT(" ",99)),((MOD(S$5-Mitarbeiter!$F$30,(LEN(TRIM(Mitarbeiter!$E$30))-LEN(SUBSTITUTE(TRIM(Mitarbeiter!$E$30)," ",""))+1))+1)-1)*99+1,99))="-","",TRIM(MID(SUBSTITUTE(TRIM(Mitarbeiter!$E$30)," ",REPT(" ",99)),((MOD(S$5-Mitarbeiter!$F$30,(LEN(TRIM(Mitarbeiter!$E$30))-LEN(SUBSTITUTE(TRIM(Mitarbeiter!$E$30)," ",""))+1))+1)-1)*99+1,99))))</f>
      </c>
      <c r="T31" s="54">
        <f>IF(OR($A31="",T$5="",TRIM(Mitarbeiter!$E$30)="",NOT(ISNUMBER(Mitarbeiter!$F$30))),"",IF(TRIM(MID(SUBSTITUTE(TRIM(Mitarbeiter!$E$30)," ",REPT(" ",99)),((MOD(T$5-Mitarbeiter!$F$30,(LEN(TRIM(Mitarbeiter!$E$30))-LEN(SUBSTITUTE(TRIM(Mitarbeiter!$E$30)," ",""))+1))+1)-1)*99+1,99))="-","",TRIM(MID(SUBSTITUTE(TRIM(Mitarbeiter!$E$30)," ",REPT(" ",99)),((MOD(T$5-Mitarbeiter!$F$30,(LEN(TRIM(Mitarbeiter!$E$30))-LEN(SUBSTITUTE(TRIM(Mitarbeiter!$E$30)," ",""))+1))+1)-1)*99+1,99))))</f>
      </c>
      <c r="U31" s="54">
        <f>IF(OR($A31="",U$5="",TRIM(Mitarbeiter!$E$30)="",NOT(ISNUMBER(Mitarbeiter!$F$30))),"",IF(TRIM(MID(SUBSTITUTE(TRIM(Mitarbeiter!$E$30)," ",REPT(" ",99)),((MOD(U$5-Mitarbeiter!$F$30,(LEN(TRIM(Mitarbeiter!$E$30))-LEN(SUBSTITUTE(TRIM(Mitarbeiter!$E$30)," ",""))+1))+1)-1)*99+1,99))="-","",TRIM(MID(SUBSTITUTE(TRIM(Mitarbeiter!$E$30)," ",REPT(" ",99)),((MOD(U$5-Mitarbeiter!$F$30,(LEN(TRIM(Mitarbeiter!$E$30))-LEN(SUBSTITUTE(TRIM(Mitarbeiter!$E$30)," ",""))+1))+1)-1)*99+1,99))))</f>
      </c>
      <c r="V31" s="54">
        <f>IF(OR($A31="",V$5="",TRIM(Mitarbeiter!$E$30)="",NOT(ISNUMBER(Mitarbeiter!$F$30))),"",IF(TRIM(MID(SUBSTITUTE(TRIM(Mitarbeiter!$E$30)," ",REPT(" ",99)),((MOD(V$5-Mitarbeiter!$F$30,(LEN(TRIM(Mitarbeiter!$E$30))-LEN(SUBSTITUTE(TRIM(Mitarbeiter!$E$30)," ",""))+1))+1)-1)*99+1,99))="-","",TRIM(MID(SUBSTITUTE(TRIM(Mitarbeiter!$E$30)," ",REPT(" ",99)),((MOD(V$5-Mitarbeiter!$F$30,(LEN(TRIM(Mitarbeiter!$E$30))-LEN(SUBSTITUTE(TRIM(Mitarbeiter!$E$30)," ",""))+1))+1)-1)*99+1,99))))</f>
      </c>
      <c r="W31" s="54">
        <f>IF(OR($A31="",W$5="",TRIM(Mitarbeiter!$E$30)="",NOT(ISNUMBER(Mitarbeiter!$F$30))),"",IF(TRIM(MID(SUBSTITUTE(TRIM(Mitarbeiter!$E$30)," ",REPT(" ",99)),((MOD(W$5-Mitarbeiter!$F$30,(LEN(TRIM(Mitarbeiter!$E$30))-LEN(SUBSTITUTE(TRIM(Mitarbeiter!$E$30)," ",""))+1))+1)-1)*99+1,99))="-","",TRIM(MID(SUBSTITUTE(TRIM(Mitarbeiter!$E$30)," ",REPT(" ",99)),((MOD(W$5-Mitarbeiter!$F$30,(LEN(TRIM(Mitarbeiter!$E$30))-LEN(SUBSTITUTE(TRIM(Mitarbeiter!$E$30)," ",""))+1))+1)-1)*99+1,99))))</f>
      </c>
      <c r="X31" s="54">
        <f>IF(OR($A31="",X$5="",TRIM(Mitarbeiter!$E$30)="",NOT(ISNUMBER(Mitarbeiter!$F$30))),"",IF(TRIM(MID(SUBSTITUTE(TRIM(Mitarbeiter!$E$30)," ",REPT(" ",99)),((MOD(X$5-Mitarbeiter!$F$30,(LEN(TRIM(Mitarbeiter!$E$30))-LEN(SUBSTITUTE(TRIM(Mitarbeiter!$E$30)," ",""))+1))+1)-1)*99+1,99))="-","",TRIM(MID(SUBSTITUTE(TRIM(Mitarbeiter!$E$30)," ",REPT(" ",99)),((MOD(X$5-Mitarbeiter!$F$30,(LEN(TRIM(Mitarbeiter!$E$30))-LEN(SUBSTITUTE(TRIM(Mitarbeiter!$E$30)," ",""))+1))+1)-1)*99+1,99))))</f>
      </c>
      <c r="Y31" s="54">
        <f>IF(OR($A31="",Y$5="",TRIM(Mitarbeiter!$E$30)="",NOT(ISNUMBER(Mitarbeiter!$F$30))),"",IF(TRIM(MID(SUBSTITUTE(TRIM(Mitarbeiter!$E$30)," ",REPT(" ",99)),((MOD(Y$5-Mitarbeiter!$F$30,(LEN(TRIM(Mitarbeiter!$E$30))-LEN(SUBSTITUTE(TRIM(Mitarbeiter!$E$30)," ",""))+1))+1)-1)*99+1,99))="-","",TRIM(MID(SUBSTITUTE(TRIM(Mitarbeiter!$E$30)," ",REPT(" ",99)),((MOD(Y$5-Mitarbeiter!$F$30,(LEN(TRIM(Mitarbeiter!$E$30))-LEN(SUBSTITUTE(TRIM(Mitarbeiter!$E$30)," ",""))+1))+1)-1)*99+1,99))))</f>
      </c>
      <c r="Z31" s="54">
        <f>IF(OR($A31="",Z$5="",TRIM(Mitarbeiter!$E$30)="",NOT(ISNUMBER(Mitarbeiter!$F$30))),"",IF(TRIM(MID(SUBSTITUTE(TRIM(Mitarbeiter!$E$30)," ",REPT(" ",99)),((MOD(Z$5-Mitarbeiter!$F$30,(LEN(TRIM(Mitarbeiter!$E$30))-LEN(SUBSTITUTE(TRIM(Mitarbeiter!$E$30)," ",""))+1))+1)-1)*99+1,99))="-","",TRIM(MID(SUBSTITUTE(TRIM(Mitarbeiter!$E$30)," ",REPT(" ",99)),((MOD(Z$5-Mitarbeiter!$F$30,(LEN(TRIM(Mitarbeiter!$E$30))-LEN(SUBSTITUTE(TRIM(Mitarbeiter!$E$30)," ",""))+1))+1)-1)*99+1,99))))</f>
      </c>
      <c r="AA31" s="54">
        <f>IF(OR($A31="",AA$5="",TRIM(Mitarbeiter!$E$30)="",NOT(ISNUMBER(Mitarbeiter!$F$30))),"",IF(TRIM(MID(SUBSTITUTE(TRIM(Mitarbeiter!$E$30)," ",REPT(" ",99)),((MOD(AA$5-Mitarbeiter!$F$30,(LEN(TRIM(Mitarbeiter!$E$30))-LEN(SUBSTITUTE(TRIM(Mitarbeiter!$E$30)," ",""))+1))+1)-1)*99+1,99))="-","",TRIM(MID(SUBSTITUTE(TRIM(Mitarbeiter!$E$30)," ",REPT(" ",99)),((MOD(AA$5-Mitarbeiter!$F$30,(LEN(TRIM(Mitarbeiter!$E$30))-LEN(SUBSTITUTE(TRIM(Mitarbeiter!$E$30)," ",""))+1))+1)-1)*99+1,99))))</f>
      </c>
      <c r="AB31" s="54">
        <f>IF(OR($A31="",AB$5="",TRIM(Mitarbeiter!$E$30)="",NOT(ISNUMBER(Mitarbeiter!$F$30))),"",IF(TRIM(MID(SUBSTITUTE(TRIM(Mitarbeiter!$E$30)," ",REPT(" ",99)),((MOD(AB$5-Mitarbeiter!$F$30,(LEN(TRIM(Mitarbeiter!$E$30))-LEN(SUBSTITUTE(TRIM(Mitarbeiter!$E$30)," ",""))+1))+1)-1)*99+1,99))="-","",TRIM(MID(SUBSTITUTE(TRIM(Mitarbeiter!$E$30)," ",REPT(" ",99)),((MOD(AB$5-Mitarbeiter!$F$30,(LEN(TRIM(Mitarbeiter!$E$30))-LEN(SUBSTITUTE(TRIM(Mitarbeiter!$E$30)," ",""))+1))+1)-1)*99+1,99))))</f>
      </c>
      <c r="AC31" s="54">
        <f>IF(OR($A31="",AC$5="",TRIM(Mitarbeiter!$E$30)="",NOT(ISNUMBER(Mitarbeiter!$F$30))),"",IF(TRIM(MID(SUBSTITUTE(TRIM(Mitarbeiter!$E$30)," ",REPT(" ",99)),((MOD(AC$5-Mitarbeiter!$F$30,(LEN(TRIM(Mitarbeiter!$E$30))-LEN(SUBSTITUTE(TRIM(Mitarbeiter!$E$30)," ",""))+1))+1)-1)*99+1,99))="-","",TRIM(MID(SUBSTITUTE(TRIM(Mitarbeiter!$E$30)," ",REPT(" ",99)),((MOD(AC$5-Mitarbeiter!$F$30,(LEN(TRIM(Mitarbeiter!$E$30))-LEN(SUBSTITUTE(TRIM(Mitarbeiter!$E$30)," ",""))+1))+1)-1)*99+1,99))))</f>
      </c>
      <c r="AD31" s="54">
        <f>IF(OR($A31="",AD$5="",TRIM(Mitarbeiter!$E$30)="",NOT(ISNUMBER(Mitarbeiter!$F$30))),"",IF(TRIM(MID(SUBSTITUTE(TRIM(Mitarbeiter!$E$30)," ",REPT(" ",99)),((MOD(AD$5-Mitarbeiter!$F$30,(LEN(TRIM(Mitarbeiter!$E$30))-LEN(SUBSTITUTE(TRIM(Mitarbeiter!$E$30)," ",""))+1))+1)-1)*99+1,99))="-","",TRIM(MID(SUBSTITUTE(TRIM(Mitarbeiter!$E$30)," ",REPT(" ",99)),((MOD(AD$5-Mitarbeiter!$F$30,(LEN(TRIM(Mitarbeiter!$E$30))-LEN(SUBSTITUTE(TRIM(Mitarbeiter!$E$30)," ",""))+1))+1)-1)*99+1,99))))</f>
      </c>
      <c r="AE31" s="54">
        <f>IF(OR($A31="",AE$5="",TRIM(Mitarbeiter!$E$30)="",NOT(ISNUMBER(Mitarbeiter!$F$30))),"",IF(TRIM(MID(SUBSTITUTE(TRIM(Mitarbeiter!$E$30)," ",REPT(" ",99)),((MOD(AE$5-Mitarbeiter!$F$30,(LEN(TRIM(Mitarbeiter!$E$30))-LEN(SUBSTITUTE(TRIM(Mitarbeiter!$E$30)," ",""))+1))+1)-1)*99+1,99))="-","",TRIM(MID(SUBSTITUTE(TRIM(Mitarbeiter!$E$30)," ",REPT(" ",99)),((MOD(AE$5-Mitarbeiter!$F$30,(LEN(TRIM(Mitarbeiter!$E$30))-LEN(SUBSTITUTE(TRIM(Mitarbeiter!$E$30)," ",""))+1))+1)-1)*99+1,99))))</f>
      </c>
      <c r="AF31" s="54">
        <f>IF(OR($A31="",AF$5="",TRIM(Mitarbeiter!$E$30)="",NOT(ISNUMBER(Mitarbeiter!$F$30))),"",IF(TRIM(MID(SUBSTITUTE(TRIM(Mitarbeiter!$E$30)," ",REPT(" ",99)),((MOD(AF$5-Mitarbeiter!$F$30,(LEN(TRIM(Mitarbeiter!$E$30))-LEN(SUBSTITUTE(TRIM(Mitarbeiter!$E$30)," ",""))+1))+1)-1)*99+1,99))="-","",TRIM(MID(SUBSTITUTE(TRIM(Mitarbeiter!$E$30)," ",REPT(" ",99)),((MOD(AF$5-Mitarbeiter!$F$30,(LEN(TRIM(Mitarbeiter!$E$30))-LEN(SUBSTITUTE(TRIM(Mitarbeiter!$E$30)," ",""))+1))+1)-1)*99+1,99))))</f>
      </c>
      <c r="AG31" s="55">
        <f>IF(OR($A31="",TRIM(Mitarbeiter!$E$30)=""),"",IF(NOT(ISNUMBER(Mitarbeiter!$F$30)),"Rhythmus ab: Datum fehlt",IF(COUNTIF(B31:AF31,"?*")-SUMPRODUCT(COUNTIF(B31:AF31,Codes)*(Codes&lt;&gt;"")*Erste)&gt;0,"Rhythmus enthält ein unbekanntes Kürzel","")))</f>
      </c>
    </row>
    <row r="32" spans="1:33" x14ac:dyDescent="0.25">
      <c r="A32" s="49">
        <f>Mitarbeiter!$A$31&amp;""</f>
      </c>
      <c r="B32" s="54">
        <f>IF(OR($A32="",B$5="",TRIM(Mitarbeiter!$E$31)="",NOT(ISNUMBER(Mitarbeiter!$F$31))),"",IF(TRIM(MID(SUBSTITUTE(TRIM(Mitarbeiter!$E$31)," ",REPT(" ",99)),((MOD(B$5-Mitarbeiter!$F$31,(LEN(TRIM(Mitarbeiter!$E$31))-LEN(SUBSTITUTE(TRIM(Mitarbeiter!$E$31)," ",""))+1))+1)-1)*99+1,99))="-","",TRIM(MID(SUBSTITUTE(TRIM(Mitarbeiter!$E$31)," ",REPT(" ",99)),((MOD(B$5-Mitarbeiter!$F$31,(LEN(TRIM(Mitarbeiter!$E$31))-LEN(SUBSTITUTE(TRIM(Mitarbeiter!$E$31)," ",""))+1))+1)-1)*99+1,99))))</f>
      </c>
      <c r="C32" s="54">
        <f>IF(OR($A32="",C$5="",TRIM(Mitarbeiter!$E$31)="",NOT(ISNUMBER(Mitarbeiter!$F$31))),"",IF(TRIM(MID(SUBSTITUTE(TRIM(Mitarbeiter!$E$31)," ",REPT(" ",99)),((MOD(C$5-Mitarbeiter!$F$31,(LEN(TRIM(Mitarbeiter!$E$31))-LEN(SUBSTITUTE(TRIM(Mitarbeiter!$E$31)," ",""))+1))+1)-1)*99+1,99))="-","",TRIM(MID(SUBSTITUTE(TRIM(Mitarbeiter!$E$31)," ",REPT(" ",99)),((MOD(C$5-Mitarbeiter!$F$31,(LEN(TRIM(Mitarbeiter!$E$31))-LEN(SUBSTITUTE(TRIM(Mitarbeiter!$E$31)," ",""))+1))+1)-1)*99+1,99))))</f>
      </c>
      <c r="D32" s="54">
        <f>IF(OR($A32="",D$5="",TRIM(Mitarbeiter!$E$31)="",NOT(ISNUMBER(Mitarbeiter!$F$31))),"",IF(TRIM(MID(SUBSTITUTE(TRIM(Mitarbeiter!$E$31)," ",REPT(" ",99)),((MOD(D$5-Mitarbeiter!$F$31,(LEN(TRIM(Mitarbeiter!$E$31))-LEN(SUBSTITUTE(TRIM(Mitarbeiter!$E$31)," ",""))+1))+1)-1)*99+1,99))="-","",TRIM(MID(SUBSTITUTE(TRIM(Mitarbeiter!$E$31)," ",REPT(" ",99)),((MOD(D$5-Mitarbeiter!$F$31,(LEN(TRIM(Mitarbeiter!$E$31))-LEN(SUBSTITUTE(TRIM(Mitarbeiter!$E$31)," ",""))+1))+1)-1)*99+1,99))))</f>
      </c>
      <c r="E32" s="54">
        <f>IF(OR($A32="",E$5="",TRIM(Mitarbeiter!$E$31)="",NOT(ISNUMBER(Mitarbeiter!$F$31))),"",IF(TRIM(MID(SUBSTITUTE(TRIM(Mitarbeiter!$E$31)," ",REPT(" ",99)),((MOD(E$5-Mitarbeiter!$F$31,(LEN(TRIM(Mitarbeiter!$E$31))-LEN(SUBSTITUTE(TRIM(Mitarbeiter!$E$31)," ",""))+1))+1)-1)*99+1,99))="-","",TRIM(MID(SUBSTITUTE(TRIM(Mitarbeiter!$E$31)," ",REPT(" ",99)),((MOD(E$5-Mitarbeiter!$F$31,(LEN(TRIM(Mitarbeiter!$E$31))-LEN(SUBSTITUTE(TRIM(Mitarbeiter!$E$31)," ",""))+1))+1)-1)*99+1,99))))</f>
      </c>
      <c r="F32" s="54">
        <f>IF(OR($A32="",F$5="",TRIM(Mitarbeiter!$E$31)="",NOT(ISNUMBER(Mitarbeiter!$F$31))),"",IF(TRIM(MID(SUBSTITUTE(TRIM(Mitarbeiter!$E$31)," ",REPT(" ",99)),((MOD(F$5-Mitarbeiter!$F$31,(LEN(TRIM(Mitarbeiter!$E$31))-LEN(SUBSTITUTE(TRIM(Mitarbeiter!$E$31)," ",""))+1))+1)-1)*99+1,99))="-","",TRIM(MID(SUBSTITUTE(TRIM(Mitarbeiter!$E$31)," ",REPT(" ",99)),((MOD(F$5-Mitarbeiter!$F$31,(LEN(TRIM(Mitarbeiter!$E$31))-LEN(SUBSTITUTE(TRIM(Mitarbeiter!$E$31)," ",""))+1))+1)-1)*99+1,99))))</f>
      </c>
      <c r="G32" s="54">
        <f>IF(OR($A32="",G$5="",TRIM(Mitarbeiter!$E$31)="",NOT(ISNUMBER(Mitarbeiter!$F$31))),"",IF(TRIM(MID(SUBSTITUTE(TRIM(Mitarbeiter!$E$31)," ",REPT(" ",99)),((MOD(G$5-Mitarbeiter!$F$31,(LEN(TRIM(Mitarbeiter!$E$31))-LEN(SUBSTITUTE(TRIM(Mitarbeiter!$E$31)," ",""))+1))+1)-1)*99+1,99))="-","",TRIM(MID(SUBSTITUTE(TRIM(Mitarbeiter!$E$31)," ",REPT(" ",99)),((MOD(G$5-Mitarbeiter!$F$31,(LEN(TRIM(Mitarbeiter!$E$31))-LEN(SUBSTITUTE(TRIM(Mitarbeiter!$E$31)," ",""))+1))+1)-1)*99+1,99))))</f>
      </c>
      <c r="H32" s="54">
        <f>IF(OR($A32="",H$5="",TRIM(Mitarbeiter!$E$31)="",NOT(ISNUMBER(Mitarbeiter!$F$31))),"",IF(TRIM(MID(SUBSTITUTE(TRIM(Mitarbeiter!$E$31)," ",REPT(" ",99)),((MOD(H$5-Mitarbeiter!$F$31,(LEN(TRIM(Mitarbeiter!$E$31))-LEN(SUBSTITUTE(TRIM(Mitarbeiter!$E$31)," ",""))+1))+1)-1)*99+1,99))="-","",TRIM(MID(SUBSTITUTE(TRIM(Mitarbeiter!$E$31)," ",REPT(" ",99)),((MOD(H$5-Mitarbeiter!$F$31,(LEN(TRIM(Mitarbeiter!$E$31))-LEN(SUBSTITUTE(TRIM(Mitarbeiter!$E$31)," ",""))+1))+1)-1)*99+1,99))))</f>
      </c>
      <c r="I32" s="54">
        <f>IF(OR($A32="",I$5="",TRIM(Mitarbeiter!$E$31)="",NOT(ISNUMBER(Mitarbeiter!$F$31))),"",IF(TRIM(MID(SUBSTITUTE(TRIM(Mitarbeiter!$E$31)," ",REPT(" ",99)),((MOD(I$5-Mitarbeiter!$F$31,(LEN(TRIM(Mitarbeiter!$E$31))-LEN(SUBSTITUTE(TRIM(Mitarbeiter!$E$31)," ",""))+1))+1)-1)*99+1,99))="-","",TRIM(MID(SUBSTITUTE(TRIM(Mitarbeiter!$E$31)," ",REPT(" ",99)),((MOD(I$5-Mitarbeiter!$F$31,(LEN(TRIM(Mitarbeiter!$E$31))-LEN(SUBSTITUTE(TRIM(Mitarbeiter!$E$31)," ",""))+1))+1)-1)*99+1,99))))</f>
      </c>
      <c r="J32" s="54">
        <f>IF(OR($A32="",J$5="",TRIM(Mitarbeiter!$E$31)="",NOT(ISNUMBER(Mitarbeiter!$F$31))),"",IF(TRIM(MID(SUBSTITUTE(TRIM(Mitarbeiter!$E$31)," ",REPT(" ",99)),((MOD(J$5-Mitarbeiter!$F$31,(LEN(TRIM(Mitarbeiter!$E$31))-LEN(SUBSTITUTE(TRIM(Mitarbeiter!$E$31)," ",""))+1))+1)-1)*99+1,99))="-","",TRIM(MID(SUBSTITUTE(TRIM(Mitarbeiter!$E$31)," ",REPT(" ",99)),((MOD(J$5-Mitarbeiter!$F$31,(LEN(TRIM(Mitarbeiter!$E$31))-LEN(SUBSTITUTE(TRIM(Mitarbeiter!$E$31)," ",""))+1))+1)-1)*99+1,99))))</f>
      </c>
      <c r="K32" s="54">
        <f>IF(OR($A32="",K$5="",TRIM(Mitarbeiter!$E$31)="",NOT(ISNUMBER(Mitarbeiter!$F$31))),"",IF(TRIM(MID(SUBSTITUTE(TRIM(Mitarbeiter!$E$31)," ",REPT(" ",99)),((MOD(K$5-Mitarbeiter!$F$31,(LEN(TRIM(Mitarbeiter!$E$31))-LEN(SUBSTITUTE(TRIM(Mitarbeiter!$E$31)," ",""))+1))+1)-1)*99+1,99))="-","",TRIM(MID(SUBSTITUTE(TRIM(Mitarbeiter!$E$31)," ",REPT(" ",99)),((MOD(K$5-Mitarbeiter!$F$31,(LEN(TRIM(Mitarbeiter!$E$31))-LEN(SUBSTITUTE(TRIM(Mitarbeiter!$E$31)," ",""))+1))+1)-1)*99+1,99))))</f>
      </c>
      <c r="L32" s="54">
        <f>IF(OR($A32="",L$5="",TRIM(Mitarbeiter!$E$31)="",NOT(ISNUMBER(Mitarbeiter!$F$31))),"",IF(TRIM(MID(SUBSTITUTE(TRIM(Mitarbeiter!$E$31)," ",REPT(" ",99)),((MOD(L$5-Mitarbeiter!$F$31,(LEN(TRIM(Mitarbeiter!$E$31))-LEN(SUBSTITUTE(TRIM(Mitarbeiter!$E$31)," ",""))+1))+1)-1)*99+1,99))="-","",TRIM(MID(SUBSTITUTE(TRIM(Mitarbeiter!$E$31)," ",REPT(" ",99)),((MOD(L$5-Mitarbeiter!$F$31,(LEN(TRIM(Mitarbeiter!$E$31))-LEN(SUBSTITUTE(TRIM(Mitarbeiter!$E$31)," ",""))+1))+1)-1)*99+1,99))))</f>
      </c>
      <c r="M32" s="54">
        <f>IF(OR($A32="",M$5="",TRIM(Mitarbeiter!$E$31)="",NOT(ISNUMBER(Mitarbeiter!$F$31))),"",IF(TRIM(MID(SUBSTITUTE(TRIM(Mitarbeiter!$E$31)," ",REPT(" ",99)),((MOD(M$5-Mitarbeiter!$F$31,(LEN(TRIM(Mitarbeiter!$E$31))-LEN(SUBSTITUTE(TRIM(Mitarbeiter!$E$31)," ",""))+1))+1)-1)*99+1,99))="-","",TRIM(MID(SUBSTITUTE(TRIM(Mitarbeiter!$E$31)," ",REPT(" ",99)),((MOD(M$5-Mitarbeiter!$F$31,(LEN(TRIM(Mitarbeiter!$E$31))-LEN(SUBSTITUTE(TRIM(Mitarbeiter!$E$31)," ",""))+1))+1)-1)*99+1,99))))</f>
      </c>
      <c r="N32" s="54">
        <f>IF(OR($A32="",N$5="",TRIM(Mitarbeiter!$E$31)="",NOT(ISNUMBER(Mitarbeiter!$F$31))),"",IF(TRIM(MID(SUBSTITUTE(TRIM(Mitarbeiter!$E$31)," ",REPT(" ",99)),((MOD(N$5-Mitarbeiter!$F$31,(LEN(TRIM(Mitarbeiter!$E$31))-LEN(SUBSTITUTE(TRIM(Mitarbeiter!$E$31)," ",""))+1))+1)-1)*99+1,99))="-","",TRIM(MID(SUBSTITUTE(TRIM(Mitarbeiter!$E$31)," ",REPT(" ",99)),((MOD(N$5-Mitarbeiter!$F$31,(LEN(TRIM(Mitarbeiter!$E$31))-LEN(SUBSTITUTE(TRIM(Mitarbeiter!$E$31)," ",""))+1))+1)-1)*99+1,99))))</f>
      </c>
      <c r="O32" s="54">
        <f>IF(OR($A32="",O$5="",TRIM(Mitarbeiter!$E$31)="",NOT(ISNUMBER(Mitarbeiter!$F$31))),"",IF(TRIM(MID(SUBSTITUTE(TRIM(Mitarbeiter!$E$31)," ",REPT(" ",99)),((MOD(O$5-Mitarbeiter!$F$31,(LEN(TRIM(Mitarbeiter!$E$31))-LEN(SUBSTITUTE(TRIM(Mitarbeiter!$E$31)," ",""))+1))+1)-1)*99+1,99))="-","",TRIM(MID(SUBSTITUTE(TRIM(Mitarbeiter!$E$31)," ",REPT(" ",99)),((MOD(O$5-Mitarbeiter!$F$31,(LEN(TRIM(Mitarbeiter!$E$31))-LEN(SUBSTITUTE(TRIM(Mitarbeiter!$E$31)," ",""))+1))+1)-1)*99+1,99))))</f>
      </c>
      <c r="P32" s="54">
        <f>IF(OR($A32="",P$5="",TRIM(Mitarbeiter!$E$31)="",NOT(ISNUMBER(Mitarbeiter!$F$31))),"",IF(TRIM(MID(SUBSTITUTE(TRIM(Mitarbeiter!$E$31)," ",REPT(" ",99)),((MOD(P$5-Mitarbeiter!$F$31,(LEN(TRIM(Mitarbeiter!$E$31))-LEN(SUBSTITUTE(TRIM(Mitarbeiter!$E$31)," ",""))+1))+1)-1)*99+1,99))="-","",TRIM(MID(SUBSTITUTE(TRIM(Mitarbeiter!$E$31)," ",REPT(" ",99)),((MOD(P$5-Mitarbeiter!$F$31,(LEN(TRIM(Mitarbeiter!$E$31))-LEN(SUBSTITUTE(TRIM(Mitarbeiter!$E$31)," ",""))+1))+1)-1)*99+1,99))))</f>
      </c>
      <c r="Q32" s="54">
        <f>IF(OR($A32="",Q$5="",TRIM(Mitarbeiter!$E$31)="",NOT(ISNUMBER(Mitarbeiter!$F$31))),"",IF(TRIM(MID(SUBSTITUTE(TRIM(Mitarbeiter!$E$31)," ",REPT(" ",99)),((MOD(Q$5-Mitarbeiter!$F$31,(LEN(TRIM(Mitarbeiter!$E$31))-LEN(SUBSTITUTE(TRIM(Mitarbeiter!$E$31)," ",""))+1))+1)-1)*99+1,99))="-","",TRIM(MID(SUBSTITUTE(TRIM(Mitarbeiter!$E$31)," ",REPT(" ",99)),((MOD(Q$5-Mitarbeiter!$F$31,(LEN(TRIM(Mitarbeiter!$E$31))-LEN(SUBSTITUTE(TRIM(Mitarbeiter!$E$31)," ",""))+1))+1)-1)*99+1,99))))</f>
      </c>
      <c r="R32" s="54">
        <f>IF(OR($A32="",R$5="",TRIM(Mitarbeiter!$E$31)="",NOT(ISNUMBER(Mitarbeiter!$F$31))),"",IF(TRIM(MID(SUBSTITUTE(TRIM(Mitarbeiter!$E$31)," ",REPT(" ",99)),((MOD(R$5-Mitarbeiter!$F$31,(LEN(TRIM(Mitarbeiter!$E$31))-LEN(SUBSTITUTE(TRIM(Mitarbeiter!$E$31)," ",""))+1))+1)-1)*99+1,99))="-","",TRIM(MID(SUBSTITUTE(TRIM(Mitarbeiter!$E$31)," ",REPT(" ",99)),((MOD(R$5-Mitarbeiter!$F$31,(LEN(TRIM(Mitarbeiter!$E$31))-LEN(SUBSTITUTE(TRIM(Mitarbeiter!$E$31)," ",""))+1))+1)-1)*99+1,99))))</f>
      </c>
      <c r="S32" s="54">
        <f>IF(OR($A32="",S$5="",TRIM(Mitarbeiter!$E$31)="",NOT(ISNUMBER(Mitarbeiter!$F$31))),"",IF(TRIM(MID(SUBSTITUTE(TRIM(Mitarbeiter!$E$31)," ",REPT(" ",99)),((MOD(S$5-Mitarbeiter!$F$31,(LEN(TRIM(Mitarbeiter!$E$31))-LEN(SUBSTITUTE(TRIM(Mitarbeiter!$E$31)," ",""))+1))+1)-1)*99+1,99))="-","",TRIM(MID(SUBSTITUTE(TRIM(Mitarbeiter!$E$31)," ",REPT(" ",99)),((MOD(S$5-Mitarbeiter!$F$31,(LEN(TRIM(Mitarbeiter!$E$31))-LEN(SUBSTITUTE(TRIM(Mitarbeiter!$E$31)," ",""))+1))+1)-1)*99+1,99))))</f>
      </c>
      <c r="T32" s="54">
        <f>IF(OR($A32="",T$5="",TRIM(Mitarbeiter!$E$31)="",NOT(ISNUMBER(Mitarbeiter!$F$31))),"",IF(TRIM(MID(SUBSTITUTE(TRIM(Mitarbeiter!$E$31)," ",REPT(" ",99)),((MOD(T$5-Mitarbeiter!$F$31,(LEN(TRIM(Mitarbeiter!$E$31))-LEN(SUBSTITUTE(TRIM(Mitarbeiter!$E$31)," ",""))+1))+1)-1)*99+1,99))="-","",TRIM(MID(SUBSTITUTE(TRIM(Mitarbeiter!$E$31)," ",REPT(" ",99)),((MOD(T$5-Mitarbeiter!$F$31,(LEN(TRIM(Mitarbeiter!$E$31))-LEN(SUBSTITUTE(TRIM(Mitarbeiter!$E$31)," ",""))+1))+1)-1)*99+1,99))))</f>
      </c>
      <c r="U32" s="54">
        <f>IF(OR($A32="",U$5="",TRIM(Mitarbeiter!$E$31)="",NOT(ISNUMBER(Mitarbeiter!$F$31))),"",IF(TRIM(MID(SUBSTITUTE(TRIM(Mitarbeiter!$E$31)," ",REPT(" ",99)),((MOD(U$5-Mitarbeiter!$F$31,(LEN(TRIM(Mitarbeiter!$E$31))-LEN(SUBSTITUTE(TRIM(Mitarbeiter!$E$31)," ",""))+1))+1)-1)*99+1,99))="-","",TRIM(MID(SUBSTITUTE(TRIM(Mitarbeiter!$E$31)," ",REPT(" ",99)),((MOD(U$5-Mitarbeiter!$F$31,(LEN(TRIM(Mitarbeiter!$E$31))-LEN(SUBSTITUTE(TRIM(Mitarbeiter!$E$31)," ",""))+1))+1)-1)*99+1,99))))</f>
      </c>
      <c r="V32" s="54">
        <f>IF(OR($A32="",V$5="",TRIM(Mitarbeiter!$E$31)="",NOT(ISNUMBER(Mitarbeiter!$F$31))),"",IF(TRIM(MID(SUBSTITUTE(TRIM(Mitarbeiter!$E$31)," ",REPT(" ",99)),((MOD(V$5-Mitarbeiter!$F$31,(LEN(TRIM(Mitarbeiter!$E$31))-LEN(SUBSTITUTE(TRIM(Mitarbeiter!$E$31)," ",""))+1))+1)-1)*99+1,99))="-","",TRIM(MID(SUBSTITUTE(TRIM(Mitarbeiter!$E$31)," ",REPT(" ",99)),((MOD(V$5-Mitarbeiter!$F$31,(LEN(TRIM(Mitarbeiter!$E$31))-LEN(SUBSTITUTE(TRIM(Mitarbeiter!$E$31)," ",""))+1))+1)-1)*99+1,99))))</f>
      </c>
      <c r="W32" s="54">
        <f>IF(OR($A32="",W$5="",TRIM(Mitarbeiter!$E$31)="",NOT(ISNUMBER(Mitarbeiter!$F$31))),"",IF(TRIM(MID(SUBSTITUTE(TRIM(Mitarbeiter!$E$31)," ",REPT(" ",99)),((MOD(W$5-Mitarbeiter!$F$31,(LEN(TRIM(Mitarbeiter!$E$31))-LEN(SUBSTITUTE(TRIM(Mitarbeiter!$E$31)," ",""))+1))+1)-1)*99+1,99))="-","",TRIM(MID(SUBSTITUTE(TRIM(Mitarbeiter!$E$31)," ",REPT(" ",99)),((MOD(W$5-Mitarbeiter!$F$31,(LEN(TRIM(Mitarbeiter!$E$31))-LEN(SUBSTITUTE(TRIM(Mitarbeiter!$E$31)," ",""))+1))+1)-1)*99+1,99))))</f>
      </c>
      <c r="X32" s="54">
        <f>IF(OR($A32="",X$5="",TRIM(Mitarbeiter!$E$31)="",NOT(ISNUMBER(Mitarbeiter!$F$31))),"",IF(TRIM(MID(SUBSTITUTE(TRIM(Mitarbeiter!$E$31)," ",REPT(" ",99)),((MOD(X$5-Mitarbeiter!$F$31,(LEN(TRIM(Mitarbeiter!$E$31))-LEN(SUBSTITUTE(TRIM(Mitarbeiter!$E$31)," ",""))+1))+1)-1)*99+1,99))="-","",TRIM(MID(SUBSTITUTE(TRIM(Mitarbeiter!$E$31)," ",REPT(" ",99)),((MOD(X$5-Mitarbeiter!$F$31,(LEN(TRIM(Mitarbeiter!$E$31))-LEN(SUBSTITUTE(TRIM(Mitarbeiter!$E$31)," ",""))+1))+1)-1)*99+1,99))))</f>
      </c>
      <c r="Y32" s="54">
        <f>IF(OR($A32="",Y$5="",TRIM(Mitarbeiter!$E$31)="",NOT(ISNUMBER(Mitarbeiter!$F$31))),"",IF(TRIM(MID(SUBSTITUTE(TRIM(Mitarbeiter!$E$31)," ",REPT(" ",99)),((MOD(Y$5-Mitarbeiter!$F$31,(LEN(TRIM(Mitarbeiter!$E$31))-LEN(SUBSTITUTE(TRIM(Mitarbeiter!$E$31)," ",""))+1))+1)-1)*99+1,99))="-","",TRIM(MID(SUBSTITUTE(TRIM(Mitarbeiter!$E$31)," ",REPT(" ",99)),((MOD(Y$5-Mitarbeiter!$F$31,(LEN(TRIM(Mitarbeiter!$E$31))-LEN(SUBSTITUTE(TRIM(Mitarbeiter!$E$31)," ",""))+1))+1)-1)*99+1,99))))</f>
      </c>
      <c r="Z32" s="54">
        <f>IF(OR($A32="",Z$5="",TRIM(Mitarbeiter!$E$31)="",NOT(ISNUMBER(Mitarbeiter!$F$31))),"",IF(TRIM(MID(SUBSTITUTE(TRIM(Mitarbeiter!$E$31)," ",REPT(" ",99)),((MOD(Z$5-Mitarbeiter!$F$31,(LEN(TRIM(Mitarbeiter!$E$31))-LEN(SUBSTITUTE(TRIM(Mitarbeiter!$E$31)," ",""))+1))+1)-1)*99+1,99))="-","",TRIM(MID(SUBSTITUTE(TRIM(Mitarbeiter!$E$31)," ",REPT(" ",99)),((MOD(Z$5-Mitarbeiter!$F$31,(LEN(TRIM(Mitarbeiter!$E$31))-LEN(SUBSTITUTE(TRIM(Mitarbeiter!$E$31)," ",""))+1))+1)-1)*99+1,99))))</f>
      </c>
      <c r="AA32" s="54">
        <f>IF(OR($A32="",AA$5="",TRIM(Mitarbeiter!$E$31)="",NOT(ISNUMBER(Mitarbeiter!$F$31))),"",IF(TRIM(MID(SUBSTITUTE(TRIM(Mitarbeiter!$E$31)," ",REPT(" ",99)),((MOD(AA$5-Mitarbeiter!$F$31,(LEN(TRIM(Mitarbeiter!$E$31))-LEN(SUBSTITUTE(TRIM(Mitarbeiter!$E$31)," ",""))+1))+1)-1)*99+1,99))="-","",TRIM(MID(SUBSTITUTE(TRIM(Mitarbeiter!$E$31)," ",REPT(" ",99)),((MOD(AA$5-Mitarbeiter!$F$31,(LEN(TRIM(Mitarbeiter!$E$31))-LEN(SUBSTITUTE(TRIM(Mitarbeiter!$E$31)," ",""))+1))+1)-1)*99+1,99))))</f>
      </c>
      <c r="AB32" s="54">
        <f>IF(OR($A32="",AB$5="",TRIM(Mitarbeiter!$E$31)="",NOT(ISNUMBER(Mitarbeiter!$F$31))),"",IF(TRIM(MID(SUBSTITUTE(TRIM(Mitarbeiter!$E$31)," ",REPT(" ",99)),((MOD(AB$5-Mitarbeiter!$F$31,(LEN(TRIM(Mitarbeiter!$E$31))-LEN(SUBSTITUTE(TRIM(Mitarbeiter!$E$31)," ",""))+1))+1)-1)*99+1,99))="-","",TRIM(MID(SUBSTITUTE(TRIM(Mitarbeiter!$E$31)," ",REPT(" ",99)),((MOD(AB$5-Mitarbeiter!$F$31,(LEN(TRIM(Mitarbeiter!$E$31))-LEN(SUBSTITUTE(TRIM(Mitarbeiter!$E$31)," ",""))+1))+1)-1)*99+1,99))))</f>
      </c>
      <c r="AC32" s="54">
        <f>IF(OR($A32="",AC$5="",TRIM(Mitarbeiter!$E$31)="",NOT(ISNUMBER(Mitarbeiter!$F$31))),"",IF(TRIM(MID(SUBSTITUTE(TRIM(Mitarbeiter!$E$31)," ",REPT(" ",99)),((MOD(AC$5-Mitarbeiter!$F$31,(LEN(TRIM(Mitarbeiter!$E$31))-LEN(SUBSTITUTE(TRIM(Mitarbeiter!$E$31)," ",""))+1))+1)-1)*99+1,99))="-","",TRIM(MID(SUBSTITUTE(TRIM(Mitarbeiter!$E$31)," ",REPT(" ",99)),((MOD(AC$5-Mitarbeiter!$F$31,(LEN(TRIM(Mitarbeiter!$E$31))-LEN(SUBSTITUTE(TRIM(Mitarbeiter!$E$31)," ",""))+1))+1)-1)*99+1,99))))</f>
      </c>
      <c r="AD32" s="54">
        <f>IF(OR($A32="",AD$5="",TRIM(Mitarbeiter!$E$31)="",NOT(ISNUMBER(Mitarbeiter!$F$31))),"",IF(TRIM(MID(SUBSTITUTE(TRIM(Mitarbeiter!$E$31)," ",REPT(" ",99)),((MOD(AD$5-Mitarbeiter!$F$31,(LEN(TRIM(Mitarbeiter!$E$31))-LEN(SUBSTITUTE(TRIM(Mitarbeiter!$E$31)," ",""))+1))+1)-1)*99+1,99))="-","",TRIM(MID(SUBSTITUTE(TRIM(Mitarbeiter!$E$31)," ",REPT(" ",99)),((MOD(AD$5-Mitarbeiter!$F$31,(LEN(TRIM(Mitarbeiter!$E$31))-LEN(SUBSTITUTE(TRIM(Mitarbeiter!$E$31)," ",""))+1))+1)-1)*99+1,99))))</f>
      </c>
      <c r="AE32" s="54">
        <f>IF(OR($A32="",AE$5="",TRIM(Mitarbeiter!$E$31)="",NOT(ISNUMBER(Mitarbeiter!$F$31))),"",IF(TRIM(MID(SUBSTITUTE(TRIM(Mitarbeiter!$E$31)," ",REPT(" ",99)),((MOD(AE$5-Mitarbeiter!$F$31,(LEN(TRIM(Mitarbeiter!$E$31))-LEN(SUBSTITUTE(TRIM(Mitarbeiter!$E$31)," ",""))+1))+1)-1)*99+1,99))="-","",TRIM(MID(SUBSTITUTE(TRIM(Mitarbeiter!$E$31)," ",REPT(" ",99)),((MOD(AE$5-Mitarbeiter!$F$31,(LEN(TRIM(Mitarbeiter!$E$31))-LEN(SUBSTITUTE(TRIM(Mitarbeiter!$E$31)," ",""))+1))+1)-1)*99+1,99))))</f>
      </c>
      <c r="AF32" s="54">
        <f>IF(OR($A32="",AF$5="",TRIM(Mitarbeiter!$E$31)="",NOT(ISNUMBER(Mitarbeiter!$F$31))),"",IF(TRIM(MID(SUBSTITUTE(TRIM(Mitarbeiter!$E$31)," ",REPT(" ",99)),((MOD(AF$5-Mitarbeiter!$F$31,(LEN(TRIM(Mitarbeiter!$E$31))-LEN(SUBSTITUTE(TRIM(Mitarbeiter!$E$31)," ",""))+1))+1)-1)*99+1,99))="-","",TRIM(MID(SUBSTITUTE(TRIM(Mitarbeiter!$E$31)," ",REPT(" ",99)),((MOD(AF$5-Mitarbeiter!$F$31,(LEN(TRIM(Mitarbeiter!$E$31))-LEN(SUBSTITUTE(TRIM(Mitarbeiter!$E$31)," ",""))+1))+1)-1)*99+1,99))))</f>
      </c>
      <c r="AG32" s="55">
        <f>IF(OR($A32="",TRIM(Mitarbeiter!$E$31)=""),"",IF(NOT(ISNUMBER(Mitarbeiter!$F$31)),"Rhythmus ab: Datum fehlt",IF(COUNTIF(B32:AF32,"?*")-SUMPRODUCT(COUNTIF(B32:AF32,Codes)*(Codes&lt;&gt;"")*Erste)&gt;0,"Rhythmus enthält ein unbekanntes Kürzel","")))</f>
      </c>
    </row>
    <row r="33" spans="1:33" x14ac:dyDescent="0.25">
      <c r="A33" s="49">
        <f>Mitarbeiter!$A$32&amp;""</f>
      </c>
      <c r="B33" s="54">
        <f>IF(OR($A33="",B$5="",TRIM(Mitarbeiter!$E$32)="",NOT(ISNUMBER(Mitarbeiter!$F$32))),"",IF(TRIM(MID(SUBSTITUTE(TRIM(Mitarbeiter!$E$32)," ",REPT(" ",99)),((MOD(B$5-Mitarbeiter!$F$32,(LEN(TRIM(Mitarbeiter!$E$32))-LEN(SUBSTITUTE(TRIM(Mitarbeiter!$E$32)," ",""))+1))+1)-1)*99+1,99))="-","",TRIM(MID(SUBSTITUTE(TRIM(Mitarbeiter!$E$32)," ",REPT(" ",99)),((MOD(B$5-Mitarbeiter!$F$32,(LEN(TRIM(Mitarbeiter!$E$32))-LEN(SUBSTITUTE(TRIM(Mitarbeiter!$E$32)," ",""))+1))+1)-1)*99+1,99))))</f>
      </c>
      <c r="C33" s="54">
        <f>IF(OR($A33="",C$5="",TRIM(Mitarbeiter!$E$32)="",NOT(ISNUMBER(Mitarbeiter!$F$32))),"",IF(TRIM(MID(SUBSTITUTE(TRIM(Mitarbeiter!$E$32)," ",REPT(" ",99)),((MOD(C$5-Mitarbeiter!$F$32,(LEN(TRIM(Mitarbeiter!$E$32))-LEN(SUBSTITUTE(TRIM(Mitarbeiter!$E$32)," ",""))+1))+1)-1)*99+1,99))="-","",TRIM(MID(SUBSTITUTE(TRIM(Mitarbeiter!$E$32)," ",REPT(" ",99)),((MOD(C$5-Mitarbeiter!$F$32,(LEN(TRIM(Mitarbeiter!$E$32))-LEN(SUBSTITUTE(TRIM(Mitarbeiter!$E$32)," ",""))+1))+1)-1)*99+1,99))))</f>
      </c>
      <c r="D33" s="54">
        <f>IF(OR($A33="",D$5="",TRIM(Mitarbeiter!$E$32)="",NOT(ISNUMBER(Mitarbeiter!$F$32))),"",IF(TRIM(MID(SUBSTITUTE(TRIM(Mitarbeiter!$E$32)," ",REPT(" ",99)),((MOD(D$5-Mitarbeiter!$F$32,(LEN(TRIM(Mitarbeiter!$E$32))-LEN(SUBSTITUTE(TRIM(Mitarbeiter!$E$32)," ",""))+1))+1)-1)*99+1,99))="-","",TRIM(MID(SUBSTITUTE(TRIM(Mitarbeiter!$E$32)," ",REPT(" ",99)),((MOD(D$5-Mitarbeiter!$F$32,(LEN(TRIM(Mitarbeiter!$E$32))-LEN(SUBSTITUTE(TRIM(Mitarbeiter!$E$32)," ",""))+1))+1)-1)*99+1,99))))</f>
      </c>
      <c r="E33" s="54">
        <f>IF(OR($A33="",E$5="",TRIM(Mitarbeiter!$E$32)="",NOT(ISNUMBER(Mitarbeiter!$F$32))),"",IF(TRIM(MID(SUBSTITUTE(TRIM(Mitarbeiter!$E$32)," ",REPT(" ",99)),((MOD(E$5-Mitarbeiter!$F$32,(LEN(TRIM(Mitarbeiter!$E$32))-LEN(SUBSTITUTE(TRIM(Mitarbeiter!$E$32)," ",""))+1))+1)-1)*99+1,99))="-","",TRIM(MID(SUBSTITUTE(TRIM(Mitarbeiter!$E$32)," ",REPT(" ",99)),((MOD(E$5-Mitarbeiter!$F$32,(LEN(TRIM(Mitarbeiter!$E$32))-LEN(SUBSTITUTE(TRIM(Mitarbeiter!$E$32)," ",""))+1))+1)-1)*99+1,99))))</f>
      </c>
      <c r="F33" s="54">
        <f>IF(OR($A33="",F$5="",TRIM(Mitarbeiter!$E$32)="",NOT(ISNUMBER(Mitarbeiter!$F$32))),"",IF(TRIM(MID(SUBSTITUTE(TRIM(Mitarbeiter!$E$32)," ",REPT(" ",99)),((MOD(F$5-Mitarbeiter!$F$32,(LEN(TRIM(Mitarbeiter!$E$32))-LEN(SUBSTITUTE(TRIM(Mitarbeiter!$E$32)," ",""))+1))+1)-1)*99+1,99))="-","",TRIM(MID(SUBSTITUTE(TRIM(Mitarbeiter!$E$32)," ",REPT(" ",99)),((MOD(F$5-Mitarbeiter!$F$32,(LEN(TRIM(Mitarbeiter!$E$32))-LEN(SUBSTITUTE(TRIM(Mitarbeiter!$E$32)," ",""))+1))+1)-1)*99+1,99))))</f>
      </c>
      <c r="G33" s="54">
        <f>IF(OR($A33="",G$5="",TRIM(Mitarbeiter!$E$32)="",NOT(ISNUMBER(Mitarbeiter!$F$32))),"",IF(TRIM(MID(SUBSTITUTE(TRIM(Mitarbeiter!$E$32)," ",REPT(" ",99)),((MOD(G$5-Mitarbeiter!$F$32,(LEN(TRIM(Mitarbeiter!$E$32))-LEN(SUBSTITUTE(TRIM(Mitarbeiter!$E$32)," ",""))+1))+1)-1)*99+1,99))="-","",TRIM(MID(SUBSTITUTE(TRIM(Mitarbeiter!$E$32)," ",REPT(" ",99)),((MOD(G$5-Mitarbeiter!$F$32,(LEN(TRIM(Mitarbeiter!$E$32))-LEN(SUBSTITUTE(TRIM(Mitarbeiter!$E$32)," ",""))+1))+1)-1)*99+1,99))))</f>
      </c>
      <c r="H33" s="54">
        <f>IF(OR($A33="",H$5="",TRIM(Mitarbeiter!$E$32)="",NOT(ISNUMBER(Mitarbeiter!$F$32))),"",IF(TRIM(MID(SUBSTITUTE(TRIM(Mitarbeiter!$E$32)," ",REPT(" ",99)),((MOD(H$5-Mitarbeiter!$F$32,(LEN(TRIM(Mitarbeiter!$E$32))-LEN(SUBSTITUTE(TRIM(Mitarbeiter!$E$32)," ",""))+1))+1)-1)*99+1,99))="-","",TRIM(MID(SUBSTITUTE(TRIM(Mitarbeiter!$E$32)," ",REPT(" ",99)),((MOD(H$5-Mitarbeiter!$F$32,(LEN(TRIM(Mitarbeiter!$E$32))-LEN(SUBSTITUTE(TRIM(Mitarbeiter!$E$32)," ",""))+1))+1)-1)*99+1,99))))</f>
      </c>
      <c r="I33" s="54">
        <f>IF(OR($A33="",I$5="",TRIM(Mitarbeiter!$E$32)="",NOT(ISNUMBER(Mitarbeiter!$F$32))),"",IF(TRIM(MID(SUBSTITUTE(TRIM(Mitarbeiter!$E$32)," ",REPT(" ",99)),((MOD(I$5-Mitarbeiter!$F$32,(LEN(TRIM(Mitarbeiter!$E$32))-LEN(SUBSTITUTE(TRIM(Mitarbeiter!$E$32)," ",""))+1))+1)-1)*99+1,99))="-","",TRIM(MID(SUBSTITUTE(TRIM(Mitarbeiter!$E$32)," ",REPT(" ",99)),((MOD(I$5-Mitarbeiter!$F$32,(LEN(TRIM(Mitarbeiter!$E$32))-LEN(SUBSTITUTE(TRIM(Mitarbeiter!$E$32)," ",""))+1))+1)-1)*99+1,99))))</f>
      </c>
      <c r="J33" s="54">
        <f>IF(OR($A33="",J$5="",TRIM(Mitarbeiter!$E$32)="",NOT(ISNUMBER(Mitarbeiter!$F$32))),"",IF(TRIM(MID(SUBSTITUTE(TRIM(Mitarbeiter!$E$32)," ",REPT(" ",99)),((MOD(J$5-Mitarbeiter!$F$32,(LEN(TRIM(Mitarbeiter!$E$32))-LEN(SUBSTITUTE(TRIM(Mitarbeiter!$E$32)," ",""))+1))+1)-1)*99+1,99))="-","",TRIM(MID(SUBSTITUTE(TRIM(Mitarbeiter!$E$32)," ",REPT(" ",99)),((MOD(J$5-Mitarbeiter!$F$32,(LEN(TRIM(Mitarbeiter!$E$32))-LEN(SUBSTITUTE(TRIM(Mitarbeiter!$E$32)," ",""))+1))+1)-1)*99+1,99))))</f>
      </c>
      <c r="K33" s="54">
        <f>IF(OR($A33="",K$5="",TRIM(Mitarbeiter!$E$32)="",NOT(ISNUMBER(Mitarbeiter!$F$32))),"",IF(TRIM(MID(SUBSTITUTE(TRIM(Mitarbeiter!$E$32)," ",REPT(" ",99)),((MOD(K$5-Mitarbeiter!$F$32,(LEN(TRIM(Mitarbeiter!$E$32))-LEN(SUBSTITUTE(TRIM(Mitarbeiter!$E$32)," ",""))+1))+1)-1)*99+1,99))="-","",TRIM(MID(SUBSTITUTE(TRIM(Mitarbeiter!$E$32)," ",REPT(" ",99)),((MOD(K$5-Mitarbeiter!$F$32,(LEN(TRIM(Mitarbeiter!$E$32))-LEN(SUBSTITUTE(TRIM(Mitarbeiter!$E$32)," ",""))+1))+1)-1)*99+1,99))))</f>
      </c>
      <c r="L33" s="54">
        <f>IF(OR($A33="",L$5="",TRIM(Mitarbeiter!$E$32)="",NOT(ISNUMBER(Mitarbeiter!$F$32))),"",IF(TRIM(MID(SUBSTITUTE(TRIM(Mitarbeiter!$E$32)," ",REPT(" ",99)),((MOD(L$5-Mitarbeiter!$F$32,(LEN(TRIM(Mitarbeiter!$E$32))-LEN(SUBSTITUTE(TRIM(Mitarbeiter!$E$32)," ",""))+1))+1)-1)*99+1,99))="-","",TRIM(MID(SUBSTITUTE(TRIM(Mitarbeiter!$E$32)," ",REPT(" ",99)),((MOD(L$5-Mitarbeiter!$F$32,(LEN(TRIM(Mitarbeiter!$E$32))-LEN(SUBSTITUTE(TRIM(Mitarbeiter!$E$32)," ",""))+1))+1)-1)*99+1,99))))</f>
      </c>
      <c r="M33" s="54">
        <f>IF(OR($A33="",M$5="",TRIM(Mitarbeiter!$E$32)="",NOT(ISNUMBER(Mitarbeiter!$F$32))),"",IF(TRIM(MID(SUBSTITUTE(TRIM(Mitarbeiter!$E$32)," ",REPT(" ",99)),((MOD(M$5-Mitarbeiter!$F$32,(LEN(TRIM(Mitarbeiter!$E$32))-LEN(SUBSTITUTE(TRIM(Mitarbeiter!$E$32)," ",""))+1))+1)-1)*99+1,99))="-","",TRIM(MID(SUBSTITUTE(TRIM(Mitarbeiter!$E$32)," ",REPT(" ",99)),((MOD(M$5-Mitarbeiter!$F$32,(LEN(TRIM(Mitarbeiter!$E$32))-LEN(SUBSTITUTE(TRIM(Mitarbeiter!$E$32)," ",""))+1))+1)-1)*99+1,99))))</f>
      </c>
      <c r="N33" s="54">
        <f>IF(OR($A33="",N$5="",TRIM(Mitarbeiter!$E$32)="",NOT(ISNUMBER(Mitarbeiter!$F$32))),"",IF(TRIM(MID(SUBSTITUTE(TRIM(Mitarbeiter!$E$32)," ",REPT(" ",99)),((MOD(N$5-Mitarbeiter!$F$32,(LEN(TRIM(Mitarbeiter!$E$32))-LEN(SUBSTITUTE(TRIM(Mitarbeiter!$E$32)," ",""))+1))+1)-1)*99+1,99))="-","",TRIM(MID(SUBSTITUTE(TRIM(Mitarbeiter!$E$32)," ",REPT(" ",99)),((MOD(N$5-Mitarbeiter!$F$32,(LEN(TRIM(Mitarbeiter!$E$32))-LEN(SUBSTITUTE(TRIM(Mitarbeiter!$E$32)," ",""))+1))+1)-1)*99+1,99))))</f>
      </c>
      <c r="O33" s="54">
        <f>IF(OR($A33="",O$5="",TRIM(Mitarbeiter!$E$32)="",NOT(ISNUMBER(Mitarbeiter!$F$32))),"",IF(TRIM(MID(SUBSTITUTE(TRIM(Mitarbeiter!$E$32)," ",REPT(" ",99)),((MOD(O$5-Mitarbeiter!$F$32,(LEN(TRIM(Mitarbeiter!$E$32))-LEN(SUBSTITUTE(TRIM(Mitarbeiter!$E$32)," ",""))+1))+1)-1)*99+1,99))="-","",TRIM(MID(SUBSTITUTE(TRIM(Mitarbeiter!$E$32)," ",REPT(" ",99)),((MOD(O$5-Mitarbeiter!$F$32,(LEN(TRIM(Mitarbeiter!$E$32))-LEN(SUBSTITUTE(TRIM(Mitarbeiter!$E$32)," ",""))+1))+1)-1)*99+1,99))))</f>
      </c>
      <c r="P33" s="54">
        <f>IF(OR($A33="",P$5="",TRIM(Mitarbeiter!$E$32)="",NOT(ISNUMBER(Mitarbeiter!$F$32))),"",IF(TRIM(MID(SUBSTITUTE(TRIM(Mitarbeiter!$E$32)," ",REPT(" ",99)),((MOD(P$5-Mitarbeiter!$F$32,(LEN(TRIM(Mitarbeiter!$E$32))-LEN(SUBSTITUTE(TRIM(Mitarbeiter!$E$32)," ",""))+1))+1)-1)*99+1,99))="-","",TRIM(MID(SUBSTITUTE(TRIM(Mitarbeiter!$E$32)," ",REPT(" ",99)),((MOD(P$5-Mitarbeiter!$F$32,(LEN(TRIM(Mitarbeiter!$E$32))-LEN(SUBSTITUTE(TRIM(Mitarbeiter!$E$32)," ",""))+1))+1)-1)*99+1,99))))</f>
      </c>
      <c r="Q33" s="54">
        <f>IF(OR($A33="",Q$5="",TRIM(Mitarbeiter!$E$32)="",NOT(ISNUMBER(Mitarbeiter!$F$32))),"",IF(TRIM(MID(SUBSTITUTE(TRIM(Mitarbeiter!$E$32)," ",REPT(" ",99)),((MOD(Q$5-Mitarbeiter!$F$32,(LEN(TRIM(Mitarbeiter!$E$32))-LEN(SUBSTITUTE(TRIM(Mitarbeiter!$E$32)," ",""))+1))+1)-1)*99+1,99))="-","",TRIM(MID(SUBSTITUTE(TRIM(Mitarbeiter!$E$32)," ",REPT(" ",99)),((MOD(Q$5-Mitarbeiter!$F$32,(LEN(TRIM(Mitarbeiter!$E$32))-LEN(SUBSTITUTE(TRIM(Mitarbeiter!$E$32)," ",""))+1))+1)-1)*99+1,99))))</f>
      </c>
      <c r="R33" s="54">
        <f>IF(OR($A33="",R$5="",TRIM(Mitarbeiter!$E$32)="",NOT(ISNUMBER(Mitarbeiter!$F$32))),"",IF(TRIM(MID(SUBSTITUTE(TRIM(Mitarbeiter!$E$32)," ",REPT(" ",99)),((MOD(R$5-Mitarbeiter!$F$32,(LEN(TRIM(Mitarbeiter!$E$32))-LEN(SUBSTITUTE(TRIM(Mitarbeiter!$E$32)," ",""))+1))+1)-1)*99+1,99))="-","",TRIM(MID(SUBSTITUTE(TRIM(Mitarbeiter!$E$32)," ",REPT(" ",99)),((MOD(R$5-Mitarbeiter!$F$32,(LEN(TRIM(Mitarbeiter!$E$32))-LEN(SUBSTITUTE(TRIM(Mitarbeiter!$E$32)," ",""))+1))+1)-1)*99+1,99))))</f>
      </c>
      <c r="S33" s="54">
        <f>IF(OR($A33="",S$5="",TRIM(Mitarbeiter!$E$32)="",NOT(ISNUMBER(Mitarbeiter!$F$32))),"",IF(TRIM(MID(SUBSTITUTE(TRIM(Mitarbeiter!$E$32)," ",REPT(" ",99)),((MOD(S$5-Mitarbeiter!$F$32,(LEN(TRIM(Mitarbeiter!$E$32))-LEN(SUBSTITUTE(TRIM(Mitarbeiter!$E$32)," ",""))+1))+1)-1)*99+1,99))="-","",TRIM(MID(SUBSTITUTE(TRIM(Mitarbeiter!$E$32)," ",REPT(" ",99)),((MOD(S$5-Mitarbeiter!$F$32,(LEN(TRIM(Mitarbeiter!$E$32))-LEN(SUBSTITUTE(TRIM(Mitarbeiter!$E$32)," ",""))+1))+1)-1)*99+1,99))))</f>
      </c>
      <c r="T33" s="54">
        <f>IF(OR($A33="",T$5="",TRIM(Mitarbeiter!$E$32)="",NOT(ISNUMBER(Mitarbeiter!$F$32))),"",IF(TRIM(MID(SUBSTITUTE(TRIM(Mitarbeiter!$E$32)," ",REPT(" ",99)),((MOD(T$5-Mitarbeiter!$F$32,(LEN(TRIM(Mitarbeiter!$E$32))-LEN(SUBSTITUTE(TRIM(Mitarbeiter!$E$32)," ",""))+1))+1)-1)*99+1,99))="-","",TRIM(MID(SUBSTITUTE(TRIM(Mitarbeiter!$E$32)," ",REPT(" ",99)),((MOD(T$5-Mitarbeiter!$F$32,(LEN(TRIM(Mitarbeiter!$E$32))-LEN(SUBSTITUTE(TRIM(Mitarbeiter!$E$32)," ",""))+1))+1)-1)*99+1,99))))</f>
      </c>
      <c r="U33" s="54">
        <f>IF(OR($A33="",U$5="",TRIM(Mitarbeiter!$E$32)="",NOT(ISNUMBER(Mitarbeiter!$F$32))),"",IF(TRIM(MID(SUBSTITUTE(TRIM(Mitarbeiter!$E$32)," ",REPT(" ",99)),((MOD(U$5-Mitarbeiter!$F$32,(LEN(TRIM(Mitarbeiter!$E$32))-LEN(SUBSTITUTE(TRIM(Mitarbeiter!$E$32)," ",""))+1))+1)-1)*99+1,99))="-","",TRIM(MID(SUBSTITUTE(TRIM(Mitarbeiter!$E$32)," ",REPT(" ",99)),((MOD(U$5-Mitarbeiter!$F$32,(LEN(TRIM(Mitarbeiter!$E$32))-LEN(SUBSTITUTE(TRIM(Mitarbeiter!$E$32)," ",""))+1))+1)-1)*99+1,99))))</f>
      </c>
      <c r="V33" s="54">
        <f>IF(OR($A33="",V$5="",TRIM(Mitarbeiter!$E$32)="",NOT(ISNUMBER(Mitarbeiter!$F$32))),"",IF(TRIM(MID(SUBSTITUTE(TRIM(Mitarbeiter!$E$32)," ",REPT(" ",99)),((MOD(V$5-Mitarbeiter!$F$32,(LEN(TRIM(Mitarbeiter!$E$32))-LEN(SUBSTITUTE(TRIM(Mitarbeiter!$E$32)," ",""))+1))+1)-1)*99+1,99))="-","",TRIM(MID(SUBSTITUTE(TRIM(Mitarbeiter!$E$32)," ",REPT(" ",99)),((MOD(V$5-Mitarbeiter!$F$32,(LEN(TRIM(Mitarbeiter!$E$32))-LEN(SUBSTITUTE(TRIM(Mitarbeiter!$E$32)," ",""))+1))+1)-1)*99+1,99))))</f>
      </c>
      <c r="W33" s="54">
        <f>IF(OR($A33="",W$5="",TRIM(Mitarbeiter!$E$32)="",NOT(ISNUMBER(Mitarbeiter!$F$32))),"",IF(TRIM(MID(SUBSTITUTE(TRIM(Mitarbeiter!$E$32)," ",REPT(" ",99)),((MOD(W$5-Mitarbeiter!$F$32,(LEN(TRIM(Mitarbeiter!$E$32))-LEN(SUBSTITUTE(TRIM(Mitarbeiter!$E$32)," ",""))+1))+1)-1)*99+1,99))="-","",TRIM(MID(SUBSTITUTE(TRIM(Mitarbeiter!$E$32)," ",REPT(" ",99)),((MOD(W$5-Mitarbeiter!$F$32,(LEN(TRIM(Mitarbeiter!$E$32))-LEN(SUBSTITUTE(TRIM(Mitarbeiter!$E$32)," ",""))+1))+1)-1)*99+1,99))))</f>
      </c>
      <c r="X33" s="54">
        <f>IF(OR($A33="",X$5="",TRIM(Mitarbeiter!$E$32)="",NOT(ISNUMBER(Mitarbeiter!$F$32))),"",IF(TRIM(MID(SUBSTITUTE(TRIM(Mitarbeiter!$E$32)," ",REPT(" ",99)),((MOD(X$5-Mitarbeiter!$F$32,(LEN(TRIM(Mitarbeiter!$E$32))-LEN(SUBSTITUTE(TRIM(Mitarbeiter!$E$32)," ",""))+1))+1)-1)*99+1,99))="-","",TRIM(MID(SUBSTITUTE(TRIM(Mitarbeiter!$E$32)," ",REPT(" ",99)),((MOD(X$5-Mitarbeiter!$F$32,(LEN(TRIM(Mitarbeiter!$E$32))-LEN(SUBSTITUTE(TRIM(Mitarbeiter!$E$32)," ",""))+1))+1)-1)*99+1,99))))</f>
      </c>
      <c r="Y33" s="54">
        <f>IF(OR($A33="",Y$5="",TRIM(Mitarbeiter!$E$32)="",NOT(ISNUMBER(Mitarbeiter!$F$32))),"",IF(TRIM(MID(SUBSTITUTE(TRIM(Mitarbeiter!$E$32)," ",REPT(" ",99)),((MOD(Y$5-Mitarbeiter!$F$32,(LEN(TRIM(Mitarbeiter!$E$32))-LEN(SUBSTITUTE(TRIM(Mitarbeiter!$E$32)," ",""))+1))+1)-1)*99+1,99))="-","",TRIM(MID(SUBSTITUTE(TRIM(Mitarbeiter!$E$32)," ",REPT(" ",99)),((MOD(Y$5-Mitarbeiter!$F$32,(LEN(TRIM(Mitarbeiter!$E$32))-LEN(SUBSTITUTE(TRIM(Mitarbeiter!$E$32)," ",""))+1))+1)-1)*99+1,99))))</f>
      </c>
      <c r="Z33" s="54">
        <f>IF(OR($A33="",Z$5="",TRIM(Mitarbeiter!$E$32)="",NOT(ISNUMBER(Mitarbeiter!$F$32))),"",IF(TRIM(MID(SUBSTITUTE(TRIM(Mitarbeiter!$E$32)," ",REPT(" ",99)),((MOD(Z$5-Mitarbeiter!$F$32,(LEN(TRIM(Mitarbeiter!$E$32))-LEN(SUBSTITUTE(TRIM(Mitarbeiter!$E$32)," ",""))+1))+1)-1)*99+1,99))="-","",TRIM(MID(SUBSTITUTE(TRIM(Mitarbeiter!$E$32)," ",REPT(" ",99)),((MOD(Z$5-Mitarbeiter!$F$32,(LEN(TRIM(Mitarbeiter!$E$32))-LEN(SUBSTITUTE(TRIM(Mitarbeiter!$E$32)," ",""))+1))+1)-1)*99+1,99))))</f>
      </c>
      <c r="AA33" s="54">
        <f>IF(OR($A33="",AA$5="",TRIM(Mitarbeiter!$E$32)="",NOT(ISNUMBER(Mitarbeiter!$F$32))),"",IF(TRIM(MID(SUBSTITUTE(TRIM(Mitarbeiter!$E$32)," ",REPT(" ",99)),((MOD(AA$5-Mitarbeiter!$F$32,(LEN(TRIM(Mitarbeiter!$E$32))-LEN(SUBSTITUTE(TRIM(Mitarbeiter!$E$32)," ",""))+1))+1)-1)*99+1,99))="-","",TRIM(MID(SUBSTITUTE(TRIM(Mitarbeiter!$E$32)," ",REPT(" ",99)),((MOD(AA$5-Mitarbeiter!$F$32,(LEN(TRIM(Mitarbeiter!$E$32))-LEN(SUBSTITUTE(TRIM(Mitarbeiter!$E$32)," ",""))+1))+1)-1)*99+1,99))))</f>
      </c>
      <c r="AB33" s="54">
        <f>IF(OR($A33="",AB$5="",TRIM(Mitarbeiter!$E$32)="",NOT(ISNUMBER(Mitarbeiter!$F$32))),"",IF(TRIM(MID(SUBSTITUTE(TRIM(Mitarbeiter!$E$32)," ",REPT(" ",99)),((MOD(AB$5-Mitarbeiter!$F$32,(LEN(TRIM(Mitarbeiter!$E$32))-LEN(SUBSTITUTE(TRIM(Mitarbeiter!$E$32)," ",""))+1))+1)-1)*99+1,99))="-","",TRIM(MID(SUBSTITUTE(TRIM(Mitarbeiter!$E$32)," ",REPT(" ",99)),((MOD(AB$5-Mitarbeiter!$F$32,(LEN(TRIM(Mitarbeiter!$E$32))-LEN(SUBSTITUTE(TRIM(Mitarbeiter!$E$32)," ",""))+1))+1)-1)*99+1,99))))</f>
      </c>
      <c r="AC33" s="54">
        <f>IF(OR($A33="",AC$5="",TRIM(Mitarbeiter!$E$32)="",NOT(ISNUMBER(Mitarbeiter!$F$32))),"",IF(TRIM(MID(SUBSTITUTE(TRIM(Mitarbeiter!$E$32)," ",REPT(" ",99)),((MOD(AC$5-Mitarbeiter!$F$32,(LEN(TRIM(Mitarbeiter!$E$32))-LEN(SUBSTITUTE(TRIM(Mitarbeiter!$E$32)," ",""))+1))+1)-1)*99+1,99))="-","",TRIM(MID(SUBSTITUTE(TRIM(Mitarbeiter!$E$32)," ",REPT(" ",99)),((MOD(AC$5-Mitarbeiter!$F$32,(LEN(TRIM(Mitarbeiter!$E$32))-LEN(SUBSTITUTE(TRIM(Mitarbeiter!$E$32)," ",""))+1))+1)-1)*99+1,99))))</f>
      </c>
      <c r="AD33" s="54">
        <f>IF(OR($A33="",AD$5="",TRIM(Mitarbeiter!$E$32)="",NOT(ISNUMBER(Mitarbeiter!$F$32))),"",IF(TRIM(MID(SUBSTITUTE(TRIM(Mitarbeiter!$E$32)," ",REPT(" ",99)),((MOD(AD$5-Mitarbeiter!$F$32,(LEN(TRIM(Mitarbeiter!$E$32))-LEN(SUBSTITUTE(TRIM(Mitarbeiter!$E$32)," ",""))+1))+1)-1)*99+1,99))="-","",TRIM(MID(SUBSTITUTE(TRIM(Mitarbeiter!$E$32)," ",REPT(" ",99)),((MOD(AD$5-Mitarbeiter!$F$32,(LEN(TRIM(Mitarbeiter!$E$32))-LEN(SUBSTITUTE(TRIM(Mitarbeiter!$E$32)," ",""))+1))+1)-1)*99+1,99))))</f>
      </c>
      <c r="AE33" s="54">
        <f>IF(OR($A33="",AE$5="",TRIM(Mitarbeiter!$E$32)="",NOT(ISNUMBER(Mitarbeiter!$F$32))),"",IF(TRIM(MID(SUBSTITUTE(TRIM(Mitarbeiter!$E$32)," ",REPT(" ",99)),((MOD(AE$5-Mitarbeiter!$F$32,(LEN(TRIM(Mitarbeiter!$E$32))-LEN(SUBSTITUTE(TRIM(Mitarbeiter!$E$32)," ",""))+1))+1)-1)*99+1,99))="-","",TRIM(MID(SUBSTITUTE(TRIM(Mitarbeiter!$E$32)," ",REPT(" ",99)),((MOD(AE$5-Mitarbeiter!$F$32,(LEN(TRIM(Mitarbeiter!$E$32))-LEN(SUBSTITUTE(TRIM(Mitarbeiter!$E$32)," ",""))+1))+1)-1)*99+1,99))))</f>
      </c>
      <c r="AF33" s="54">
        <f>IF(OR($A33="",AF$5="",TRIM(Mitarbeiter!$E$32)="",NOT(ISNUMBER(Mitarbeiter!$F$32))),"",IF(TRIM(MID(SUBSTITUTE(TRIM(Mitarbeiter!$E$32)," ",REPT(" ",99)),((MOD(AF$5-Mitarbeiter!$F$32,(LEN(TRIM(Mitarbeiter!$E$32))-LEN(SUBSTITUTE(TRIM(Mitarbeiter!$E$32)," ",""))+1))+1)-1)*99+1,99))="-","",TRIM(MID(SUBSTITUTE(TRIM(Mitarbeiter!$E$32)," ",REPT(" ",99)),((MOD(AF$5-Mitarbeiter!$F$32,(LEN(TRIM(Mitarbeiter!$E$32))-LEN(SUBSTITUTE(TRIM(Mitarbeiter!$E$32)," ",""))+1))+1)-1)*99+1,99))))</f>
      </c>
      <c r="AG33" s="55">
        <f>IF(OR($A33="",TRIM(Mitarbeiter!$E$32)=""),"",IF(NOT(ISNUMBER(Mitarbeiter!$F$32)),"Rhythmus ab: Datum fehlt",IF(COUNTIF(B33:AF33,"?*")-SUMPRODUCT(COUNTIF(B33:AF33,Codes)*(Codes&lt;&gt;"")*Erste)&gt;0,"Rhythmus enthält ein unbekanntes Kürzel","")))</f>
      </c>
    </row>
    <row r="34" spans="1:33" x14ac:dyDescent="0.25">
      <c r="A34" s="49">
        <f>Mitarbeiter!$A$33&amp;""</f>
      </c>
      <c r="B34" s="54">
        <f>IF(OR($A34="",B$5="",TRIM(Mitarbeiter!$E$33)="",NOT(ISNUMBER(Mitarbeiter!$F$33))),"",IF(TRIM(MID(SUBSTITUTE(TRIM(Mitarbeiter!$E$33)," ",REPT(" ",99)),((MOD(B$5-Mitarbeiter!$F$33,(LEN(TRIM(Mitarbeiter!$E$33))-LEN(SUBSTITUTE(TRIM(Mitarbeiter!$E$33)," ",""))+1))+1)-1)*99+1,99))="-","",TRIM(MID(SUBSTITUTE(TRIM(Mitarbeiter!$E$33)," ",REPT(" ",99)),((MOD(B$5-Mitarbeiter!$F$33,(LEN(TRIM(Mitarbeiter!$E$33))-LEN(SUBSTITUTE(TRIM(Mitarbeiter!$E$33)," ",""))+1))+1)-1)*99+1,99))))</f>
      </c>
      <c r="C34" s="54">
        <f>IF(OR($A34="",C$5="",TRIM(Mitarbeiter!$E$33)="",NOT(ISNUMBER(Mitarbeiter!$F$33))),"",IF(TRIM(MID(SUBSTITUTE(TRIM(Mitarbeiter!$E$33)," ",REPT(" ",99)),((MOD(C$5-Mitarbeiter!$F$33,(LEN(TRIM(Mitarbeiter!$E$33))-LEN(SUBSTITUTE(TRIM(Mitarbeiter!$E$33)," ",""))+1))+1)-1)*99+1,99))="-","",TRIM(MID(SUBSTITUTE(TRIM(Mitarbeiter!$E$33)," ",REPT(" ",99)),((MOD(C$5-Mitarbeiter!$F$33,(LEN(TRIM(Mitarbeiter!$E$33))-LEN(SUBSTITUTE(TRIM(Mitarbeiter!$E$33)," ",""))+1))+1)-1)*99+1,99))))</f>
      </c>
      <c r="D34" s="54">
        <f>IF(OR($A34="",D$5="",TRIM(Mitarbeiter!$E$33)="",NOT(ISNUMBER(Mitarbeiter!$F$33))),"",IF(TRIM(MID(SUBSTITUTE(TRIM(Mitarbeiter!$E$33)," ",REPT(" ",99)),((MOD(D$5-Mitarbeiter!$F$33,(LEN(TRIM(Mitarbeiter!$E$33))-LEN(SUBSTITUTE(TRIM(Mitarbeiter!$E$33)," ",""))+1))+1)-1)*99+1,99))="-","",TRIM(MID(SUBSTITUTE(TRIM(Mitarbeiter!$E$33)," ",REPT(" ",99)),((MOD(D$5-Mitarbeiter!$F$33,(LEN(TRIM(Mitarbeiter!$E$33))-LEN(SUBSTITUTE(TRIM(Mitarbeiter!$E$33)," ",""))+1))+1)-1)*99+1,99))))</f>
      </c>
      <c r="E34" s="54">
        <f>IF(OR($A34="",E$5="",TRIM(Mitarbeiter!$E$33)="",NOT(ISNUMBER(Mitarbeiter!$F$33))),"",IF(TRIM(MID(SUBSTITUTE(TRIM(Mitarbeiter!$E$33)," ",REPT(" ",99)),((MOD(E$5-Mitarbeiter!$F$33,(LEN(TRIM(Mitarbeiter!$E$33))-LEN(SUBSTITUTE(TRIM(Mitarbeiter!$E$33)," ",""))+1))+1)-1)*99+1,99))="-","",TRIM(MID(SUBSTITUTE(TRIM(Mitarbeiter!$E$33)," ",REPT(" ",99)),((MOD(E$5-Mitarbeiter!$F$33,(LEN(TRIM(Mitarbeiter!$E$33))-LEN(SUBSTITUTE(TRIM(Mitarbeiter!$E$33)," ",""))+1))+1)-1)*99+1,99))))</f>
      </c>
      <c r="F34" s="54">
        <f>IF(OR($A34="",F$5="",TRIM(Mitarbeiter!$E$33)="",NOT(ISNUMBER(Mitarbeiter!$F$33))),"",IF(TRIM(MID(SUBSTITUTE(TRIM(Mitarbeiter!$E$33)," ",REPT(" ",99)),((MOD(F$5-Mitarbeiter!$F$33,(LEN(TRIM(Mitarbeiter!$E$33))-LEN(SUBSTITUTE(TRIM(Mitarbeiter!$E$33)," ",""))+1))+1)-1)*99+1,99))="-","",TRIM(MID(SUBSTITUTE(TRIM(Mitarbeiter!$E$33)," ",REPT(" ",99)),((MOD(F$5-Mitarbeiter!$F$33,(LEN(TRIM(Mitarbeiter!$E$33))-LEN(SUBSTITUTE(TRIM(Mitarbeiter!$E$33)," ",""))+1))+1)-1)*99+1,99))))</f>
      </c>
      <c r="G34" s="54">
        <f>IF(OR($A34="",G$5="",TRIM(Mitarbeiter!$E$33)="",NOT(ISNUMBER(Mitarbeiter!$F$33))),"",IF(TRIM(MID(SUBSTITUTE(TRIM(Mitarbeiter!$E$33)," ",REPT(" ",99)),((MOD(G$5-Mitarbeiter!$F$33,(LEN(TRIM(Mitarbeiter!$E$33))-LEN(SUBSTITUTE(TRIM(Mitarbeiter!$E$33)," ",""))+1))+1)-1)*99+1,99))="-","",TRIM(MID(SUBSTITUTE(TRIM(Mitarbeiter!$E$33)," ",REPT(" ",99)),((MOD(G$5-Mitarbeiter!$F$33,(LEN(TRIM(Mitarbeiter!$E$33))-LEN(SUBSTITUTE(TRIM(Mitarbeiter!$E$33)," ",""))+1))+1)-1)*99+1,99))))</f>
      </c>
      <c r="H34" s="54">
        <f>IF(OR($A34="",H$5="",TRIM(Mitarbeiter!$E$33)="",NOT(ISNUMBER(Mitarbeiter!$F$33))),"",IF(TRIM(MID(SUBSTITUTE(TRIM(Mitarbeiter!$E$33)," ",REPT(" ",99)),((MOD(H$5-Mitarbeiter!$F$33,(LEN(TRIM(Mitarbeiter!$E$33))-LEN(SUBSTITUTE(TRIM(Mitarbeiter!$E$33)," ",""))+1))+1)-1)*99+1,99))="-","",TRIM(MID(SUBSTITUTE(TRIM(Mitarbeiter!$E$33)," ",REPT(" ",99)),((MOD(H$5-Mitarbeiter!$F$33,(LEN(TRIM(Mitarbeiter!$E$33))-LEN(SUBSTITUTE(TRIM(Mitarbeiter!$E$33)," ",""))+1))+1)-1)*99+1,99))))</f>
      </c>
      <c r="I34" s="54">
        <f>IF(OR($A34="",I$5="",TRIM(Mitarbeiter!$E$33)="",NOT(ISNUMBER(Mitarbeiter!$F$33))),"",IF(TRIM(MID(SUBSTITUTE(TRIM(Mitarbeiter!$E$33)," ",REPT(" ",99)),((MOD(I$5-Mitarbeiter!$F$33,(LEN(TRIM(Mitarbeiter!$E$33))-LEN(SUBSTITUTE(TRIM(Mitarbeiter!$E$33)," ",""))+1))+1)-1)*99+1,99))="-","",TRIM(MID(SUBSTITUTE(TRIM(Mitarbeiter!$E$33)," ",REPT(" ",99)),((MOD(I$5-Mitarbeiter!$F$33,(LEN(TRIM(Mitarbeiter!$E$33))-LEN(SUBSTITUTE(TRIM(Mitarbeiter!$E$33)," ",""))+1))+1)-1)*99+1,99))))</f>
      </c>
      <c r="J34" s="54">
        <f>IF(OR($A34="",J$5="",TRIM(Mitarbeiter!$E$33)="",NOT(ISNUMBER(Mitarbeiter!$F$33))),"",IF(TRIM(MID(SUBSTITUTE(TRIM(Mitarbeiter!$E$33)," ",REPT(" ",99)),((MOD(J$5-Mitarbeiter!$F$33,(LEN(TRIM(Mitarbeiter!$E$33))-LEN(SUBSTITUTE(TRIM(Mitarbeiter!$E$33)," ",""))+1))+1)-1)*99+1,99))="-","",TRIM(MID(SUBSTITUTE(TRIM(Mitarbeiter!$E$33)," ",REPT(" ",99)),((MOD(J$5-Mitarbeiter!$F$33,(LEN(TRIM(Mitarbeiter!$E$33))-LEN(SUBSTITUTE(TRIM(Mitarbeiter!$E$33)," ",""))+1))+1)-1)*99+1,99))))</f>
      </c>
      <c r="K34" s="54">
        <f>IF(OR($A34="",K$5="",TRIM(Mitarbeiter!$E$33)="",NOT(ISNUMBER(Mitarbeiter!$F$33))),"",IF(TRIM(MID(SUBSTITUTE(TRIM(Mitarbeiter!$E$33)," ",REPT(" ",99)),((MOD(K$5-Mitarbeiter!$F$33,(LEN(TRIM(Mitarbeiter!$E$33))-LEN(SUBSTITUTE(TRIM(Mitarbeiter!$E$33)," ",""))+1))+1)-1)*99+1,99))="-","",TRIM(MID(SUBSTITUTE(TRIM(Mitarbeiter!$E$33)," ",REPT(" ",99)),((MOD(K$5-Mitarbeiter!$F$33,(LEN(TRIM(Mitarbeiter!$E$33))-LEN(SUBSTITUTE(TRIM(Mitarbeiter!$E$33)," ",""))+1))+1)-1)*99+1,99))))</f>
      </c>
      <c r="L34" s="54">
        <f>IF(OR($A34="",L$5="",TRIM(Mitarbeiter!$E$33)="",NOT(ISNUMBER(Mitarbeiter!$F$33))),"",IF(TRIM(MID(SUBSTITUTE(TRIM(Mitarbeiter!$E$33)," ",REPT(" ",99)),((MOD(L$5-Mitarbeiter!$F$33,(LEN(TRIM(Mitarbeiter!$E$33))-LEN(SUBSTITUTE(TRIM(Mitarbeiter!$E$33)," ",""))+1))+1)-1)*99+1,99))="-","",TRIM(MID(SUBSTITUTE(TRIM(Mitarbeiter!$E$33)," ",REPT(" ",99)),((MOD(L$5-Mitarbeiter!$F$33,(LEN(TRIM(Mitarbeiter!$E$33))-LEN(SUBSTITUTE(TRIM(Mitarbeiter!$E$33)," ",""))+1))+1)-1)*99+1,99))))</f>
      </c>
      <c r="M34" s="54">
        <f>IF(OR($A34="",M$5="",TRIM(Mitarbeiter!$E$33)="",NOT(ISNUMBER(Mitarbeiter!$F$33))),"",IF(TRIM(MID(SUBSTITUTE(TRIM(Mitarbeiter!$E$33)," ",REPT(" ",99)),((MOD(M$5-Mitarbeiter!$F$33,(LEN(TRIM(Mitarbeiter!$E$33))-LEN(SUBSTITUTE(TRIM(Mitarbeiter!$E$33)," ",""))+1))+1)-1)*99+1,99))="-","",TRIM(MID(SUBSTITUTE(TRIM(Mitarbeiter!$E$33)," ",REPT(" ",99)),((MOD(M$5-Mitarbeiter!$F$33,(LEN(TRIM(Mitarbeiter!$E$33))-LEN(SUBSTITUTE(TRIM(Mitarbeiter!$E$33)," ",""))+1))+1)-1)*99+1,99))))</f>
      </c>
      <c r="N34" s="54">
        <f>IF(OR($A34="",N$5="",TRIM(Mitarbeiter!$E$33)="",NOT(ISNUMBER(Mitarbeiter!$F$33))),"",IF(TRIM(MID(SUBSTITUTE(TRIM(Mitarbeiter!$E$33)," ",REPT(" ",99)),((MOD(N$5-Mitarbeiter!$F$33,(LEN(TRIM(Mitarbeiter!$E$33))-LEN(SUBSTITUTE(TRIM(Mitarbeiter!$E$33)," ",""))+1))+1)-1)*99+1,99))="-","",TRIM(MID(SUBSTITUTE(TRIM(Mitarbeiter!$E$33)," ",REPT(" ",99)),((MOD(N$5-Mitarbeiter!$F$33,(LEN(TRIM(Mitarbeiter!$E$33))-LEN(SUBSTITUTE(TRIM(Mitarbeiter!$E$33)," ",""))+1))+1)-1)*99+1,99))))</f>
      </c>
      <c r="O34" s="54">
        <f>IF(OR($A34="",O$5="",TRIM(Mitarbeiter!$E$33)="",NOT(ISNUMBER(Mitarbeiter!$F$33))),"",IF(TRIM(MID(SUBSTITUTE(TRIM(Mitarbeiter!$E$33)," ",REPT(" ",99)),((MOD(O$5-Mitarbeiter!$F$33,(LEN(TRIM(Mitarbeiter!$E$33))-LEN(SUBSTITUTE(TRIM(Mitarbeiter!$E$33)," ",""))+1))+1)-1)*99+1,99))="-","",TRIM(MID(SUBSTITUTE(TRIM(Mitarbeiter!$E$33)," ",REPT(" ",99)),((MOD(O$5-Mitarbeiter!$F$33,(LEN(TRIM(Mitarbeiter!$E$33))-LEN(SUBSTITUTE(TRIM(Mitarbeiter!$E$33)," ",""))+1))+1)-1)*99+1,99))))</f>
      </c>
      <c r="P34" s="54">
        <f>IF(OR($A34="",P$5="",TRIM(Mitarbeiter!$E$33)="",NOT(ISNUMBER(Mitarbeiter!$F$33))),"",IF(TRIM(MID(SUBSTITUTE(TRIM(Mitarbeiter!$E$33)," ",REPT(" ",99)),((MOD(P$5-Mitarbeiter!$F$33,(LEN(TRIM(Mitarbeiter!$E$33))-LEN(SUBSTITUTE(TRIM(Mitarbeiter!$E$33)," ",""))+1))+1)-1)*99+1,99))="-","",TRIM(MID(SUBSTITUTE(TRIM(Mitarbeiter!$E$33)," ",REPT(" ",99)),((MOD(P$5-Mitarbeiter!$F$33,(LEN(TRIM(Mitarbeiter!$E$33))-LEN(SUBSTITUTE(TRIM(Mitarbeiter!$E$33)," ",""))+1))+1)-1)*99+1,99))))</f>
      </c>
      <c r="Q34" s="54">
        <f>IF(OR($A34="",Q$5="",TRIM(Mitarbeiter!$E$33)="",NOT(ISNUMBER(Mitarbeiter!$F$33))),"",IF(TRIM(MID(SUBSTITUTE(TRIM(Mitarbeiter!$E$33)," ",REPT(" ",99)),((MOD(Q$5-Mitarbeiter!$F$33,(LEN(TRIM(Mitarbeiter!$E$33))-LEN(SUBSTITUTE(TRIM(Mitarbeiter!$E$33)," ",""))+1))+1)-1)*99+1,99))="-","",TRIM(MID(SUBSTITUTE(TRIM(Mitarbeiter!$E$33)," ",REPT(" ",99)),((MOD(Q$5-Mitarbeiter!$F$33,(LEN(TRIM(Mitarbeiter!$E$33))-LEN(SUBSTITUTE(TRIM(Mitarbeiter!$E$33)," ",""))+1))+1)-1)*99+1,99))))</f>
      </c>
      <c r="R34" s="54">
        <f>IF(OR($A34="",R$5="",TRIM(Mitarbeiter!$E$33)="",NOT(ISNUMBER(Mitarbeiter!$F$33))),"",IF(TRIM(MID(SUBSTITUTE(TRIM(Mitarbeiter!$E$33)," ",REPT(" ",99)),((MOD(R$5-Mitarbeiter!$F$33,(LEN(TRIM(Mitarbeiter!$E$33))-LEN(SUBSTITUTE(TRIM(Mitarbeiter!$E$33)," ",""))+1))+1)-1)*99+1,99))="-","",TRIM(MID(SUBSTITUTE(TRIM(Mitarbeiter!$E$33)," ",REPT(" ",99)),((MOD(R$5-Mitarbeiter!$F$33,(LEN(TRIM(Mitarbeiter!$E$33))-LEN(SUBSTITUTE(TRIM(Mitarbeiter!$E$33)," ",""))+1))+1)-1)*99+1,99))))</f>
      </c>
      <c r="S34" s="54">
        <f>IF(OR($A34="",S$5="",TRIM(Mitarbeiter!$E$33)="",NOT(ISNUMBER(Mitarbeiter!$F$33))),"",IF(TRIM(MID(SUBSTITUTE(TRIM(Mitarbeiter!$E$33)," ",REPT(" ",99)),((MOD(S$5-Mitarbeiter!$F$33,(LEN(TRIM(Mitarbeiter!$E$33))-LEN(SUBSTITUTE(TRIM(Mitarbeiter!$E$33)," ",""))+1))+1)-1)*99+1,99))="-","",TRIM(MID(SUBSTITUTE(TRIM(Mitarbeiter!$E$33)," ",REPT(" ",99)),((MOD(S$5-Mitarbeiter!$F$33,(LEN(TRIM(Mitarbeiter!$E$33))-LEN(SUBSTITUTE(TRIM(Mitarbeiter!$E$33)," ",""))+1))+1)-1)*99+1,99))))</f>
      </c>
      <c r="T34" s="54">
        <f>IF(OR($A34="",T$5="",TRIM(Mitarbeiter!$E$33)="",NOT(ISNUMBER(Mitarbeiter!$F$33))),"",IF(TRIM(MID(SUBSTITUTE(TRIM(Mitarbeiter!$E$33)," ",REPT(" ",99)),((MOD(T$5-Mitarbeiter!$F$33,(LEN(TRIM(Mitarbeiter!$E$33))-LEN(SUBSTITUTE(TRIM(Mitarbeiter!$E$33)," ",""))+1))+1)-1)*99+1,99))="-","",TRIM(MID(SUBSTITUTE(TRIM(Mitarbeiter!$E$33)," ",REPT(" ",99)),((MOD(T$5-Mitarbeiter!$F$33,(LEN(TRIM(Mitarbeiter!$E$33))-LEN(SUBSTITUTE(TRIM(Mitarbeiter!$E$33)," ",""))+1))+1)-1)*99+1,99))))</f>
      </c>
      <c r="U34" s="54">
        <f>IF(OR($A34="",U$5="",TRIM(Mitarbeiter!$E$33)="",NOT(ISNUMBER(Mitarbeiter!$F$33))),"",IF(TRIM(MID(SUBSTITUTE(TRIM(Mitarbeiter!$E$33)," ",REPT(" ",99)),((MOD(U$5-Mitarbeiter!$F$33,(LEN(TRIM(Mitarbeiter!$E$33))-LEN(SUBSTITUTE(TRIM(Mitarbeiter!$E$33)," ",""))+1))+1)-1)*99+1,99))="-","",TRIM(MID(SUBSTITUTE(TRIM(Mitarbeiter!$E$33)," ",REPT(" ",99)),((MOD(U$5-Mitarbeiter!$F$33,(LEN(TRIM(Mitarbeiter!$E$33))-LEN(SUBSTITUTE(TRIM(Mitarbeiter!$E$33)," ",""))+1))+1)-1)*99+1,99))))</f>
      </c>
      <c r="V34" s="54">
        <f>IF(OR($A34="",V$5="",TRIM(Mitarbeiter!$E$33)="",NOT(ISNUMBER(Mitarbeiter!$F$33))),"",IF(TRIM(MID(SUBSTITUTE(TRIM(Mitarbeiter!$E$33)," ",REPT(" ",99)),((MOD(V$5-Mitarbeiter!$F$33,(LEN(TRIM(Mitarbeiter!$E$33))-LEN(SUBSTITUTE(TRIM(Mitarbeiter!$E$33)," ",""))+1))+1)-1)*99+1,99))="-","",TRIM(MID(SUBSTITUTE(TRIM(Mitarbeiter!$E$33)," ",REPT(" ",99)),((MOD(V$5-Mitarbeiter!$F$33,(LEN(TRIM(Mitarbeiter!$E$33))-LEN(SUBSTITUTE(TRIM(Mitarbeiter!$E$33)," ",""))+1))+1)-1)*99+1,99))))</f>
      </c>
      <c r="W34" s="54">
        <f>IF(OR($A34="",W$5="",TRIM(Mitarbeiter!$E$33)="",NOT(ISNUMBER(Mitarbeiter!$F$33))),"",IF(TRIM(MID(SUBSTITUTE(TRIM(Mitarbeiter!$E$33)," ",REPT(" ",99)),((MOD(W$5-Mitarbeiter!$F$33,(LEN(TRIM(Mitarbeiter!$E$33))-LEN(SUBSTITUTE(TRIM(Mitarbeiter!$E$33)," ",""))+1))+1)-1)*99+1,99))="-","",TRIM(MID(SUBSTITUTE(TRIM(Mitarbeiter!$E$33)," ",REPT(" ",99)),((MOD(W$5-Mitarbeiter!$F$33,(LEN(TRIM(Mitarbeiter!$E$33))-LEN(SUBSTITUTE(TRIM(Mitarbeiter!$E$33)," ",""))+1))+1)-1)*99+1,99))))</f>
      </c>
      <c r="X34" s="54">
        <f>IF(OR($A34="",X$5="",TRIM(Mitarbeiter!$E$33)="",NOT(ISNUMBER(Mitarbeiter!$F$33))),"",IF(TRIM(MID(SUBSTITUTE(TRIM(Mitarbeiter!$E$33)," ",REPT(" ",99)),((MOD(X$5-Mitarbeiter!$F$33,(LEN(TRIM(Mitarbeiter!$E$33))-LEN(SUBSTITUTE(TRIM(Mitarbeiter!$E$33)," ",""))+1))+1)-1)*99+1,99))="-","",TRIM(MID(SUBSTITUTE(TRIM(Mitarbeiter!$E$33)," ",REPT(" ",99)),((MOD(X$5-Mitarbeiter!$F$33,(LEN(TRIM(Mitarbeiter!$E$33))-LEN(SUBSTITUTE(TRIM(Mitarbeiter!$E$33)," ",""))+1))+1)-1)*99+1,99))))</f>
      </c>
      <c r="Y34" s="54">
        <f>IF(OR($A34="",Y$5="",TRIM(Mitarbeiter!$E$33)="",NOT(ISNUMBER(Mitarbeiter!$F$33))),"",IF(TRIM(MID(SUBSTITUTE(TRIM(Mitarbeiter!$E$33)," ",REPT(" ",99)),((MOD(Y$5-Mitarbeiter!$F$33,(LEN(TRIM(Mitarbeiter!$E$33))-LEN(SUBSTITUTE(TRIM(Mitarbeiter!$E$33)," ",""))+1))+1)-1)*99+1,99))="-","",TRIM(MID(SUBSTITUTE(TRIM(Mitarbeiter!$E$33)," ",REPT(" ",99)),((MOD(Y$5-Mitarbeiter!$F$33,(LEN(TRIM(Mitarbeiter!$E$33))-LEN(SUBSTITUTE(TRIM(Mitarbeiter!$E$33)," ",""))+1))+1)-1)*99+1,99))))</f>
      </c>
      <c r="Z34" s="54">
        <f>IF(OR($A34="",Z$5="",TRIM(Mitarbeiter!$E$33)="",NOT(ISNUMBER(Mitarbeiter!$F$33))),"",IF(TRIM(MID(SUBSTITUTE(TRIM(Mitarbeiter!$E$33)," ",REPT(" ",99)),((MOD(Z$5-Mitarbeiter!$F$33,(LEN(TRIM(Mitarbeiter!$E$33))-LEN(SUBSTITUTE(TRIM(Mitarbeiter!$E$33)," ",""))+1))+1)-1)*99+1,99))="-","",TRIM(MID(SUBSTITUTE(TRIM(Mitarbeiter!$E$33)," ",REPT(" ",99)),((MOD(Z$5-Mitarbeiter!$F$33,(LEN(TRIM(Mitarbeiter!$E$33))-LEN(SUBSTITUTE(TRIM(Mitarbeiter!$E$33)," ",""))+1))+1)-1)*99+1,99))))</f>
      </c>
      <c r="AA34" s="54">
        <f>IF(OR($A34="",AA$5="",TRIM(Mitarbeiter!$E$33)="",NOT(ISNUMBER(Mitarbeiter!$F$33))),"",IF(TRIM(MID(SUBSTITUTE(TRIM(Mitarbeiter!$E$33)," ",REPT(" ",99)),((MOD(AA$5-Mitarbeiter!$F$33,(LEN(TRIM(Mitarbeiter!$E$33))-LEN(SUBSTITUTE(TRIM(Mitarbeiter!$E$33)," ",""))+1))+1)-1)*99+1,99))="-","",TRIM(MID(SUBSTITUTE(TRIM(Mitarbeiter!$E$33)," ",REPT(" ",99)),((MOD(AA$5-Mitarbeiter!$F$33,(LEN(TRIM(Mitarbeiter!$E$33))-LEN(SUBSTITUTE(TRIM(Mitarbeiter!$E$33)," ",""))+1))+1)-1)*99+1,99))))</f>
      </c>
      <c r="AB34" s="54">
        <f>IF(OR($A34="",AB$5="",TRIM(Mitarbeiter!$E$33)="",NOT(ISNUMBER(Mitarbeiter!$F$33))),"",IF(TRIM(MID(SUBSTITUTE(TRIM(Mitarbeiter!$E$33)," ",REPT(" ",99)),((MOD(AB$5-Mitarbeiter!$F$33,(LEN(TRIM(Mitarbeiter!$E$33))-LEN(SUBSTITUTE(TRIM(Mitarbeiter!$E$33)," ",""))+1))+1)-1)*99+1,99))="-","",TRIM(MID(SUBSTITUTE(TRIM(Mitarbeiter!$E$33)," ",REPT(" ",99)),((MOD(AB$5-Mitarbeiter!$F$33,(LEN(TRIM(Mitarbeiter!$E$33))-LEN(SUBSTITUTE(TRIM(Mitarbeiter!$E$33)," ",""))+1))+1)-1)*99+1,99))))</f>
      </c>
      <c r="AC34" s="54">
        <f>IF(OR($A34="",AC$5="",TRIM(Mitarbeiter!$E$33)="",NOT(ISNUMBER(Mitarbeiter!$F$33))),"",IF(TRIM(MID(SUBSTITUTE(TRIM(Mitarbeiter!$E$33)," ",REPT(" ",99)),((MOD(AC$5-Mitarbeiter!$F$33,(LEN(TRIM(Mitarbeiter!$E$33))-LEN(SUBSTITUTE(TRIM(Mitarbeiter!$E$33)," ",""))+1))+1)-1)*99+1,99))="-","",TRIM(MID(SUBSTITUTE(TRIM(Mitarbeiter!$E$33)," ",REPT(" ",99)),((MOD(AC$5-Mitarbeiter!$F$33,(LEN(TRIM(Mitarbeiter!$E$33))-LEN(SUBSTITUTE(TRIM(Mitarbeiter!$E$33)," ",""))+1))+1)-1)*99+1,99))))</f>
      </c>
      <c r="AD34" s="54">
        <f>IF(OR($A34="",AD$5="",TRIM(Mitarbeiter!$E$33)="",NOT(ISNUMBER(Mitarbeiter!$F$33))),"",IF(TRIM(MID(SUBSTITUTE(TRIM(Mitarbeiter!$E$33)," ",REPT(" ",99)),((MOD(AD$5-Mitarbeiter!$F$33,(LEN(TRIM(Mitarbeiter!$E$33))-LEN(SUBSTITUTE(TRIM(Mitarbeiter!$E$33)," ",""))+1))+1)-1)*99+1,99))="-","",TRIM(MID(SUBSTITUTE(TRIM(Mitarbeiter!$E$33)," ",REPT(" ",99)),((MOD(AD$5-Mitarbeiter!$F$33,(LEN(TRIM(Mitarbeiter!$E$33))-LEN(SUBSTITUTE(TRIM(Mitarbeiter!$E$33)," ",""))+1))+1)-1)*99+1,99))))</f>
      </c>
      <c r="AE34" s="54">
        <f>IF(OR($A34="",AE$5="",TRIM(Mitarbeiter!$E$33)="",NOT(ISNUMBER(Mitarbeiter!$F$33))),"",IF(TRIM(MID(SUBSTITUTE(TRIM(Mitarbeiter!$E$33)," ",REPT(" ",99)),((MOD(AE$5-Mitarbeiter!$F$33,(LEN(TRIM(Mitarbeiter!$E$33))-LEN(SUBSTITUTE(TRIM(Mitarbeiter!$E$33)," ",""))+1))+1)-1)*99+1,99))="-","",TRIM(MID(SUBSTITUTE(TRIM(Mitarbeiter!$E$33)," ",REPT(" ",99)),((MOD(AE$5-Mitarbeiter!$F$33,(LEN(TRIM(Mitarbeiter!$E$33))-LEN(SUBSTITUTE(TRIM(Mitarbeiter!$E$33)," ",""))+1))+1)-1)*99+1,99))))</f>
      </c>
      <c r="AF34" s="54">
        <f>IF(OR($A34="",AF$5="",TRIM(Mitarbeiter!$E$33)="",NOT(ISNUMBER(Mitarbeiter!$F$33))),"",IF(TRIM(MID(SUBSTITUTE(TRIM(Mitarbeiter!$E$33)," ",REPT(" ",99)),((MOD(AF$5-Mitarbeiter!$F$33,(LEN(TRIM(Mitarbeiter!$E$33))-LEN(SUBSTITUTE(TRIM(Mitarbeiter!$E$33)," ",""))+1))+1)-1)*99+1,99))="-","",TRIM(MID(SUBSTITUTE(TRIM(Mitarbeiter!$E$33)," ",REPT(" ",99)),((MOD(AF$5-Mitarbeiter!$F$33,(LEN(TRIM(Mitarbeiter!$E$33))-LEN(SUBSTITUTE(TRIM(Mitarbeiter!$E$33)," ",""))+1))+1)-1)*99+1,99))))</f>
      </c>
      <c r="AG34" s="55">
        <f>IF(OR($A34="",TRIM(Mitarbeiter!$E$33)=""),"",IF(NOT(ISNUMBER(Mitarbeiter!$F$33)),"Rhythmus ab: Datum fehlt",IF(COUNTIF(B34:AF34,"?*")-SUMPRODUCT(COUNTIF(B34:AF34,Codes)*(Codes&lt;&gt;"")*Erste)&gt;0,"Rhythmus enthält ein unbekanntes Kürzel","")))</f>
      </c>
    </row>
    <row r="35" spans="1:33" x14ac:dyDescent="0.25">
      <c r="A35" s="49">
        <f>Mitarbeiter!$A$34&amp;""</f>
      </c>
      <c r="B35" s="54">
        <f>IF(OR($A35="",B$5="",TRIM(Mitarbeiter!$E$34)="",NOT(ISNUMBER(Mitarbeiter!$F$34))),"",IF(TRIM(MID(SUBSTITUTE(TRIM(Mitarbeiter!$E$34)," ",REPT(" ",99)),((MOD(B$5-Mitarbeiter!$F$34,(LEN(TRIM(Mitarbeiter!$E$34))-LEN(SUBSTITUTE(TRIM(Mitarbeiter!$E$34)," ",""))+1))+1)-1)*99+1,99))="-","",TRIM(MID(SUBSTITUTE(TRIM(Mitarbeiter!$E$34)," ",REPT(" ",99)),((MOD(B$5-Mitarbeiter!$F$34,(LEN(TRIM(Mitarbeiter!$E$34))-LEN(SUBSTITUTE(TRIM(Mitarbeiter!$E$34)," ",""))+1))+1)-1)*99+1,99))))</f>
      </c>
      <c r="C35" s="54">
        <f>IF(OR($A35="",C$5="",TRIM(Mitarbeiter!$E$34)="",NOT(ISNUMBER(Mitarbeiter!$F$34))),"",IF(TRIM(MID(SUBSTITUTE(TRIM(Mitarbeiter!$E$34)," ",REPT(" ",99)),((MOD(C$5-Mitarbeiter!$F$34,(LEN(TRIM(Mitarbeiter!$E$34))-LEN(SUBSTITUTE(TRIM(Mitarbeiter!$E$34)," ",""))+1))+1)-1)*99+1,99))="-","",TRIM(MID(SUBSTITUTE(TRIM(Mitarbeiter!$E$34)," ",REPT(" ",99)),((MOD(C$5-Mitarbeiter!$F$34,(LEN(TRIM(Mitarbeiter!$E$34))-LEN(SUBSTITUTE(TRIM(Mitarbeiter!$E$34)," ",""))+1))+1)-1)*99+1,99))))</f>
      </c>
      <c r="D35" s="54">
        <f>IF(OR($A35="",D$5="",TRIM(Mitarbeiter!$E$34)="",NOT(ISNUMBER(Mitarbeiter!$F$34))),"",IF(TRIM(MID(SUBSTITUTE(TRIM(Mitarbeiter!$E$34)," ",REPT(" ",99)),((MOD(D$5-Mitarbeiter!$F$34,(LEN(TRIM(Mitarbeiter!$E$34))-LEN(SUBSTITUTE(TRIM(Mitarbeiter!$E$34)," ",""))+1))+1)-1)*99+1,99))="-","",TRIM(MID(SUBSTITUTE(TRIM(Mitarbeiter!$E$34)," ",REPT(" ",99)),((MOD(D$5-Mitarbeiter!$F$34,(LEN(TRIM(Mitarbeiter!$E$34))-LEN(SUBSTITUTE(TRIM(Mitarbeiter!$E$34)," ",""))+1))+1)-1)*99+1,99))))</f>
      </c>
      <c r="E35" s="54">
        <f>IF(OR($A35="",E$5="",TRIM(Mitarbeiter!$E$34)="",NOT(ISNUMBER(Mitarbeiter!$F$34))),"",IF(TRIM(MID(SUBSTITUTE(TRIM(Mitarbeiter!$E$34)," ",REPT(" ",99)),((MOD(E$5-Mitarbeiter!$F$34,(LEN(TRIM(Mitarbeiter!$E$34))-LEN(SUBSTITUTE(TRIM(Mitarbeiter!$E$34)," ",""))+1))+1)-1)*99+1,99))="-","",TRIM(MID(SUBSTITUTE(TRIM(Mitarbeiter!$E$34)," ",REPT(" ",99)),((MOD(E$5-Mitarbeiter!$F$34,(LEN(TRIM(Mitarbeiter!$E$34))-LEN(SUBSTITUTE(TRIM(Mitarbeiter!$E$34)," ",""))+1))+1)-1)*99+1,99))))</f>
      </c>
      <c r="F35" s="54">
        <f>IF(OR($A35="",F$5="",TRIM(Mitarbeiter!$E$34)="",NOT(ISNUMBER(Mitarbeiter!$F$34))),"",IF(TRIM(MID(SUBSTITUTE(TRIM(Mitarbeiter!$E$34)," ",REPT(" ",99)),((MOD(F$5-Mitarbeiter!$F$34,(LEN(TRIM(Mitarbeiter!$E$34))-LEN(SUBSTITUTE(TRIM(Mitarbeiter!$E$34)," ",""))+1))+1)-1)*99+1,99))="-","",TRIM(MID(SUBSTITUTE(TRIM(Mitarbeiter!$E$34)," ",REPT(" ",99)),((MOD(F$5-Mitarbeiter!$F$34,(LEN(TRIM(Mitarbeiter!$E$34))-LEN(SUBSTITUTE(TRIM(Mitarbeiter!$E$34)," ",""))+1))+1)-1)*99+1,99))))</f>
      </c>
      <c r="G35" s="54">
        <f>IF(OR($A35="",G$5="",TRIM(Mitarbeiter!$E$34)="",NOT(ISNUMBER(Mitarbeiter!$F$34))),"",IF(TRIM(MID(SUBSTITUTE(TRIM(Mitarbeiter!$E$34)," ",REPT(" ",99)),((MOD(G$5-Mitarbeiter!$F$34,(LEN(TRIM(Mitarbeiter!$E$34))-LEN(SUBSTITUTE(TRIM(Mitarbeiter!$E$34)," ",""))+1))+1)-1)*99+1,99))="-","",TRIM(MID(SUBSTITUTE(TRIM(Mitarbeiter!$E$34)," ",REPT(" ",99)),((MOD(G$5-Mitarbeiter!$F$34,(LEN(TRIM(Mitarbeiter!$E$34))-LEN(SUBSTITUTE(TRIM(Mitarbeiter!$E$34)," ",""))+1))+1)-1)*99+1,99))))</f>
      </c>
      <c r="H35" s="54">
        <f>IF(OR($A35="",H$5="",TRIM(Mitarbeiter!$E$34)="",NOT(ISNUMBER(Mitarbeiter!$F$34))),"",IF(TRIM(MID(SUBSTITUTE(TRIM(Mitarbeiter!$E$34)," ",REPT(" ",99)),((MOD(H$5-Mitarbeiter!$F$34,(LEN(TRIM(Mitarbeiter!$E$34))-LEN(SUBSTITUTE(TRIM(Mitarbeiter!$E$34)," ",""))+1))+1)-1)*99+1,99))="-","",TRIM(MID(SUBSTITUTE(TRIM(Mitarbeiter!$E$34)," ",REPT(" ",99)),((MOD(H$5-Mitarbeiter!$F$34,(LEN(TRIM(Mitarbeiter!$E$34))-LEN(SUBSTITUTE(TRIM(Mitarbeiter!$E$34)," ",""))+1))+1)-1)*99+1,99))))</f>
      </c>
      <c r="I35" s="54">
        <f>IF(OR($A35="",I$5="",TRIM(Mitarbeiter!$E$34)="",NOT(ISNUMBER(Mitarbeiter!$F$34))),"",IF(TRIM(MID(SUBSTITUTE(TRIM(Mitarbeiter!$E$34)," ",REPT(" ",99)),((MOD(I$5-Mitarbeiter!$F$34,(LEN(TRIM(Mitarbeiter!$E$34))-LEN(SUBSTITUTE(TRIM(Mitarbeiter!$E$34)," ",""))+1))+1)-1)*99+1,99))="-","",TRIM(MID(SUBSTITUTE(TRIM(Mitarbeiter!$E$34)," ",REPT(" ",99)),((MOD(I$5-Mitarbeiter!$F$34,(LEN(TRIM(Mitarbeiter!$E$34))-LEN(SUBSTITUTE(TRIM(Mitarbeiter!$E$34)," ",""))+1))+1)-1)*99+1,99))))</f>
      </c>
      <c r="J35" s="54">
        <f>IF(OR($A35="",J$5="",TRIM(Mitarbeiter!$E$34)="",NOT(ISNUMBER(Mitarbeiter!$F$34))),"",IF(TRIM(MID(SUBSTITUTE(TRIM(Mitarbeiter!$E$34)," ",REPT(" ",99)),((MOD(J$5-Mitarbeiter!$F$34,(LEN(TRIM(Mitarbeiter!$E$34))-LEN(SUBSTITUTE(TRIM(Mitarbeiter!$E$34)," ",""))+1))+1)-1)*99+1,99))="-","",TRIM(MID(SUBSTITUTE(TRIM(Mitarbeiter!$E$34)," ",REPT(" ",99)),((MOD(J$5-Mitarbeiter!$F$34,(LEN(TRIM(Mitarbeiter!$E$34))-LEN(SUBSTITUTE(TRIM(Mitarbeiter!$E$34)," ",""))+1))+1)-1)*99+1,99))))</f>
      </c>
      <c r="K35" s="54">
        <f>IF(OR($A35="",K$5="",TRIM(Mitarbeiter!$E$34)="",NOT(ISNUMBER(Mitarbeiter!$F$34))),"",IF(TRIM(MID(SUBSTITUTE(TRIM(Mitarbeiter!$E$34)," ",REPT(" ",99)),((MOD(K$5-Mitarbeiter!$F$34,(LEN(TRIM(Mitarbeiter!$E$34))-LEN(SUBSTITUTE(TRIM(Mitarbeiter!$E$34)," ",""))+1))+1)-1)*99+1,99))="-","",TRIM(MID(SUBSTITUTE(TRIM(Mitarbeiter!$E$34)," ",REPT(" ",99)),((MOD(K$5-Mitarbeiter!$F$34,(LEN(TRIM(Mitarbeiter!$E$34))-LEN(SUBSTITUTE(TRIM(Mitarbeiter!$E$34)," ",""))+1))+1)-1)*99+1,99))))</f>
      </c>
      <c r="L35" s="54">
        <f>IF(OR($A35="",L$5="",TRIM(Mitarbeiter!$E$34)="",NOT(ISNUMBER(Mitarbeiter!$F$34))),"",IF(TRIM(MID(SUBSTITUTE(TRIM(Mitarbeiter!$E$34)," ",REPT(" ",99)),((MOD(L$5-Mitarbeiter!$F$34,(LEN(TRIM(Mitarbeiter!$E$34))-LEN(SUBSTITUTE(TRIM(Mitarbeiter!$E$34)," ",""))+1))+1)-1)*99+1,99))="-","",TRIM(MID(SUBSTITUTE(TRIM(Mitarbeiter!$E$34)," ",REPT(" ",99)),((MOD(L$5-Mitarbeiter!$F$34,(LEN(TRIM(Mitarbeiter!$E$34))-LEN(SUBSTITUTE(TRIM(Mitarbeiter!$E$34)," ",""))+1))+1)-1)*99+1,99))))</f>
      </c>
      <c r="M35" s="54">
        <f>IF(OR($A35="",M$5="",TRIM(Mitarbeiter!$E$34)="",NOT(ISNUMBER(Mitarbeiter!$F$34))),"",IF(TRIM(MID(SUBSTITUTE(TRIM(Mitarbeiter!$E$34)," ",REPT(" ",99)),((MOD(M$5-Mitarbeiter!$F$34,(LEN(TRIM(Mitarbeiter!$E$34))-LEN(SUBSTITUTE(TRIM(Mitarbeiter!$E$34)," ",""))+1))+1)-1)*99+1,99))="-","",TRIM(MID(SUBSTITUTE(TRIM(Mitarbeiter!$E$34)," ",REPT(" ",99)),((MOD(M$5-Mitarbeiter!$F$34,(LEN(TRIM(Mitarbeiter!$E$34))-LEN(SUBSTITUTE(TRIM(Mitarbeiter!$E$34)," ",""))+1))+1)-1)*99+1,99))))</f>
      </c>
      <c r="N35" s="54">
        <f>IF(OR($A35="",N$5="",TRIM(Mitarbeiter!$E$34)="",NOT(ISNUMBER(Mitarbeiter!$F$34))),"",IF(TRIM(MID(SUBSTITUTE(TRIM(Mitarbeiter!$E$34)," ",REPT(" ",99)),((MOD(N$5-Mitarbeiter!$F$34,(LEN(TRIM(Mitarbeiter!$E$34))-LEN(SUBSTITUTE(TRIM(Mitarbeiter!$E$34)," ",""))+1))+1)-1)*99+1,99))="-","",TRIM(MID(SUBSTITUTE(TRIM(Mitarbeiter!$E$34)," ",REPT(" ",99)),((MOD(N$5-Mitarbeiter!$F$34,(LEN(TRIM(Mitarbeiter!$E$34))-LEN(SUBSTITUTE(TRIM(Mitarbeiter!$E$34)," ",""))+1))+1)-1)*99+1,99))))</f>
      </c>
      <c r="O35" s="54">
        <f>IF(OR($A35="",O$5="",TRIM(Mitarbeiter!$E$34)="",NOT(ISNUMBER(Mitarbeiter!$F$34))),"",IF(TRIM(MID(SUBSTITUTE(TRIM(Mitarbeiter!$E$34)," ",REPT(" ",99)),((MOD(O$5-Mitarbeiter!$F$34,(LEN(TRIM(Mitarbeiter!$E$34))-LEN(SUBSTITUTE(TRIM(Mitarbeiter!$E$34)," ",""))+1))+1)-1)*99+1,99))="-","",TRIM(MID(SUBSTITUTE(TRIM(Mitarbeiter!$E$34)," ",REPT(" ",99)),((MOD(O$5-Mitarbeiter!$F$34,(LEN(TRIM(Mitarbeiter!$E$34))-LEN(SUBSTITUTE(TRIM(Mitarbeiter!$E$34)," ",""))+1))+1)-1)*99+1,99))))</f>
      </c>
      <c r="P35" s="54">
        <f>IF(OR($A35="",P$5="",TRIM(Mitarbeiter!$E$34)="",NOT(ISNUMBER(Mitarbeiter!$F$34))),"",IF(TRIM(MID(SUBSTITUTE(TRIM(Mitarbeiter!$E$34)," ",REPT(" ",99)),((MOD(P$5-Mitarbeiter!$F$34,(LEN(TRIM(Mitarbeiter!$E$34))-LEN(SUBSTITUTE(TRIM(Mitarbeiter!$E$34)," ",""))+1))+1)-1)*99+1,99))="-","",TRIM(MID(SUBSTITUTE(TRIM(Mitarbeiter!$E$34)," ",REPT(" ",99)),((MOD(P$5-Mitarbeiter!$F$34,(LEN(TRIM(Mitarbeiter!$E$34))-LEN(SUBSTITUTE(TRIM(Mitarbeiter!$E$34)," ",""))+1))+1)-1)*99+1,99))))</f>
      </c>
      <c r="Q35" s="54">
        <f>IF(OR($A35="",Q$5="",TRIM(Mitarbeiter!$E$34)="",NOT(ISNUMBER(Mitarbeiter!$F$34))),"",IF(TRIM(MID(SUBSTITUTE(TRIM(Mitarbeiter!$E$34)," ",REPT(" ",99)),((MOD(Q$5-Mitarbeiter!$F$34,(LEN(TRIM(Mitarbeiter!$E$34))-LEN(SUBSTITUTE(TRIM(Mitarbeiter!$E$34)," ",""))+1))+1)-1)*99+1,99))="-","",TRIM(MID(SUBSTITUTE(TRIM(Mitarbeiter!$E$34)," ",REPT(" ",99)),((MOD(Q$5-Mitarbeiter!$F$34,(LEN(TRIM(Mitarbeiter!$E$34))-LEN(SUBSTITUTE(TRIM(Mitarbeiter!$E$34)," ",""))+1))+1)-1)*99+1,99))))</f>
      </c>
      <c r="R35" s="54">
        <f>IF(OR($A35="",R$5="",TRIM(Mitarbeiter!$E$34)="",NOT(ISNUMBER(Mitarbeiter!$F$34))),"",IF(TRIM(MID(SUBSTITUTE(TRIM(Mitarbeiter!$E$34)," ",REPT(" ",99)),((MOD(R$5-Mitarbeiter!$F$34,(LEN(TRIM(Mitarbeiter!$E$34))-LEN(SUBSTITUTE(TRIM(Mitarbeiter!$E$34)," ",""))+1))+1)-1)*99+1,99))="-","",TRIM(MID(SUBSTITUTE(TRIM(Mitarbeiter!$E$34)," ",REPT(" ",99)),((MOD(R$5-Mitarbeiter!$F$34,(LEN(TRIM(Mitarbeiter!$E$34))-LEN(SUBSTITUTE(TRIM(Mitarbeiter!$E$34)," ",""))+1))+1)-1)*99+1,99))))</f>
      </c>
      <c r="S35" s="54">
        <f>IF(OR($A35="",S$5="",TRIM(Mitarbeiter!$E$34)="",NOT(ISNUMBER(Mitarbeiter!$F$34))),"",IF(TRIM(MID(SUBSTITUTE(TRIM(Mitarbeiter!$E$34)," ",REPT(" ",99)),((MOD(S$5-Mitarbeiter!$F$34,(LEN(TRIM(Mitarbeiter!$E$34))-LEN(SUBSTITUTE(TRIM(Mitarbeiter!$E$34)," ",""))+1))+1)-1)*99+1,99))="-","",TRIM(MID(SUBSTITUTE(TRIM(Mitarbeiter!$E$34)," ",REPT(" ",99)),((MOD(S$5-Mitarbeiter!$F$34,(LEN(TRIM(Mitarbeiter!$E$34))-LEN(SUBSTITUTE(TRIM(Mitarbeiter!$E$34)," ",""))+1))+1)-1)*99+1,99))))</f>
      </c>
      <c r="T35" s="54">
        <f>IF(OR($A35="",T$5="",TRIM(Mitarbeiter!$E$34)="",NOT(ISNUMBER(Mitarbeiter!$F$34))),"",IF(TRIM(MID(SUBSTITUTE(TRIM(Mitarbeiter!$E$34)," ",REPT(" ",99)),((MOD(T$5-Mitarbeiter!$F$34,(LEN(TRIM(Mitarbeiter!$E$34))-LEN(SUBSTITUTE(TRIM(Mitarbeiter!$E$34)," ",""))+1))+1)-1)*99+1,99))="-","",TRIM(MID(SUBSTITUTE(TRIM(Mitarbeiter!$E$34)," ",REPT(" ",99)),((MOD(T$5-Mitarbeiter!$F$34,(LEN(TRIM(Mitarbeiter!$E$34))-LEN(SUBSTITUTE(TRIM(Mitarbeiter!$E$34)," ",""))+1))+1)-1)*99+1,99))))</f>
      </c>
      <c r="U35" s="54">
        <f>IF(OR($A35="",U$5="",TRIM(Mitarbeiter!$E$34)="",NOT(ISNUMBER(Mitarbeiter!$F$34))),"",IF(TRIM(MID(SUBSTITUTE(TRIM(Mitarbeiter!$E$34)," ",REPT(" ",99)),((MOD(U$5-Mitarbeiter!$F$34,(LEN(TRIM(Mitarbeiter!$E$34))-LEN(SUBSTITUTE(TRIM(Mitarbeiter!$E$34)," ",""))+1))+1)-1)*99+1,99))="-","",TRIM(MID(SUBSTITUTE(TRIM(Mitarbeiter!$E$34)," ",REPT(" ",99)),((MOD(U$5-Mitarbeiter!$F$34,(LEN(TRIM(Mitarbeiter!$E$34))-LEN(SUBSTITUTE(TRIM(Mitarbeiter!$E$34)," ",""))+1))+1)-1)*99+1,99))))</f>
      </c>
      <c r="V35" s="54">
        <f>IF(OR($A35="",V$5="",TRIM(Mitarbeiter!$E$34)="",NOT(ISNUMBER(Mitarbeiter!$F$34))),"",IF(TRIM(MID(SUBSTITUTE(TRIM(Mitarbeiter!$E$34)," ",REPT(" ",99)),((MOD(V$5-Mitarbeiter!$F$34,(LEN(TRIM(Mitarbeiter!$E$34))-LEN(SUBSTITUTE(TRIM(Mitarbeiter!$E$34)," ",""))+1))+1)-1)*99+1,99))="-","",TRIM(MID(SUBSTITUTE(TRIM(Mitarbeiter!$E$34)," ",REPT(" ",99)),((MOD(V$5-Mitarbeiter!$F$34,(LEN(TRIM(Mitarbeiter!$E$34))-LEN(SUBSTITUTE(TRIM(Mitarbeiter!$E$34)," ",""))+1))+1)-1)*99+1,99))))</f>
      </c>
      <c r="W35" s="54">
        <f>IF(OR($A35="",W$5="",TRIM(Mitarbeiter!$E$34)="",NOT(ISNUMBER(Mitarbeiter!$F$34))),"",IF(TRIM(MID(SUBSTITUTE(TRIM(Mitarbeiter!$E$34)," ",REPT(" ",99)),((MOD(W$5-Mitarbeiter!$F$34,(LEN(TRIM(Mitarbeiter!$E$34))-LEN(SUBSTITUTE(TRIM(Mitarbeiter!$E$34)," ",""))+1))+1)-1)*99+1,99))="-","",TRIM(MID(SUBSTITUTE(TRIM(Mitarbeiter!$E$34)," ",REPT(" ",99)),((MOD(W$5-Mitarbeiter!$F$34,(LEN(TRIM(Mitarbeiter!$E$34))-LEN(SUBSTITUTE(TRIM(Mitarbeiter!$E$34)," ",""))+1))+1)-1)*99+1,99))))</f>
      </c>
      <c r="X35" s="54">
        <f>IF(OR($A35="",X$5="",TRIM(Mitarbeiter!$E$34)="",NOT(ISNUMBER(Mitarbeiter!$F$34))),"",IF(TRIM(MID(SUBSTITUTE(TRIM(Mitarbeiter!$E$34)," ",REPT(" ",99)),((MOD(X$5-Mitarbeiter!$F$34,(LEN(TRIM(Mitarbeiter!$E$34))-LEN(SUBSTITUTE(TRIM(Mitarbeiter!$E$34)," ",""))+1))+1)-1)*99+1,99))="-","",TRIM(MID(SUBSTITUTE(TRIM(Mitarbeiter!$E$34)," ",REPT(" ",99)),((MOD(X$5-Mitarbeiter!$F$34,(LEN(TRIM(Mitarbeiter!$E$34))-LEN(SUBSTITUTE(TRIM(Mitarbeiter!$E$34)," ",""))+1))+1)-1)*99+1,99))))</f>
      </c>
      <c r="Y35" s="54">
        <f>IF(OR($A35="",Y$5="",TRIM(Mitarbeiter!$E$34)="",NOT(ISNUMBER(Mitarbeiter!$F$34))),"",IF(TRIM(MID(SUBSTITUTE(TRIM(Mitarbeiter!$E$34)," ",REPT(" ",99)),((MOD(Y$5-Mitarbeiter!$F$34,(LEN(TRIM(Mitarbeiter!$E$34))-LEN(SUBSTITUTE(TRIM(Mitarbeiter!$E$34)," ",""))+1))+1)-1)*99+1,99))="-","",TRIM(MID(SUBSTITUTE(TRIM(Mitarbeiter!$E$34)," ",REPT(" ",99)),((MOD(Y$5-Mitarbeiter!$F$34,(LEN(TRIM(Mitarbeiter!$E$34))-LEN(SUBSTITUTE(TRIM(Mitarbeiter!$E$34)," ",""))+1))+1)-1)*99+1,99))))</f>
      </c>
      <c r="Z35" s="54">
        <f>IF(OR($A35="",Z$5="",TRIM(Mitarbeiter!$E$34)="",NOT(ISNUMBER(Mitarbeiter!$F$34))),"",IF(TRIM(MID(SUBSTITUTE(TRIM(Mitarbeiter!$E$34)," ",REPT(" ",99)),((MOD(Z$5-Mitarbeiter!$F$34,(LEN(TRIM(Mitarbeiter!$E$34))-LEN(SUBSTITUTE(TRIM(Mitarbeiter!$E$34)," ",""))+1))+1)-1)*99+1,99))="-","",TRIM(MID(SUBSTITUTE(TRIM(Mitarbeiter!$E$34)," ",REPT(" ",99)),((MOD(Z$5-Mitarbeiter!$F$34,(LEN(TRIM(Mitarbeiter!$E$34))-LEN(SUBSTITUTE(TRIM(Mitarbeiter!$E$34)," ",""))+1))+1)-1)*99+1,99))))</f>
      </c>
      <c r="AA35" s="54">
        <f>IF(OR($A35="",AA$5="",TRIM(Mitarbeiter!$E$34)="",NOT(ISNUMBER(Mitarbeiter!$F$34))),"",IF(TRIM(MID(SUBSTITUTE(TRIM(Mitarbeiter!$E$34)," ",REPT(" ",99)),((MOD(AA$5-Mitarbeiter!$F$34,(LEN(TRIM(Mitarbeiter!$E$34))-LEN(SUBSTITUTE(TRIM(Mitarbeiter!$E$34)," ",""))+1))+1)-1)*99+1,99))="-","",TRIM(MID(SUBSTITUTE(TRIM(Mitarbeiter!$E$34)," ",REPT(" ",99)),((MOD(AA$5-Mitarbeiter!$F$34,(LEN(TRIM(Mitarbeiter!$E$34))-LEN(SUBSTITUTE(TRIM(Mitarbeiter!$E$34)," ",""))+1))+1)-1)*99+1,99))))</f>
      </c>
      <c r="AB35" s="54">
        <f>IF(OR($A35="",AB$5="",TRIM(Mitarbeiter!$E$34)="",NOT(ISNUMBER(Mitarbeiter!$F$34))),"",IF(TRIM(MID(SUBSTITUTE(TRIM(Mitarbeiter!$E$34)," ",REPT(" ",99)),((MOD(AB$5-Mitarbeiter!$F$34,(LEN(TRIM(Mitarbeiter!$E$34))-LEN(SUBSTITUTE(TRIM(Mitarbeiter!$E$34)," ",""))+1))+1)-1)*99+1,99))="-","",TRIM(MID(SUBSTITUTE(TRIM(Mitarbeiter!$E$34)," ",REPT(" ",99)),((MOD(AB$5-Mitarbeiter!$F$34,(LEN(TRIM(Mitarbeiter!$E$34))-LEN(SUBSTITUTE(TRIM(Mitarbeiter!$E$34)," ",""))+1))+1)-1)*99+1,99))))</f>
      </c>
      <c r="AC35" s="54">
        <f>IF(OR($A35="",AC$5="",TRIM(Mitarbeiter!$E$34)="",NOT(ISNUMBER(Mitarbeiter!$F$34))),"",IF(TRIM(MID(SUBSTITUTE(TRIM(Mitarbeiter!$E$34)," ",REPT(" ",99)),((MOD(AC$5-Mitarbeiter!$F$34,(LEN(TRIM(Mitarbeiter!$E$34))-LEN(SUBSTITUTE(TRIM(Mitarbeiter!$E$34)," ",""))+1))+1)-1)*99+1,99))="-","",TRIM(MID(SUBSTITUTE(TRIM(Mitarbeiter!$E$34)," ",REPT(" ",99)),((MOD(AC$5-Mitarbeiter!$F$34,(LEN(TRIM(Mitarbeiter!$E$34))-LEN(SUBSTITUTE(TRIM(Mitarbeiter!$E$34)," ",""))+1))+1)-1)*99+1,99))))</f>
      </c>
      <c r="AD35" s="54">
        <f>IF(OR($A35="",AD$5="",TRIM(Mitarbeiter!$E$34)="",NOT(ISNUMBER(Mitarbeiter!$F$34))),"",IF(TRIM(MID(SUBSTITUTE(TRIM(Mitarbeiter!$E$34)," ",REPT(" ",99)),((MOD(AD$5-Mitarbeiter!$F$34,(LEN(TRIM(Mitarbeiter!$E$34))-LEN(SUBSTITUTE(TRIM(Mitarbeiter!$E$34)," ",""))+1))+1)-1)*99+1,99))="-","",TRIM(MID(SUBSTITUTE(TRIM(Mitarbeiter!$E$34)," ",REPT(" ",99)),((MOD(AD$5-Mitarbeiter!$F$34,(LEN(TRIM(Mitarbeiter!$E$34))-LEN(SUBSTITUTE(TRIM(Mitarbeiter!$E$34)," ",""))+1))+1)-1)*99+1,99))))</f>
      </c>
      <c r="AE35" s="54">
        <f>IF(OR($A35="",AE$5="",TRIM(Mitarbeiter!$E$34)="",NOT(ISNUMBER(Mitarbeiter!$F$34))),"",IF(TRIM(MID(SUBSTITUTE(TRIM(Mitarbeiter!$E$34)," ",REPT(" ",99)),((MOD(AE$5-Mitarbeiter!$F$34,(LEN(TRIM(Mitarbeiter!$E$34))-LEN(SUBSTITUTE(TRIM(Mitarbeiter!$E$34)," ",""))+1))+1)-1)*99+1,99))="-","",TRIM(MID(SUBSTITUTE(TRIM(Mitarbeiter!$E$34)," ",REPT(" ",99)),((MOD(AE$5-Mitarbeiter!$F$34,(LEN(TRIM(Mitarbeiter!$E$34))-LEN(SUBSTITUTE(TRIM(Mitarbeiter!$E$34)," ",""))+1))+1)-1)*99+1,99))))</f>
      </c>
      <c r="AF35" s="54">
        <f>IF(OR($A35="",AF$5="",TRIM(Mitarbeiter!$E$34)="",NOT(ISNUMBER(Mitarbeiter!$F$34))),"",IF(TRIM(MID(SUBSTITUTE(TRIM(Mitarbeiter!$E$34)," ",REPT(" ",99)),((MOD(AF$5-Mitarbeiter!$F$34,(LEN(TRIM(Mitarbeiter!$E$34))-LEN(SUBSTITUTE(TRIM(Mitarbeiter!$E$34)," ",""))+1))+1)-1)*99+1,99))="-","",TRIM(MID(SUBSTITUTE(TRIM(Mitarbeiter!$E$34)," ",REPT(" ",99)),((MOD(AF$5-Mitarbeiter!$F$34,(LEN(TRIM(Mitarbeiter!$E$34))-LEN(SUBSTITUTE(TRIM(Mitarbeiter!$E$34)," ",""))+1))+1)-1)*99+1,99))))</f>
      </c>
      <c r="AG35" s="55">
        <f>IF(OR($A35="",TRIM(Mitarbeiter!$E$34)=""),"",IF(NOT(ISNUMBER(Mitarbeiter!$F$34)),"Rhythmus ab: Datum fehlt",IF(COUNTIF(B35:AF35,"?*")-SUMPRODUCT(COUNTIF(B35:AF35,Codes)*(Codes&lt;&gt;"")*Erste)&gt;0,"Rhythmus enthält ein unbekanntes Kürzel","")))</f>
      </c>
    </row>
  </sheetData>
  <sheetProtection sheet="1" formatCells="0" formatColumns="0" formatRows="0"/>
  <conditionalFormatting sqref="B6:AF35">
    <cfRule type="expression" dxfId="252" priority="50">
      <formula>AND(B6&lt;&gt;"",UPPER(B6)=UPPER(Einstellungen!$A$9))</formula>
    </cfRule>
    <cfRule type="expression" dxfId="253" priority="51">
      <formula>AND(B6&lt;&gt;"",UPPER(B6)=UPPER(Einstellungen!$A$10))</formula>
    </cfRule>
    <cfRule type="expression" dxfId="254" priority="52">
      <formula>AND(B6&lt;&gt;"",UPPER(B6)=UPPER(Einstellungen!$A$11))</formula>
    </cfRule>
    <cfRule type="expression" dxfId="255" priority="53">
      <formula>AND(B6&lt;&gt;"",UPPER(B6)=UPPER(Einstellungen!$A$12))</formula>
    </cfRule>
    <cfRule type="expression" dxfId="256" priority="54">
      <formula>AND(B6&lt;&gt;"",UPPER(B6)=UPPER(Einstellungen!$A$13))</formula>
    </cfRule>
    <cfRule type="expression" dxfId="257" priority="55">
      <formula>AND(B6&lt;&gt;"",UPPER(B6)=UPPER(Einstellungen!$A$14))</formula>
    </cfRule>
    <cfRule type="expression" dxfId="258" priority="56">
      <formula>AND(B6&lt;&gt;"",UPPER(B6)=UPPER(Einstellungen!$A$15))</formula>
    </cfRule>
    <cfRule type="expression" dxfId="259" priority="57">
      <formula>AND(B6&lt;&gt;"",UPPER(B6)=UPPER(Einstellungen!$A$16))</formula>
    </cfRule>
    <cfRule type="expression" dxfId="260" priority="58">
      <formula>AND(B6&lt;&gt;"",UPPER(B6)=UPPER(Einstellungen!$A$17))</formula>
    </cfRule>
    <cfRule type="expression" dxfId="261" priority="59">
      <formula>AND(B6&lt;&gt;"",UPPER(B6)=UPPER(Einstellungen!$A$18))</formula>
    </cfRule>
    <cfRule type="expression" dxfId="262" priority="60">
      <formula>AND(B6&lt;&gt;"",UPPER(B6)=UPPER(Einstellungen!$A$19))</formula>
    </cfRule>
    <cfRule type="expression" dxfId="263" priority="61">
      <formula>AND(B6&lt;&gt;"",UPPER(B6)=UPPER(Einstellungen!$A$20))</formula>
    </cfRule>
  </conditionalFormatting>
  <dataValidations count="1">
    <dataValidation type="whole" showErrorMessage="1" errorTitle="Monat" error="Bitte eine Zahl von 1 bis 12 eintragen." sqref="B2">
      <formula1>1</formula1>
      <formula2>12</formula2>
    </dataValidation>
  </dataValidation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4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13" width="7.5" customWidth="1"/>
    <col min="14" max="16" width="10" customWidth="1"/>
  </cols>
  <sheetData>
    <row r="1" spans="1:1" x14ac:dyDescent="0.25">
      <c r="A1" s="5">
        <f>"Jahresübersicht "&amp;Jahr&amp;IF(Team="",""," · "&amp;Team)</f>
      </c>
    </row>
    <row r="2" spans="1:1" x14ac:dyDescent="0.25">
      <c r="A2" s="7" t="s">
        <v>71</v>
      </c>
    </row>
    <row r="4" ht="30" customHeight="1" spans="1:20" x14ac:dyDescent="0.25">
      <c r="A4" s="10" t="s">
        <v>52</v>
      </c>
      <c r="B4" s="10" t="s">
        <v>72</v>
      </c>
      <c r="C4" s="10" t="s">
        <v>73</v>
      </c>
      <c r="D4" s="10" t="s">
        <v>74</v>
      </c>
      <c r="E4" s="10" t="s">
        <v>75</v>
      </c>
      <c r="F4" s="10" t="s">
        <v>76</v>
      </c>
      <c r="G4" s="10" t="s">
        <v>77</v>
      </c>
      <c r="H4" s="10" t="s">
        <v>78</v>
      </c>
      <c r="I4" s="10" t="s">
        <v>79</v>
      </c>
      <c r="J4" s="10" t="s">
        <v>80</v>
      </c>
      <c r="K4" s="10" t="s">
        <v>81</v>
      </c>
      <c r="L4" s="10" t="s">
        <v>82</v>
      </c>
      <c r="M4" s="10" t="s">
        <v>83</v>
      </c>
      <c r="N4" s="10" t="s">
        <v>60</v>
      </c>
      <c r="O4" s="10" t="s">
        <v>61</v>
      </c>
      <c r="P4" s="10" t="s">
        <v>62</v>
      </c>
      <c r="Q4" s="10" t="s">
        <v>84</v>
      </c>
      <c r="R4" s="10" t="s">
        <v>85</v>
      </c>
      <c r="S4" s="10" t="s">
        <v>86</v>
      </c>
      <c r="T4" s="10" t="s">
        <v>46</v>
      </c>
    </row>
    <row r="5" spans="1:20" x14ac:dyDescent="0.25">
      <c r="A5" s="49">
        <f>Mitarbeiter!$A$5&amp;""</f>
      </c>
      <c r="B5" s="56">
        <f>IF($A5="","",ROUND(('Januar'!AG6-'Januar'!AH6)*24,2))</f>
      </c>
      <c r="C5" s="56">
        <f>IF($A5="","",ROUND(('Februar'!AG6-'Februar'!AH6)*24,2))</f>
      </c>
      <c r="D5" s="56">
        <f>IF($A5="","",ROUND(('März'!AG6-'März'!AH6)*24,2))</f>
      </c>
      <c r="E5" s="56">
        <f>IF($A5="","",ROUND(('April'!AG6-'April'!AH6)*24,2))</f>
      </c>
      <c r="F5" s="56">
        <f>IF($A5="","",ROUND(('Mai'!AG6-'Mai'!AH6)*24,2))</f>
      </c>
      <c r="G5" s="56">
        <f>IF($A5="","",ROUND(('Juni'!AG6-'Juni'!AH6)*24,2))</f>
      </c>
      <c r="H5" s="56">
        <f>IF($A5="","",ROUND(('Juli'!AG6-'Juli'!AH6)*24,2))</f>
      </c>
      <c r="I5" s="56">
        <f>IF($A5="","",ROUND(('August'!AG6-'August'!AH6)*24,2))</f>
      </c>
      <c r="J5" s="56">
        <f>IF($A5="","",ROUND(('September'!AG6-'September'!AH6)*24,2))</f>
      </c>
      <c r="K5" s="56">
        <f>IF($A5="","",ROUND(('Oktober'!AG6-'Oktober'!AH6)*24,2))</f>
      </c>
      <c r="L5" s="56">
        <f>IF($A5="","",ROUND(('November'!AG6-'November'!AH6)*24,2))</f>
      </c>
      <c r="M5" s="56">
        <f>IF($A5="","",ROUND(('Dezember'!AG6-'Dezember'!AH6)*24,2))</f>
      </c>
      <c r="N5" s="57">
        <f>IF($A5="","",SUM('Januar'!AG6,'Februar'!AG6,'März'!AG6,'April'!AG6,'Mai'!AG6,'Juni'!AG6,'Juli'!AG6,'August'!AG6,'September'!AG6,'Oktober'!AG6,'November'!AG6,'Dezember'!AG6))</f>
      </c>
      <c r="O5" s="57">
        <f>IF($A5="","",SUM('Januar'!AH6,'Februar'!AH6,'März'!AH6,'April'!AH6,'Mai'!AH6,'Juni'!AH6,'Juli'!AH6,'August'!AH6,'September'!AH6,'Oktober'!AH6,'November'!AH6,'Dezember'!AH6))</f>
      </c>
      <c r="P5" s="58">
        <f>IF($A5="","",IF(N5-O5&lt;0,"-","+")&amp;TEXT(ABS(N5-O5),"[h]:mm"))</f>
      </c>
      <c r="Q5" s="59">
        <f>IF($A5="","",SUM('Januar'!AJ6,'Februar'!AJ6,'März'!AJ6,'April'!AJ6,'Mai'!AJ6,'Juni'!AJ6,'Juli'!AJ6,'August'!AJ6,'September'!AJ6,'Oktober'!AJ6,'November'!AJ6,'Dezember'!AJ6))</f>
      </c>
      <c r="R5" s="60">
        <f>IF($A5="","",N(Mitarbeiter!$D$5))</f>
      </c>
      <c r="S5" s="60">
        <f>IF($A5="","",R5-Q5)</f>
      </c>
      <c r="T5" s="59">
        <f>IF($A5="","",SUM('Januar'!AK6,'Februar'!AK6,'März'!AK6,'April'!AK6,'Mai'!AK6,'Juni'!AK6,'Juli'!AK6,'August'!AK6,'September'!AK6,'Oktober'!AK6,'November'!AK6,'Dezember'!AK6))</f>
      </c>
    </row>
    <row r="6" spans="1:20" x14ac:dyDescent="0.25">
      <c r="A6" s="49">
        <f>Mitarbeiter!$A$6&amp;""</f>
      </c>
      <c r="B6" s="56">
        <f>IF($A6="","",ROUND(('Januar'!AG7-'Januar'!AH7)*24,2))</f>
      </c>
      <c r="C6" s="56">
        <f>IF($A6="","",ROUND(('Februar'!AG7-'Februar'!AH7)*24,2))</f>
      </c>
      <c r="D6" s="56">
        <f>IF($A6="","",ROUND(('März'!AG7-'März'!AH7)*24,2))</f>
      </c>
      <c r="E6" s="56">
        <f>IF($A6="","",ROUND(('April'!AG7-'April'!AH7)*24,2))</f>
      </c>
      <c r="F6" s="56">
        <f>IF($A6="","",ROUND(('Mai'!AG7-'Mai'!AH7)*24,2))</f>
      </c>
      <c r="G6" s="56">
        <f>IF($A6="","",ROUND(('Juni'!AG7-'Juni'!AH7)*24,2))</f>
      </c>
      <c r="H6" s="56">
        <f>IF($A6="","",ROUND(('Juli'!AG7-'Juli'!AH7)*24,2))</f>
      </c>
      <c r="I6" s="56">
        <f>IF($A6="","",ROUND(('August'!AG7-'August'!AH7)*24,2))</f>
      </c>
      <c r="J6" s="56">
        <f>IF($A6="","",ROUND(('September'!AG7-'September'!AH7)*24,2))</f>
      </c>
      <c r="K6" s="56">
        <f>IF($A6="","",ROUND(('Oktober'!AG7-'Oktober'!AH7)*24,2))</f>
      </c>
      <c r="L6" s="56">
        <f>IF($A6="","",ROUND(('November'!AG7-'November'!AH7)*24,2))</f>
      </c>
      <c r="M6" s="56">
        <f>IF($A6="","",ROUND(('Dezember'!AG7-'Dezember'!AH7)*24,2))</f>
      </c>
      <c r="N6" s="57">
        <f>IF($A6="","",SUM('Januar'!AG7,'Februar'!AG7,'März'!AG7,'April'!AG7,'Mai'!AG7,'Juni'!AG7,'Juli'!AG7,'August'!AG7,'September'!AG7,'Oktober'!AG7,'November'!AG7,'Dezember'!AG7))</f>
      </c>
      <c r="O6" s="57">
        <f>IF($A6="","",SUM('Januar'!AH7,'Februar'!AH7,'März'!AH7,'April'!AH7,'Mai'!AH7,'Juni'!AH7,'Juli'!AH7,'August'!AH7,'September'!AH7,'Oktober'!AH7,'November'!AH7,'Dezember'!AH7))</f>
      </c>
      <c r="P6" s="58">
        <f>IF($A6="","",IF(N6-O6&lt;0,"-","+")&amp;TEXT(ABS(N6-O6),"[h]:mm"))</f>
      </c>
      <c r="Q6" s="59">
        <f>IF($A6="","",SUM('Januar'!AJ7,'Februar'!AJ7,'März'!AJ7,'April'!AJ7,'Mai'!AJ7,'Juni'!AJ7,'Juli'!AJ7,'August'!AJ7,'September'!AJ7,'Oktober'!AJ7,'November'!AJ7,'Dezember'!AJ7))</f>
      </c>
      <c r="R6" s="60">
        <f>IF($A6="","",N(Mitarbeiter!$D$6))</f>
      </c>
      <c r="S6" s="60">
        <f>IF($A6="","",R6-Q6)</f>
      </c>
      <c r="T6" s="59">
        <f>IF($A6="","",SUM('Januar'!AK7,'Februar'!AK7,'März'!AK7,'April'!AK7,'Mai'!AK7,'Juni'!AK7,'Juli'!AK7,'August'!AK7,'September'!AK7,'Oktober'!AK7,'November'!AK7,'Dezember'!AK7))</f>
      </c>
    </row>
    <row r="7" spans="1:20" x14ac:dyDescent="0.25">
      <c r="A7" s="49">
        <f>Mitarbeiter!$A$7&amp;""</f>
      </c>
      <c r="B7" s="56">
        <f>IF($A7="","",ROUND(('Januar'!AG8-'Januar'!AH8)*24,2))</f>
      </c>
      <c r="C7" s="56">
        <f>IF($A7="","",ROUND(('Februar'!AG8-'Februar'!AH8)*24,2))</f>
      </c>
      <c r="D7" s="56">
        <f>IF($A7="","",ROUND(('März'!AG8-'März'!AH8)*24,2))</f>
      </c>
      <c r="E7" s="56">
        <f>IF($A7="","",ROUND(('April'!AG8-'April'!AH8)*24,2))</f>
      </c>
      <c r="F7" s="56">
        <f>IF($A7="","",ROUND(('Mai'!AG8-'Mai'!AH8)*24,2))</f>
      </c>
      <c r="G7" s="56">
        <f>IF($A7="","",ROUND(('Juni'!AG8-'Juni'!AH8)*24,2))</f>
      </c>
      <c r="H7" s="56">
        <f>IF($A7="","",ROUND(('Juli'!AG8-'Juli'!AH8)*24,2))</f>
      </c>
      <c r="I7" s="56">
        <f>IF($A7="","",ROUND(('August'!AG8-'August'!AH8)*24,2))</f>
      </c>
      <c r="J7" s="56">
        <f>IF($A7="","",ROUND(('September'!AG8-'September'!AH8)*24,2))</f>
      </c>
      <c r="K7" s="56">
        <f>IF($A7="","",ROUND(('Oktober'!AG8-'Oktober'!AH8)*24,2))</f>
      </c>
      <c r="L7" s="56">
        <f>IF($A7="","",ROUND(('November'!AG8-'November'!AH8)*24,2))</f>
      </c>
      <c r="M7" s="56">
        <f>IF($A7="","",ROUND(('Dezember'!AG8-'Dezember'!AH8)*24,2))</f>
      </c>
      <c r="N7" s="57">
        <f>IF($A7="","",SUM('Januar'!AG8,'Februar'!AG8,'März'!AG8,'April'!AG8,'Mai'!AG8,'Juni'!AG8,'Juli'!AG8,'August'!AG8,'September'!AG8,'Oktober'!AG8,'November'!AG8,'Dezember'!AG8))</f>
      </c>
      <c r="O7" s="57">
        <f>IF($A7="","",SUM('Januar'!AH8,'Februar'!AH8,'März'!AH8,'April'!AH8,'Mai'!AH8,'Juni'!AH8,'Juli'!AH8,'August'!AH8,'September'!AH8,'Oktober'!AH8,'November'!AH8,'Dezember'!AH8))</f>
      </c>
      <c r="P7" s="58">
        <f>IF($A7="","",IF(N7-O7&lt;0,"-","+")&amp;TEXT(ABS(N7-O7),"[h]:mm"))</f>
      </c>
      <c r="Q7" s="59">
        <f>IF($A7="","",SUM('Januar'!AJ8,'Februar'!AJ8,'März'!AJ8,'April'!AJ8,'Mai'!AJ8,'Juni'!AJ8,'Juli'!AJ8,'August'!AJ8,'September'!AJ8,'Oktober'!AJ8,'November'!AJ8,'Dezember'!AJ8))</f>
      </c>
      <c r="R7" s="60">
        <f>IF($A7="","",N(Mitarbeiter!$D$7))</f>
      </c>
      <c r="S7" s="60">
        <f>IF($A7="","",R7-Q7)</f>
      </c>
      <c r="T7" s="59">
        <f>IF($A7="","",SUM('Januar'!AK8,'Februar'!AK8,'März'!AK8,'April'!AK8,'Mai'!AK8,'Juni'!AK8,'Juli'!AK8,'August'!AK8,'September'!AK8,'Oktober'!AK8,'November'!AK8,'Dezember'!AK8))</f>
      </c>
    </row>
    <row r="8" spans="1:20" x14ac:dyDescent="0.25">
      <c r="A8" s="49">
        <f>Mitarbeiter!$A$8&amp;""</f>
      </c>
      <c r="B8" s="56">
        <f>IF($A8="","",ROUND(('Januar'!AG9-'Januar'!AH9)*24,2))</f>
      </c>
      <c r="C8" s="56">
        <f>IF($A8="","",ROUND(('Februar'!AG9-'Februar'!AH9)*24,2))</f>
      </c>
      <c r="D8" s="56">
        <f>IF($A8="","",ROUND(('März'!AG9-'März'!AH9)*24,2))</f>
      </c>
      <c r="E8" s="56">
        <f>IF($A8="","",ROUND(('April'!AG9-'April'!AH9)*24,2))</f>
      </c>
      <c r="F8" s="56">
        <f>IF($A8="","",ROUND(('Mai'!AG9-'Mai'!AH9)*24,2))</f>
      </c>
      <c r="G8" s="56">
        <f>IF($A8="","",ROUND(('Juni'!AG9-'Juni'!AH9)*24,2))</f>
      </c>
      <c r="H8" s="56">
        <f>IF($A8="","",ROUND(('Juli'!AG9-'Juli'!AH9)*24,2))</f>
      </c>
      <c r="I8" s="56">
        <f>IF($A8="","",ROUND(('August'!AG9-'August'!AH9)*24,2))</f>
      </c>
      <c r="J8" s="56">
        <f>IF($A8="","",ROUND(('September'!AG9-'September'!AH9)*24,2))</f>
      </c>
      <c r="K8" s="56">
        <f>IF($A8="","",ROUND(('Oktober'!AG9-'Oktober'!AH9)*24,2))</f>
      </c>
      <c r="L8" s="56">
        <f>IF($A8="","",ROUND(('November'!AG9-'November'!AH9)*24,2))</f>
      </c>
      <c r="M8" s="56">
        <f>IF($A8="","",ROUND(('Dezember'!AG9-'Dezember'!AH9)*24,2))</f>
      </c>
      <c r="N8" s="57">
        <f>IF($A8="","",SUM('Januar'!AG9,'Februar'!AG9,'März'!AG9,'April'!AG9,'Mai'!AG9,'Juni'!AG9,'Juli'!AG9,'August'!AG9,'September'!AG9,'Oktober'!AG9,'November'!AG9,'Dezember'!AG9))</f>
      </c>
      <c r="O8" s="57">
        <f>IF($A8="","",SUM('Januar'!AH9,'Februar'!AH9,'März'!AH9,'April'!AH9,'Mai'!AH9,'Juni'!AH9,'Juli'!AH9,'August'!AH9,'September'!AH9,'Oktober'!AH9,'November'!AH9,'Dezember'!AH9))</f>
      </c>
      <c r="P8" s="58">
        <f>IF($A8="","",IF(N8-O8&lt;0,"-","+")&amp;TEXT(ABS(N8-O8),"[h]:mm"))</f>
      </c>
      <c r="Q8" s="59">
        <f>IF($A8="","",SUM('Januar'!AJ9,'Februar'!AJ9,'März'!AJ9,'April'!AJ9,'Mai'!AJ9,'Juni'!AJ9,'Juli'!AJ9,'August'!AJ9,'September'!AJ9,'Oktober'!AJ9,'November'!AJ9,'Dezember'!AJ9))</f>
      </c>
      <c r="R8" s="60">
        <f>IF($A8="","",N(Mitarbeiter!$D$8))</f>
      </c>
      <c r="S8" s="60">
        <f>IF($A8="","",R8-Q8)</f>
      </c>
      <c r="T8" s="59">
        <f>IF($A8="","",SUM('Januar'!AK9,'Februar'!AK9,'März'!AK9,'April'!AK9,'Mai'!AK9,'Juni'!AK9,'Juli'!AK9,'August'!AK9,'September'!AK9,'Oktober'!AK9,'November'!AK9,'Dezember'!AK9))</f>
      </c>
    </row>
    <row r="9" spans="1:20" x14ac:dyDescent="0.25">
      <c r="A9" s="49">
        <f>Mitarbeiter!$A$9&amp;""</f>
      </c>
      <c r="B9" s="56">
        <f>IF($A9="","",ROUND(('Januar'!AG10-'Januar'!AH10)*24,2))</f>
      </c>
      <c r="C9" s="56">
        <f>IF($A9="","",ROUND(('Februar'!AG10-'Februar'!AH10)*24,2))</f>
      </c>
      <c r="D9" s="56">
        <f>IF($A9="","",ROUND(('März'!AG10-'März'!AH10)*24,2))</f>
      </c>
      <c r="E9" s="56">
        <f>IF($A9="","",ROUND(('April'!AG10-'April'!AH10)*24,2))</f>
      </c>
      <c r="F9" s="56">
        <f>IF($A9="","",ROUND(('Mai'!AG10-'Mai'!AH10)*24,2))</f>
      </c>
      <c r="G9" s="56">
        <f>IF($A9="","",ROUND(('Juni'!AG10-'Juni'!AH10)*24,2))</f>
      </c>
      <c r="H9" s="56">
        <f>IF($A9="","",ROUND(('Juli'!AG10-'Juli'!AH10)*24,2))</f>
      </c>
      <c r="I9" s="56">
        <f>IF($A9="","",ROUND(('August'!AG10-'August'!AH10)*24,2))</f>
      </c>
      <c r="J9" s="56">
        <f>IF($A9="","",ROUND(('September'!AG10-'September'!AH10)*24,2))</f>
      </c>
      <c r="K9" s="56">
        <f>IF($A9="","",ROUND(('Oktober'!AG10-'Oktober'!AH10)*24,2))</f>
      </c>
      <c r="L9" s="56">
        <f>IF($A9="","",ROUND(('November'!AG10-'November'!AH10)*24,2))</f>
      </c>
      <c r="M9" s="56">
        <f>IF($A9="","",ROUND(('Dezember'!AG10-'Dezember'!AH10)*24,2))</f>
      </c>
      <c r="N9" s="57">
        <f>IF($A9="","",SUM('Januar'!AG10,'Februar'!AG10,'März'!AG10,'April'!AG10,'Mai'!AG10,'Juni'!AG10,'Juli'!AG10,'August'!AG10,'September'!AG10,'Oktober'!AG10,'November'!AG10,'Dezember'!AG10))</f>
      </c>
      <c r="O9" s="57">
        <f>IF($A9="","",SUM('Januar'!AH10,'Februar'!AH10,'März'!AH10,'April'!AH10,'Mai'!AH10,'Juni'!AH10,'Juli'!AH10,'August'!AH10,'September'!AH10,'Oktober'!AH10,'November'!AH10,'Dezember'!AH10))</f>
      </c>
      <c r="P9" s="58">
        <f>IF($A9="","",IF(N9-O9&lt;0,"-","+")&amp;TEXT(ABS(N9-O9),"[h]:mm"))</f>
      </c>
      <c r="Q9" s="59">
        <f>IF($A9="","",SUM('Januar'!AJ10,'Februar'!AJ10,'März'!AJ10,'April'!AJ10,'Mai'!AJ10,'Juni'!AJ10,'Juli'!AJ10,'August'!AJ10,'September'!AJ10,'Oktober'!AJ10,'November'!AJ10,'Dezember'!AJ10))</f>
      </c>
      <c r="R9" s="60">
        <f>IF($A9="","",N(Mitarbeiter!$D$9))</f>
      </c>
      <c r="S9" s="60">
        <f>IF($A9="","",R9-Q9)</f>
      </c>
      <c r="T9" s="59">
        <f>IF($A9="","",SUM('Januar'!AK10,'Februar'!AK10,'März'!AK10,'April'!AK10,'Mai'!AK10,'Juni'!AK10,'Juli'!AK10,'August'!AK10,'September'!AK10,'Oktober'!AK10,'November'!AK10,'Dezember'!AK10))</f>
      </c>
    </row>
    <row r="10" spans="1:20" x14ac:dyDescent="0.25">
      <c r="A10" s="49">
        <f>Mitarbeiter!$A$10&amp;""</f>
      </c>
      <c r="B10" s="56">
        <f>IF($A10="","",ROUND(('Januar'!AG11-'Januar'!AH11)*24,2))</f>
      </c>
      <c r="C10" s="56">
        <f>IF($A10="","",ROUND(('Februar'!AG11-'Februar'!AH11)*24,2))</f>
      </c>
      <c r="D10" s="56">
        <f>IF($A10="","",ROUND(('März'!AG11-'März'!AH11)*24,2))</f>
      </c>
      <c r="E10" s="56">
        <f>IF($A10="","",ROUND(('April'!AG11-'April'!AH11)*24,2))</f>
      </c>
      <c r="F10" s="56">
        <f>IF($A10="","",ROUND(('Mai'!AG11-'Mai'!AH11)*24,2))</f>
      </c>
      <c r="G10" s="56">
        <f>IF($A10="","",ROUND(('Juni'!AG11-'Juni'!AH11)*24,2))</f>
      </c>
      <c r="H10" s="56">
        <f>IF($A10="","",ROUND(('Juli'!AG11-'Juli'!AH11)*24,2))</f>
      </c>
      <c r="I10" s="56">
        <f>IF($A10="","",ROUND(('August'!AG11-'August'!AH11)*24,2))</f>
      </c>
      <c r="J10" s="56">
        <f>IF($A10="","",ROUND(('September'!AG11-'September'!AH11)*24,2))</f>
      </c>
      <c r="K10" s="56">
        <f>IF($A10="","",ROUND(('Oktober'!AG11-'Oktober'!AH11)*24,2))</f>
      </c>
      <c r="L10" s="56">
        <f>IF($A10="","",ROUND(('November'!AG11-'November'!AH11)*24,2))</f>
      </c>
      <c r="M10" s="56">
        <f>IF($A10="","",ROUND(('Dezember'!AG11-'Dezember'!AH11)*24,2))</f>
      </c>
      <c r="N10" s="57">
        <f>IF($A10="","",SUM('Januar'!AG11,'Februar'!AG11,'März'!AG11,'April'!AG11,'Mai'!AG11,'Juni'!AG11,'Juli'!AG11,'August'!AG11,'September'!AG11,'Oktober'!AG11,'November'!AG11,'Dezember'!AG11))</f>
      </c>
      <c r="O10" s="57">
        <f>IF($A10="","",SUM('Januar'!AH11,'Februar'!AH11,'März'!AH11,'April'!AH11,'Mai'!AH11,'Juni'!AH11,'Juli'!AH11,'August'!AH11,'September'!AH11,'Oktober'!AH11,'November'!AH11,'Dezember'!AH11))</f>
      </c>
      <c r="P10" s="58">
        <f>IF($A10="","",IF(N10-O10&lt;0,"-","+")&amp;TEXT(ABS(N10-O10),"[h]:mm"))</f>
      </c>
      <c r="Q10" s="59">
        <f>IF($A10="","",SUM('Januar'!AJ11,'Februar'!AJ11,'März'!AJ11,'April'!AJ11,'Mai'!AJ11,'Juni'!AJ11,'Juli'!AJ11,'August'!AJ11,'September'!AJ11,'Oktober'!AJ11,'November'!AJ11,'Dezember'!AJ11))</f>
      </c>
      <c r="R10" s="60">
        <f>IF($A10="","",N(Mitarbeiter!$D$10))</f>
      </c>
      <c r="S10" s="60">
        <f>IF($A10="","",R10-Q10)</f>
      </c>
      <c r="T10" s="59">
        <f>IF($A10="","",SUM('Januar'!AK11,'Februar'!AK11,'März'!AK11,'April'!AK11,'Mai'!AK11,'Juni'!AK11,'Juli'!AK11,'August'!AK11,'September'!AK11,'Oktober'!AK11,'November'!AK11,'Dezember'!AK11))</f>
      </c>
    </row>
    <row r="11" spans="1:20" x14ac:dyDescent="0.25">
      <c r="A11" s="49">
        <f>Mitarbeiter!$A$11&amp;""</f>
      </c>
      <c r="B11" s="56">
        <f>IF($A11="","",ROUND(('Januar'!AG12-'Januar'!AH12)*24,2))</f>
      </c>
      <c r="C11" s="56">
        <f>IF($A11="","",ROUND(('Februar'!AG12-'Februar'!AH12)*24,2))</f>
      </c>
      <c r="D11" s="56">
        <f>IF($A11="","",ROUND(('März'!AG12-'März'!AH12)*24,2))</f>
      </c>
      <c r="E11" s="56">
        <f>IF($A11="","",ROUND(('April'!AG12-'April'!AH12)*24,2))</f>
      </c>
      <c r="F11" s="56">
        <f>IF($A11="","",ROUND(('Mai'!AG12-'Mai'!AH12)*24,2))</f>
      </c>
      <c r="G11" s="56">
        <f>IF($A11="","",ROUND(('Juni'!AG12-'Juni'!AH12)*24,2))</f>
      </c>
      <c r="H11" s="56">
        <f>IF($A11="","",ROUND(('Juli'!AG12-'Juli'!AH12)*24,2))</f>
      </c>
      <c r="I11" s="56">
        <f>IF($A11="","",ROUND(('August'!AG12-'August'!AH12)*24,2))</f>
      </c>
      <c r="J11" s="56">
        <f>IF($A11="","",ROUND(('September'!AG12-'September'!AH12)*24,2))</f>
      </c>
      <c r="K11" s="56">
        <f>IF($A11="","",ROUND(('Oktober'!AG12-'Oktober'!AH12)*24,2))</f>
      </c>
      <c r="L11" s="56">
        <f>IF($A11="","",ROUND(('November'!AG12-'November'!AH12)*24,2))</f>
      </c>
      <c r="M11" s="56">
        <f>IF($A11="","",ROUND(('Dezember'!AG12-'Dezember'!AH12)*24,2))</f>
      </c>
      <c r="N11" s="57">
        <f>IF($A11="","",SUM('Januar'!AG12,'Februar'!AG12,'März'!AG12,'April'!AG12,'Mai'!AG12,'Juni'!AG12,'Juli'!AG12,'August'!AG12,'September'!AG12,'Oktober'!AG12,'November'!AG12,'Dezember'!AG12))</f>
      </c>
      <c r="O11" s="57">
        <f>IF($A11="","",SUM('Januar'!AH12,'Februar'!AH12,'März'!AH12,'April'!AH12,'Mai'!AH12,'Juni'!AH12,'Juli'!AH12,'August'!AH12,'September'!AH12,'Oktober'!AH12,'November'!AH12,'Dezember'!AH12))</f>
      </c>
      <c r="P11" s="58">
        <f>IF($A11="","",IF(N11-O11&lt;0,"-","+")&amp;TEXT(ABS(N11-O11),"[h]:mm"))</f>
      </c>
      <c r="Q11" s="59">
        <f>IF($A11="","",SUM('Januar'!AJ12,'Februar'!AJ12,'März'!AJ12,'April'!AJ12,'Mai'!AJ12,'Juni'!AJ12,'Juli'!AJ12,'August'!AJ12,'September'!AJ12,'Oktober'!AJ12,'November'!AJ12,'Dezember'!AJ12))</f>
      </c>
      <c r="R11" s="60">
        <f>IF($A11="","",N(Mitarbeiter!$D$11))</f>
      </c>
      <c r="S11" s="60">
        <f>IF($A11="","",R11-Q11)</f>
      </c>
      <c r="T11" s="59">
        <f>IF($A11="","",SUM('Januar'!AK12,'Februar'!AK12,'März'!AK12,'April'!AK12,'Mai'!AK12,'Juni'!AK12,'Juli'!AK12,'August'!AK12,'September'!AK12,'Oktober'!AK12,'November'!AK12,'Dezember'!AK12))</f>
      </c>
    </row>
    <row r="12" spans="1:20" x14ac:dyDescent="0.25">
      <c r="A12" s="49">
        <f>Mitarbeiter!$A$12&amp;""</f>
      </c>
      <c r="B12" s="56">
        <f>IF($A12="","",ROUND(('Januar'!AG13-'Januar'!AH13)*24,2))</f>
      </c>
      <c r="C12" s="56">
        <f>IF($A12="","",ROUND(('Februar'!AG13-'Februar'!AH13)*24,2))</f>
      </c>
      <c r="D12" s="56">
        <f>IF($A12="","",ROUND(('März'!AG13-'März'!AH13)*24,2))</f>
      </c>
      <c r="E12" s="56">
        <f>IF($A12="","",ROUND(('April'!AG13-'April'!AH13)*24,2))</f>
      </c>
      <c r="F12" s="56">
        <f>IF($A12="","",ROUND(('Mai'!AG13-'Mai'!AH13)*24,2))</f>
      </c>
      <c r="G12" s="56">
        <f>IF($A12="","",ROUND(('Juni'!AG13-'Juni'!AH13)*24,2))</f>
      </c>
      <c r="H12" s="56">
        <f>IF($A12="","",ROUND(('Juli'!AG13-'Juli'!AH13)*24,2))</f>
      </c>
      <c r="I12" s="56">
        <f>IF($A12="","",ROUND(('August'!AG13-'August'!AH13)*24,2))</f>
      </c>
      <c r="J12" s="56">
        <f>IF($A12="","",ROUND(('September'!AG13-'September'!AH13)*24,2))</f>
      </c>
      <c r="K12" s="56">
        <f>IF($A12="","",ROUND(('Oktober'!AG13-'Oktober'!AH13)*24,2))</f>
      </c>
      <c r="L12" s="56">
        <f>IF($A12="","",ROUND(('November'!AG13-'November'!AH13)*24,2))</f>
      </c>
      <c r="M12" s="56">
        <f>IF($A12="","",ROUND(('Dezember'!AG13-'Dezember'!AH13)*24,2))</f>
      </c>
      <c r="N12" s="57">
        <f>IF($A12="","",SUM('Januar'!AG13,'Februar'!AG13,'März'!AG13,'April'!AG13,'Mai'!AG13,'Juni'!AG13,'Juli'!AG13,'August'!AG13,'September'!AG13,'Oktober'!AG13,'November'!AG13,'Dezember'!AG13))</f>
      </c>
      <c r="O12" s="57">
        <f>IF($A12="","",SUM('Januar'!AH13,'Februar'!AH13,'März'!AH13,'April'!AH13,'Mai'!AH13,'Juni'!AH13,'Juli'!AH13,'August'!AH13,'September'!AH13,'Oktober'!AH13,'November'!AH13,'Dezember'!AH13))</f>
      </c>
      <c r="P12" s="58">
        <f>IF($A12="","",IF(N12-O12&lt;0,"-","+")&amp;TEXT(ABS(N12-O12),"[h]:mm"))</f>
      </c>
      <c r="Q12" s="59">
        <f>IF($A12="","",SUM('Januar'!AJ13,'Februar'!AJ13,'März'!AJ13,'April'!AJ13,'Mai'!AJ13,'Juni'!AJ13,'Juli'!AJ13,'August'!AJ13,'September'!AJ13,'Oktober'!AJ13,'November'!AJ13,'Dezember'!AJ13))</f>
      </c>
      <c r="R12" s="60">
        <f>IF($A12="","",N(Mitarbeiter!$D$12))</f>
      </c>
      <c r="S12" s="60">
        <f>IF($A12="","",R12-Q12)</f>
      </c>
      <c r="T12" s="59">
        <f>IF($A12="","",SUM('Januar'!AK13,'Februar'!AK13,'März'!AK13,'April'!AK13,'Mai'!AK13,'Juni'!AK13,'Juli'!AK13,'August'!AK13,'September'!AK13,'Oktober'!AK13,'November'!AK13,'Dezember'!AK13))</f>
      </c>
    </row>
    <row r="13" spans="1:20" x14ac:dyDescent="0.25">
      <c r="A13" s="49">
        <f>Mitarbeiter!$A$13&amp;""</f>
      </c>
      <c r="B13" s="56">
        <f>IF($A13="","",ROUND(('Januar'!AG14-'Januar'!AH14)*24,2))</f>
      </c>
      <c r="C13" s="56">
        <f>IF($A13="","",ROUND(('Februar'!AG14-'Februar'!AH14)*24,2))</f>
      </c>
      <c r="D13" s="56">
        <f>IF($A13="","",ROUND(('März'!AG14-'März'!AH14)*24,2))</f>
      </c>
      <c r="E13" s="56">
        <f>IF($A13="","",ROUND(('April'!AG14-'April'!AH14)*24,2))</f>
      </c>
      <c r="F13" s="56">
        <f>IF($A13="","",ROUND(('Mai'!AG14-'Mai'!AH14)*24,2))</f>
      </c>
      <c r="G13" s="56">
        <f>IF($A13="","",ROUND(('Juni'!AG14-'Juni'!AH14)*24,2))</f>
      </c>
      <c r="H13" s="56">
        <f>IF($A13="","",ROUND(('Juli'!AG14-'Juli'!AH14)*24,2))</f>
      </c>
      <c r="I13" s="56">
        <f>IF($A13="","",ROUND(('August'!AG14-'August'!AH14)*24,2))</f>
      </c>
      <c r="J13" s="56">
        <f>IF($A13="","",ROUND(('September'!AG14-'September'!AH14)*24,2))</f>
      </c>
      <c r="K13" s="56">
        <f>IF($A13="","",ROUND(('Oktober'!AG14-'Oktober'!AH14)*24,2))</f>
      </c>
      <c r="L13" s="56">
        <f>IF($A13="","",ROUND(('November'!AG14-'November'!AH14)*24,2))</f>
      </c>
      <c r="M13" s="56">
        <f>IF($A13="","",ROUND(('Dezember'!AG14-'Dezember'!AH14)*24,2))</f>
      </c>
      <c r="N13" s="57">
        <f>IF($A13="","",SUM('Januar'!AG14,'Februar'!AG14,'März'!AG14,'April'!AG14,'Mai'!AG14,'Juni'!AG14,'Juli'!AG14,'August'!AG14,'September'!AG14,'Oktober'!AG14,'November'!AG14,'Dezember'!AG14))</f>
      </c>
      <c r="O13" s="57">
        <f>IF($A13="","",SUM('Januar'!AH14,'Februar'!AH14,'März'!AH14,'April'!AH14,'Mai'!AH14,'Juni'!AH14,'Juli'!AH14,'August'!AH14,'September'!AH14,'Oktober'!AH14,'November'!AH14,'Dezember'!AH14))</f>
      </c>
      <c r="P13" s="58">
        <f>IF($A13="","",IF(N13-O13&lt;0,"-","+")&amp;TEXT(ABS(N13-O13),"[h]:mm"))</f>
      </c>
      <c r="Q13" s="59">
        <f>IF($A13="","",SUM('Januar'!AJ14,'Februar'!AJ14,'März'!AJ14,'April'!AJ14,'Mai'!AJ14,'Juni'!AJ14,'Juli'!AJ14,'August'!AJ14,'September'!AJ14,'Oktober'!AJ14,'November'!AJ14,'Dezember'!AJ14))</f>
      </c>
      <c r="R13" s="60">
        <f>IF($A13="","",N(Mitarbeiter!$D$13))</f>
      </c>
      <c r="S13" s="60">
        <f>IF($A13="","",R13-Q13)</f>
      </c>
      <c r="T13" s="59">
        <f>IF($A13="","",SUM('Januar'!AK14,'Februar'!AK14,'März'!AK14,'April'!AK14,'Mai'!AK14,'Juni'!AK14,'Juli'!AK14,'August'!AK14,'September'!AK14,'Oktober'!AK14,'November'!AK14,'Dezember'!AK14))</f>
      </c>
    </row>
    <row r="14" spans="1:20" x14ac:dyDescent="0.25">
      <c r="A14" s="49">
        <f>Mitarbeiter!$A$14&amp;""</f>
      </c>
      <c r="B14" s="56">
        <f>IF($A14="","",ROUND(('Januar'!AG15-'Januar'!AH15)*24,2))</f>
      </c>
      <c r="C14" s="56">
        <f>IF($A14="","",ROUND(('Februar'!AG15-'Februar'!AH15)*24,2))</f>
      </c>
      <c r="D14" s="56">
        <f>IF($A14="","",ROUND(('März'!AG15-'März'!AH15)*24,2))</f>
      </c>
      <c r="E14" s="56">
        <f>IF($A14="","",ROUND(('April'!AG15-'April'!AH15)*24,2))</f>
      </c>
      <c r="F14" s="56">
        <f>IF($A14="","",ROUND(('Mai'!AG15-'Mai'!AH15)*24,2))</f>
      </c>
      <c r="G14" s="56">
        <f>IF($A14="","",ROUND(('Juni'!AG15-'Juni'!AH15)*24,2))</f>
      </c>
      <c r="H14" s="56">
        <f>IF($A14="","",ROUND(('Juli'!AG15-'Juli'!AH15)*24,2))</f>
      </c>
      <c r="I14" s="56">
        <f>IF($A14="","",ROUND(('August'!AG15-'August'!AH15)*24,2))</f>
      </c>
      <c r="J14" s="56">
        <f>IF($A14="","",ROUND(('September'!AG15-'September'!AH15)*24,2))</f>
      </c>
      <c r="K14" s="56">
        <f>IF($A14="","",ROUND(('Oktober'!AG15-'Oktober'!AH15)*24,2))</f>
      </c>
      <c r="L14" s="56">
        <f>IF($A14="","",ROUND(('November'!AG15-'November'!AH15)*24,2))</f>
      </c>
      <c r="M14" s="56">
        <f>IF($A14="","",ROUND(('Dezember'!AG15-'Dezember'!AH15)*24,2))</f>
      </c>
      <c r="N14" s="57">
        <f>IF($A14="","",SUM('Januar'!AG15,'Februar'!AG15,'März'!AG15,'April'!AG15,'Mai'!AG15,'Juni'!AG15,'Juli'!AG15,'August'!AG15,'September'!AG15,'Oktober'!AG15,'November'!AG15,'Dezember'!AG15))</f>
      </c>
      <c r="O14" s="57">
        <f>IF($A14="","",SUM('Januar'!AH15,'Februar'!AH15,'März'!AH15,'April'!AH15,'Mai'!AH15,'Juni'!AH15,'Juli'!AH15,'August'!AH15,'September'!AH15,'Oktober'!AH15,'November'!AH15,'Dezember'!AH15))</f>
      </c>
      <c r="P14" s="58">
        <f>IF($A14="","",IF(N14-O14&lt;0,"-","+")&amp;TEXT(ABS(N14-O14),"[h]:mm"))</f>
      </c>
      <c r="Q14" s="59">
        <f>IF($A14="","",SUM('Januar'!AJ15,'Februar'!AJ15,'März'!AJ15,'April'!AJ15,'Mai'!AJ15,'Juni'!AJ15,'Juli'!AJ15,'August'!AJ15,'September'!AJ15,'Oktober'!AJ15,'November'!AJ15,'Dezember'!AJ15))</f>
      </c>
      <c r="R14" s="60">
        <f>IF($A14="","",N(Mitarbeiter!$D$14))</f>
      </c>
      <c r="S14" s="60">
        <f>IF($A14="","",R14-Q14)</f>
      </c>
      <c r="T14" s="59">
        <f>IF($A14="","",SUM('Januar'!AK15,'Februar'!AK15,'März'!AK15,'April'!AK15,'Mai'!AK15,'Juni'!AK15,'Juli'!AK15,'August'!AK15,'September'!AK15,'Oktober'!AK15,'November'!AK15,'Dezember'!AK15))</f>
      </c>
    </row>
    <row r="15" spans="1:20" x14ac:dyDescent="0.25">
      <c r="A15" s="49">
        <f>Mitarbeiter!$A$15&amp;""</f>
      </c>
      <c r="B15" s="56">
        <f>IF($A15="","",ROUND(('Januar'!AG16-'Januar'!AH16)*24,2))</f>
      </c>
      <c r="C15" s="56">
        <f>IF($A15="","",ROUND(('Februar'!AG16-'Februar'!AH16)*24,2))</f>
      </c>
      <c r="D15" s="56">
        <f>IF($A15="","",ROUND(('März'!AG16-'März'!AH16)*24,2))</f>
      </c>
      <c r="E15" s="56">
        <f>IF($A15="","",ROUND(('April'!AG16-'April'!AH16)*24,2))</f>
      </c>
      <c r="F15" s="56">
        <f>IF($A15="","",ROUND(('Mai'!AG16-'Mai'!AH16)*24,2))</f>
      </c>
      <c r="G15" s="56">
        <f>IF($A15="","",ROUND(('Juni'!AG16-'Juni'!AH16)*24,2))</f>
      </c>
      <c r="H15" s="56">
        <f>IF($A15="","",ROUND(('Juli'!AG16-'Juli'!AH16)*24,2))</f>
      </c>
      <c r="I15" s="56">
        <f>IF($A15="","",ROUND(('August'!AG16-'August'!AH16)*24,2))</f>
      </c>
      <c r="J15" s="56">
        <f>IF($A15="","",ROUND(('September'!AG16-'September'!AH16)*24,2))</f>
      </c>
      <c r="K15" s="56">
        <f>IF($A15="","",ROUND(('Oktober'!AG16-'Oktober'!AH16)*24,2))</f>
      </c>
      <c r="L15" s="56">
        <f>IF($A15="","",ROUND(('November'!AG16-'November'!AH16)*24,2))</f>
      </c>
      <c r="M15" s="56">
        <f>IF($A15="","",ROUND(('Dezember'!AG16-'Dezember'!AH16)*24,2))</f>
      </c>
      <c r="N15" s="57">
        <f>IF($A15="","",SUM('Januar'!AG16,'Februar'!AG16,'März'!AG16,'April'!AG16,'Mai'!AG16,'Juni'!AG16,'Juli'!AG16,'August'!AG16,'September'!AG16,'Oktober'!AG16,'November'!AG16,'Dezember'!AG16))</f>
      </c>
      <c r="O15" s="57">
        <f>IF($A15="","",SUM('Januar'!AH16,'Februar'!AH16,'März'!AH16,'April'!AH16,'Mai'!AH16,'Juni'!AH16,'Juli'!AH16,'August'!AH16,'September'!AH16,'Oktober'!AH16,'November'!AH16,'Dezember'!AH16))</f>
      </c>
      <c r="P15" s="58">
        <f>IF($A15="","",IF(N15-O15&lt;0,"-","+")&amp;TEXT(ABS(N15-O15),"[h]:mm"))</f>
      </c>
      <c r="Q15" s="59">
        <f>IF($A15="","",SUM('Januar'!AJ16,'Februar'!AJ16,'März'!AJ16,'April'!AJ16,'Mai'!AJ16,'Juni'!AJ16,'Juli'!AJ16,'August'!AJ16,'September'!AJ16,'Oktober'!AJ16,'November'!AJ16,'Dezember'!AJ16))</f>
      </c>
      <c r="R15" s="60">
        <f>IF($A15="","",N(Mitarbeiter!$D$15))</f>
      </c>
      <c r="S15" s="60">
        <f>IF($A15="","",R15-Q15)</f>
      </c>
      <c r="T15" s="59">
        <f>IF($A15="","",SUM('Januar'!AK16,'Februar'!AK16,'März'!AK16,'April'!AK16,'Mai'!AK16,'Juni'!AK16,'Juli'!AK16,'August'!AK16,'September'!AK16,'Oktober'!AK16,'November'!AK16,'Dezember'!AK16))</f>
      </c>
    </row>
    <row r="16" spans="1:20" x14ac:dyDescent="0.25">
      <c r="A16" s="49">
        <f>Mitarbeiter!$A$16&amp;""</f>
      </c>
      <c r="B16" s="56">
        <f>IF($A16="","",ROUND(('Januar'!AG17-'Januar'!AH17)*24,2))</f>
      </c>
      <c r="C16" s="56">
        <f>IF($A16="","",ROUND(('Februar'!AG17-'Februar'!AH17)*24,2))</f>
      </c>
      <c r="D16" s="56">
        <f>IF($A16="","",ROUND(('März'!AG17-'März'!AH17)*24,2))</f>
      </c>
      <c r="E16" s="56">
        <f>IF($A16="","",ROUND(('April'!AG17-'April'!AH17)*24,2))</f>
      </c>
      <c r="F16" s="56">
        <f>IF($A16="","",ROUND(('Mai'!AG17-'Mai'!AH17)*24,2))</f>
      </c>
      <c r="G16" s="56">
        <f>IF($A16="","",ROUND(('Juni'!AG17-'Juni'!AH17)*24,2))</f>
      </c>
      <c r="H16" s="56">
        <f>IF($A16="","",ROUND(('Juli'!AG17-'Juli'!AH17)*24,2))</f>
      </c>
      <c r="I16" s="56">
        <f>IF($A16="","",ROUND(('August'!AG17-'August'!AH17)*24,2))</f>
      </c>
      <c r="J16" s="56">
        <f>IF($A16="","",ROUND(('September'!AG17-'September'!AH17)*24,2))</f>
      </c>
      <c r="K16" s="56">
        <f>IF($A16="","",ROUND(('Oktober'!AG17-'Oktober'!AH17)*24,2))</f>
      </c>
      <c r="L16" s="56">
        <f>IF($A16="","",ROUND(('November'!AG17-'November'!AH17)*24,2))</f>
      </c>
      <c r="M16" s="56">
        <f>IF($A16="","",ROUND(('Dezember'!AG17-'Dezember'!AH17)*24,2))</f>
      </c>
      <c r="N16" s="57">
        <f>IF($A16="","",SUM('Januar'!AG17,'Februar'!AG17,'März'!AG17,'April'!AG17,'Mai'!AG17,'Juni'!AG17,'Juli'!AG17,'August'!AG17,'September'!AG17,'Oktober'!AG17,'November'!AG17,'Dezember'!AG17))</f>
      </c>
      <c r="O16" s="57">
        <f>IF($A16="","",SUM('Januar'!AH17,'Februar'!AH17,'März'!AH17,'April'!AH17,'Mai'!AH17,'Juni'!AH17,'Juli'!AH17,'August'!AH17,'September'!AH17,'Oktober'!AH17,'November'!AH17,'Dezember'!AH17))</f>
      </c>
      <c r="P16" s="58">
        <f>IF($A16="","",IF(N16-O16&lt;0,"-","+")&amp;TEXT(ABS(N16-O16),"[h]:mm"))</f>
      </c>
      <c r="Q16" s="59">
        <f>IF($A16="","",SUM('Januar'!AJ17,'Februar'!AJ17,'März'!AJ17,'April'!AJ17,'Mai'!AJ17,'Juni'!AJ17,'Juli'!AJ17,'August'!AJ17,'September'!AJ17,'Oktober'!AJ17,'November'!AJ17,'Dezember'!AJ17))</f>
      </c>
      <c r="R16" s="60">
        <f>IF($A16="","",N(Mitarbeiter!$D$16))</f>
      </c>
      <c r="S16" s="60">
        <f>IF($A16="","",R16-Q16)</f>
      </c>
      <c r="T16" s="59">
        <f>IF($A16="","",SUM('Januar'!AK17,'Februar'!AK17,'März'!AK17,'April'!AK17,'Mai'!AK17,'Juni'!AK17,'Juli'!AK17,'August'!AK17,'September'!AK17,'Oktober'!AK17,'November'!AK17,'Dezember'!AK17))</f>
      </c>
    </row>
    <row r="17" spans="1:20" x14ac:dyDescent="0.25">
      <c r="A17" s="49">
        <f>Mitarbeiter!$A$17&amp;""</f>
      </c>
      <c r="B17" s="56">
        <f>IF($A17="","",ROUND(('Januar'!AG18-'Januar'!AH18)*24,2))</f>
      </c>
      <c r="C17" s="56">
        <f>IF($A17="","",ROUND(('Februar'!AG18-'Februar'!AH18)*24,2))</f>
      </c>
      <c r="D17" s="56">
        <f>IF($A17="","",ROUND(('März'!AG18-'März'!AH18)*24,2))</f>
      </c>
      <c r="E17" s="56">
        <f>IF($A17="","",ROUND(('April'!AG18-'April'!AH18)*24,2))</f>
      </c>
      <c r="F17" s="56">
        <f>IF($A17="","",ROUND(('Mai'!AG18-'Mai'!AH18)*24,2))</f>
      </c>
      <c r="G17" s="56">
        <f>IF($A17="","",ROUND(('Juni'!AG18-'Juni'!AH18)*24,2))</f>
      </c>
      <c r="H17" s="56">
        <f>IF($A17="","",ROUND(('Juli'!AG18-'Juli'!AH18)*24,2))</f>
      </c>
      <c r="I17" s="56">
        <f>IF($A17="","",ROUND(('August'!AG18-'August'!AH18)*24,2))</f>
      </c>
      <c r="J17" s="56">
        <f>IF($A17="","",ROUND(('September'!AG18-'September'!AH18)*24,2))</f>
      </c>
      <c r="K17" s="56">
        <f>IF($A17="","",ROUND(('Oktober'!AG18-'Oktober'!AH18)*24,2))</f>
      </c>
      <c r="L17" s="56">
        <f>IF($A17="","",ROUND(('November'!AG18-'November'!AH18)*24,2))</f>
      </c>
      <c r="M17" s="56">
        <f>IF($A17="","",ROUND(('Dezember'!AG18-'Dezember'!AH18)*24,2))</f>
      </c>
      <c r="N17" s="57">
        <f>IF($A17="","",SUM('Januar'!AG18,'Februar'!AG18,'März'!AG18,'April'!AG18,'Mai'!AG18,'Juni'!AG18,'Juli'!AG18,'August'!AG18,'September'!AG18,'Oktober'!AG18,'November'!AG18,'Dezember'!AG18))</f>
      </c>
      <c r="O17" s="57">
        <f>IF($A17="","",SUM('Januar'!AH18,'Februar'!AH18,'März'!AH18,'April'!AH18,'Mai'!AH18,'Juni'!AH18,'Juli'!AH18,'August'!AH18,'September'!AH18,'Oktober'!AH18,'November'!AH18,'Dezember'!AH18))</f>
      </c>
      <c r="P17" s="58">
        <f>IF($A17="","",IF(N17-O17&lt;0,"-","+")&amp;TEXT(ABS(N17-O17),"[h]:mm"))</f>
      </c>
      <c r="Q17" s="59">
        <f>IF($A17="","",SUM('Januar'!AJ18,'Februar'!AJ18,'März'!AJ18,'April'!AJ18,'Mai'!AJ18,'Juni'!AJ18,'Juli'!AJ18,'August'!AJ18,'September'!AJ18,'Oktober'!AJ18,'November'!AJ18,'Dezember'!AJ18))</f>
      </c>
      <c r="R17" s="60">
        <f>IF($A17="","",N(Mitarbeiter!$D$17))</f>
      </c>
      <c r="S17" s="60">
        <f>IF($A17="","",R17-Q17)</f>
      </c>
      <c r="T17" s="59">
        <f>IF($A17="","",SUM('Januar'!AK18,'Februar'!AK18,'März'!AK18,'April'!AK18,'Mai'!AK18,'Juni'!AK18,'Juli'!AK18,'August'!AK18,'September'!AK18,'Oktober'!AK18,'November'!AK18,'Dezember'!AK18))</f>
      </c>
    </row>
    <row r="18" spans="1:20" x14ac:dyDescent="0.25">
      <c r="A18" s="49">
        <f>Mitarbeiter!$A$18&amp;""</f>
      </c>
      <c r="B18" s="56">
        <f>IF($A18="","",ROUND(('Januar'!AG19-'Januar'!AH19)*24,2))</f>
      </c>
      <c r="C18" s="56">
        <f>IF($A18="","",ROUND(('Februar'!AG19-'Februar'!AH19)*24,2))</f>
      </c>
      <c r="D18" s="56">
        <f>IF($A18="","",ROUND(('März'!AG19-'März'!AH19)*24,2))</f>
      </c>
      <c r="E18" s="56">
        <f>IF($A18="","",ROUND(('April'!AG19-'April'!AH19)*24,2))</f>
      </c>
      <c r="F18" s="56">
        <f>IF($A18="","",ROUND(('Mai'!AG19-'Mai'!AH19)*24,2))</f>
      </c>
      <c r="G18" s="56">
        <f>IF($A18="","",ROUND(('Juni'!AG19-'Juni'!AH19)*24,2))</f>
      </c>
      <c r="H18" s="56">
        <f>IF($A18="","",ROUND(('Juli'!AG19-'Juli'!AH19)*24,2))</f>
      </c>
      <c r="I18" s="56">
        <f>IF($A18="","",ROUND(('August'!AG19-'August'!AH19)*24,2))</f>
      </c>
      <c r="J18" s="56">
        <f>IF($A18="","",ROUND(('September'!AG19-'September'!AH19)*24,2))</f>
      </c>
      <c r="K18" s="56">
        <f>IF($A18="","",ROUND(('Oktober'!AG19-'Oktober'!AH19)*24,2))</f>
      </c>
      <c r="L18" s="56">
        <f>IF($A18="","",ROUND(('November'!AG19-'November'!AH19)*24,2))</f>
      </c>
      <c r="M18" s="56">
        <f>IF($A18="","",ROUND(('Dezember'!AG19-'Dezember'!AH19)*24,2))</f>
      </c>
      <c r="N18" s="57">
        <f>IF($A18="","",SUM('Januar'!AG19,'Februar'!AG19,'März'!AG19,'April'!AG19,'Mai'!AG19,'Juni'!AG19,'Juli'!AG19,'August'!AG19,'September'!AG19,'Oktober'!AG19,'November'!AG19,'Dezember'!AG19))</f>
      </c>
      <c r="O18" s="57">
        <f>IF($A18="","",SUM('Januar'!AH19,'Februar'!AH19,'März'!AH19,'April'!AH19,'Mai'!AH19,'Juni'!AH19,'Juli'!AH19,'August'!AH19,'September'!AH19,'Oktober'!AH19,'November'!AH19,'Dezember'!AH19))</f>
      </c>
      <c r="P18" s="58">
        <f>IF($A18="","",IF(N18-O18&lt;0,"-","+")&amp;TEXT(ABS(N18-O18),"[h]:mm"))</f>
      </c>
      <c r="Q18" s="59">
        <f>IF($A18="","",SUM('Januar'!AJ19,'Februar'!AJ19,'März'!AJ19,'April'!AJ19,'Mai'!AJ19,'Juni'!AJ19,'Juli'!AJ19,'August'!AJ19,'September'!AJ19,'Oktober'!AJ19,'November'!AJ19,'Dezember'!AJ19))</f>
      </c>
      <c r="R18" s="60">
        <f>IF($A18="","",N(Mitarbeiter!$D$18))</f>
      </c>
      <c r="S18" s="60">
        <f>IF($A18="","",R18-Q18)</f>
      </c>
      <c r="T18" s="59">
        <f>IF($A18="","",SUM('Januar'!AK19,'Februar'!AK19,'März'!AK19,'April'!AK19,'Mai'!AK19,'Juni'!AK19,'Juli'!AK19,'August'!AK19,'September'!AK19,'Oktober'!AK19,'November'!AK19,'Dezember'!AK19))</f>
      </c>
    </row>
    <row r="19" spans="1:20" x14ac:dyDescent="0.25">
      <c r="A19" s="49">
        <f>Mitarbeiter!$A$19&amp;""</f>
      </c>
      <c r="B19" s="56">
        <f>IF($A19="","",ROUND(('Januar'!AG20-'Januar'!AH20)*24,2))</f>
      </c>
      <c r="C19" s="56">
        <f>IF($A19="","",ROUND(('Februar'!AG20-'Februar'!AH20)*24,2))</f>
      </c>
      <c r="D19" s="56">
        <f>IF($A19="","",ROUND(('März'!AG20-'März'!AH20)*24,2))</f>
      </c>
      <c r="E19" s="56">
        <f>IF($A19="","",ROUND(('April'!AG20-'April'!AH20)*24,2))</f>
      </c>
      <c r="F19" s="56">
        <f>IF($A19="","",ROUND(('Mai'!AG20-'Mai'!AH20)*24,2))</f>
      </c>
      <c r="G19" s="56">
        <f>IF($A19="","",ROUND(('Juni'!AG20-'Juni'!AH20)*24,2))</f>
      </c>
      <c r="H19" s="56">
        <f>IF($A19="","",ROUND(('Juli'!AG20-'Juli'!AH20)*24,2))</f>
      </c>
      <c r="I19" s="56">
        <f>IF($A19="","",ROUND(('August'!AG20-'August'!AH20)*24,2))</f>
      </c>
      <c r="J19" s="56">
        <f>IF($A19="","",ROUND(('September'!AG20-'September'!AH20)*24,2))</f>
      </c>
      <c r="K19" s="56">
        <f>IF($A19="","",ROUND(('Oktober'!AG20-'Oktober'!AH20)*24,2))</f>
      </c>
      <c r="L19" s="56">
        <f>IF($A19="","",ROUND(('November'!AG20-'November'!AH20)*24,2))</f>
      </c>
      <c r="M19" s="56">
        <f>IF($A19="","",ROUND(('Dezember'!AG20-'Dezember'!AH20)*24,2))</f>
      </c>
      <c r="N19" s="57">
        <f>IF($A19="","",SUM('Januar'!AG20,'Februar'!AG20,'März'!AG20,'April'!AG20,'Mai'!AG20,'Juni'!AG20,'Juli'!AG20,'August'!AG20,'September'!AG20,'Oktober'!AG20,'November'!AG20,'Dezember'!AG20))</f>
      </c>
      <c r="O19" s="57">
        <f>IF($A19="","",SUM('Januar'!AH20,'Februar'!AH20,'März'!AH20,'April'!AH20,'Mai'!AH20,'Juni'!AH20,'Juli'!AH20,'August'!AH20,'September'!AH20,'Oktober'!AH20,'November'!AH20,'Dezember'!AH20))</f>
      </c>
      <c r="P19" s="58">
        <f>IF($A19="","",IF(N19-O19&lt;0,"-","+")&amp;TEXT(ABS(N19-O19),"[h]:mm"))</f>
      </c>
      <c r="Q19" s="59">
        <f>IF($A19="","",SUM('Januar'!AJ20,'Februar'!AJ20,'März'!AJ20,'April'!AJ20,'Mai'!AJ20,'Juni'!AJ20,'Juli'!AJ20,'August'!AJ20,'September'!AJ20,'Oktober'!AJ20,'November'!AJ20,'Dezember'!AJ20))</f>
      </c>
      <c r="R19" s="60">
        <f>IF($A19="","",N(Mitarbeiter!$D$19))</f>
      </c>
      <c r="S19" s="60">
        <f>IF($A19="","",R19-Q19)</f>
      </c>
      <c r="T19" s="59">
        <f>IF($A19="","",SUM('Januar'!AK20,'Februar'!AK20,'März'!AK20,'April'!AK20,'Mai'!AK20,'Juni'!AK20,'Juli'!AK20,'August'!AK20,'September'!AK20,'Oktober'!AK20,'November'!AK20,'Dezember'!AK20))</f>
      </c>
    </row>
    <row r="20" spans="1:20" x14ac:dyDescent="0.25">
      <c r="A20" s="49">
        <f>Mitarbeiter!$A$20&amp;""</f>
      </c>
      <c r="B20" s="56">
        <f>IF($A20="","",ROUND(('Januar'!AG21-'Januar'!AH21)*24,2))</f>
      </c>
      <c r="C20" s="56">
        <f>IF($A20="","",ROUND(('Februar'!AG21-'Februar'!AH21)*24,2))</f>
      </c>
      <c r="D20" s="56">
        <f>IF($A20="","",ROUND(('März'!AG21-'März'!AH21)*24,2))</f>
      </c>
      <c r="E20" s="56">
        <f>IF($A20="","",ROUND(('April'!AG21-'April'!AH21)*24,2))</f>
      </c>
      <c r="F20" s="56">
        <f>IF($A20="","",ROUND(('Mai'!AG21-'Mai'!AH21)*24,2))</f>
      </c>
      <c r="G20" s="56">
        <f>IF($A20="","",ROUND(('Juni'!AG21-'Juni'!AH21)*24,2))</f>
      </c>
      <c r="H20" s="56">
        <f>IF($A20="","",ROUND(('Juli'!AG21-'Juli'!AH21)*24,2))</f>
      </c>
      <c r="I20" s="56">
        <f>IF($A20="","",ROUND(('August'!AG21-'August'!AH21)*24,2))</f>
      </c>
      <c r="J20" s="56">
        <f>IF($A20="","",ROUND(('September'!AG21-'September'!AH21)*24,2))</f>
      </c>
      <c r="K20" s="56">
        <f>IF($A20="","",ROUND(('Oktober'!AG21-'Oktober'!AH21)*24,2))</f>
      </c>
      <c r="L20" s="56">
        <f>IF($A20="","",ROUND(('November'!AG21-'November'!AH21)*24,2))</f>
      </c>
      <c r="M20" s="56">
        <f>IF($A20="","",ROUND(('Dezember'!AG21-'Dezember'!AH21)*24,2))</f>
      </c>
      <c r="N20" s="57">
        <f>IF($A20="","",SUM('Januar'!AG21,'Februar'!AG21,'März'!AG21,'April'!AG21,'Mai'!AG21,'Juni'!AG21,'Juli'!AG21,'August'!AG21,'September'!AG21,'Oktober'!AG21,'November'!AG21,'Dezember'!AG21))</f>
      </c>
      <c r="O20" s="57">
        <f>IF($A20="","",SUM('Januar'!AH21,'Februar'!AH21,'März'!AH21,'April'!AH21,'Mai'!AH21,'Juni'!AH21,'Juli'!AH21,'August'!AH21,'September'!AH21,'Oktober'!AH21,'November'!AH21,'Dezember'!AH21))</f>
      </c>
      <c r="P20" s="58">
        <f>IF($A20="","",IF(N20-O20&lt;0,"-","+")&amp;TEXT(ABS(N20-O20),"[h]:mm"))</f>
      </c>
      <c r="Q20" s="59">
        <f>IF($A20="","",SUM('Januar'!AJ21,'Februar'!AJ21,'März'!AJ21,'April'!AJ21,'Mai'!AJ21,'Juni'!AJ21,'Juli'!AJ21,'August'!AJ21,'September'!AJ21,'Oktober'!AJ21,'November'!AJ21,'Dezember'!AJ21))</f>
      </c>
      <c r="R20" s="60">
        <f>IF($A20="","",N(Mitarbeiter!$D$20))</f>
      </c>
      <c r="S20" s="60">
        <f>IF($A20="","",R20-Q20)</f>
      </c>
      <c r="T20" s="59">
        <f>IF($A20="","",SUM('Januar'!AK21,'Februar'!AK21,'März'!AK21,'April'!AK21,'Mai'!AK21,'Juni'!AK21,'Juli'!AK21,'August'!AK21,'September'!AK21,'Oktober'!AK21,'November'!AK21,'Dezember'!AK21))</f>
      </c>
    </row>
    <row r="21" spans="1:20" x14ac:dyDescent="0.25">
      <c r="A21" s="49">
        <f>Mitarbeiter!$A$21&amp;""</f>
      </c>
      <c r="B21" s="56">
        <f>IF($A21="","",ROUND(('Januar'!AG22-'Januar'!AH22)*24,2))</f>
      </c>
      <c r="C21" s="56">
        <f>IF($A21="","",ROUND(('Februar'!AG22-'Februar'!AH22)*24,2))</f>
      </c>
      <c r="D21" s="56">
        <f>IF($A21="","",ROUND(('März'!AG22-'März'!AH22)*24,2))</f>
      </c>
      <c r="E21" s="56">
        <f>IF($A21="","",ROUND(('April'!AG22-'April'!AH22)*24,2))</f>
      </c>
      <c r="F21" s="56">
        <f>IF($A21="","",ROUND(('Mai'!AG22-'Mai'!AH22)*24,2))</f>
      </c>
      <c r="G21" s="56">
        <f>IF($A21="","",ROUND(('Juni'!AG22-'Juni'!AH22)*24,2))</f>
      </c>
      <c r="H21" s="56">
        <f>IF($A21="","",ROUND(('Juli'!AG22-'Juli'!AH22)*24,2))</f>
      </c>
      <c r="I21" s="56">
        <f>IF($A21="","",ROUND(('August'!AG22-'August'!AH22)*24,2))</f>
      </c>
      <c r="J21" s="56">
        <f>IF($A21="","",ROUND(('September'!AG22-'September'!AH22)*24,2))</f>
      </c>
      <c r="K21" s="56">
        <f>IF($A21="","",ROUND(('Oktober'!AG22-'Oktober'!AH22)*24,2))</f>
      </c>
      <c r="L21" s="56">
        <f>IF($A21="","",ROUND(('November'!AG22-'November'!AH22)*24,2))</f>
      </c>
      <c r="M21" s="56">
        <f>IF($A21="","",ROUND(('Dezember'!AG22-'Dezember'!AH22)*24,2))</f>
      </c>
      <c r="N21" s="57">
        <f>IF($A21="","",SUM('Januar'!AG22,'Februar'!AG22,'März'!AG22,'April'!AG22,'Mai'!AG22,'Juni'!AG22,'Juli'!AG22,'August'!AG22,'September'!AG22,'Oktober'!AG22,'November'!AG22,'Dezember'!AG22))</f>
      </c>
      <c r="O21" s="57">
        <f>IF($A21="","",SUM('Januar'!AH22,'Februar'!AH22,'März'!AH22,'April'!AH22,'Mai'!AH22,'Juni'!AH22,'Juli'!AH22,'August'!AH22,'September'!AH22,'Oktober'!AH22,'November'!AH22,'Dezember'!AH22))</f>
      </c>
      <c r="P21" s="58">
        <f>IF($A21="","",IF(N21-O21&lt;0,"-","+")&amp;TEXT(ABS(N21-O21),"[h]:mm"))</f>
      </c>
      <c r="Q21" s="59">
        <f>IF($A21="","",SUM('Januar'!AJ22,'Februar'!AJ22,'März'!AJ22,'April'!AJ22,'Mai'!AJ22,'Juni'!AJ22,'Juli'!AJ22,'August'!AJ22,'September'!AJ22,'Oktober'!AJ22,'November'!AJ22,'Dezember'!AJ22))</f>
      </c>
      <c r="R21" s="60">
        <f>IF($A21="","",N(Mitarbeiter!$D$21))</f>
      </c>
      <c r="S21" s="60">
        <f>IF($A21="","",R21-Q21)</f>
      </c>
      <c r="T21" s="59">
        <f>IF($A21="","",SUM('Januar'!AK22,'Februar'!AK22,'März'!AK22,'April'!AK22,'Mai'!AK22,'Juni'!AK22,'Juli'!AK22,'August'!AK22,'September'!AK22,'Oktober'!AK22,'November'!AK22,'Dezember'!AK22))</f>
      </c>
    </row>
    <row r="22" spans="1:20" x14ac:dyDescent="0.25">
      <c r="A22" s="49">
        <f>Mitarbeiter!$A$22&amp;""</f>
      </c>
      <c r="B22" s="56">
        <f>IF($A22="","",ROUND(('Januar'!AG23-'Januar'!AH23)*24,2))</f>
      </c>
      <c r="C22" s="56">
        <f>IF($A22="","",ROUND(('Februar'!AG23-'Februar'!AH23)*24,2))</f>
      </c>
      <c r="D22" s="56">
        <f>IF($A22="","",ROUND(('März'!AG23-'März'!AH23)*24,2))</f>
      </c>
      <c r="E22" s="56">
        <f>IF($A22="","",ROUND(('April'!AG23-'April'!AH23)*24,2))</f>
      </c>
      <c r="F22" s="56">
        <f>IF($A22="","",ROUND(('Mai'!AG23-'Mai'!AH23)*24,2))</f>
      </c>
      <c r="G22" s="56">
        <f>IF($A22="","",ROUND(('Juni'!AG23-'Juni'!AH23)*24,2))</f>
      </c>
      <c r="H22" s="56">
        <f>IF($A22="","",ROUND(('Juli'!AG23-'Juli'!AH23)*24,2))</f>
      </c>
      <c r="I22" s="56">
        <f>IF($A22="","",ROUND(('August'!AG23-'August'!AH23)*24,2))</f>
      </c>
      <c r="J22" s="56">
        <f>IF($A22="","",ROUND(('September'!AG23-'September'!AH23)*24,2))</f>
      </c>
      <c r="K22" s="56">
        <f>IF($A22="","",ROUND(('Oktober'!AG23-'Oktober'!AH23)*24,2))</f>
      </c>
      <c r="L22" s="56">
        <f>IF($A22="","",ROUND(('November'!AG23-'November'!AH23)*24,2))</f>
      </c>
      <c r="M22" s="56">
        <f>IF($A22="","",ROUND(('Dezember'!AG23-'Dezember'!AH23)*24,2))</f>
      </c>
      <c r="N22" s="57">
        <f>IF($A22="","",SUM('Januar'!AG23,'Februar'!AG23,'März'!AG23,'April'!AG23,'Mai'!AG23,'Juni'!AG23,'Juli'!AG23,'August'!AG23,'September'!AG23,'Oktober'!AG23,'November'!AG23,'Dezember'!AG23))</f>
      </c>
      <c r="O22" s="57">
        <f>IF($A22="","",SUM('Januar'!AH23,'Februar'!AH23,'März'!AH23,'April'!AH23,'Mai'!AH23,'Juni'!AH23,'Juli'!AH23,'August'!AH23,'September'!AH23,'Oktober'!AH23,'November'!AH23,'Dezember'!AH23))</f>
      </c>
      <c r="P22" s="58">
        <f>IF($A22="","",IF(N22-O22&lt;0,"-","+")&amp;TEXT(ABS(N22-O22),"[h]:mm"))</f>
      </c>
      <c r="Q22" s="59">
        <f>IF($A22="","",SUM('Januar'!AJ23,'Februar'!AJ23,'März'!AJ23,'April'!AJ23,'Mai'!AJ23,'Juni'!AJ23,'Juli'!AJ23,'August'!AJ23,'September'!AJ23,'Oktober'!AJ23,'November'!AJ23,'Dezember'!AJ23))</f>
      </c>
      <c r="R22" s="60">
        <f>IF($A22="","",N(Mitarbeiter!$D$22))</f>
      </c>
      <c r="S22" s="60">
        <f>IF($A22="","",R22-Q22)</f>
      </c>
      <c r="T22" s="59">
        <f>IF($A22="","",SUM('Januar'!AK23,'Februar'!AK23,'März'!AK23,'April'!AK23,'Mai'!AK23,'Juni'!AK23,'Juli'!AK23,'August'!AK23,'September'!AK23,'Oktober'!AK23,'November'!AK23,'Dezember'!AK23))</f>
      </c>
    </row>
    <row r="23" spans="1:20" x14ac:dyDescent="0.25">
      <c r="A23" s="49">
        <f>Mitarbeiter!$A$23&amp;""</f>
      </c>
      <c r="B23" s="56">
        <f>IF($A23="","",ROUND(('Januar'!AG24-'Januar'!AH24)*24,2))</f>
      </c>
      <c r="C23" s="56">
        <f>IF($A23="","",ROUND(('Februar'!AG24-'Februar'!AH24)*24,2))</f>
      </c>
      <c r="D23" s="56">
        <f>IF($A23="","",ROUND(('März'!AG24-'März'!AH24)*24,2))</f>
      </c>
      <c r="E23" s="56">
        <f>IF($A23="","",ROUND(('April'!AG24-'April'!AH24)*24,2))</f>
      </c>
      <c r="F23" s="56">
        <f>IF($A23="","",ROUND(('Mai'!AG24-'Mai'!AH24)*24,2))</f>
      </c>
      <c r="G23" s="56">
        <f>IF($A23="","",ROUND(('Juni'!AG24-'Juni'!AH24)*24,2))</f>
      </c>
      <c r="H23" s="56">
        <f>IF($A23="","",ROUND(('Juli'!AG24-'Juli'!AH24)*24,2))</f>
      </c>
      <c r="I23" s="56">
        <f>IF($A23="","",ROUND(('August'!AG24-'August'!AH24)*24,2))</f>
      </c>
      <c r="J23" s="56">
        <f>IF($A23="","",ROUND(('September'!AG24-'September'!AH24)*24,2))</f>
      </c>
      <c r="K23" s="56">
        <f>IF($A23="","",ROUND(('Oktober'!AG24-'Oktober'!AH24)*24,2))</f>
      </c>
      <c r="L23" s="56">
        <f>IF($A23="","",ROUND(('November'!AG24-'November'!AH24)*24,2))</f>
      </c>
      <c r="M23" s="56">
        <f>IF($A23="","",ROUND(('Dezember'!AG24-'Dezember'!AH24)*24,2))</f>
      </c>
      <c r="N23" s="57">
        <f>IF($A23="","",SUM('Januar'!AG24,'Februar'!AG24,'März'!AG24,'April'!AG24,'Mai'!AG24,'Juni'!AG24,'Juli'!AG24,'August'!AG24,'September'!AG24,'Oktober'!AG24,'November'!AG24,'Dezember'!AG24))</f>
      </c>
      <c r="O23" s="57">
        <f>IF($A23="","",SUM('Januar'!AH24,'Februar'!AH24,'März'!AH24,'April'!AH24,'Mai'!AH24,'Juni'!AH24,'Juli'!AH24,'August'!AH24,'September'!AH24,'Oktober'!AH24,'November'!AH24,'Dezember'!AH24))</f>
      </c>
      <c r="P23" s="58">
        <f>IF($A23="","",IF(N23-O23&lt;0,"-","+")&amp;TEXT(ABS(N23-O23),"[h]:mm"))</f>
      </c>
      <c r="Q23" s="59">
        <f>IF($A23="","",SUM('Januar'!AJ24,'Februar'!AJ24,'März'!AJ24,'April'!AJ24,'Mai'!AJ24,'Juni'!AJ24,'Juli'!AJ24,'August'!AJ24,'September'!AJ24,'Oktober'!AJ24,'November'!AJ24,'Dezember'!AJ24))</f>
      </c>
      <c r="R23" s="60">
        <f>IF($A23="","",N(Mitarbeiter!$D$23))</f>
      </c>
      <c r="S23" s="60">
        <f>IF($A23="","",R23-Q23)</f>
      </c>
      <c r="T23" s="59">
        <f>IF($A23="","",SUM('Januar'!AK24,'Februar'!AK24,'März'!AK24,'April'!AK24,'Mai'!AK24,'Juni'!AK24,'Juli'!AK24,'August'!AK24,'September'!AK24,'Oktober'!AK24,'November'!AK24,'Dezember'!AK24))</f>
      </c>
    </row>
    <row r="24" spans="1:20" x14ac:dyDescent="0.25">
      <c r="A24" s="49">
        <f>Mitarbeiter!$A$24&amp;""</f>
      </c>
      <c r="B24" s="56">
        <f>IF($A24="","",ROUND(('Januar'!AG25-'Januar'!AH25)*24,2))</f>
      </c>
      <c r="C24" s="56">
        <f>IF($A24="","",ROUND(('Februar'!AG25-'Februar'!AH25)*24,2))</f>
      </c>
      <c r="D24" s="56">
        <f>IF($A24="","",ROUND(('März'!AG25-'März'!AH25)*24,2))</f>
      </c>
      <c r="E24" s="56">
        <f>IF($A24="","",ROUND(('April'!AG25-'April'!AH25)*24,2))</f>
      </c>
      <c r="F24" s="56">
        <f>IF($A24="","",ROUND(('Mai'!AG25-'Mai'!AH25)*24,2))</f>
      </c>
      <c r="G24" s="56">
        <f>IF($A24="","",ROUND(('Juni'!AG25-'Juni'!AH25)*24,2))</f>
      </c>
      <c r="H24" s="56">
        <f>IF($A24="","",ROUND(('Juli'!AG25-'Juli'!AH25)*24,2))</f>
      </c>
      <c r="I24" s="56">
        <f>IF($A24="","",ROUND(('August'!AG25-'August'!AH25)*24,2))</f>
      </c>
      <c r="J24" s="56">
        <f>IF($A24="","",ROUND(('September'!AG25-'September'!AH25)*24,2))</f>
      </c>
      <c r="K24" s="56">
        <f>IF($A24="","",ROUND(('Oktober'!AG25-'Oktober'!AH25)*24,2))</f>
      </c>
      <c r="L24" s="56">
        <f>IF($A24="","",ROUND(('November'!AG25-'November'!AH25)*24,2))</f>
      </c>
      <c r="M24" s="56">
        <f>IF($A24="","",ROUND(('Dezember'!AG25-'Dezember'!AH25)*24,2))</f>
      </c>
      <c r="N24" s="57">
        <f>IF($A24="","",SUM('Januar'!AG25,'Februar'!AG25,'März'!AG25,'April'!AG25,'Mai'!AG25,'Juni'!AG25,'Juli'!AG25,'August'!AG25,'September'!AG25,'Oktober'!AG25,'November'!AG25,'Dezember'!AG25))</f>
      </c>
      <c r="O24" s="57">
        <f>IF($A24="","",SUM('Januar'!AH25,'Februar'!AH25,'März'!AH25,'April'!AH25,'Mai'!AH25,'Juni'!AH25,'Juli'!AH25,'August'!AH25,'September'!AH25,'Oktober'!AH25,'November'!AH25,'Dezember'!AH25))</f>
      </c>
      <c r="P24" s="58">
        <f>IF($A24="","",IF(N24-O24&lt;0,"-","+")&amp;TEXT(ABS(N24-O24),"[h]:mm"))</f>
      </c>
      <c r="Q24" s="59">
        <f>IF($A24="","",SUM('Januar'!AJ25,'Februar'!AJ25,'März'!AJ25,'April'!AJ25,'Mai'!AJ25,'Juni'!AJ25,'Juli'!AJ25,'August'!AJ25,'September'!AJ25,'Oktober'!AJ25,'November'!AJ25,'Dezember'!AJ25))</f>
      </c>
      <c r="R24" s="60">
        <f>IF($A24="","",N(Mitarbeiter!$D$24))</f>
      </c>
      <c r="S24" s="60">
        <f>IF($A24="","",R24-Q24)</f>
      </c>
      <c r="T24" s="59">
        <f>IF($A24="","",SUM('Januar'!AK25,'Februar'!AK25,'März'!AK25,'April'!AK25,'Mai'!AK25,'Juni'!AK25,'Juli'!AK25,'August'!AK25,'September'!AK25,'Oktober'!AK25,'November'!AK25,'Dezember'!AK25))</f>
      </c>
    </row>
    <row r="25" spans="1:20" x14ac:dyDescent="0.25">
      <c r="A25" s="49">
        <f>Mitarbeiter!$A$25&amp;""</f>
      </c>
      <c r="B25" s="56">
        <f>IF($A25="","",ROUND(('Januar'!AG26-'Januar'!AH26)*24,2))</f>
      </c>
      <c r="C25" s="56">
        <f>IF($A25="","",ROUND(('Februar'!AG26-'Februar'!AH26)*24,2))</f>
      </c>
      <c r="D25" s="56">
        <f>IF($A25="","",ROUND(('März'!AG26-'März'!AH26)*24,2))</f>
      </c>
      <c r="E25" s="56">
        <f>IF($A25="","",ROUND(('April'!AG26-'April'!AH26)*24,2))</f>
      </c>
      <c r="F25" s="56">
        <f>IF($A25="","",ROUND(('Mai'!AG26-'Mai'!AH26)*24,2))</f>
      </c>
      <c r="G25" s="56">
        <f>IF($A25="","",ROUND(('Juni'!AG26-'Juni'!AH26)*24,2))</f>
      </c>
      <c r="H25" s="56">
        <f>IF($A25="","",ROUND(('Juli'!AG26-'Juli'!AH26)*24,2))</f>
      </c>
      <c r="I25" s="56">
        <f>IF($A25="","",ROUND(('August'!AG26-'August'!AH26)*24,2))</f>
      </c>
      <c r="J25" s="56">
        <f>IF($A25="","",ROUND(('September'!AG26-'September'!AH26)*24,2))</f>
      </c>
      <c r="K25" s="56">
        <f>IF($A25="","",ROUND(('Oktober'!AG26-'Oktober'!AH26)*24,2))</f>
      </c>
      <c r="L25" s="56">
        <f>IF($A25="","",ROUND(('November'!AG26-'November'!AH26)*24,2))</f>
      </c>
      <c r="M25" s="56">
        <f>IF($A25="","",ROUND(('Dezember'!AG26-'Dezember'!AH26)*24,2))</f>
      </c>
      <c r="N25" s="57">
        <f>IF($A25="","",SUM('Januar'!AG26,'Februar'!AG26,'März'!AG26,'April'!AG26,'Mai'!AG26,'Juni'!AG26,'Juli'!AG26,'August'!AG26,'September'!AG26,'Oktober'!AG26,'November'!AG26,'Dezember'!AG26))</f>
      </c>
      <c r="O25" s="57">
        <f>IF($A25="","",SUM('Januar'!AH26,'Februar'!AH26,'März'!AH26,'April'!AH26,'Mai'!AH26,'Juni'!AH26,'Juli'!AH26,'August'!AH26,'September'!AH26,'Oktober'!AH26,'November'!AH26,'Dezember'!AH26))</f>
      </c>
      <c r="P25" s="58">
        <f>IF($A25="","",IF(N25-O25&lt;0,"-","+")&amp;TEXT(ABS(N25-O25),"[h]:mm"))</f>
      </c>
      <c r="Q25" s="59">
        <f>IF($A25="","",SUM('Januar'!AJ26,'Februar'!AJ26,'März'!AJ26,'April'!AJ26,'Mai'!AJ26,'Juni'!AJ26,'Juli'!AJ26,'August'!AJ26,'September'!AJ26,'Oktober'!AJ26,'November'!AJ26,'Dezember'!AJ26))</f>
      </c>
      <c r="R25" s="60">
        <f>IF($A25="","",N(Mitarbeiter!$D$25))</f>
      </c>
      <c r="S25" s="60">
        <f>IF($A25="","",R25-Q25)</f>
      </c>
      <c r="T25" s="59">
        <f>IF($A25="","",SUM('Januar'!AK26,'Februar'!AK26,'März'!AK26,'April'!AK26,'Mai'!AK26,'Juni'!AK26,'Juli'!AK26,'August'!AK26,'September'!AK26,'Oktober'!AK26,'November'!AK26,'Dezember'!AK26))</f>
      </c>
    </row>
    <row r="26" spans="1:20" x14ac:dyDescent="0.25">
      <c r="A26" s="49">
        <f>Mitarbeiter!$A$26&amp;""</f>
      </c>
      <c r="B26" s="56">
        <f>IF($A26="","",ROUND(('Januar'!AG27-'Januar'!AH27)*24,2))</f>
      </c>
      <c r="C26" s="56">
        <f>IF($A26="","",ROUND(('Februar'!AG27-'Februar'!AH27)*24,2))</f>
      </c>
      <c r="D26" s="56">
        <f>IF($A26="","",ROUND(('März'!AG27-'März'!AH27)*24,2))</f>
      </c>
      <c r="E26" s="56">
        <f>IF($A26="","",ROUND(('April'!AG27-'April'!AH27)*24,2))</f>
      </c>
      <c r="F26" s="56">
        <f>IF($A26="","",ROUND(('Mai'!AG27-'Mai'!AH27)*24,2))</f>
      </c>
      <c r="G26" s="56">
        <f>IF($A26="","",ROUND(('Juni'!AG27-'Juni'!AH27)*24,2))</f>
      </c>
      <c r="H26" s="56">
        <f>IF($A26="","",ROUND(('Juli'!AG27-'Juli'!AH27)*24,2))</f>
      </c>
      <c r="I26" s="56">
        <f>IF($A26="","",ROUND(('August'!AG27-'August'!AH27)*24,2))</f>
      </c>
      <c r="J26" s="56">
        <f>IF($A26="","",ROUND(('September'!AG27-'September'!AH27)*24,2))</f>
      </c>
      <c r="K26" s="56">
        <f>IF($A26="","",ROUND(('Oktober'!AG27-'Oktober'!AH27)*24,2))</f>
      </c>
      <c r="L26" s="56">
        <f>IF($A26="","",ROUND(('November'!AG27-'November'!AH27)*24,2))</f>
      </c>
      <c r="M26" s="56">
        <f>IF($A26="","",ROUND(('Dezember'!AG27-'Dezember'!AH27)*24,2))</f>
      </c>
      <c r="N26" s="57">
        <f>IF($A26="","",SUM('Januar'!AG27,'Februar'!AG27,'März'!AG27,'April'!AG27,'Mai'!AG27,'Juni'!AG27,'Juli'!AG27,'August'!AG27,'September'!AG27,'Oktober'!AG27,'November'!AG27,'Dezember'!AG27))</f>
      </c>
      <c r="O26" s="57">
        <f>IF($A26="","",SUM('Januar'!AH27,'Februar'!AH27,'März'!AH27,'April'!AH27,'Mai'!AH27,'Juni'!AH27,'Juli'!AH27,'August'!AH27,'September'!AH27,'Oktober'!AH27,'November'!AH27,'Dezember'!AH27))</f>
      </c>
      <c r="P26" s="58">
        <f>IF($A26="","",IF(N26-O26&lt;0,"-","+")&amp;TEXT(ABS(N26-O26),"[h]:mm"))</f>
      </c>
      <c r="Q26" s="59">
        <f>IF($A26="","",SUM('Januar'!AJ27,'Februar'!AJ27,'März'!AJ27,'April'!AJ27,'Mai'!AJ27,'Juni'!AJ27,'Juli'!AJ27,'August'!AJ27,'September'!AJ27,'Oktober'!AJ27,'November'!AJ27,'Dezember'!AJ27))</f>
      </c>
      <c r="R26" s="60">
        <f>IF($A26="","",N(Mitarbeiter!$D$26))</f>
      </c>
      <c r="S26" s="60">
        <f>IF($A26="","",R26-Q26)</f>
      </c>
      <c r="T26" s="59">
        <f>IF($A26="","",SUM('Januar'!AK27,'Februar'!AK27,'März'!AK27,'April'!AK27,'Mai'!AK27,'Juni'!AK27,'Juli'!AK27,'August'!AK27,'September'!AK27,'Oktober'!AK27,'November'!AK27,'Dezember'!AK27))</f>
      </c>
    </row>
    <row r="27" spans="1:20" x14ac:dyDescent="0.25">
      <c r="A27" s="49">
        <f>Mitarbeiter!$A$27&amp;""</f>
      </c>
      <c r="B27" s="56">
        <f>IF($A27="","",ROUND(('Januar'!AG28-'Januar'!AH28)*24,2))</f>
      </c>
      <c r="C27" s="56">
        <f>IF($A27="","",ROUND(('Februar'!AG28-'Februar'!AH28)*24,2))</f>
      </c>
      <c r="D27" s="56">
        <f>IF($A27="","",ROUND(('März'!AG28-'März'!AH28)*24,2))</f>
      </c>
      <c r="E27" s="56">
        <f>IF($A27="","",ROUND(('April'!AG28-'April'!AH28)*24,2))</f>
      </c>
      <c r="F27" s="56">
        <f>IF($A27="","",ROUND(('Mai'!AG28-'Mai'!AH28)*24,2))</f>
      </c>
      <c r="G27" s="56">
        <f>IF($A27="","",ROUND(('Juni'!AG28-'Juni'!AH28)*24,2))</f>
      </c>
      <c r="H27" s="56">
        <f>IF($A27="","",ROUND(('Juli'!AG28-'Juli'!AH28)*24,2))</f>
      </c>
      <c r="I27" s="56">
        <f>IF($A27="","",ROUND(('August'!AG28-'August'!AH28)*24,2))</f>
      </c>
      <c r="J27" s="56">
        <f>IF($A27="","",ROUND(('September'!AG28-'September'!AH28)*24,2))</f>
      </c>
      <c r="K27" s="56">
        <f>IF($A27="","",ROUND(('Oktober'!AG28-'Oktober'!AH28)*24,2))</f>
      </c>
      <c r="L27" s="56">
        <f>IF($A27="","",ROUND(('November'!AG28-'November'!AH28)*24,2))</f>
      </c>
      <c r="M27" s="56">
        <f>IF($A27="","",ROUND(('Dezember'!AG28-'Dezember'!AH28)*24,2))</f>
      </c>
      <c r="N27" s="57">
        <f>IF($A27="","",SUM('Januar'!AG28,'Februar'!AG28,'März'!AG28,'April'!AG28,'Mai'!AG28,'Juni'!AG28,'Juli'!AG28,'August'!AG28,'September'!AG28,'Oktober'!AG28,'November'!AG28,'Dezember'!AG28))</f>
      </c>
      <c r="O27" s="57">
        <f>IF($A27="","",SUM('Januar'!AH28,'Februar'!AH28,'März'!AH28,'April'!AH28,'Mai'!AH28,'Juni'!AH28,'Juli'!AH28,'August'!AH28,'September'!AH28,'Oktober'!AH28,'November'!AH28,'Dezember'!AH28))</f>
      </c>
      <c r="P27" s="58">
        <f>IF($A27="","",IF(N27-O27&lt;0,"-","+")&amp;TEXT(ABS(N27-O27),"[h]:mm"))</f>
      </c>
      <c r="Q27" s="59">
        <f>IF($A27="","",SUM('Januar'!AJ28,'Februar'!AJ28,'März'!AJ28,'April'!AJ28,'Mai'!AJ28,'Juni'!AJ28,'Juli'!AJ28,'August'!AJ28,'September'!AJ28,'Oktober'!AJ28,'November'!AJ28,'Dezember'!AJ28))</f>
      </c>
      <c r="R27" s="60">
        <f>IF($A27="","",N(Mitarbeiter!$D$27))</f>
      </c>
      <c r="S27" s="60">
        <f>IF($A27="","",R27-Q27)</f>
      </c>
      <c r="T27" s="59">
        <f>IF($A27="","",SUM('Januar'!AK28,'Februar'!AK28,'März'!AK28,'April'!AK28,'Mai'!AK28,'Juni'!AK28,'Juli'!AK28,'August'!AK28,'September'!AK28,'Oktober'!AK28,'November'!AK28,'Dezember'!AK28))</f>
      </c>
    </row>
    <row r="28" spans="1:20" x14ac:dyDescent="0.25">
      <c r="A28" s="49">
        <f>Mitarbeiter!$A$28&amp;""</f>
      </c>
      <c r="B28" s="56">
        <f>IF($A28="","",ROUND(('Januar'!AG29-'Januar'!AH29)*24,2))</f>
      </c>
      <c r="C28" s="56">
        <f>IF($A28="","",ROUND(('Februar'!AG29-'Februar'!AH29)*24,2))</f>
      </c>
      <c r="D28" s="56">
        <f>IF($A28="","",ROUND(('März'!AG29-'März'!AH29)*24,2))</f>
      </c>
      <c r="E28" s="56">
        <f>IF($A28="","",ROUND(('April'!AG29-'April'!AH29)*24,2))</f>
      </c>
      <c r="F28" s="56">
        <f>IF($A28="","",ROUND(('Mai'!AG29-'Mai'!AH29)*24,2))</f>
      </c>
      <c r="G28" s="56">
        <f>IF($A28="","",ROUND(('Juni'!AG29-'Juni'!AH29)*24,2))</f>
      </c>
      <c r="H28" s="56">
        <f>IF($A28="","",ROUND(('Juli'!AG29-'Juli'!AH29)*24,2))</f>
      </c>
      <c r="I28" s="56">
        <f>IF($A28="","",ROUND(('August'!AG29-'August'!AH29)*24,2))</f>
      </c>
      <c r="J28" s="56">
        <f>IF($A28="","",ROUND(('September'!AG29-'September'!AH29)*24,2))</f>
      </c>
      <c r="K28" s="56">
        <f>IF($A28="","",ROUND(('Oktober'!AG29-'Oktober'!AH29)*24,2))</f>
      </c>
      <c r="L28" s="56">
        <f>IF($A28="","",ROUND(('November'!AG29-'November'!AH29)*24,2))</f>
      </c>
      <c r="M28" s="56">
        <f>IF($A28="","",ROUND(('Dezember'!AG29-'Dezember'!AH29)*24,2))</f>
      </c>
      <c r="N28" s="57">
        <f>IF($A28="","",SUM('Januar'!AG29,'Februar'!AG29,'März'!AG29,'April'!AG29,'Mai'!AG29,'Juni'!AG29,'Juli'!AG29,'August'!AG29,'September'!AG29,'Oktober'!AG29,'November'!AG29,'Dezember'!AG29))</f>
      </c>
      <c r="O28" s="57">
        <f>IF($A28="","",SUM('Januar'!AH29,'Februar'!AH29,'März'!AH29,'April'!AH29,'Mai'!AH29,'Juni'!AH29,'Juli'!AH29,'August'!AH29,'September'!AH29,'Oktober'!AH29,'November'!AH29,'Dezember'!AH29))</f>
      </c>
      <c r="P28" s="58">
        <f>IF($A28="","",IF(N28-O28&lt;0,"-","+")&amp;TEXT(ABS(N28-O28),"[h]:mm"))</f>
      </c>
      <c r="Q28" s="59">
        <f>IF($A28="","",SUM('Januar'!AJ29,'Februar'!AJ29,'März'!AJ29,'April'!AJ29,'Mai'!AJ29,'Juni'!AJ29,'Juli'!AJ29,'August'!AJ29,'September'!AJ29,'Oktober'!AJ29,'November'!AJ29,'Dezember'!AJ29))</f>
      </c>
      <c r="R28" s="60">
        <f>IF($A28="","",N(Mitarbeiter!$D$28))</f>
      </c>
      <c r="S28" s="60">
        <f>IF($A28="","",R28-Q28)</f>
      </c>
      <c r="T28" s="59">
        <f>IF($A28="","",SUM('Januar'!AK29,'Februar'!AK29,'März'!AK29,'April'!AK29,'Mai'!AK29,'Juni'!AK29,'Juli'!AK29,'August'!AK29,'September'!AK29,'Oktober'!AK29,'November'!AK29,'Dezember'!AK29))</f>
      </c>
    </row>
    <row r="29" spans="1:20" x14ac:dyDescent="0.25">
      <c r="A29" s="49">
        <f>Mitarbeiter!$A$29&amp;""</f>
      </c>
      <c r="B29" s="56">
        <f>IF($A29="","",ROUND(('Januar'!AG30-'Januar'!AH30)*24,2))</f>
      </c>
      <c r="C29" s="56">
        <f>IF($A29="","",ROUND(('Februar'!AG30-'Februar'!AH30)*24,2))</f>
      </c>
      <c r="D29" s="56">
        <f>IF($A29="","",ROUND(('März'!AG30-'März'!AH30)*24,2))</f>
      </c>
      <c r="E29" s="56">
        <f>IF($A29="","",ROUND(('April'!AG30-'April'!AH30)*24,2))</f>
      </c>
      <c r="F29" s="56">
        <f>IF($A29="","",ROUND(('Mai'!AG30-'Mai'!AH30)*24,2))</f>
      </c>
      <c r="G29" s="56">
        <f>IF($A29="","",ROUND(('Juni'!AG30-'Juni'!AH30)*24,2))</f>
      </c>
      <c r="H29" s="56">
        <f>IF($A29="","",ROUND(('Juli'!AG30-'Juli'!AH30)*24,2))</f>
      </c>
      <c r="I29" s="56">
        <f>IF($A29="","",ROUND(('August'!AG30-'August'!AH30)*24,2))</f>
      </c>
      <c r="J29" s="56">
        <f>IF($A29="","",ROUND(('September'!AG30-'September'!AH30)*24,2))</f>
      </c>
      <c r="K29" s="56">
        <f>IF($A29="","",ROUND(('Oktober'!AG30-'Oktober'!AH30)*24,2))</f>
      </c>
      <c r="L29" s="56">
        <f>IF($A29="","",ROUND(('November'!AG30-'November'!AH30)*24,2))</f>
      </c>
      <c r="M29" s="56">
        <f>IF($A29="","",ROUND(('Dezember'!AG30-'Dezember'!AH30)*24,2))</f>
      </c>
      <c r="N29" s="57">
        <f>IF($A29="","",SUM('Januar'!AG30,'Februar'!AG30,'März'!AG30,'April'!AG30,'Mai'!AG30,'Juni'!AG30,'Juli'!AG30,'August'!AG30,'September'!AG30,'Oktober'!AG30,'November'!AG30,'Dezember'!AG30))</f>
      </c>
      <c r="O29" s="57">
        <f>IF($A29="","",SUM('Januar'!AH30,'Februar'!AH30,'März'!AH30,'April'!AH30,'Mai'!AH30,'Juni'!AH30,'Juli'!AH30,'August'!AH30,'September'!AH30,'Oktober'!AH30,'November'!AH30,'Dezember'!AH30))</f>
      </c>
      <c r="P29" s="58">
        <f>IF($A29="","",IF(N29-O29&lt;0,"-","+")&amp;TEXT(ABS(N29-O29),"[h]:mm"))</f>
      </c>
      <c r="Q29" s="59">
        <f>IF($A29="","",SUM('Januar'!AJ30,'Februar'!AJ30,'März'!AJ30,'April'!AJ30,'Mai'!AJ30,'Juni'!AJ30,'Juli'!AJ30,'August'!AJ30,'September'!AJ30,'Oktober'!AJ30,'November'!AJ30,'Dezember'!AJ30))</f>
      </c>
      <c r="R29" s="60">
        <f>IF($A29="","",N(Mitarbeiter!$D$29))</f>
      </c>
      <c r="S29" s="60">
        <f>IF($A29="","",R29-Q29)</f>
      </c>
      <c r="T29" s="59">
        <f>IF($A29="","",SUM('Januar'!AK30,'Februar'!AK30,'März'!AK30,'April'!AK30,'Mai'!AK30,'Juni'!AK30,'Juli'!AK30,'August'!AK30,'September'!AK30,'Oktober'!AK30,'November'!AK30,'Dezember'!AK30))</f>
      </c>
    </row>
    <row r="30" spans="1:20" x14ac:dyDescent="0.25">
      <c r="A30" s="49">
        <f>Mitarbeiter!$A$30&amp;""</f>
      </c>
      <c r="B30" s="56">
        <f>IF($A30="","",ROUND(('Januar'!AG31-'Januar'!AH31)*24,2))</f>
      </c>
      <c r="C30" s="56">
        <f>IF($A30="","",ROUND(('Februar'!AG31-'Februar'!AH31)*24,2))</f>
      </c>
      <c r="D30" s="56">
        <f>IF($A30="","",ROUND(('März'!AG31-'März'!AH31)*24,2))</f>
      </c>
      <c r="E30" s="56">
        <f>IF($A30="","",ROUND(('April'!AG31-'April'!AH31)*24,2))</f>
      </c>
      <c r="F30" s="56">
        <f>IF($A30="","",ROUND(('Mai'!AG31-'Mai'!AH31)*24,2))</f>
      </c>
      <c r="G30" s="56">
        <f>IF($A30="","",ROUND(('Juni'!AG31-'Juni'!AH31)*24,2))</f>
      </c>
      <c r="H30" s="56">
        <f>IF($A30="","",ROUND(('Juli'!AG31-'Juli'!AH31)*24,2))</f>
      </c>
      <c r="I30" s="56">
        <f>IF($A30="","",ROUND(('August'!AG31-'August'!AH31)*24,2))</f>
      </c>
      <c r="J30" s="56">
        <f>IF($A30="","",ROUND(('September'!AG31-'September'!AH31)*24,2))</f>
      </c>
      <c r="K30" s="56">
        <f>IF($A30="","",ROUND(('Oktober'!AG31-'Oktober'!AH31)*24,2))</f>
      </c>
      <c r="L30" s="56">
        <f>IF($A30="","",ROUND(('November'!AG31-'November'!AH31)*24,2))</f>
      </c>
      <c r="M30" s="56">
        <f>IF($A30="","",ROUND(('Dezember'!AG31-'Dezember'!AH31)*24,2))</f>
      </c>
      <c r="N30" s="57">
        <f>IF($A30="","",SUM('Januar'!AG31,'Februar'!AG31,'März'!AG31,'April'!AG31,'Mai'!AG31,'Juni'!AG31,'Juli'!AG31,'August'!AG31,'September'!AG31,'Oktober'!AG31,'November'!AG31,'Dezember'!AG31))</f>
      </c>
      <c r="O30" s="57">
        <f>IF($A30="","",SUM('Januar'!AH31,'Februar'!AH31,'März'!AH31,'April'!AH31,'Mai'!AH31,'Juni'!AH31,'Juli'!AH31,'August'!AH31,'September'!AH31,'Oktober'!AH31,'November'!AH31,'Dezember'!AH31))</f>
      </c>
      <c r="P30" s="58">
        <f>IF($A30="","",IF(N30-O30&lt;0,"-","+")&amp;TEXT(ABS(N30-O30),"[h]:mm"))</f>
      </c>
      <c r="Q30" s="59">
        <f>IF($A30="","",SUM('Januar'!AJ31,'Februar'!AJ31,'März'!AJ31,'April'!AJ31,'Mai'!AJ31,'Juni'!AJ31,'Juli'!AJ31,'August'!AJ31,'September'!AJ31,'Oktober'!AJ31,'November'!AJ31,'Dezember'!AJ31))</f>
      </c>
      <c r="R30" s="60">
        <f>IF($A30="","",N(Mitarbeiter!$D$30))</f>
      </c>
      <c r="S30" s="60">
        <f>IF($A30="","",R30-Q30)</f>
      </c>
      <c r="T30" s="59">
        <f>IF($A30="","",SUM('Januar'!AK31,'Februar'!AK31,'März'!AK31,'April'!AK31,'Mai'!AK31,'Juni'!AK31,'Juli'!AK31,'August'!AK31,'September'!AK31,'Oktober'!AK31,'November'!AK31,'Dezember'!AK31))</f>
      </c>
    </row>
    <row r="31" spans="1:20" x14ac:dyDescent="0.25">
      <c r="A31" s="49">
        <f>Mitarbeiter!$A$31&amp;""</f>
      </c>
      <c r="B31" s="56">
        <f>IF($A31="","",ROUND(('Januar'!AG32-'Januar'!AH32)*24,2))</f>
      </c>
      <c r="C31" s="56">
        <f>IF($A31="","",ROUND(('Februar'!AG32-'Februar'!AH32)*24,2))</f>
      </c>
      <c r="D31" s="56">
        <f>IF($A31="","",ROUND(('März'!AG32-'März'!AH32)*24,2))</f>
      </c>
      <c r="E31" s="56">
        <f>IF($A31="","",ROUND(('April'!AG32-'April'!AH32)*24,2))</f>
      </c>
      <c r="F31" s="56">
        <f>IF($A31="","",ROUND(('Mai'!AG32-'Mai'!AH32)*24,2))</f>
      </c>
      <c r="G31" s="56">
        <f>IF($A31="","",ROUND(('Juni'!AG32-'Juni'!AH32)*24,2))</f>
      </c>
      <c r="H31" s="56">
        <f>IF($A31="","",ROUND(('Juli'!AG32-'Juli'!AH32)*24,2))</f>
      </c>
      <c r="I31" s="56">
        <f>IF($A31="","",ROUND(('August'!AG32-'August'!AH32)*24,2))</f>
      </c>
      <c r="J31" s="56">
        <f>IF($A31="","",ROUND(('September'!AG32-'September'!AH32)*24,2))</f>
      </c>
      <c r="K31" s="56">
        <f>IF($A31="","",ROUND(('Oktober'!AG32-'Oktober'!AH32)*24,2))</f>
      </c>
      <c r="L31" s="56">
        <f>IF($A31="","",ROUND(('November'!AG32-'November'!AH32)*24,2))</f>
      </c>
      <c r="M31" s="56">
        <f>IF($A31="","",ROUND(('Dezember'!AG32-'Dezember'!AH32)*24,2))</f>
      </c>
      <c r="N31" s="57">
        <f>IF($A31="","",SUM('Januar'!AG32,'Februar'!AG32,'März'!AG32,'April'!AG32,'Mai'!AG32,'Juni'!AG32,'Juli'!AG32,'August'!AG32,'September'!AG32,'Oktober'!AG32,'November'!AG32,'Dezember'!AG32))</f>
      </c>
      <c r="O31" s="57">
        <f>IF($A31="","",SUM('Januar'!AH32,'Februar'!AH32,'März'!AH32,'April'!AH32,'Mai'!AH32,'Juni'!AH32,'Juli'!AH32,'August'!AH32,'September'!AH32,'Oktober'!AH32,'November'!AH32,'Dezember'!AH32))</f>
      </c>
      <c r="P31" s="58">
        <f>IF($A31="","",IF(N31-O31&lt;0,"-","+")&amp;TEXT(ABS(N31-O31),"[h]:mm"))</f>
      </c>
      <c r="Q31" s="59">
        <f>IF($A31="","",SUM('Januar'!AJ32,'Februar'!AJ32,'März'!AJ32,'April'!AJ32,'Mai'!AJ32,'Juni'!AJ32,'Juli'!AJ32,'August'!AJ32,'September'!AJ32,'Oktober'!AJ32,'November'!AJ32,'Dezember'!AJ32))</f>
      </c>
      <c r="R31" s="60">
        <f>IF($A31="","",N(Mitarbeiter!$D$31))</f>
      </c>
      <c r="S31" s="60">
        <f>IF($A31="","",R31-Q31)</f>
      </c>
      <c r="T31" s="59">
        <f>IF($A31="","",SUM('Januar'!AK32,'Februar'!AK32,'März'!AK32,'April'!AK32,'Mai'!AK32,'Juni'!AK32,'Juli'!AK32,'August'!AK32,'September'!AK32,'Oktober'!AK32,'November'!AK32,'Dezember'!AK32))</f>
      </c>
    </row>
    <row r="32" spans="1:20" x14ac:dyDescent="0.25">
      <c r="A32" s="49">
        <f>Mitarbeiter!$A$32&amp;""</f>
      </c>
      <c r="B32" s="56">
        <f>IF($A32="","",ROUND(('Januar'!AG33-'Januar'!AH33)*24,2))</f>
      </c>
      <c r="C32" s="56">
        <f>IF($A32="","",ROUND(('Februar'!AG33-'Februar'!AH33)*24,2))</f>
      </c>
      <c r="D32" s="56">
        <f>IF($A32="","",ROUND(('März'!AG33-'März'!AH33)*24,2))</f>
      </c>
      <c r="E32" s="56">
        <f>IF($A32="","",ROUND(('April'!AG33-'April'!AH33)*24,2))</f>
      </c>
      <c r="F32" s="56">
        <f>IF($A32="","",ROUND(('Mai'!AG33-'Mai'!AH33)*24,2))</f>
      </c>
      <c r="G32" s="56">
        <f>IF($A32="","",ROUND(('Juni'!AG33-'Juni'!AH33)*24,2))</f>
      </c>
      <c r="H32" s="56">
        <f>IF($A32="","",ROUND(('Juli'!AG33-'Juli'!AH33)*24,2))</f>
      </c>
      <c r="I32" s="56">
        <f>IF($A32="","",ROUND(('August'!AG33-'August'!AH33)*24,2))</f>
      </c>
      <c r="J32" s="56">
        <f>IF($A32="","",ROUND(('September'!AG33-'September'!AH33)*24,2))</f>
      </c>
      <c r="K32" s="56">
        <f>IF($A32="","",ROUND(('Oktober'!AG33-'Oktober'!AH33)*24,2))</f>
      </c>
      <c r="L32" s="56">
        <f>IF($A32="","",ROUND(('November'!AG33-'November'!AH33)*24,2))</f>
      </c>
      <c r="M32" s="56">
        <f>IF($A32="","",ROUND(('Dezember'!AG33-'Dezember'!AH33)*24,2))</f>
      </c>
      <c r="N32" s="57">
        <f>IF($A32="","",SUM('Januar'!AG33,'Februar'!AG33,'März'!AG33,'April'!AG33,'Mai'!AG33,'Juni'!AG33,'Juli'!AG33,'August'!AG33,'September'!AG33,'Oktober'!AG33,'November'!AG33,'Dezember'!AG33))</f>
      </c>
      <c r="O32" s="57">
        <f>IF($A32="","",SUM('Januar'!AH33,'Februar'!AH33,'März'!AH33,'April'!AH33,'Mai'!AH33,'Juni'!AH33,'Juli'!AH33,'August'!AH33,'September'!AH33,'Oktober'!AH33,'November'!AH33,'Dezember'!AH33))</f>
      </c>
      <c r="P32" s="58">
        <f>IF($A32="","",IF(N32-O32&lt;0,"-","+")&amp;TEXT(ABS(N32-O32),"[h]:mm"))</f>
      </c>
      <c r="Q32" s="59">
        <f>IF($A32="","",SUM('Januar'!AJ33,'Februar'!AJ33,'März'!AJ33,'April'!AJ33,'Mai'!AJ33,'Juni'!AJ33,'Juli'!AJ33,'August'!AJ33,'September'!AJ33,'Oktober'!AJ33,'November'!AJ33,'Dezember'!AJ33))</f>
      </c>
      <c r="R32" s="60">
        <f>IF($A32="","",N(Mitarbeiter!$D$32))</f>
      </c>
      <c r="S32" s="60">
        <f>IF($A32="","",R32-Q32)</f>
      </c>
      <c r="T32" s="59">
        <f>IF($A32="","",SUM('Januar'!AK33,'Februar'!AK33,'März'!AK33,'April'!AK33,'Mai'!AK33,'Juni'!AK33,'Juli'!AK33,'August'!AK33,'September'!AK33,'Oktober'!AK33,'November'!AK33,'Dezember'!AK33))</f>
      </c>
    </row>
    <row r="33" spans="1:20" x14ac:dyDescent="0.25">
      <c r="A33" s="49">
        <f>Mitarbeiter!$A$33&amp;""</f>
      </c>
      <c r="B33" s="56">
        <f>IF($A33="","",ROUND(('Januar'!AG34-'Januar'!AH34)*24,2))</f>
      </c>
      <c r="C33" s="56">
        <f>IF($A33="","",ROUND(('Februar'!AG34-'Februar'!AH34)*24,2))</f>
      </c>
      <c r="D33" s="56">
        <f>IF($A33="","",ROUND(('März'!AG34-'März'!AH34)*24,2))</f>
      </c>
      <c r="E33" s="56">
        <f>IF($A33="","",ROUND(('April'!AG34-'April'!AH34)*24,2))</f>
      </c>
      <c r="F33" s="56">
        <f>IF($A33="","",ROUND(('Mai'!AG34-'Mai'!AH34)*24,2))</f>
      </c>
      <c r="G33" s="56">
        <f>IF($A33="","",ROUND(('Juni'!AG34-'Juni'!AH34)*24,2))</f>
      </c>
      <c r="H33" s="56">
        <f>IF($A33="","",ROUND(('Juli'!AG34-'Juli'!AH34)*24,2))</f>
      </c>
      <c r="I33" s="56">
        <f>IF($A33="","",ROUND(('August'!AG34-'August'!AH34)*24,2))</f>
      </c>
      <c r="J33" s="56">
        <f>IF($A33="","",ROUND(('September'!AG34-'September'!AH34)*24,2))</f>
      </c>
      <c r="K33" s="56">
        <f>IF($A33="","",ROUND(('Oktober'!AG34-'Oktober'!AH34)*24,2))</f>
      </c>
      <c r="L33" s="56">
        <f>IF($A33="","",ROUND(('November'!AG34-'November'!AH34)*24,2))</f>
      </c>
      <c r="M33" s="56">
        <f>IF($A33="","",ROUND(('Dezember'!AG34-'Dezember'!AH34)*24,2))</f>
      </c>
      <c r="N33" s="57">
        <f>IF($A33="","",SUM('Januar'!AG34,'Februar'!AG34,'März'!AG34,'April'!AG34,'Mai'!AG34,'Juni'!AG34,'Juli'!AG34,'August'!AG34,'September'!AG34,'Oktober'!AG34,'November'!AG34,'Dezember'!AG34))</f>
      </c>
      <c r="O33" s="57">
        <f>IF($A33="","",SUM('Januar'!AH34,'Februar'!AH34,'März'!AH34,'April'!AH34,'Mai'!AH34,'Juni'!AH34,'Juli'!AH34,'August'!AH34,'September'!AH34,'Oktober'!AH34,'November'!AH34,'Dezember'!AH34))</f>
      </c>
      <c r="P33" s="58">
        <f>IF($A33="","",IF(N33-O33&lt;0,"-","+")&amp;TEXT(ABS(N33-O33),"[h]:mm"))</f>
      </c>
      <c r="Q33" s="59">
        <f>IF($A33="","",SUM('Januar'!AJ34,'Februar'!AJ34,'März'!AJ34,'April'!AJ34,'Mai'!AJ34,'Juni'!AJ34,'Juli'!AJ34,'August'!AJ34,'September'!AJ34,'Oktober'!AJ34,'November'!AJ34,'Dezember'!AJ34))</f>
      </c>
      <c r="R33" s="60">
        <f>IF($A33="","",N(Mitarbeiter!$D$33))</f>
      </c>
      <c r="S33" s="60">
        <f>IF($A33="","",R33-Q33)</f>
      </c>
      <c r="T33" s="59">
        <f>IF($A33="","",SUM('Januar'!AK34,'Februar'!AK34,'März'!AK34,'April'!AK34,'Mai'!AK34,'Juni'!AK34,'Juli'!AK34,'August'!AK34,'September'!AK34,'Oktober'!AK34,'November'!AK34,'Dezember'!AK34))</f>
      </c>
    </row>
    <row r="34" spans="1:20" x14ac:dyDescent="0.25">
      <c r="A34" s="49">
        <f>Mitarbeiter!$A$34&amp;""</f>
      </c>
      <c r="B34" s="56">
        <f>IF($A34="","",ROUND(('Januar'!AG35-'Januar'!AH35)*24,2))</f>
      </c>
      <c r="C34" s="56">
        <f>IF($A34="","",ROUND(('Februar'!AG35-'Februar'!AH35)*24,2))</f>
      </c>
      <c r="D34" s="56">
        <f>IF($A34="","",ROUND(('März'!AG35-'März'!AH35)*24,2))</f>
      </c>
      <c r="E34" s="56">
        <f>IF($A34="","",ROUND(('April'!AG35-'April'!AH35)*24,2))</f>
      </c>
      <c r="F34" s="56">
        <f>IF($A34="","",ROUND(('Mai'!AG35-'Mai'!AH35)*24,2))</f>
      </c>
      <c r="G34" s="56">
        <f>IF($A34="","",ROUND(('Juni'!AG35-'Juni'!AH35)*24,2))</f>
      </c>
      <c r="H34" s="56">
        <f>IF($A34="","",ROUND(('Juli'!AG35-'Juli'!AH35)*24,2))</f>
      </c>
      <c r="I34" s="56">
        <f>IF($A34="","",ROUND(('August'!AG35-'August'!AH35)*24,2))</f>
      </c>
      <c r="J34" s="56">
        <f>IF($A34="","",ROUND(('September'!AG35-'September'!AH35)*24,2))</f>
      </c>
      <c r="K34" s="56">
        <f>IF($A34="","",ROUND(('Oktober'!AG35-'Oktober'!AH35)*24,2))</f>
      </c>
      <c r="L34" s="56">
        <f>IF($A34="","",ROUND(('November'!AG35-'November'!AH35)*24,2))</f>
      </c>
      <c r="M34" s="56">
        <f>IF($A34="","",ROUND(('Dezember'!AG35-'Dezember'!AH35)*24,2))</f>
      </c>
      <c r="N34" s="57">
        <f>IF($A34="","",SUM('Januar'!AG35,'Februar'!AG35,'März'!AG35,'April'!AG35,'Mai'!AG35,'Juni'!AG35,'Juli'!AG35,'August'!AG35,'September'!AG35,'Oktober'!AG35,'November'!AG35,'Dezember'!AG35))</f>
      </c>
      <c r="O34" s="57">
        <f>IF($A34="","",SUM('Januar'!AH35,'Februar'!AH35,'März'!AH35,'April'!AH35,'Mai'!AH35,'Juni'!AH35,'Juli'!AH35,'August'!AH35,'September'!AH35,'Oktober'!AH35,'November'!AH35,'Dezember'!AH35))</f>
      </c>
      <c r="P34" s="58">
        <f>IF($A34="","",IF(N34-O34&lt;0,"-","+")&amp;TEXT(ABS(N34-O34),"[h]:mm"))</f>
      </c>
      <c r="Q34" s="59">
        <f>IF($A34="","",SUM('Januar'!AJ35,'Februar'!AJ35,'März'!AJ35,'April'!AJ35,'Mai'!AJ35,'Juni'!AJ35,'Juli'!AJ35,'August'!AJ35,'September'!AJ35,'Oktober'!AJ35,'November'!AJ35,'Dezember'!AJ35))</f>
      </c>
      <c r="R34" s="60">
        <f>IF($A34="","",N(Mitarbeiter!$D$34))</f>
      </c>
      <c r="S34" s="60">
        <f>IF($A34="","",R34-Q34)</f>
      </c>
      <c r="T34" s="59">
        <f>IF($A34="","",SUM('Januar'!AK35,'Februar'!AK35,'März'!AK35,'April'!AK35,'Mai'!AK35,'Juni'!AK35,'Juli'!AK35,'August'!AK35,'September'!AK35,'Oktober'!AK35,'November'!AK35,'Dezember'!AK35))</f>
      </c>
    </row>
  </sheetData>
  <sheetProtection sheet="1" formatCells="0" formatColumns="0" formatRows="0"/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12" customWidth="1"/>
    <col min="3" max="3" width="5" customWidth="1"/>
    <col min="4" max="4" width="30" customWidth="1"/>
    <col min="6" max="6" width="11" customWidth="1"/>
    <col min="7" max="7" width="7" customWidth="1"/>
    <col min="8" max="8" width="62" customWidth="1"/>
    <col min="15" max="15" width="9" hidden="1" customWidth="1"/>
  </cols>
  <sheetData>
    <row r="1" spans="1:1" x14ac:dyDescent="0.25">
      <c r="A1" s="5">
        <f>"Feiertage "&amp;Jahr&amp;IF(Bundesland="",": Bundesland in den Einstellungen wählen",": "&amp;Bundesland)</f>
      </c>
    </row>
    <row r="2" spans="1:1" x14ac:dyDescent="0.25">
      <c r="A2" s="7" t="s">
        <v>87</v>
      </c>
    </row>
    <row r="3" spans="1:8" x14ac:dyDescent="0.25">
      <c r="A3" s="10" t="s">
        <v>88</v>
      </c>
      <c r="B3" s="10" t="s">
        <v>89</v>
      </c>
      <c r="C3" s="10" t="s">
        <v>90</v>
      </c>
      <c r="D3" s="10" t="s">
        <v>91</v>
      </c>
      <c r="E3" s="10" t="s">
        <v>92</v>
      </c>
      <c r="F3" s="10" t="s">
        <v>93</v>
      </c>
      <c r="G3" s="10" t="s">
        <v>94</v>
      </c>
      <c r="H3" s="10" t="s">
        <v>33</v>
      </c>
    </row>
    <row r="4" spans="1:15" x14ac:dyDescent="0.25">
      <c r="A4" s="61" t="s">
        <v>95</v>
      </c>
      <c r="B4" s="62">
        <f>DATE(Jahr,1,1)</f>
      </c>
      <c r="C4" s="61">
        <f>IF(ISNUMBER(B4),CHOOSE(WEEKDAY(B4,2),"Mo","Di","Mi","Do","Fr","Sa","So"),"")</f>
      </c>
      <c r="D4" s="61" t="s">
        <v>96</v>
      </c>
      <c r="E4" s="63">
        <f>1</f>
      </c>
      <c r="F4" s="6"/>
      <c r="G4" s="64">
        <f>IF(NOT(ISNUMBER(B4)),0,IF(F4="ja",1,IF(F4="nein",0,E4)))</f>
      </c>
      <c r="H4" s="7" t="s">
        <v>97</v>
      </c>
      <c r="I4" s="1"/>
      <c r="J4" s="1"/>
      <c r="K4" s="1"/>
      <c r="L4" s="1"/>
      <c r="M4" s="1"/>
      <c r="N4" s="1"/>
      <c r="O4" s="1">
        <f>IF(G4=1,B4,"")</f>
      </c>
    </row>
    <row r="5" spans="1:15" x14ac:dyDescent="0.25">
      <c r="A5" s="61" t="s">
        <v>98</v>
      </c>
      <c r="B5" s="62">
        <f>DATE(Jahr,1,6)</f>
      </c>
      <c r="C5" s="61">
        <f>IF(ISNUMBER(B5),CHOOSE(WEEKDAY(B5,2),"Mo","Di","Mi","Do","Fr","Sa","So"),"")</f>
      </c>
      <c r="D5" s="61" t="s">
        <v>99</v>
      </c>
      <c r="E5" s="63">
        <f>IF(Land="",0,IF(ISNUMBER(SEARCH(","&amp;Land&amp;",",",BW,BY,ST,")),1,0))</f>
      </c>
      <c r="F5" s="6"/>
      <c r="G5" s="64">
        <f>IF(NOT(ISNUMBER(B5)),0,IF(F5="ja",1,IF(F5="nein",0,E5)))</f>
      </c>
      <c r="H5" s="7" t="s">
        <v>97</v>
      </c>
      <c r="I5" s="1"/>
      <c r="J5" s="1"/>
      <c r="K5" s="1"/>
      <c r="L5" s="1"/>
      <c r="M5" s="1"/>
      <c r="N5" s="1"/>
      <c r="O5" s="1">
        <f>IF(G5=1,B5,"")</f>
      </c>
    </row>
    <row r="6" spans="1:15" x14ac:dyDescent="0.25">
      <c r="A6" s="61" t="s">
        <v>100</v>
      </c>
      <c r="B6" s="62">
        <f>DATE(Jahr,3,8)</f>
      </c>
      <c r="C6" s="61">
        <f>IF(ISNUMBER(B6),CHOOSE(WEEKDAY(B6,2),"Mo","Di","Mi","Do","Fr","Sa","So"),"")</f>
      </c>
      <c r="D6" s="61" t="s">
        <v>101</v>
      </c>
      <c r="E6" s="63">
        <f>IF(Land="",0,IF(ISNUMBER(SEARCH(","&amp;Land&amp;",",",BE,MV,")),1,0))</f>
      </c>
      <c r="F6" s="6"/>
      <c r="G6" s="64">
        <f>IF(NOT(ISNUMBER(B6)),0,IF(F6="ja",1,IF(F6="nein",0,E6)))</f>
      </c>
      <c r="H6" s="7" t="s">
        <v>97</v>
      </c>
      <c r="I6" s="1"/>
      <c r="J6" s="1"/>
      <c r="K6" s="1"/>
      <c r="L6" s="1"/>
      <c r="M6" s="1"/>
      <c r="N6" s="1"/>
      <c r="O6" s="1">
        <f>IF(G6=1,B6,"")</f>
      </c>
    </row>
    <row r="7" spans="1:15" x14ac:dyDescent="0.25">
      <c r="A7" s="61" t="s">
        <v>102</v>
      </c>
      <c r="B7" s="62">
        <f>Ostern-2</f>
      </c>
      <c r="C7" s="61">
        <f>IF(ISNUMBER(B7),CHOOSE(WEEKDAY(B7,2),"Mo","Di","Mi","Do","Fr","Sa","So"),"")</f>
      </c>
      <c r="D7" s="61" t="s">
        <v>96</v>
      </c>
      <c r="E7" s="63">
        <f>1</f>
      </c>
      <c r="F7" s="6"/>
      <c r="G7" s="64">
        <f>IF(NOT(ISNUMBER(B7)),0,IF(F7="ja",1,IF(F7="nein",0,E7)))</f>
      </c>
      <c r="H7" s="7" t="s">
        <v>97</v>
      </c>
      <c r="I7" s="1"/>
      <c r="J7" s="1"/>
      <c r="K7" s="1"/>
      <c r="L7" s="1"/>
      <c r="M7" s="1"/>
      <c r="N7" s="1"/>
      <c r="O7" s="1">
        <f>IF(G7=1,B7,"")</f>
      </c>
    </row>
    <row r="8" spans="1:15" x14ac:dyDescent="0.25">
      <c r="A8" s="61" t="s">
        <v>103</v>
      </c>
      <c r="B8" s="62">
        <f>Ostern</f>
      </c>
      <c r="C8" s="61">
        <f>IF(ISNUMBER(B8),CHOOSE(WEEKDAY(B8,2),"Mo","Di","Mi","Do","Fr","Sa","So"),"")</f>
      </c>
      <c r="D8" s="61" t="s">
        <v>104</v>
      </c>
      <c r="E8" s="63">
        <f>IF(Land="",0,IF(ISNUMBER(SEARCH(","&amp;Land&amp;",",",BB,")),1,0))</f>
      </c>
      <c r="F8" s="6"/>
      <c r="G8" s="64">
        <f>IF(NOT(ISNUMBER(B8)),0,IF(F8="ja",1,IF(F8="nein",0,E8)))</f>
      </c>
      <c r="H8" s="7" t="s">
        <v>97</v>
      </c>
      <c r="I8" s="1"/>
      <c r="J8" s="1"/>
      <c r="K8" s="1"/>
      <c r="L8" s="1"/>
      <c r="M8" s="1"/>
      <c r="N8" s="1"/>
      <c r="O8" s="1">
        <f>IF(G8=1,B8,"")</f>
      </c>
    </row>
    <row r="9" spans="1:15" x14ac:dyDescent="0.25">
      <c r="A9" s="61" t="s">
        <v>105</v>
      </c>
      <c r="B9" s="62">
        <f>Ostern+1</f>
      </c>
      <c r="C9" s="61">
        <f>IF(ISNUMBER(B9),CHOOSE(WEEKDAY(B9,2),"Mo","Di","Mi","Do","Fr","Sa","So"),"")</f>
      </c>
      <c r="D9" s="61" t="s">
        <v>96</v>
      </c>
      <c r="E9" s="63">
        <f>1</f>
      </c>
      <c r="F9" s="6"/>
      <c r="G9" s="64">
        <f>IF(NOT(ISNUMBER(B9)),0,IF(F9="ja",1,IF(F9="nein",0,E9)))</f>
      </c>
      <c r="H9" s="7" t="s">
        <v>97</v>
      </c>
      <c r="I9" s="1"/>
      <c r="J9" s="1"/>
      <c r="K9" s="1"/>
      <c r="L9" s="1"/>
      <c r="M9" s="1"/>
      <c r="N9" s="1"/>
      <c r="O9" s="1">
        <f>IF(G9=1,B9,"")</f>
      </c>
    </row>
    <row r="10" spans="1:15" x14ac:dyDescent="0.25">
      <c r="A10" s="61" t="s">
        <v>106</v>
      </c>
      <c r="B10" s="62">
        <f>DATE(Jahr,5,1)</f>
      </c>
      <c r="C10" s="61">
        <f>IF(ISNUMBER(B10),CHOOSE(WEEKDAY(B10,2),"Mo","Di","Mi","Do","Fr","Sa","So"),"")</f>
      </c>
      <c r="D10" s="61" t="s">
        <v>96</v>
      </c>
      <c r="E10" s="63">
        <f>1</f>
      </c>
      <c r="F10" s="6"/>
      <c r="G10" s="64">
        <f>IF(NOT(ISNUMBER(B10)),0,IF(F10="ja",1,IF(F10="nein",0,E10)))</f>
      </c>
      <c r="H10" s="7" t="s">
        <v>97</v>
      </c>
      <c r="I10" s="1"/>
      <c r="J10" s="1"/>
      <c r="K10" s="1"/>
      <c r="L10" s="1"/>
      <c r="M10" s="1"/>
      <c r="N10" s="1"/>
      <c r="O10" s="1">
        <f>IF(G10=1,B10,"")</f>
      </c>
    </row>
    <row r="11" spans="1:15" x14ac:dyDescent="0.25">
      <c r="A11" s="61" t="s">
        <v>107</v>
      </c>
      <c r="B11" s="62">
        <f>Ostern+39</f>
      </c>
      <c r="C11" s="61">
        <f>IF(ISNUMBER(B11),CHOOSE(WEEKDAY(B11,2),"Mo","Di","Mi","Do","Fr","Sa","So"),"")</f>
      </c>
      <c r="D11" s="61" t="s">
        <v>96</v>
      </c>
      <c r="E11" s="63">
        <f>1</f>
      </c>
      <c r="F11" s="6"/>
      <c r="G11" s="64">
        <f>IF(NOT(ISNUMBER(B11)),0,IF(F11="ja",1,IF(F11="nein",0,E11)))</f>
      </c>
      <c r="H11" s="7" t="s">
        <v>97</v>
      </c>
      <c r="I11" s="1"/>
      <c r="J11" s="1"/>
      <c r="K11" s="1"/>
      <c r="L11" s="1"/>
      <c r="M11" s="1"/>
      <c r="N11" s="1"/>
      <c r="O11" s="1">
        <f>IF(G11=1,B11,"")</f>
      </c>
    </row>
    <row r="12" spans="1:15" x14ac:dyDescent="0.25">
      <c r="A12" s="61" t="s">
        <v>108</v>
      </c>
      <c r="B12" s="62">
        <f>Ostern+49</f>
      </c>
      <c r="C12" s="61">
        <f>IF(ISNUMBER(B12),CHOOSE(WEEKDAY(B12,2),"Mo","Di","Mi","Do","Fr","Sa","So"),"")</f>
      </c>
      <c r="D12" s="61" t="s">
        <v>104</v>
      </c>
      <c r="E12" s="63">
        <f>IF(Land="",0,IF(ISNUMBER(SEARCH(","&amp;Land&amp;",",",BB,")),1,0))</f>
      </c>
      <c r="F12" s="6"/>
      <c r="G12" s="64">
        <f>IF(NOT(ISNUMBER(B12)),0,IF(F12="ja",1,IF(F12="nein",0,E12)))</f>
      </c>
      <c r="H12" s="7" t="s">
        <v>97</v>
      </c>
      <c r="I12" s="1"/>
      <c r="J12" s="1"/>
      <c r="K12" s="1"/>
      <c r="L12" s="1"/>
      <c r="M12" s="1"/>
      <c r="N12" s="1"/>
      <c r="O12" s="1">
        <f>IF(G12=1,B12,"")</f>
      </c>
    </row>
    <row r="13" spans="1:15" x14ac:dyDescent="0.25">
      <c r="A13" s="61" t="s">
        <v>109</v>
      </c>
      <c r="B13" s="62">
        <f>Ostern+50</f>
      </c>
      <c r="C13" s="61">
        <f>IF(ISNUMBER(B13),CHOOSE(WEEKDAY(B13,2),"Mo","Di","Mi","Do","Fr","Sa","So"),"")</f>
      </c>
      <c r="D13" s="61" t="s">
        <v>96</v>
      </c>
      <c r="E13" s="63">
        <f>1</f>
      </c>
      <c r="F13" s="6"/>
      <c r="G13" s="64">
        <f>IF(NOT(ISNUMBER(B13)),0,IF(F13="ja",1,IF(F13="nein",0,E13)))</f>
      </c>
      <c r="H13" s="7" t="s">
        <v>97</v>
      </c>
      <c r="I13" s="1"/>
      <c r="J13" s="1"/>
      <c r="K13" s="1"/>
      <c r="L13" s="1"/>
      <c r="M13" s="1"/>
      <c r="N13" s="1"/>
      <c r="O13" s="1">
        <f>IF(G13=1,B13,"")</f>
      </c>
    </row>
    <row r="14" spans="1:15" x14ac:dyDescent="0.25">
      <c r="A14" s="61" t="s">
        <v>110</v>
      </c>
      <c r="B14" s="62">
        <f>Ostern+60</f>
      </c>
      <c r="C14" s="61">
        <f>IF(ISNUMBER(B14),CHOOSE(WEEKDAY(B14,2),"Mo","Di","Mi","Do","Fr","Sa","So"),"")</f>
      </c>
      <c r="D14" s="61" t="s">
        <v>111</v>
      </c>
      <c r="E14" s="63">
        <f>IF(Land="",0,IF(ISNUMBER(SEARCH(","&amp;Land&amp;",",",BW,BY,HE,NW,RP,SL,")),1,0))</f>
      </c>
      <c r="F14" s="6"/>
      <c r="G14" s="64">
        <f>IF(NOT(ISNUMBER(B14)),0,IF(F14="ja",1,IF(F14="nein",0,E14)))</f>
      </c>
      <c r="H14" s="7" t="s">
        <v>112</v>
      </c>
      <c r="I14" s="1"/>
      <c r="J14" s="1"/>
      <c r="K14" s="1"/>
      <c r="L14" s="1"/>
      <c r="M14" s="1"/>
      <c r="N14" s="1"/>
      <c r="O14" s="1">
        <f>IF(G14=1,B14,"")</f>
      </c>
    </row>
    <row r="15" spans="1:15" x14ac:dyDescent="0.25">
      <c r="A15" s="61" t="s">
        <v>113</v>
      </c>
      <c r="B15" s="62">
        <f>DATE(Jahr,8,8)</f>
      </c>
      <c r="C15" s="61">
        <f>IF(ISNUMBER(B15),CHOOSE(WEEKDAY(B15,2),"Mo","Di","Mi","Do","Fr","Sa","So"),"")</f>
      </c>
      <c r="D15" s="61" t="s">
        <v>114</v>
      </c>
      <c r="E15" s="63">
        <f>IF(Land="",0,IF(ISNUMBER(SEARCH(","&amp;Land&amp;",",",,")),1,0))</f>
      </c>
      <c r="F15" s="6"/>
      <c r="G15" s="64">
        <f>IF(NOT(ISNUMBER(B15)),0,IF(F15="ja",1,IF(F15="nein",0,E15)))</f>
      </c>
      <c r="H15" s="7" t="s">
        <v>115</v>
      </c>
      <c r="I15" s="1"/>
      <c r="J15" s="1"/>
      <c r="K15" s="1"/>
      <c r="L15" s="1"/>
      <c r="M15" s="1"/>
      <c r="N15" s="1"/>
      <c r="O15" s="1">
        <f>IF(G15=1,B15,"")</f>
      </c>
    </row>
    <row r="16" spans="1:15" x14ac:dyDescent="0.25">
      <c r="A16" s="61" t="s">
        <v>116</v>
      </c>
      <c r="B16" s="62">
        <f>DATE(Jahr,8,15)</f>
      </c>
      <c r="C16" s="61">
        <f>IF(ISNUMBER(B16),CHOOSE(WEEKDAY(B16,2),"Mo","Di","Mi","Do","Fr","Sa","So"),"")</f>
      </c>
      <c r="D16" s="61" t="s">
        <v>117</v>
      </c>
      <c r="E16" s="63">
        <f>IF(Land="",0,IF(ISNUMBER(SEARCH(","&amp;Land&amp;",",",BY,SL,")),1,0))</f>
      </c>
      <c r="F16" s="6"/>
      <c r="G16" s="64">
        <f>IF(NOT(ISNUMBER(B16)),0,IF(F16="ja",1,IF(F16="nein",0,E16)))</f>
      </c>
      <c r="H16" s="7" t="s">
        <v>118</v>
      </c>
      <c r="I16" s="1"/>
      <c r="J16" s="1"/>
      <c r="K16" s="1"/>
      <c r="L16" s="1"/>
      <c r="M16" s="1"/>
      <c r="N16" s="1"/>
      <c r="O16" s="1">
        <f>IF(G16=1,B16,"")</f>
      </c>
    </row>
    <row r="17" spans="1:15" x14ac:dyDescent="0.25">
      <c r="A17" s="61" t="s">
        <v>119</v>
      </c>
      <c r="B17" s="62">
        <f>DATE(Jahr,9,20)</f>
      </c>
      <c r="C17" s="61">
        <f>IF(ISNUMBER(B17),CHOOSE(WEEKDAY(B17,2),"Mo","Di","Mi","Do","Fr","Sa","So"),"")</f>
      </c>
      <c r="D17" s="61" t="s">
        <v>120</v>
      </c>
      <c r="E17" s="63">
        <f>IF(Land="",0,IF(ISNUMBER(SEARCH(","&amp;Land&amp;",",",TH,")),1,0))</f>
      </c>
      <c r="F17" s="6"/>
      <c r="G17" s="64">
        <f>IF(NOT(ISNUMBER(B17)),0,IF(F17="ja",1,IF(F17="nein",0,E17)))</f>
      </c>
      <c r="H17" s="7" t="s">
        <v>97</v>
      </c>
      <c r="I17" s="1"/>
      <c r="J17" s="1"/>
      <c r="K17" s="1"/>
      <c r="L17" s="1"/>
      <c r="M17" s="1"/>
      <c r="N17" s="1"/>
      <c r="O17" s="1">
        <f>IF(G17=1,B17,"")</f>
      </c>
    </row>
    <row r="18" spans="1:15" x14ac:dyDescent="0.25">
      <c r="A18" s="61" t="s">
        <v>121</v>
      </c>
      <c r="B18" s="62">
        <f>DATE(Jahr,10,3)</f>
      </c>
      <c r="C18" s="61">
        <f>IF(ISNUMBER(B18),CHOOSE(WEEKDAY(B18,2),"Mo","Di","Mi","Do","Fr","Sa","So"),"")</f>
      </c>
      <c r="D18" s="61" t="s">
        <v>96</v>
      </c>
      <c r="E18" s="63">
        <f>1</f>
      </c>
      <c r="F18" s="6"/>
      <c r="G18" s="64">
        <f>IF(NOT(ISNUMBER(B18)),0,IF(F18="ja",1,IF(F18="nein",0,E18)))</f>
      </c>
      <c r="H18" s="7" t="s">
        <v>97</v>
      </c>
      <c r="I18" s="1"/>
      <c r="J18" s="1"/>
      <c r="K18" s="1"/>
      <c r="L18" s="1"/>
      <c r="M18" s="1"/>
      <c r="N18" s="1"/>
      <c r="O18" s="1">
        <f>IF(G18=1,B18,"")</f>
      </c>
    </row>
    <row r="19" spans="1:15" x14ac:dyDescent="0.25">
      <c r="A19" s="61" t="s">
        <v>122</v>
      </c>
      <c r="B19" s="62">
        <f>DATE(Jahr,10,31)</f>
      </c>
      <c r="C19" s="61">
        <f>IF(ISNUMBER(B19),CHOOSE(WEEKDAY(B19,2),"Mo","Di","Mi","Do","Fr","Sa","So"),"")</f>
      </c>
      <c r="D19" s="61" t="s">
        <v>123</v>
      </c>
      <c r="E19" s="63">
        <f>IF(Land="",0,IF(ISNUMBER(SEARCH(","&amp;Land&amp;",",",BB,HB,HH,MV,NI,SN,ST,SH,TH,")),1,0))</f>
      </c>
      <c r="F19" s="6"/>
      <c r="G19" s="64">
        <f>IF(NOT(ISNUMBER(B19)),0,IF(F19="ja",1,IF(F19="nein",0,E19)))</f>
      </c>
      <c r="H19" s="7" t="s">
        <v>97</v>
      </c>
      <c r="I19" s="1"/>
      <c r="J19" s="1"/>
      <c r="K19" s="1"/>
      <c r="L19" s="1"/>
      <c r="M19" s="1"/>
      <c r="N19" s="1"/>
      <c r="O19" s="1">
        <f>IF(G19=1,B19,"")</f>
      </c>
    </row>
    <row r="20" spans="1:15" x14ac:dyDescent="0.25">
      <c r="A20" s="61" t="s">
        <v>124</v>
      </c>
      <c r="B20" s="62">
        <f>DATE(Jahr,11,1)</f>
      </c>
      <c r="C20" s="61">
        <f>IF(ISNUMBER(B20),CHOOSE(WEEKDAY(B20,2),"Mo","Di","Mi","Do","Fr","Sa","So"),"")</f>
      </c>
      <c r="D20" s="61" t="s">
        <v>125</v>
      </c>
      <c r="E20" s="63">
        <f>IF(Land="",0,IF(ISNUMBER(SEARCH(","&amp;Land&amp;",",",BW,BY,NW,RP,SL,")),1,0))</f>
      </c>
      <c r="F20" s="6"/>
      <c r="G20" s="64">
        <f>IF(NOT(ISNUMBER(B20)),0,IF(F20="ja",1,IF(F20="nein",0,E20)))</f>
      </c>
      <c r="H20" s="7" t="s">
        <v>97</v>
      </c>
      <c r="I20" s="1"/>
      <c r="J20" s="1"/>
      <c r="K20" s="1"/>
      <c r="L20" s="1"/>
      <c r="M20" s="1"/>
      <c r="N20" s="1"/>
      <c r="O20" s="1">
        <f>IF(G20=1,B20,"")</f>
      </c>
    </row>
    <row r="21" spans="1:15" x14ac:dyDescent="0.25">
      <c r="A21" s="61" t="s">
        <v>126</v>
      </c>
      <c r="B21" s="62">
        <f>DATE(Jahr,11,22)-MOD(WEEKDAY(DATE(Jahr,11,22),2)-3,7)</f>
      </c>
      <c r="C21" s="61">
        <f>IF(ISNUMBER(B21),CHOOSE(WEEKDAY(B21,2),"Mo","Di","Mi","Do","Fr","Sa","So"),"")</f>
      </c>
      <c r="D21" s="61" t="s">
        <v>127</v>
      </c>
      <c r="E21" s="63">
        <f>IF(Land="",0,IF(ISNUMBER(SEARCH(","&amp;Land&amp;",",",SN,")),1,0))</f>
      </c>
      <c r="F21" s="6"/>
      <c r="G21" s="64">
        <f>IF(NOT(ISNUMBER(B21)),0,IF(F21="ja",1,IF(F21="nein",0,E21)))</f>
      </c>
      <c r="H21" s="7" t="s">
        <v>97</v>
      </c>
      <c r="I21" s="1"/>
      <c r="J21" s="1"/>
      <c r="K21" s="1"/>
      <c r="L21" s="1"/>
      <c r="M21" s="1"/>
      <c r="N21" s="1"/>
      <c r="O21" s="1">
        <f>IF(G21=1,B21,"")</f>
      </c>
    </row>
    <row r="22" spans="1:15" x14ac:dyDescent="0.25">
      <c r="A22" s="61" t="s">
        <v>128</v>
      </c>
      <c r="B22" s="62">
        <f>DATE(Jahr,12,25)</f>
      </c>
      <c r="C22" s="61">
        <f>IF(ISNUMBER(B22),CHOOSE(WEEKDAY(B22,2),"Mo","Di","Mi","Do","Fr","Sa","So"),"")</f>
      </c>
      <c r="D22" s="61" t="s">
        <v>96</v>
      </c>
      <c r="E22" s="63">
        <f>1</f>
      </c>
      <c r="F22" s="6"/>
      <c r="G22" s="64">
        <f>IF(NOT(ISNUMBER(B22)),0,IF(F22="ja",1,IF(F22="nein",0,E22)))</f>
      </c>
      <c r="H22" s="7" t="s">
        <v>97</v>
      </c>
      <c r="I22" s="1"/>
      <c r="J22" s="1"/>
      <c r="K22" s="1"/>
      <c r="L22" s="1"/>
      <c r="M22" s="1"/>
      <c r="N22" s="1"/>
      <c r="O22" s="1">
        <f>IF(G22=1,B22,"")</f>
      </c>
    </row>
    <row r="23" spans="1:15" x14ac:dyDescent="0.25">
      <c r="A23" s="61" t="s">
        <v>129</v>
      </c>
      <c r="B23" s="62">
        <f>DATE(Jahr,12,26)</f>
      </c>
      <c r="C23" s="61">
        <f>IF(ISNUMBER(B23),CHOOSE(WEEKDAY(B23,2),"Mo","Di","Mi","Do","Fr","Sa","So"),"")</f>
      </c>
      <c r="D23" s="61" t="s">
        <v>96</v>
      </c>
      <c r="E23" s="63">
        <f>1</f>
      </c>
      <c r="F23" s="6"/>
      <c r="G23" s="64">
        <f>IF(NOT(ISNUMBER(B23)),0,IF(F23="ja",1,IF(F23="nein",0,E23)))</f>
      </c>
      <c r="H23" s="7" t="s">
        <v>97</v>
      </c>
      <c r="I23" s="1"/>
      <c r="J23" s="1"/>
      <c r="K23" s="1"/>
      <c r="L23" s="1"/>
      <c r="M23" s="1"/>
      <c r="N23" s="1"/>
      <c r="O23" s="1">
        <f>IF(G23=1,B23,"")</f>
      </c>
    </row>
    <row r="24" spans="1:15" x14ac:dyDescent="0.25">
      <c r="A24" s="6"/>
      <c r="B24" s="46"/>
      <c r="C24" s="61">
        <f>IF(ISNUMBER(B24),CHOOSE(WEEKDAY(B24,2),"Mo","Di","Mi","Do","Fr","Sa","So"),"")</f>
      </c>
      <c r="D24" s="61" t="s">
        <v>130</v>
      </c>
      <c r="E24" s="63">
        <f>IF(AND(A24&lt;&gt;"",ISNUMBER(B24)),1,0)</f>
      </c>
      <c r="F24" s="6"/>
      <c r="G24" s="64">
        <f>IF(NOT(ISNUMBER(B24)),0,IF(F24="ja",1,IF(F24="nein",0,E24)))</f>
      </c>
      <c r="H24" s="7" t="s">
        <v>97</v>
      </c>
      <c r="I24" s="1"/>
      <c r="J24" s="1"/>
      <c r="K24" s="1"/>
      <c r="L24" s="1"/>
      <c r="M24" s="1"/>
      <c r="N24" s="1"/>
      <c r="O24" s="1">
        <f>IF(G24=1,B24,"")</f>
      </c>
    </row>
    <row r="25" spans="1:15" x14ac:dyDescent="0.25">
      <c r="A25" s="6"/>
      <c r="B25" s="46"/>
      <c r="C25" s="61">
        <f>IF(ISNUMBER(B25),CHOOSE(WEEKDAY(B25,2),"Mo","Di","Mi","Do","Fr","Sa","So"),"")</f>
      </c>
      <c r="D25" s="61" t="s">
        <v>130</v>
      </c>
      <c r="E25" s="63">
        <f>IF(AND(A25&lt;&gt;"",ISNUMBER(B25)),1,0)</f>
      </c>
      <c r="F25" s="6"/>
      <c r="G25" s="64">
        <f>IF(NOT(ISNUMBER(B25)),0,IF(F25="ja",1,IF(F25="nein",0,E25)))</f>
      </c>
      <c r="H25" s="7" t="s">
        <v>97</v>
      </c>
      <c r="I25" s="1"/>
      <c r="J25" s="1"/>
      <c r="K25" s="1"/>
      <c r="L25" s="1"/>
      <c r="M25" s="1"/>
      <c r="N25" s="1"/>
      <c r="O25" s="1">
        <f>IF(G25=1,B25,"")</f>
      </c>
    </row>
    <row r="26" spans="1:15" x14ac:dyDescent="0.25">
      <c r="A26" s="6"/>
      <c r="B26" s="46"/>
      <c r="C26" s="61">
        <f>IF(ISNUMBER(B26),CHOOSE(WEEKDAY(B26,2),"Mo","Di","Mi","Do","Fr","Sa","So"),"")</f>
      </c>
      <c r="D26" s="61" t="s">
        <v>130</v>
      </c>
      <c r="E26" s="63">
        <f>IF(AND(A26&lt;&gt;"",ISNUMBER(B26)),1,0)</f>
      </c>
      <c r="F26" s="6"/>
      <c r="G26" s="64">
        <f>IF(NOT(ISNUMBER(B26)),0,IF(F26="ja",1,IF(F26="nein",0,E26)))</f>
      </c>
      <c r="H26" s="7" t="s">
        <v>97</v>
      </c>
      <c r="I26" s="1"/>
      <c r="J26" s="1"/>
      <c r="K26" s="1"/>
      <c r="L26" s="1"/>
      <c r="M26" s="1"/>
      <c r="N26" s="1"/>
      <c r="O26" s="1">
        <f>IF(G26=1,B26,"")</f>
      </c>
    </row>
    <row r="27" spans="1:15" x14ac:dyDescent="0.25">
      <c r="A27" s="6"/>
      <c r="B27" s="46"/>
      <c r="C27" s="61">
        <f>IF(ISNUMBER(B27),CHOOSE(WEEKDAY(B27,2),"Mo","Di","Mi","Do","Fr","Sa","So"),"")</f>
      </c>
      <c r="D27" s="61" t="s">
        <v>130</v>
      </c>
      <c r="E27" s="63">
        <f>IF(AND(A27&lt;&gt;"",ISNUMBER(B27)),1,0)</f>
      </c>
      <c r="F27" s="6"/>
      <c r="G27" s="64">
        <f>IF(NOT(ISNUMBER(B27)),0,IF(F27="ja",1,IF(F27="nein",0,E27)))</f>
      </c>
      <c r="H27" s="7" t="s">
        <v>97</v>
      </c>
      <c r="I27" s="1"/>
      <c r="J27" s="1"/>
      <c r="K27" s="1"/>
      <c r="L27" s="1"/>
      <c r="M27" s="1"/>
      <c r="N27" s="1"/>
      <c r="O27" s="1">
        <f>IF(G27=1,B27,"")</f>
      </c>
    </row>
    <row r="28" spans="1:15" x14ac:dyDescent="0.25">
      <c r="A28" s="6"/>
      <c r="B28" s="46"/>
      <c r="C28" s="61">
        <f>IF(ISNUMBER(B28),CHOOSE(WEEKDAY(B28,2),"Mo","Di","Mi","Do","Fr","Sa","So"),"")</f>
      </c>
      <c r="D28" s="61" t="s">
        <v>130</v>
      </c>
      <c r="E28" s="63">
        <f>IF(AND(A28&lt;&gt;"",ISNUMBER(B28)),1,0)</f>
      </c>
      <c r="F28" s="6"/>
      <c r="G28" s="64">
        <f>IF(NOT(ISNUMBER(B28)),0,IF(F28="ja",1,IF(F28="nein",0,E28)))</f>
      </c>
      <c r="H28" s="7" t="s">
        <v>97</v>
      </c>
      <c r="I28" s="1"/>
      <c r="J28" s="1"/>
      <c r="K28" s="1"/>
      <c r="L28" s="1"/>
      <c r="M28" s="1"/>
      <c r="N28" s="1"/>
      <c r="O28" s="1">
        <f>IF(G28=1,B28,"")</f>
      </c>
    </row>
  </sheetData>
  <sheetProtection sheet="1" formatCells="0" formatColumns="0" formatRows="0"/>
  <dataValidations count="3">
    <dataValidation type="date" allowBlank="1" showErrorMessage="1" errorTitle="Datum" error="Bitte ein Datum eintragen, z. B. 08.08.2026." sqref="B24:B28">
      <formula1>36526</formula1>
      <formula2>73050</formula2>
    </dataValidation>
    <dataValidation type="list" allowBlank="1" showErrorMessage="1" errorTitle="Anpassen" error="Bitte ja, nein oder leer." sqref="F10:F28">
      <formula1>"ja,nein"</formula1>
    </dataValidation>
    <dataValidation type="list" allowBlank="1" showErrorMessage="1" errorTitle="Anpassen" error="Bitte ja, nein oder leer." sqref="F4:F28">
      <formula1>"ja,nein"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0"/>
  <sheetFormatPr defaultRowHeight="15" outlineLevelRow="0" outlineLevelCol="0" x14ac:dyDescent="55"/>
  <cols>
    <col min="1" max="1" width="14" customWidth="1"/>
    <col min="4" max="4" width="24" customWidth="1"/>
  </cols>
  <sheetData>
    <row r="3" spans="1:4" x14ac:dyDescent="0.25">
      <c r="A3" s="1" t="s">
        <v>131</v>
      </c>
      <c r="B3" s="1"/>
      <c r="C3" s="1"/>
      <c r="D3" s="1" t="s">
        <v>21</v>
      </c>
    </row>
    <row r="4" spans="1:5" x14ac:dyDescent="0.25">
      <c r="A4" s="1" t="s">
        <v>132</v>
      </c>
      <c r="B4" s="1">
        <f>MOD(Jahr,19)</f>
      </c>
      <c r="C4" s="1"/>
      <c r="D4" s="1" t="s">
        <v>133</v>
      </c>
      <c r="E4" s="1" t="s">
        <v>134</v>
      </c>
    </row>
    <row r="5" spans="1:5" x14ac:dyDescent="0.25">
      <c r="A5" s="1" t="s">
        <v>135</v>
      </c>
      <c r="B5" s="1">
        <f>INT(Jahr/100)</f>
      </c>
      <c r="C5" s="1"/>
      <c r="D5" s="1" t="s">
        <v>136</v>
      </c>
      <c r="E5" s="1" t="s">
        <v>137</v>
      </c>
    </row>
    <row r="6" spans="1:5" x14ac:dyDescent="0.25">
      <c r="A6" s="1" t="s">
        <v>138</v>
      </c>
      <c r="B6" s="1">
        <f>MOD(Jahr,100)</f>
      </c>
      <c r="C6" s="1"/>
      <c r="D6" s="1" t="s">
        <v>139</v>
      </c>
      <c r="E6" s="1" t="s">
        <v>140</v>
      </c>
    </row>
    <row r="7" spans="1:5" x14ac:dyDescent="0.25">
      <c r="A7" s="1" t="s">
        <v>141</v>
      </c>
      <c r="B7" s="1">
        <f>INT(B5/4)</f>
      </c>
      <c r="C7" s="1"/>
      <c r="D7" s="1" t="s">
        <v>142</v>
      </c>
      <c r="E7" s="1" t="s">
        <v>104</v>
      </c>
    </row>
    <row r="8" spans="1:5" x14ac:dyDescent="0.25">
      <c r="A8" s="1" t="s">
        <v>143</v>
      </c>
      <c r="B8" s="1">
        <f>MOD(B5,4)</f>
      </c>
      <c r="C8" s="1"/>
      <c r="D8" s="1" t="s">
        <v>144</v>
      </c>
      <c r="E8" s="1" t="s">
        <v>145</v>
      </c>
    </row>
    <row r="9" spans="1:5" x14ac:dyDescent="0.25">
      <c r="A9" s="1" t="s">
        <v>146</v>
      </c>
      <c r="B9" s="1">
        <f>INT((B5+8)/25)</f>
      </c>
      <c r="C9" s="1"/>
      <c r="D9" s="1" t="s">
        <v>147</v>
      </c>
      <c r="E9" s="1" t="s">
        <v>148</v>
      </c>
    </row>
    <row r="10" spans="1:5" x14ac:dyDescent="0.25">
      <c r="A10" s="1" t="s">
        <v>149</v>
      </c>
      <c r="B10" s="1">
        <f>INT((B5-B9+1)/3)</f>
      </c>
      <c r="C10" s="1"/>
      <c r="D10" s="1" t="s">
        <v>150</v>
      </c>
      <c r="E10" s="1" t="s">
        <v>151</v>
      </c>
    </row>
    <row r="11" spans="1:5" x14ac:dyDescent="0.25">
      <c r="A11" s="1" t="s">
        <v>152</v>
      </c>
      <c r="B11" s="1">
        <f>MOD(19*B4+B5-B7-B10+15,30)</f>
      </c>
      <c r="C11" s="1"/>
      <c r="D11" s="1" t="s">
        <v>153</v>
      </c>
      <c r="E11" s="1" t="s">
        <v>154</v>
      </c>
    </row>
    <row r="12" spans="1:5" x14ac:dyDescent="0.25">
      <c r="A12" s="1" t="s">
        <v>155</v>
      </c>
      <c r="B12" s="1">
        <f>INT(B6/4)</f>
      </c>
      <c r="C12" s="1"/>
      <c r="D12" s="1" t="s">
        <v>156</v>
      </c>
      <c r="E12" s="1" t="s">
        <v>157</v>
      </c>
    </row>
    <row r="13" spans="1:5" x14ac:dyDescent="0.25">
      <c r="A13" s="1" t="s">
        <v>158</v>
      </c>
      <c r="B13" s="1">
        <f>MOD(B6,4)</f>
      </c>
      <c r="C13" s="1"/>
      <c r="D13" s="1" t="s">
        <v>159</v>
      </c>
      <c r="E13" s="1" t="s">
        <v>160</v>
      </c>
    </row>
    <row r="14" spans="1:5" x14ac:dyDescent="0.25">
      <c r="A14" s="1" t="s">
        <v>161</v>
      </c>
      <c r="B14" s="1">
        <f>MOD(32+2*B8+2*B12-B11-B13,7)</f>
      </c>
      <c r="C14" s="1"/>
      <c r="D14" s="1" t="s">
        <v>162</v>
      </c>
      <c r="E14" s="1" t="s">
        <v>163</v>
      </c>
    </row>
    <row r="15" spans="1:5" x14ac:dyDescent="0.25">
      <c r="A15" s="1" t="s">
        <v>164</v>
      </c>
      <c r="B15" s="1">
        <f>INT((B4+11*B11+22*B14)/451)</f>
      </c>
      <c r="C15" s="1"/>
      <c r="D15" s="1" t="s">
        <v>165</v>
      </c>
      <c r="E15" s="1" t="s">
        <v>166</v>
      </c>
    </row>
    <row r="16" spans="1:5" x14ac:dyDescent="0.25">
      <c r="A16" s="1" t="s">
        <v>167</v>
      </c>
      <c r="B16" s="1">
        <f>INT((B11+B14-7*B15+114)/31)</f>
      </c>
      <c r="C16" s="1"/>
      <c r="D16" s="1" t="s">
        <v>168</v>
      </c>
      <c r="E16" s="1" t="s">
        <v>127</v>
      </c>
    </row>
    <row r="17" spans="1:5" x14ac:dyDescent="0.25">
      <c r="A17" s="1" t="s">
        <v>90</v>
      </c>
      <c r="B17" s="1">
        <f>MOD(B11+B14-7*B15+114,31)+1</f>
      </c>
      <c r="C17" s="1"/>
      <c r="D17" s="1" t="s">
        <v>169</v>
      </c>
      <c r="E17" s="1" t="s">
        <v>170</v>
      </c>
    </row>
    <row r="18" spans="1:5" x14ac:dyDescent="0.25">
      <c r="A18" s="1" t="s">
        <v>103</v>
      </c>
      <c r="B18" s="47">
        <f>DATE(Jahr,B16,B17)</f>
      </c>
      <c r="C18" s="1"/>
      <c r="D18" s="1" t="s">
        <v>171</v>
      </c>
      <c r="E18" s="1" t="s">
        <v>172</v>
      </c>
    </row>
    <row r="19" spans="1:5" x14ac:dyDescent="0.25">
      <c r="A19" s="1"/>
      <c r="B19" s="1"/>
      <c r="C19" s="1"/>
      <c r="D19" s="1" t="s">
        <v>173</v>
      </c>
      <c r="E19" s="1" t="s">
        <v>120</v>
      </c>
    </row>
    <row r="20" spans="1:2" x14ac:dyDescent="0.25">
      <c r="A20" s="1" t="s">
        <v>24</v>
      </c>
      <c r="B20" s="1">
        <f>IFERROR(INDEX($E$4:$E$19,MATCH(Bundesland,$D$4:$D$19,0)),"")</f>
      </c>
    </row>
  </sheetData>
  <sheetProtection sheet="1" formatCells="0" formatColumns="0" formatRows="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Anleitung</vt:lpstr>
      <vt:lpstr>Einstellungen</vt:lpstr>
      <vt:lpstr>Mitarbeiter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Wochenplan</vt:lpstr>
      <vt:lpstr>Schichtrhythmus</vt:lpstr>
      <vt:lpstr>Jahresübersicht</vt:lpstr>
      <vt:lpstr>Feiertage</vt:lpstr>
      <vt:lpstr>Hilfswerte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DispatchPing</dc:creator>
  <dc:title>Dienstplan 2026</dc:title>
  <dc:subject/>
  <dc:description/>
  <cp:keywords/>
  <cp:category/>
  <cp:lastModifiedBy>Unknown</cp:lastModifiedBy>
  <dcterms:created xsi:type="dcterms:W3CDTF">2025-10-01T00:00:00Z</dcterms:created>
  <dcterms:modified xsi:type="dcterms:W3CDTF">2025-10-01T00:00:00Z</dcterms:modified>
</cp:coreProperties>
</file>