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1"/>
  </bookViews>
  <sheets>
    <sheet sheetId="1" name="Anleitung" state="visible" r:id="rId4"/>
    <sheet sheetId="2" name="Einstellungen" state="visible" r:id="rId5"/>
    <sheet sheetId="3" name="Januar" state="visible" r:id="rId6"/>
    <sheet sheetId="4" name="Februar" state="visible" r:id="rId7"/>
    <sheet sheetId="5" name="März" state="visible" r:id="rId8"/>
    <sheet sheetId="6" name="April" state="visible" r:id="rId9"/>
    <sheet sheetId="7" name="Mai" state="visible" r:id="rId10"/>
    <sheet sheetId="8" name="Juni" state="visible" r:id="rId11"/>
    <sheet sheetId="9" name="Juli" state="visible" r:id="rId12"/>
    <sheet sheetId="10" name="August" state="visible" r:id="rId13"/>
    <sheet sheetId="11" name="September" state="visible" r:id="rId14"/>
    <sheet sheetId="12" name="Oktober" state="visible" r:id="rId15"/>
    <sheet sheetId="13" name="November" state="visible" r:id="rId16"/>
    <sheet sheetId="14" name="Dezember" state="visible" r:id="rId17"/>
    <sheet sheetId="15" name="Belege" state="visible" r:id="rId18"/>
    <sheet sheetId="16" name="Jahresübersicht" state="visible" r:id="rId19"/>
    <sheet sheetId="17" name="Pauschalen" state="visible" r:id="rId20"/>
  </sheets>
  <definedNames>
    <definedName name="MitarbeiterName">Einstellungen!$B$3</definedName>
    <definedName name="Personalnummer">Einstellungen!$B$4</definedName>
    <definedName name="Kostenstelle">Einstellungen!$B$5</definedName>
    <definedName name="Firma">Einstellungen!$B$6</definedName>
    <definedName name="Jahr">Einstellungen!$B$7</definedName>
    <definedName name="Fahrzeug">Einstellungen!$B$8</definedName>
    <definedName name="Kontenrahmen">Einstellungen!$B$9</definedName>
    <definedName name="Vorsteuerabzug">Einstellungen!$B$10</definedName>
    <definedName name="UebernachtungVorjahr">Einstellungen!$B$11</definedName>
    <definedName name="KmSatz">Einstellungen!$B$12</definedName>
    <definedName name="KtoVerpflegung">Einstellungen!$D$16</definedName>
    <definedName name="KtoUebernachtung">Einstellungen!$D$17</definedName>
    <definedName name="KtoFahrtkosten">Einstellungen!$D$18</definedName>
    <definedName name="KtoKilometergeld">Einstellungen!$D$19</definedName>
    <definedName name="KtoNebenkosten">Einstellungen!$D$20</definedName>
    <definedName name="KtoVSt7">Einstellungen!$D$21</definedName>
    <definedName name="KtoVSt19">Einstellungen!$D$22</definedName>
    <definedName name="PauschLand">Pauschalen!$A$4:$A$218</definedName>
    <definedName name="PauschTab">Pauschalen!$A$4:$D$218</definedName>
    <definedName name="_xlnm.Print_Area" localSheetId="1">'Einstellungen'!$A1:$D24</definedName>
    <definedName name="_xlnm.Print_Area" localSheetId="2">'Januar'!$A1:$R50</definedName>
    <definedName name="_xlnm.Print_Area" localSheetId="3">'Februar'!$A1:$R50</definedName>
    <definedName name="_xlnm.Print_Area" localSheetId="4">'März'!$A1:$R50</definedName>
    <definedName name="_xlnm.Print_Area" localSheetId="5">'April'!$A1:$R50</definedName>
    <definedName name="_xlnm.Print_Area" localSheetId="6">'Mai'!$A1:$R50</definedName>
    <definedName name="_xlnm.Print_Area" localSheetId="7">'Juni'!$A1:$R50</definedName>
    <definedName name="_xlnm.Print_Area" localSheetId="8">'Juli'!$A1:$R50</definedName>
    <definedName name="_xlnm.Print_Area" localSheetId="9">'August'!$A1:$R50</definedName>
    <definedName name="_xlnm.Print_Area" localSheetId="10">'September'!$A1:$R50</definedName>
    <definedName name="_xlnm.Print_Area" localSheetId="11">'Oktober'!$A1:$R50</definedName>
    <definedName name="_xlnm.Print_Area" localSheetId="12">'November'!$A1:$R50</definedName>
    <definedName name="_xlnm.Print_Area" localSheetId="13">'Dezember'!$A1:$R50</definedName>
  </definedNames>
  <calcPr calcId="171027" fullCalcOnLoad="1"/>
</workbook>
</file>

<file path=xl/sharedStrings.xml><?xml version="1.0" encoding="utf-8"?>
<sst xmlns="http://schemas.openxmlformats.org/spreadsheetml/2006/main" count="761" uniqueCount="339">
  <si>
    <t>Reisekostenabrechnung 2026: Excel-Vorlage</t>
  </si>
  <si>
    <t>Eine Datei je Person und Jahr, ein Blatt je Monat, eine Zeile je Tag. Hellblaue Zellen füllen Sie aus, alle anderen rechnen selbst.</t>
  </si>
  <si>
    <t>So geht's</t>
  </si>
  <si>
    <t>1. Blatt „Einstellungen“: Name, Fahrzeug (Pkw 0,30 € je km, anderes Kfz 0,20 €) und für die Buchhaltung den Kontenrahmen (SKR 03 oder SKR 04) und ob die Firma Vorsteuer abzieht.</t>
  </si>
  <si>
    <t>2. Im Monatsblatt je Reisetag eine Zeile: Beginn und Ende (wann Sie die Wohnung oder die erste Tätigkeitsstätte verlassen und wieder erreichen), Anlass oder Kunde, gefahrene Kilometer mit dem eigenen Fahrzeug.</t>
  </si>
  <si>
    <t>3. Übernachtung: „ja“ in die Zeile des Tages, auf den die Nacht folgt. Am nächsten Tag bleibt „Beginn“ leer, denn Sie sind seit dem Vortag unterwegs. Am letzten Tag nur „Ende“ eintragen. Ein voller Tag dazwischen bleibt ohne Uhrzeiten, mit „ja“ für die nächste Nacht.</t>
  </si>
  <si>
    <t xml:space="preserve">   „Pauschale“ statt „ja“: Übernachtung ohne Beleg (z. B. bei Bekannten). Die Firma darf dann steuerfrei 20 € je Nacht im Inland zahlen, im Ausland den Satz des Landes. In der eigenen Steuererklärung zählen nur tatsächliche Kosten.</t>
  </si>
  <si>
    <t>4. Über Mitternacht ohne Übernachtung (z. B. 18:00 bis 3:00): Beginn in die Zeile des ersten Tages, Ende in die Zeile des Folgetags, beide ohne Übernachtung. Die 14 € gibt es einmal, für den Tag mit dem größeren Teil.</t>
  </si>
  <si>
    <t>5. Ausland: das Land (oder die Stadt) aus der Liste wählen, leer heißt Deutschland. Maßgeblich ist der Ort, den Sie vor 24 Uhr erreichen, am Rückreisetag der letzte Tätigkeitsort im Ausland. Nicht aufgeführte Länder: Luxemburg wählen.</t>
  </si>
  <si>
    <t>6. Mahlzeiten: ein „x“ unter Frühstück, Mittag oder Abend, wenn die Firma die Mahlzeit gestellt oder bezahlt hat (auch das Frühstück auf einer Hotelrechnung, die die Firma erstattet). Die Pauschale sinkt um 20 % (Frühstück) und 40 % (Mittag, Abend) des Tagessatzes, nie unter 0. Eine Einladung durch Kunden zählt nicht.</t>
  </si>
  <si>
    <t>7. Blatt „Belege“: jede Quittung mit Datum, Kostenart, Bruttobetrag und Umsatzsteuersatz. „Firma“ bei „Bezahlt von“, wenn die Firma direkt bezahlt hat (Firmenkarte, Rechnung): Der Beleg steht dann in der Liste, wird aber nicht ausgezahlt.</t>
  </si>
  <si>
    <t>8. Unter den Tagen steht die Abrechnung des Monats: Summe, Vorschuss, Auszahlung und die Buchung je Konto. Das Monatsblatt passt auf eine Seite A4 quer, mit Feldern für die Unterschriften.</t>
  </si>
  <si>
    <t>Wie gerechnet wird (§ 9 Abs. 4a EStG)</t>
  </si>
  <si>
    <t>Mehr als 8 Stunden unterwegs ohne Übernachtung: 14 €. An- und Abreisetag einer Reise mit Übernachtung: je 14 €, gleich wie lange. Ein Tag mit 24 Stunden Abwesenheit: 28 €. Genau 8 Stunden reichen nicht. Im Ausland gelten die Sätze des BMF für 2026 (Blatt „Pauschalen“).</t>
  </si>
  <si>
    <t>Sind Sie an einem Tag mit Übernachtung davor und danach zwischendurch zu Hause (Beginn oder Ende eingetragen), zählt der Tag als An- und Abreisetag.</t>
  </si>
  <si>
    <t>Kilometergeld: 0,30 € je km mit dem Pkw, 0,20 € mit einem anderen Kraftfahrzeug (§ 9 Abs. 1 Satz 3 Nr. 4a EStG). Zahlt die Firma mehr, ist der Teil darüber steuerpflichtiger Arbeitslohn.</t>
  </si>
  <si>
    <t>Was die Datei nicht prüft</t>
  </si>
  <si>
    <t>Die Dreimonatsfrist: An derselben Tätigkeitsstätte gibt es die Pauschalen nur in den ersten drei Monaten (neu nach vier Wochen Pause). Danach die Pauschale weglassen, d. h. diese Tage nicht als Reisetage eintragen, Kilometer und Belege schon. Ebenso nicht geprüft: die Begrenzung der Übernachtungskosten nach 48 Monaten am selben Ort.</t>
  </si>
  <si>
    <t>Belege in fremder Währung bitte in Euro eintragen (der Betrag auf der Kartenabrechnung). Eine Rechnung über 250 € muss auf die Firma lauten, damit die Vorsteuer abziehbar ist.</t>
  </si>
  <si>
    <t>Rechtlicher Rahmen (Stand Oktober 2026)</t>
  </si>
  <si>
    <t>Inland: § 9 Abs. 4a EStG (Verpflegung), § 9 Abs. 1 Satz 3 Nr. 4a und 5a EStG (Fahrt, Übernachtung), R 9.7 Abs. 3 LStR (20 € Übernachtungspauschale). Ausland: BMF-Schreiben vom 5. Dezember 2025 (IV C 5 - S 2353/00094/007/012). Steuerfreie Erstattung bis zu diesen Beträgen: § 3 Nr. 16 EStG.</t>
  </si>
  <si>
    <t>Die Konten sind die DATEV-Standardkonten 2026 für Reisekosten von Arbeitnehmern; eigene Konten lassen sich in den Einstellungen eintragen. Die Blätter sind ohne Passwort geschützt, damit keine Formel versehentlich überschrieben wird (Überprüfen → Blattschutz aufheben). Die Datei enthält keine Makros.</t>
  </si>
  <si>
    <t>Mehr Werkzeuge und die Einsatzplanung für Servicetechniker: dispatchping.com</t>
  </si>
  <si>
    <t>Einstellungen</t>
  </si>
  <si>
    <t>Name</t>
  </si>
  <si>
    <t>Steht oben auf jedem Monatsblatt.</t>
  </si>
  <si>
    <t>Personalnummer</t>
  </si>
  <si>
    <t>Optional.</t>
  </si>
  <si>
    <t>Abteilung / Kostenstelle</t>
  </si>
  <si>
    <t>Firma</t>
  </si>
  <si>
    <t>Jahr</t>
  </si>
  <si>
    <t>Die Pauschalen in dieser Datei gelten für 2026.</t>
  </si>
  <si>
    <t>Eigenes Fahrzeug</t>
  </si>
  <si>
    <t>Pkw</t>
  </si>
  <si>
    <t>Pkw: 0,30 € je km; anderes Kraftfahrzeug: 0,20 € je km (§ 9 Abs. 1 Satz 3 Nr. 4a EStG).</t>
  </si>
  <si>
    <t>Kontenrahmen</t>
  </si>
  <si>
    <t>SKR 03</t>
  </si>
  <si>
    <t>Für die Buchung unter jedem Monat.</t>
  </si>
  <si>
    <t>Vorsteuer abziehen</t>
  </si>
  <si>
    <t>ja</t>
  </si>
  <si>
    <t>„nein“ z. B. für Kleinunternehmer, Ärzte, Vereine: Die Belege werden dann brutto gebucht.</t>
  </si>
  <si>
    <t>Übernachtung in der Nacht zum 1. Januar</t>
  </si>
  <si>
    <t>„ja“, wenn eine Reise aus dem Vorjahr am 1. Januar weitergeht.</t>
  </si>
  <si>
    <t>Kilometersatz (€ je km)</t>
  </si>
  <si>
    <t>Aus dem Fahrzeug.</t>
  </si>
  <si>
    <t>Konten</t>
  </si>
  <si>
    <t>Buchung</t>
  </si>
  <si>
    <t>SKR 04</t>
  </si>
  <si>
    <t>Verwendet</t>
  </si>
  <si>
    <t>Verpflegungsmehraufwand</t>
  </si>
  <si>
    <t>Übernachtungsaufwand</t>
  </si>
  <si>
    <t>Fahrtkosten</t>
  </si>
  <si>
    <t>Kilometergelderstattung</t>
  </si>
  <si>
    <t>Reisekosten Arbeitnehmer (Nebenkosten)</t>
  </si>
  <si>
    <t>Abziehbare Vorsteuer 7 %</t>
  </si>
  <si>
    <t>Abziehbare Vorsteuer 19 %</t>
  </si>
  <si>
    <t>DATEV-Standardkontenrahmen 2026, Reisekosten Arbeitnehmer. Eigene Konten einfach überschreiben.</t>
  </si>
  <si>
    <t>Datum</t>
  </si>
  <si>
    <t>Tag</t>
  </si>
  <si>
    <t>Beginn</t>
  </si>
  <si>
    <t>Ende</t>
  </si>
  <si>
    <t>Übernach­tung (Nacht danach)</t>
  </si>
  <si>
    <t>Land / Ort (leer: Deutschland)</t>
  </si>
  <si>
    <t>Anlass, Kunde, Ort</t>
  </si>
  <si>
    <t>Früh­stück</t>
  </si>
  <si>
    <t>Mittag</t>
  </si>
  <si>
    <t>Abend</t>
  </si>
  <si>
    <t>km (eigenes Kfz)</t>
  </si>
  <si>
    <t>Abwesend</t>
  </si>
  <si>
    <t>Pauschale €</t>
  </si>
  <si>
    <t>Kürzung €</t>
  </si>
  <si>
    <t>Verpflegung €</t>
  </si>
  <si>
    <t>Übernachtung Pauschale €</t>
  </si>
  <si>
    <t>Kilometer­geld €</t>
  </si>
  <si>
    <t>Hinweis</t>
  </si>
  <si>
    <t>Übernachtung (Belege und Pauschalen)</t>
  </si>
  <si>
    <t>Fahrtkosten (Belege)</t>
  </si>
  <si>
    <t>Reisenebenkosten (Belege)</t>
  </si>
  <si>
    <t>Summe Reisekosten</t>
  </si>
  <si>
    <t>abzüglich Vorschuss</t>
  </si>
  <si>
    <t>Auszahlung (negativ: Rückzahlung)</t>
  </si>
  <si>
    <t>Summe (= Summe Reisekosten)</t>
  </si>
  <si>
    <t>Von der Firma direkt bezahlt (nicht ausgezahlt)</t>
  </si>
  <si>
    <t>Datum, Unterschrift Reisende/r</t>
  </si>
  <si>
    <t>Sachlich und rechnerisch richtig</t>
  </si>
  <si>
    <t>Genehmigt, Datum, Unterschrift</t>
  </si>
  <si>
    <t>Jede Quittung eine Zeile. Hotelrechnung mit Frühstück: Übernachtung (7 %) und Frühstück (19 %) als zwei Zeilen, beide „Übernachtung“. Bezahlt von „Firma“: wird nicht ausgezahlt.</t>
  </si>
  <si>
    <t>Beleg-Nr.</t>
  </si>
  <si>
    <t>Kostenart</t>
  </si>
  <si>
    <t>Beschreibung</t>
  </si>
  <si>
    <t>Betrag brutto €</t>
  </si>
  <si>
    <t>USt-Satz</t>
  </si>
  <si>
    <t>Bezahlt von (leer: Mitarbeiter)</t>
  </si>
  <si>
    <t>Netto €</t>
  </si>
  <si>
    <t>Umsatzsteuer €</t>
  </si>
  <si>
    <t>Monat</t>
  </si>
  <si>
    <t>Reisetage</t>
  </si>
  <si>
    <t>km</t>
  </si>
  <si>
    <t>Übernachtung €</t>
  </si>
  <si>
    <t>Fahrtkosten €</t>
  </si>
  <si>
    <t>Kilometergeld €</t>
  </si>
  <si>
    <t>Nebenkosten €</t>
  </si>
  <si>
    <t>Summe €</t>
  </si>
  <si>
    <t>Vorschuss €</t>
  </si>
  <si>
    <t>Auszahlung €</t>
  </si>
  <si>
    <t>Januar</t>
  </si>
  <si>
    <t>Februar</t>
  </si>
  <si>
    <t>März</t>
  </si>
  <si>
    <t>April</t>
  </si>
  <si>
    <t>Mai</t>
  </si>
  <si>
    <t>Juni</t>
  </si>
  <si>
    <t>Juli</t>
  </si>
  <si>
    <t>August</t>
  </si>
  <si>
    <t>September</t>
  </si>
  <si>
    <t>Oktober</t>
  </si>
  <si>
    <t>November</t>
  </si>
  <si>
    <t>Dezember</t>
  </si>
  <si>
    <t>Summe</t>
  </si>
  <si>
    <t>Erstattet die Firma weniger als diese Beträge, ist die Differenz in der Steuererklärung als Werbungskosten absetzbar (Anlage N, Reisekosten); Übernachtung dort nur mit Beleg.</t>
  </si>
  <si>
    <t>Pauschbeträge 2026: Inland (§ 9 Abs. 4a EStG, R 9.7 LStR) und Ausland (BMF-Schreiben vom 5. Dezember 2025)</t>
  </si>
  <si>
    <t>Nicht aufgeführte Länder: Luxemburg. Übernachtungspauschalen nur bei Erstattung durch die Firma. Kürzung für Mahlzeiten: 20 % bzw. 40 % des Satzes für 24 Stunden.</t>
  </si>
  <si>
    <t>Land / Ort</t>
  </si>
  <si>
    <t>24 Stunden €</t>
  </si>
  <si>
    <t>An-/Abreisetag, mehr als 8 Std. €</t>
  </si>
  <si>
    <t>Deutschland</t>
  </si>
  <si>
    <t>Ägypten</t>
  </si>
  <si>
    <t>Äthiopien</t>
  </si>
  <si>
    <t>Äquatorialguinea</t>
  </si>
  <si>
    <t>Albanien</t>
  </si>
  <si>
    <t>Algerien</t>
  </si>
  <si>
    <t>Andorra</t>
  </si>
  <si>
    <t>Angola</t>
  </si>
  <si>
    <t>Argentinien</t>
  </si>
  <si>
    <t>Armenien</t>
  </si>
  <si>
    <t>Aserbaidschan</t>
  </si>
  <si>
    <t>Australien – Canberra</t>
  </si>
  <si>
    <t>Australien – Sydney</t>
  </si>
  <si>
    <t>Australien – im Übrigen</t>
  </si>
  <si>
    <t>Bahrain</t>
  </si>
  <si>
    <t>Bangladesch</t>
  </si>
  <si>
    <t>Barbados</t>
  </si>
  <si>
    <t>Belgien</t>
  </si>
  <si>
    <t>Benin</t>
  </si>
  <si>
    <t>Bhutan</t>
  </si>
  <si>
    <t>Bolivien</t>
  </si>
  <si>
    <t>Bosnien und Herzegowina</t>
  </si>
  <si>
    <t>Botsuana</t>
  </si>
  <si>
    <t>Brasilien – Brasilia</t>
  </si>
  <si>
    <t>Brasilien – Rio de Janeiro</t>
  </si>
  <si>
    <t>Brasilien – Sao Paulo</t>
  </si>
  <si>
    <t>Brasilien – im Übrigen</t>
  </si>
  <si>
    <t>Brunei</t>
  </si>
  <si>
    <t>Bulgarien</t>
  </si>
  <si>
    <t>Burkina Faso</t>
  </si>
  <si>
    <t>Burundi</t>
  </si>
  <si>
    <t>Chile</t>
  </si>
  <si>
    <t>China – Hongkong</t>
  </si>
  <si>
    <t>China – Peking</t>
  </si>
  <si>
    <t>China – Shanghai</t>
  </si>
  <si>
    <t>China – im Übrigen</t>
  </si>
  <si>
    <t>Costa Rica</t>
  </si>
  <si>
    <t>Côte d’Ivoire</t>
  </si>
  <si>
    <t>Dänemark</t>
  </si>
  <si>
    <t>Dominikanische Republik</t>
  </si>
  <si>
    <t>Dschibuti</t>
  </si>
  <si>
    <t>Ecuador</t>
  </si>
  <si>
    <t>El Salvador</t>
  </si>
  <si>
    <t>Eritrea</t>
  </si>
  <si>
    <t>Estland</t>
  </si>
  <si>
    <t>Fidschi</t>
  </si>
  <si>
    <t>Finnland</t>
  </si>
  <si>
    <t>Frankreich – Paris sowie die Departments 77, 78, 91 bis 95</t>
  </si>
  <si>
    <t>Frankreich – im Übrigen</t>
  </si>
  <si>
    <t>Gabun</t>
  </si>
  <si>
    <t>Gambia</t>
  </si>
  <si>
    <t>Georgien</t>
  </si>
  <si>
    <t>Ghana</t>
  </si>
  <si>
    <t>Griechenland – Athen</t>
  </si>
  <si>
    <t>Griechenland – im Übrigen</t>
  </si>
  <si>
    <t>Guatemala</t>
  </si>
  <si>
    <t>Guinea</t>
  </si>
  <si>
    <t>Guinea-Bissau</t>
  </si>
  <si>
    <t>Honduras</t>
  </si>
  <si>
    <t>Indien – Bangalore</t>
  </si>
  <si>
    <t>Indien – Chennai</t>
  </si>
  <si>
    <t>Indien – Kalkutta</t>
  </si>
  <si>
    <t>Indien – Mumbai</t>
  </si>
  <si>
    <t>Indien – Neu Delhi</t>
  </si>
  <si>
    <t>Indien – im Übrigen</t>
  </si>
  <si>
    <t>Indonesien</t>
  </si>
  <si>
    <t>Iran</t>
  </si>
  <si>
    <t>Irland</t>
  </si>
  <si>
    <t>Island</t>
  </si>
  <si>
    <t>Israel</t>
  </si>
  <si>
    <t>Italien – Mailand</t>
  </si>
  <si>
    <t>Italien – Rom</t>
  </si>
  <si>
    <t>Italien – im Übrigen</t>
  </si>
  <si>
    <t>Jamaika</t>
  </si>
  <si>
    <t>Japan – Tokio</t>
  </si>
  <si>
    <t>Japan – Osaka</t>
  </si>
  <si>
    <t>Japan – im Übrigen</t>
  </si>
  <si>
    <t>Jordanien</t>
  </si>
  <si>
    <t>Kambodscha</t>
  </si>
  <si>
    <t>Kamerun</t>
  </si>
  <si>
    <t>Kanada – Ottawa</t>
  </si>
  <si>
    <t>Kanada – Toronto</t>
  </si>
  <si>
    <t>Kanada – Vancouver</t>
  </si>
  <si>
    <t>Kanada – im Übrigen</t>
  </si>
  <si>
    <t>Kap Verde</t>
  </si>
  <si>
    <t>Kasachstan</t>
  </si>
  <si>
    <t>Katar</t>
  </si>
  <si>
    <t>Kenia</t>
  </si>
  <si>
    <t>Kirgisistan</t>
  </si>
  <si>
    <t>Kolumbien</t>
  </si>
  <si>
    <t>Kongo, Republik</t>
  </si>
  <si>
    <t>Kongo, Demokratische Republik</t>
  </si>
  <si>
    <t>Korea, Republik</t>
  </si>
  <si>
    <t>Kosovo</t>
  </si>
  <si>
    <t>Kroatien</t>
  </si>
  <si>
    <t>Kuba</t>
  </si>
  <si>
    <t>Kuwait</t>
  </si>
  <si>
    <t>Laos</t>
  </si>
  <si>
    <t>Lesotho</t>
  </si>
  <si>
    <t>Lettland</t>
  </si>
  <si>
    <t>Libanon</t>
  </si>
  <si>
    <t>Liberia</t>
  </si>
  <si>
    <t>Liechtenstein</t>
  </si>
  <si>
    <t>Litauen</t>
  </si>
  <si>
    <t>Luxemburg</t>
  </si>
  <si>
    <t>Madagaskar</t>
  </si>
  <si>
    <t>Malawi</t>
  </si>
  <si>
    <t>Malaysia</t>
  </si>
  <si>
    <t>Malediven</t>
  </si>
  <si>
    <t>Mali</t>
  </si>
  <si>
    <t>Malta</t>
  </si>
  <si>
    <t>Marokko</t>
  </si>
  <si>
    <t>Marshall Inseln</t>
  </si>
  <si>
    <t>Mauretanien</t>
  </si>
  <si>
    <t>Mauritius</t>
  </si>
  <si>
    <t>Mexiko</t>
  </si>
  <si>
    <t>Moldau, Republik</t>
  </si>
  <si>
    <t>Monaco</t>
  </si>
  <si>
    <t>Mongolei</t>
  </si>
  <si>
    <t>Montenegro</t>
  </si>
  <si>
    <t>Mosambik</t>
  </si>
  <si>
    <t>Myanmar</t>
  </si>
  <si>
    <t>Namibia</t>
  </si>
  <si>
    <t>Nepal</t>
  </si>
  <si>
    <t>Neuseeland</t>
  </si>
  <si>
    <t>Nicaragua</t>
  </si>
  <si>
    <t>Niederlande</t>
  </si>
  <si>
    <t>Niger</t>
  </si>
  <si>
    <t>Nigeria</t>
  </si>
  <si>
    <t>Nordmazedonien</t>
  </si>
  <si>
    <t>Norwegen</t>
  </si>
  <si>
    <t>Österreich</t>
  </si>
  <si>
    <t>Oman</t>
  </si>
  <si>
    <t>Pakistan</t>
  </si>
  <si>
    <t>Palau</t>
  </si>
  <si>
    <t>Panama</t>
  </si>
  <si>
    <t>Papua-Neuguinea</t>
  </si>
  <si>
    <t>Paraguay</t>
  </si>
  <si>
    <t>Peru</t>
  </si>
  <si>
    <t>Philippinen</t>
  </si>
  <si>
    <t>Polen – Breslau</t>
  </si>
  <si>
    <t>Polen – Warschau</t>
  </si>
  <si>
    <t>Polen – im Übrigen</t>
  </si>
  <si>
    <t>Portugal</t>
  </si>
  <si>
    <t>Ruanda</t>
  </si>
  <si>
    <t>Rumänien</t>
  </si>
  <si>
    <t>Russische Föderation – Moskau</t>
  </si>
  <si>
    <t>Russische Föderation – St. Petersburg</t>
  </si>
  <si>
    <t>Russische Föderation – im Übrigen</t>
  </si>
  <si>
    <t>Sambia</t>
  </si>
  <si>
    <t>Samoa</t>
  </si>
  <si>
    <t>San Marino</t>
  </si>
  <si>
    <t>São Tomé – Príncipe</t>
  </si>
  <si>
    <t>Saudi-Arabien – Djidda</t>
  </si>
  <si>
    <t>Saudi-Arabien – Riad</t>
  </si>
  <si>
    <t>Saudi-Arabien – im Übrigen</t>
  </si>
  <si>
    <t>Schweden</t>
  </si>
  <si>
    <t>Schweiz – Bern</t>
  </si>
  <si>
    <t>Schweiz – Genf</t>
  </si>
  <si>
    <t>Schweiz – im Übrigen</t>
  </si>
  <si>
    <t>Senegal</t>
  </si>
  <si>
    <t>Serbien</t>
  </si>
  <si>
    <t>Sierra Leone</t>
  </si>
  <si>
    <t>Simbabwe</t>
  </si>
  <si>
    <t>Singapur</t>
  </si>
  <si>
    <t>Slowakische Republik</t>
  </si>
  <si>
    <t>Slowenien</t>
  </si>
  <si>
    <t>Spanien – Barcelona</t>
  </si>
  <si>
    <t>Spanien – Kanarische Inseln</t>
  </si>
  <si>
    <t>Spanien – Madrid</t>
  </si>
  <si>
    <t>Spanien – Palma de Mallorca</t>
  </si>
  <si>
    <t>Spanien – im Übrigen</t>
  </si>
  <si>
    <t>Sri Lanka</t>
  </si>
  <si>
    <t>Südafrika – Kapstadt</t>
  </si>
  <si>
    <t>Südafrika – Johannesburg</t>
  </si>
  <si>
    <t>Südafrika – im Übrigen</t>
  </si>
  <si>
    <t>Südsudan</t>
  </si>
  <si>
    <t>Tadschikistan</t>
  </si>
  <si>
    <t>Taiwan</t>
  </si>
  <si>
    <t>Tansania</t>
  </si>
  <si>
    <t>Thailand</t>
  </si>
  <si>
    <t>Togo</t>
  </si>
  <si>
    <t>Tonga</t>
  </si>
  <si>
    <t>Trinidad und Tobago</t>
  </si>
  <si>
    <t>Tschad</t>
  </si>
  <si>
    <t>Tschechische Republik</t>
  </si>
  <si>
    <t>Türkei – Ankara</t>
  </si>
  <si>
    <t>Türkei – Izmir</t>
  </si>
  <si>
    <t>Türkei – im Übrigen</t>
  </si>
  <si>
    <t>Tunesien</t>
  </si>
  <si>
    <t>Turkmenistan</t>
  </si>
  <si>
    <t>Uganda</t>
  </si>
  <si>
    <t>Ukraine</t>
  </si>
  <si>
    <t>Ungarn</t>
  </si>
  <si>
    <t>Uruguay</t>
  </si>
  <si>
    <t>Usbekistan</t>
  </si>
  <si>
    <t>Vatikanstaat</t>
  </si>
  <si>
    <t>Venezuela</t>
  </si>
  <si>
    <t>Vereinigte Arabische Emirate</t>
  </si>
  <si>
    <t>Vereinigte Staaten von Amerika (USA) – Atlanta</t>
  </si>
  <si>
    <t>Vereinigte Staaten von Amerika (USA) – Boston</t>
  </si>
  <si>
    <t>Vereinigte Staaten von Amerika (USA) – Chicago</t>
  </si>
  <si>
    <t>Vereinigte Staaten von Amerika (USA) – Houston</t>
  </si>
  <si>
    <t>Vereinigte Staaten von Amerika (USA) – Los Angeles</t>
  </si>
  <si>
    <t>Vereinigte Staaten von Amerika (USA) – Miami</t>
  </si>
  <si>
    <t>Vereinigte Staaten von Amerika (USA) – New York City</t>
  </si>
  <si>
    <t>Vereinigte Staaten von Amerika (USA) – San Francisco</t>
  </si>
  <si>
    <t>Vereinigte Staaten von Amerika (USA) – Washington, D. C.</t>
  </si>
  <si>
    <t>Vereinigte Staaten von Amerika (USA) – im Übrigen</t>
  </si>
  <si>
    <t>Vereinigtes Königreich von Großbritannien und Nordirland – London</t>
  </si>
  <si>
    <t>Vereinigtes Königreich von Großbritannien und Nordirland – im Übrigen</t>
  </si>
  <si>
    <t>Vietnam</t>
  </si>
  <si>
    <t>Weißrussland</t>
  </si>
  <si>
    <t>Zentralafrikanische Republik</t>
  </si>
  <si>
    <t>Zypern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</si>
</sst>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
    <numFmt numFmtId="165" formatCode="hh:mm"/>
    <numFmt numFmtId="166" formatCode="[h]:mm"/>
    <numFmt numFmtId="167" formatCode="dd.mm.yyyy"/>
  </numFmts>
  <fonts count="15" x14ac:knownFonts="1">
    <font>
      <color theme="1"/>
      <family val="2"/>
      <scheme val="minor"/>
      <sz val="11"/>
      <name val="Calibri"/>
    </font>
    <font>
      <sz val="10"/>
      <name val="Calibri"/>
    </font>
    <font>
      <b/>
      <color rgb="FF1F2933"/>
      <sz val="16"/>
      <name val="Calibri"/>
    </font>
    <font>
      <color rgb="FF1F2933"/>
      <sz val="10"/>
      <name val="Calibri"/>
    </font>
    <font>
      <b/>
      <color rgb="FF1F2933"/>
      <sz val="11"/>
      <name val="Calibri"/>
    </font>
    <font>
      <b/>
      <color rgb="FF1F2933"/>
      <sz val="14"/>
      <name val="Calibri"/>
    </font>
    <font>
      <color rgb="FF616E7C"/>
      <sz val="9"/>
      <name val="Calibri"/>
    </font>
    <font>
      <b/>
      <color rgb="FF1F2933"/>
      <sz val="10"/>
      <name val="Calibri"/>
    </font>
    <font>
      <b/>
      <color rgb="FF1F2933"/>
      <sz val="9"/>
      <name val="Calibri"/>
    </font>
    <font>
      <b/>
      <color rgb="FFB42318"/>
      <sz val="9"/>
      <name val="Calibri"/>
    </font>
    <font>
      <color rgb="FF1F2933"/>
      <sz val="8"/>
      <name val="Calibri"/>
    </font>
    <font>
      <color rgb="FF616E7C"/>
      <sz val="10"/>
      <name val="Calibri"/>
    </font>
    <font>
      <color rgb="FF616E7C"/>
      <sz val="8"/>
      <name val="Calibri"/>
    </font>
    <font>
      <b/>
      <color rgb="FF1F2933"/>
      <sz val="12"/>
      <name val="Calibri"/>
    </font>
    <font>
      <b/>
      <sz val="10"/>
      <name val="Calibri"/>
    </font>
  </fonts>
  <fills count="4">
    <fill>
      <patternFill patternType="none"/>
    </fill>
    <fill>
      <patternFill patternType="gray125"/>
    </fill>
    <fill>
      <patternFill patternType="solid">
        <fgColor rgb="FFF4F8FD"/>
      </patternFill>
    </fill>
    <fill>
      <patternFill patternType="solid">
        <fgColor rgb="FFEEF1F4"/>
      </patternFill>
    </fill>
  </fills>
  <borders count="4">
    <border>
      <left/>
      <right/>
      <top/>
      <bottom/>
      <diagonal/>
    </border>
    <border>
      <left style="thin">
        <color rgb="FFD3D8DE"/>
      </left>
      <right style="thin">
        <color rgb="FFD3D8DE"/>
      </right>
      <top style="thin">
        <color rgb="FFD3D8DE"/>
      </top>
      <bottom style="thin">
        <color rgb="FFD3D8DE"/>
      </bottom>
      <diagonal/>
    </border>
    <border>
      <left/>
      <right/>
      <top style="thin">
        <color rgb="FF1F2933"/>
      </top>
      <bottom/>
      <diagonal/>
    </border>
    <border>
      <left/>
      <right/>
      <top style="medium">
        <color rgb="FF1F2933"/>
      </top>
      <bottom/>
      <diagonal/>
    </border>
  </borders>
  <cellStyleXfs count="1">
    <xf numFmtId="0" fontId="0" fillId="0" borderId="0"/>
  </cellStyleXfs>
  <cellXfs count="45">
    <xf numFmtId="0" fontId="0" fillId="0" borderId="0" xfId="0"/>
    <xf numFmtId="0" fontId="1" fillId="0" borderId="0" xfId="0" applyFont="1"/>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xf numFmtId="0" fontId="3" fillId="0" borderId="0" xfId="0" applyFont="1"/>
    <xf numFmtId="0" fontId="1" fillId="2" borderId="1" xfId="0" applyFont="1" applyFill="1" applyBorder="1" applyProtection="1">
      <protection locked="0"/>
    </xf>
    <xf numFmtId="0" fontId="6" fillId="0" borderId="0" xfId="0" applyFont="1"/>
    <xf numFmtId="1" fontId="1" fillId="2" borderId="1" xfId="0" applyNumberFormat="1" applyFont="1" applyFill="1" applyBorder="1" applyProtection="1">
      <protection locked="0"/>
    </xf>
    <xf numFmtId="4" fontId="1" fillId="0" borderId="0" xfId="0" applyNumberFormat="1" applyFont="1"/>
    <xf numFmtId="0" fontId="7" fillId="0" borderId="0" xfId="0" applyFont="1"/>
    <xf numFmtId="0" fontId="8" fillId="3" borderId="1" xfId="0" applyFont="1" applyFill="1" applyBorder="1" applyAlignment="1">
      <alignment vertical="center" wrapText="1"/>
    </xf>
    <xf numFmtId="0" fontId="1" fillId="0" borderId="1" xfId="0" applyFont="1" applyBorder="1"/>
    <xf numFmtId="1" fontId="1" fillId="2" borderId="1" xfId="0" applyNumberFormat="1" applyFont="1" applyFill="1" applyBorder="1" applyAlignment="1" applyProtection="1">
      <alignment horizontal="center"/>
      <protection locked="0"/>
    </xf>
    <xf numFmtId="1" fontId="1" fillId="0" borderId="1" xfId="0" applyNumberFormat="1" applyFont="1" applyBorder="1" applyAlignment="1">
      <alignment horizontal="center"/>
    </xf>
    <xf numFmtId="0" fontId="9" fillId="0" borderId="0" xfId="0" applyFont="1"/>
    <xf numFmtId="164" fontId="1" fillId="0" borderId="1" xfId="0" applyNumberFormat="1" applyFont="1" applyBorder="1"/>
    <xf numFmtId="165" fontId="1" fillId="2" borderId="1" xfId="0" applyNumberFormat="1" applyFont="1" applyFill="1" applyBorder="1" applyProtection="1">
      <protection locked="0"/>
    </xf>
    <xf numFmtId="0" fontId="1" fillId="2" borderId="1" xfId="0" applyFont="1" applyFill="1" applyBorder="1" applyAlignment="1" applyProtection="1">
      <alignment horizontal="center"/>
      <protection locked="0"/>
    </xf>
    <xf numFmtId="166" fontId="1" fillId="0" borderId="1" xfId="0" applyNumberFormat="1" applyFont="1" applyBorder="1" applyAlignment="1">
      <alignment horizontal="right"/>
    </xf>
    <xf numFmtId="4" fontId="1" fillId="0" borderId="1" xfId="0" applyNumberFormat="1" applyFont="1" applyBorder="1" applyAlignment="1">
      <alignment horizontal="right"/>
    </xf>
    <xf numFmtId="0" fontId="10" fillId="0" borderId="1" xfId="0" applyFont="1" applyBorder="1" applyAlignment="1">
      <alignment shrinkToFit="1"/>
    </xf>
    <xf numFmtId="0" fontId="4" fillId="0" borderId="0" xfId="0" applyFont="1"/>
    <xf numFmtId="4" fontId="3" fillId="0" borderId="0" xfId="0" applyNumberFormat="1" applyFont="1" applyAlignment="1">
      <alignment horizontal="right"/>
    </xf>
    <xf numFmtId="1" fontId="1" fillId="0" borderId="0" xfId="0" applyNumberFormat="1" applyFont="1" applyAlignment="1">
      <alignment horizontal="left"/>
    </xf>
    <xf numFmtId="4" fontId="1" fillId="0" borderId="0" xfId="0" applyNumberFormat="1" applyFont="1" applyAlignment="1">
      <alignment horizontal="right"/>
    </xf>
    <xf numFmtId="4" fontId="7" fillId="0" borderId="2" xfId="0" applyNumberFormat="1" applyFont="1" applyBorder="1" applyAlignment="1">
      <alignment horizontal="right"/>
    </xf>
    <xf numFmtId="4" fontId="3" fillId="2" borderId="1" xfId="0" applyNumberFormat="1" applyFont="1" applyFill="1" applyBorder="1" applyAlignment="1" applyProtection="1">
      <alignment horizontal="right"/>
      <protection locked="0"/>
    </xf>
    <xf numFmtId="0" fontId="11" fillId="0" borderId="0" xfId="0" applyFont="1"/>
    <xf numFmtId="4" fontId="11" fillId="0" borderId="0" xfId="0" applyNumberFormat="1" applyFont="1" applyAlignment="1">
      <alignment horizontal="right"/>
    </xf>
    <xf numFmtId="0" fontId="0" fillId="0" borderId="2" xfId="0" applyBorder="1"/>
    <xf numFmtId="0" fontId="12" fillId="0" borderId="0" xfId="0" applyFont="1"/>
    <xf numFmtId="167" fontId="1" fillId="2" borderId="1" xfId="0" applyNumberFormat="1" applyFont="1" applyFill="1" applyBorder="1" applyProtection="1">
      <protection locked="0"/>
    </xf>
    <xf numFmtId="4" fontId="1" fillId="2" borderId="1" xfId="0" applyNumberFormat="1" applyFont="1" applyFill="1" applyBorder="1" applyProtection="1">
      <protection locked="0"/>
    </xf>
    <xf numFmtId="4" fontId="1" fillId="0" borderId="1" xfId="0" applyNumberFormat="1" applyFont="1" applyBorder="1"/>
    <xf numFmtId="0" fontId="9" fillId="0" borderId="1" xfId="0" applyFont="1" applyBorder="1"/>
    <xf numFmtId="1" fontId="1" fillId="0" borderId="1" xfId="0" applyNumberFormat="1" applyFont="1" applyBorder="1"/>
    <xf numFmtId="3" fontId="1" fillId="0" borderId="1" xfId="0" applyNumberFormat="1" applyFont="1" applyBorder="1"/>
    <xf numFmtId="0" fontId="7" fillId="0" borderId="3" xfId="0" applyFont="1" applyBorder="1"/>
    <xf numFmtId="1" fontId="7" fillId="0" borderId="3" xfId="0" applyNumberFormat="1" applyFont="1" applyBorder="1"/>
    <xf numFmtId="3" fontId="7" fillId="0" borderId="3" xfId="0" applyNumberFormat="1" applyFont="1" applyBorder="1"/>
    <xf numFmtId="4" fontId="7" fillId="0" borderId="3" xfId="0" applyNumberFormat="1" applyFont="1" applyBorder="1"/>
    <xf numFmtId="0" fontId="13" fillId="0" borderId="0" xfId="0" applyFont="1"/>
    <xf numFmtId="0" fontId="14" fillId="0" borderId="1" xfId="0" applyFont="1" applyBorder="1"/>
  </cellXfs>
  <cellStyles count="1">
    <cellStyle name="Normal" xfId="0" builtinId="0"/>
  </cellStyles>
  <dxfs count="72">
    <dxf>
      <font>
        <color rgb="FFE5E7EB"/>
      </font>
      <fill>
        <patternFill patternType="solid">
          <bgColor rgb="FFE5E7EB"/>
        </patternFill>
      </fill>
    </dxf>
    <dxf>
      <fill>
        <patternFill patternType="solid">
          <bgColor rgb="FFF3F4F6"/>
        </patternFill>
      </fill>
    </dxf>
    <dxf>
      <fill>
        <patternFill patternType="solid">
          <bgColor rgb="FFE5E7EB"/>
        </patternFill>
      </fill>
    </dxf>
    <dxf>
      <font>
        <b/>
        <color rgb="FFB42318"/>
      </font>
      <fill>
        <patternFill patternType="solid">
          <bgColor rgb="FFF3F4F6"/>
        </patternFill>
      </fill>
    </dxf>
    <dxf>
      <font>
        <b/>
        <color rgb="FFB42318"/>
      </font>
    </dxf>
    <dxf>
      <fill>
        <patternFill patternType="solid">
          <bgColor rgb="FFF3F4F6"/>
        </patternFill>
      </fill>
    </dxf>
    <dxf>
      <font>
        <color rgb="FFE5E7EB"/>
      </font>
      <fill>
        <patternFill patternType="solid">
          <bgColor rgb="FFE5E7EB"/>
        </patternFill>
      </fill>
    </dxf>
    <dxf>
      <fill>
        <patternFill patternType="solid">
          <bgColor rgb="FFF3F4F6"/>
        </patternFill>
      </fill>
    </dxf>
    <dxf>
      <fill>
        <patternFill patternType="solid">
          <bgColor rgb="FFE5E7EB"/>
        </patternFill>
      </fill>
    </dxf>
    <dxf>
      <font>
        <b/>
        <color rgb="FFB42318"/>
      </font>
      <fill>
        <patternFill patternType="solid">
          <bgColor rgb="FFF3F4F6"/>
        </patternFill>
      </fill>
    </dxf>
    <dxf>
      <font>
        <b/>
        <color rgb="FFB42318"/>
      </font>
    </dxf>
    <dxf>
      <fill>
        <patternFill patternType="solid">
          <bgColor rgb="FFF3F4F6"/>
        </patternFill>
      </fill>
    </dxf>
    <dxf>
      <font>
        <color rgb="FFE5E7EB"/>
      </font>
      <fill>
        <patternFill patternType="solid">
          <bgColor rgb="FFE5E7EB"/>
        </patternFill>
      </fill>
    </dxf>
    <dxf>
      <fill>
        <patternFill patternType="solid">
          <bgColor rgb="FFF3F4F6"/>
        </patternFill>
      </fill>
    </dxf>
    <dxf>
      <fill>
        <patternFill patternType="solid">
          <bgColor rgb="FFE5E7EB"/>
        </patternFill>
      </fill>
    </dxf>
    <dxf>
      <font>
        <b/>
        <color rgb="FFB42318"/>
      </font>
      <fill>
        <patternFill patternType="solid">
          <bgColor rgb="FFF3F4F6"/>
        </patternFill>
      </fill>
    </dxf>
    <dxf>
      <font>
        <b/>
        <color rgb="FFB42318"/>
      </font>
    </dxf>
    <dxf>
      <fill>
        <patternFill patternType="solid">
          <bgColor rgb="FFF3F4F6"/>
        </patternFill>
      </fill>
    </dxf>
    <dxf>
      <font>
        <color rgb="FFE5E7EB"/>
      </font>
      <fill>
        <patternFill patternType="solid">
          <bgColor rgb="FFE5E7EB"/>
        </patternFill>
      </fill>
    </dxf>
    <dxf>
      <fill>
        <patternFill patternType="solid">
          <bgColor rgb="FFF3F4F6"/>
        </patternFill>
      </fill>
    </dxf>
    <dxf>
      <fill>
        <patternFill patternType="solid">
          <bgColor rgb="FFE5E7EB"/>
        </patternFill>
      </fill>
    </dxf>
    <dxf>
      <font>
        <b/>
        <color rgb="FFB42318"/>
      </font>
      <fill>
        <patternFill patternType="solid">
          <bgColor rgb="FFF3F4F6"/>
        </patternFill>
      </fill>
    </dxf>
    <dxf>
      <font>
        <b/>
        <color rgb="FFB42318"/>
      </font>
    </dxf>
    <dxf>
      <fill>
        <patternFill patternType="solid">
          <bgColor rgb="FFF3F4F6"/>
        </patternFill>
      </fill>
    </dxf>
    <dxf>
      <font>
        <color rgb="FFE5E7EB"/>
      </font>
      <fill>
        <patternFill patternType="solid">
          <bgColor rgb="FFE5E7EB"/>
        </patternFill>
      </fill>
    </dxf>
    <dxf>
      <fill>
        <patternFill patternType="solid">
          <bgColor rgb="FFF3F4F6"/>
        </patternFill>
      </fill>
    </dxf>
    <dxf>
      <fill>
        <patternFill patternType="solid">
          <bgColor rgb="FFE5E7EB"/>
        </patternFill>
      </fill>
    </dxf>
    <dxf>
      <font>
        <b/>
        <color rgb="FFB42318"/>
      </font>
      <fill>
        <patternFill patternType="solid">
          <bgColor rgb="FFF3F4F6"/>
        </patternFill>
      </fill>
    </dxf>
    <dxf>
      <font>
        <b/>
        <color rgb="FFB42318"/>
      </font>
    </dxf>
    <dxf>
      <fill>
        <patternFill patternType="solid">
          <bgColor rgb="FFF3F4F6"/>
        </patternFill>
      </fill>
    </dxf>
    <dxf>
      <font>
        <color rgb="FFE5E7EB"/>
      </font>
      <fill>
        <patternFill patternType="solid">
          <bgColor rgb="FFE5E7EB"/>
        </patternFill>
      </fill>
    </dxf>
    <dxf>
      <fill>
        <patternFill patternType="solid">
          <bgColor rgb="FFF3F4F6"/>
        </patternFill>
      </fill>
    </dxf>
    <dxf>
      <fill>
        <patternFill patternType="solid">
          <bgColor rgb="FFE5E7EB"/>
        </patternFill>
      </fill>
    </dxf>
    <dxf>
      <font>
        <b/>
        <color rgb="FFB42318"/>
      </font>
      <fill>
        <patternFill patternType="solid">
          <bgColor rgb="FFF3F4F6"/>
        </patternFill>
      </fill>
    </dxf>
    <dxf>
      <font>
        <b/>
        <color rgb="FFB42318"/>
      </font>
    </dxf>
    <dxf>
      <fill>
        <patternFill patternType="solid">
          <bgColor rgb="FFF3F4F6"/>
        </patternFill>
      </fill>
    </dxf>
    <dxf>
      <font>
        <color rgb="FFE5E7EB"/>
      </font>
      <fill>
        <patternFill patternType="solid">
          <bgColor rgb="FFE5E7EB"/>
        </patternFill>
      </fill>
    </dxf>
    <dxf>
      <fill>
        <patternFill patternType="solid">
          <bgColor rgb="FFF3F4F6"/>
        </patternFill>
      </fill>
    </dxf>
    <dxf>
      <fill>
        <patternFill patternType="solid">
          <bgColor rgb="FFE5E7EB"/>
        </patternFill>
      </fill>
    </dxf>
    <dxf>
      <font>
        <b/>
        <color rgb="FFB42318"/>
      </font>
      <fill>
        <patternFill patternType="solid">
          <bgColor rgb="FFF3F4F6"/>
        </patternFill>
      </fill>
    </dxf>
    <dxf>
      <font>
        <b/>
        <color rgb="FFB42318"/>
      </font>
    </dxf>
    <dxf>
      <fill>
        <patternFill patternType="solid">
          <bgColor rgb="FFF3F4F6"/>
        </patternFill>
      </fill>
    </dxf>
    <dxf>
      <font>
        <color rgb="FFE5E7EB"/>
      </font>
      <fill>
        <patternFill patternType="solid">
          <bgColor rgb="FFE5E7EB"/>
        </patternFill>
      </fill>
    </dxf>
    <dxf>
      <fill>
        <patternFill patternType="solid">
          <bgColor rgb="FFF3F4F6"/>
        </patternFill>
      </fill>
    </dxf>
    <dxf>
      <fill>
        <patternFill patternType="solid">
          <bgColor rgb="FFE5E7EB"/>
        </patternFill>
      </fill>
    </dxf>
    <dxf>
      <font>
        <b/>
        <color rgb="FFB42318"/>
      </font>
      <fill>
        <patternFill patternType="solid">
          <bgColor rgb="FFF3F4F6"/>
        </patternFill>
      </fill>
    </dxf>
    <dxf>
      <font>
        <b/>
        <color rgb="FFB42318"/>
      </font>
    </dxf>
    <dxf>
      <fill>
        <patternFill patternType="solid">
          <bgColor rgb="FFF3F4F6"/>
        </patternFill>
      </fill>
    </dxf>
    <dxf>
      <font>
        <color rgb="FFE5E7EB"/>
      </font>
      <fill>
        <patternFill patternType="solid">
          <bgColor rgb="FFE5E7EB"/>
        </patternFill>
      </fill>
    </dxf>
    <dxf>
      <fill>
        <patternFill patternType="solid">
          <bgColor rgb="FFF3F4F6"/>
        </patternFill>
      </fill>
    </dxf>
    <dxf>
      <fill>
        <patternFill patternType="solid">
          <bgColor rgb="FFE5E7EB"/>
        </patternFill>
      </fill>
    </dxf>
    <dxf>
      <font>
        <b/>
        <color rgb="FFB42318"/>
      </font>
      <fill>
        <patternFill patternType="solid">
          <bgColor rgb="FFF3F4F6"/>
        </patternFill>
      </fill>
    </dxf>
    <dxf>
      <font>
        <b/>
        <color rgb="FFB42318"/>
      </font>
    </dxf>
    <dxf>
      <fill>
        <patternFill patternType="solid">
          <bgColor rgb="FFF3F4F6"/>
        </patternFill>
      </fill>
    </dxf>
    <dxf>
      <font>
        <color rgb="FFE5E7EB"/>
      </font>
      <fill>
        <patternFill patternType="solid">
          <bgColor rgb="FFE5E7EB"/>
        </patternFill>
      </fill>
    </dxf>
    <dxf>
      <fill>
        <patternFill patternType="solid">
          <bgColor rgb="FFF3F4F6"/>
        </patternFill>
      </fill>
    </dxf>
    <dxf>
      <fill>
        <patternFill patternType="solid">
          <bgColor rgb="FFE5E7EB"/>
        </patternFill>
      </fill>
    </dxf>
    <dxf>
      <font>
        <b/>
        <color rgb="FFB42318"/>
      </font>
      <fill>
        <patternFill patternType="solid">
          <bgColor rgb="FFF3F4F6"/>
        </patternFill>
      </fill>
    </dxf>
    <dxf>
      <font>
        <b/>
        <color rgb="FFB42318"/>
      </font>
    </dxf>
    <dxf>
      <fill>
        <patternFill patternType="solid">
          <bgColor rgb="FFF3F4F6"/>
        </patternFill>
      </fill>
    </dxf>
    <dxf>
      <font>
        <color rgb="FFE5E7EB"/>
      </font>
      <fill>
        <patternFill patternType="solid">
          <bgColor rgb="FFE5E7EB"/>
        </patternFill>
      </fill>
    </dxf>
    <dxf>
      <fill>
        <patternFill patternType="solid">
          <bgColor rgb="FFF3F4F6"/>
        </patternFill>
      </fill>
    </dxf>
    <dxf>
      <fill>
        <patternFill patternType="solid">
          <bgColor rgb="FFE5E7EB"/>
        </patternFill>
      </fill>
    </dxf>
    <dxf>
      <font>
        <b/>
        <color rgb="FFB42318"/>
      </font>
      <fill>
        <patternFill patternType="solid">
          <bgColor rgb="FFF3F4F6"/>
        </patternFill>
      </fill>
    </dxf>
    <dxf>
      <font>
        <b/>
        <color rgb="FFB42318"/>
      </font>
    </dxf>
    <dxf>
      <fill>
        <patternFill patternType="solid">
          <bgColor rgb="FFF3F4F6"/>
        </patternFill>
      </fill>
    </dxf>
    <dxf>
      <font>
        <color rgb="FFE5E7EB"/>
      </font>
      <fill>
        <patternFill patternType="solid">
          <bgColor rgb="FFE5E7EB"/>
        </patternFill>
      </fill>
    </dxf>
    <dxf>
      <fill>
        <patternFill patternType="solid">
          <bgColor rgb="FFF3F4F6"/>
        </patternFill>
      </fill>
    </dxf>
    <dxf>
      <fill>
        <patternFill patternType="solid">
          <bgColor rgb="FFE5E7EB"/>
        </patternFill>
      </fill>
    </dxf>
    <dxf>
      <font>
        <b/>
        <color rgb="FFB42318"/>
      </font>
      <fill>
        <patternFill patternType="solid">
          <bgColor rgb="FFF3F4F6"/>
        </patternFill>
      </fill>
    </dxf>
    <dxf>
      <font>
        <b/>
        <color rgb="FFB42318"/>
      </font>
    </dxf>
    <dxf>
      <fill>
        <patternFill patternType="solid">
          <bgColor rgb="FFF3F4F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2:B24"/>
  <sheetViews>
    <sheetView workbookViewId="0" showGridLines="0"/>
  </sheetViews>
  <sheetFormatPr defaultRowHeight="15" outlineLevelRow="0" outlineLevelCol="0" x14ac:dyDescent="55"/>
  <cols>
    <col min="1" max="1" width="4" customWidth="1"/>
    <col min="2" max="2" width="110" customWidth="1"/>
  </cols>
  <sheetData>
    <row r="2" spans="1:2" x14ac:dyDescent="0.25">
      <c r="A2" s="1"/>
      <c r="B2" s="2" t="s">
        <v>0</v>
      </c>
    </row>
    <row r="3" spans="1:2" x14ac:dyDescent="0.25">
      <c r="A3" s="1"/>
      <c r="B3" s="3" t="s">
        <v>1</v>
      </c>
    </row>
    <row r="4" ht="24" customHeight="1" spans="1:2" x14ac:dyDescent="0.25">
      <c r="A4" s="1"/>
      <c r="B4" s="4" t="s">
        <v>2</v>
      </c>
    </row>
    <row r="5" spans="1:2" x14ac:dyDescent="0.25">
      <c r="A5" s="1"/>
      <c r="B5" s="3" t="s">
        <v>3</v>
      </c>
    </row>
    <row r="6" spans="1:2" x14ac:dyDescent="0.25">
      <c r="A6" s="1"/>
      <c r="B6" s="3" t="s">
        <v>4</v>
      </c>
    </row>
    <row r="7" spans="1:2" x14ac:dyDescent="0.25">
      <c r="A7" s="1"/>
      <c r="B7" s="3" t="s">
        <v>5</v>
      </c>
    </row>
    <row r="8" spans="1:2" x14ac:dyDescent="0.25">
      <c r="A8" s="1"/>
      <c r="B8" s="3" t="s">
        <v>6</v>
      </c>
    </row>
    <row r="9" spans="1:2" x14ac:dyDescent="0.25">
      <c r="A9" s="1"/>
      <c r="B9" s="3" t="s">
        <v>7</v>
      </c>
    </row>
    <row r="10" spans="1:2" x14ac:dyDescent="0.25">
      <c r="A10" s="1"/>
      <c r="B10" s="3" t="s">
        <v>8</v>
      </c>
    </row>
    <row r="11" spans="1:2" x14ac:dyDescent="0.25">
      <c r="A11" s="1"/>
      <c r="B11" s="3" t="s">
        <v>9</v>
      </c>
    </row>
    <row r="12" spans="1:2" x14ac:dyDescent="0.25">
      <c r="A12" s="1"/>
      <c r="B12" s="3" t="s">
        <v>10</v>
      </c>
    </row>
    <row r="13" spans="1:2" x14ac:dyDescent="0.25">
      <c r="A13" s="1"/>
      <c r="B13" s="3" t="s">
        <v>11</v>
      </c>
    </row>
    <row r="14" ht="24" customHeight="1" spans="1:2" x14ac:dyDescent="0.25">
      <c r="A14" s="1"/>
      <c r="B14" s="4" t="s">
        <v>12</v>
      </c>
    </row>
    <row r="15" spans="1:2" x14ac:dyDescent="0.25">
      <c r="A15" s="1"/>
      <c r="B15" s="3" t="s">
        <v>13</v>
      </c>
    </row>
    <row r="16" spans="1:2" x14ac:dyDescent="0.25">
      <c r="A16" s="1"/>
      <c r="B16" s="3" t="s">
        <v>14</v>
      </c>
    </row>
    <row r="17" spans="1:2" x14ac:dyDescent="0.25">
      <c r="A17" s="1"/>
      <c r="B17" s="3" t="s">
        <v>15</v>
      </c>
    </row>
    <row r="18" ht="24" customHeight="1" spans="1:2" x14ac:dyDescent="0.25">
      <c r="A18" s="1"/>
      <c r="B18" s="4" t="s">
        <v>16</v>
      </c>
    </row>
    <row r="19" spans="1:2" x14ac:dyDescent="0.25">
      <c r="A19" s="1"/>
      <c r="B19" s="3" t="s">
        <v>17</v>
      </c>
    </row>
    <row r="20" spans="1:2" x14ac:dyDescent="0.25">
      <c r="A20" s="1"/>
      <c r="B20" s="3" t="s">
        <v>18</v>
      </c>
    </row>
    <row r="21" ht="24" customHeight="1" spans="1:2" x14ac:dyDescent="0.25">
      <c r="A21" s="1"/>
      <c r="B21" s="4" t="s">
        <v>19</v>
      </c>
    </row>
    <row r="22" spans="1:2" x14ac:dyDescent="0.25">
      <c r="A22" s="1"/>
      <c r="B22" s="3" t="s">
        <v>20</v>
      </c>
    </row>
    <row r="23" spans="1:2" x14ac:dyDescent="0.25">
      <c r="A23" s="1"/>
      <c r="B23" s="3" t="s">
        <v>21</v>
      </c>
    </row>
    <row r="24" spans="1:2" x14ac:dyDescent="0.25">
      <c r="A24" s="1"/>
      <c r="B24" s="3" t="s">
        <v>22</v>
      </c>
    </row>
  </sheetData>
  <sheetProtection sheet="1" formatCells="0" formatColumns="0" formatRows="0"/>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4"/>
  <sheetViews>
    <sheetView workbookViewId="0" showGridLines="0"/>
  </sheetViews>
  <sheetFormatPr defaultRowHeight="15" outlineLevelRow="0" outlineLevelCol="0" x14ac:dyDescent="55"/>
  <cols>
    <col min="1" max="1" width="44" customWidth="1"/>
    <col min="2" max="2" width="22" customWidth="1"/>
    <col min="3" max="3" width="14" customWidth="1"/>
    <col min="4" max="4" width="60" customWidth="1"/>
  </cols>
  <sheetData>
    <row r="1" spans="1:1" x14ac:dyDescent="0.25">
      <c r="A1" s="5" t="s">
        <v>23</v>
      </c>
    </row>
    <row r="3" spans="1:4" x14ac:dyDescent="0.25">
      <c r="A3" s="6" t="s">
        <v>24</v>
      </c>
      <c r="B3" s="7"/>
      <c r="C3" s="8" t="s">
        <v>25</v>
      </c>
      <c r="D3" s="8"/>
    </row>
    <row r="4" spans="1:4" x14ac:dyDescent="0.25">
      <c r="A4" s="6" t="s">
        <v>26</v>
      </c>
      <c r="B4" s="7"/>
      <c r="C4" s="8" t="s">
        <v>27</v>
      </c>
      <c r="D4" s="8"/>
    </row>
    <row r="5" spans="1:4" x14ac:dyDescent="0.25">
      <c r="A5" s="6" t="s">
        <v>28</v>
      </c>
      <c r="B5" s="7"/>
      <c r="C5" s="8" t="s">
        <v>27</v>
      </c>
      <c r="D5" s="8"/>
    </row>
    <row r="6" spans="1:4" x14ac:dyDescent="0.25">
      <c r="A6" s="6" t="s">
        <v>29</v>
      </c>
      <c r="B6" s="7"/>
      <c r="C6" s="8" t="s">
        <v>27</v>
      </c>
      <c r="D6" s="8"/>
    </row>
    <row r="7" spans="1:4" x14ac:dyDescent="0.25">
      <c r="A7" s="6" t="s">
        <v>30</v>
      </c>
      <c r="B7" s="9">
        <v>2026</v>
      </c>
      <c r="C7" s="8" t="s">
        <v>31</v>
      </c>
      <c r="D7" s="8"/>
    </row>
    <row r="8" spans="1:4" x14ac:dyDescent="0.25">
      <c r="A8" s="6" t="s">
        <v>32</v>
      </c>
      <c r="B8" s="7" t="s">
        <v>33</v>
      </c>
      <c r="C8" s="8" t="s">
        <v>34</v>
      </c>
      <c r="D8" s="8"/>
    </row>
    <row r="9" spans="1:4" x14ac:dyDescent="0.25">
      <c r="A9" s="6" t="s">
        <v>35</v>
      </c>
      <c r="B9" s="7" t="s">
        <v>36</v>
      </c>
      <c r="C9" s="8" t="s">
        <v>37</v>
      </c>
      <c r="D9" s="8"/>
    </row>
    <row r="10" spans="1:4" x14ac:dyDescent="0.25">
      <c r="A10" s="6" t="s">
        <v>38</v>
      </c>
      <c r="B10" s="7" t="s">
        <v>39</v>
      </c>
      <c r="C10" s="8" t="s">
        <v>40</v>
      </c>
      <c r="D10" s="8"/>
    </row>
    <row r="11" spans="1:4" x14ac:dyDescent="0.25">
      <c r="A11" s="6" t="s">
        <v>41</v>
      </c>
      <c r="B11" s="7"/>
      <c r="C11" s="8" t="s">
        <v>42</v>
      </c>
      <c r="D11" s="8"/>
    </row>
    <row r="12" spans="1:4" x14ac:dyDescent="0.25">
      <c r="A12" s="6" t="s">
        <v>43</v>
      </c>
      <c r="B12" s="10">
        <f>IF(Fahrzeug="anderes Kfz (Motorrad, Moped)",0.2,0.3)</f>
      </c>
      <c r="C12" s="8" t="s">
        <v>44</v>
      </c>
      <c r="D12" s="8"/>
    </row>
    <row r="14" spans="1:1" x14ac:dyDescent="0.25">
      <c r="A14" s="11" t="s">
        <v>45</v>
      </c>
    </row>
    <row r="15" spans="1:4" x14ac:dyDescent="0.25">
      <c r="A15" s="12" t="s">
        <v>46</v>
      </c>
      <c r="B15" s="12" t="s">
        <v>36</v>
      </c>
      <c r="C15" s="12" t="s">
        <v>47</v>
      </c>
      <c r="D15" s="12" t="s">
        <v>48</v>
      </c>
    </row>
    <row r="16" spans="1:4" x14ac:dyDescent="0.25">
      <c r="A16" s="13" t="s">
        <v>49</v>
      </c>
      <c r="B16" s="14">
        <v>4664</v>
      </c>
      <c r="C16" s="14">
        <v>6664</v>
      </c>
      <c r="D16" s="15">
        <f>IF(Kontenrahmen="SKR 04",C16,B16)</f>
      </c>
    </row>
    <row r="17" spans="1:4" x14ac:dyDescent="0.25">
      <c r="A17" s="13" t="s">
        <v>50</v>
      </c>
      <c r="B17" s="14">
        <v>4666</v>
      </c>
      <c r="C17" s="14">
        <v>6660</v>
      </c>
      <c r="D17" s="15">
        <f>IF(Kontenrahmen="SKR 04",C17,B17)</f>
      </c>
    </row>
    <row r="18" spans="1:4" x14ac:dyDescent="0.25">
      <c r="A18" s="13" t="s">
        <v>51</v>
      </c>
      <c r="B18" s="14">
        <v>4663</v>
      </c>
      <c r="C18" s="14">
        <v>6663</v>
      </c>
      <c r="D18" s="15">
        <f>IF(Kontenrahmen="SKR 04",C18,B18)</f>
      </c>
    </row>
    <row r="19" spans="1:4" x14ac:dyDescent="0.25">
      <c r="A19" s="13" t="s">
        <v>52</v>
      </c>
      <c r="B19" s="14">
        <v>4668</v>
      </c>
      <c r="C19" s="14">
        <v>6668</v>
      </c>
      <c r="D19" s="15">
        <f>IF(Kontenrahmen="SKR 04",C19,B19)</f>
      </c>
    </row>
    <row r="20" spans="1:4" x14ac:dyDescent="0.25">
      <c r="A20" s="13" t="s">
        <v>53</v>
      </c>
      <c r="B20" s="14">
        <v>4660</v>
      </c>
      <c r="C20" s="14">
        <v>6650</v>
      </c>
      <c r="D20" s="15">
        <f>IF(Kontenrahmen="SKR 04",C20,B20)</f>
      </c>
    </row>
    <row r="21" spans="1:4" x14ac:dyDescent="0.25">
      <c r="A21" s="13" t="s">
        <v>54</v>
      </c>
      <c r="B21" s="14">
        <v>1571</v>
      </c>
      <c r="C21" s="14">
        <v>1401</v>
      </c>
      <c r="D21" s="15">
        <f>IF(Kontenrahmen="SKR 04",C21,B21)</f>
      </c>
    </row>
    <row r="22" spans="1:4" x14ac:dyDescent="0.25">
      <c r="A22" s="13" t="s">
        <v>55</v>
      </c>
      <c r="B22" s="14">
        <v>1576</v>
      </c>
      <c r="C22" s="14">
        <v>1406</v>
      </c>
      <c r="D22" s="15">
        <f>IF(Kontenrahmen="SKR 04",C22,B22)</f>
      </c>
    </row>
    <row r="24" spans="1:1" x14ac:dyDescent="0.25">
      <c r="A24" s="8" t="s">
        <v>56</v>
      </c>
    </row>
  </sheetData>
  <sheetProtection sheet="1" formatCells="0" formatColumns="0" formatRows="0"/>
  <mergeCells count="10">
    <mergeCell ref="C3:D3"/>
    <mergeCell ref="C4:D4"/>
    <mergeCell ref="C5:D5"/>
    <mergeCell ref="C6:D6"/>
    <mergeCell ref="C7:D7"/>
    <mergeCell ref="C8:D8"/>
    <mergeCell ref="C9:D9"/>
    <mergeCell ref="C10:D10"/>
    <mergeCell ref="C11:D11"/>
    <mergeCell ref="C12:D12"/>
  </mergeCells>
  <dataValidations count="5">
    <dataValidation type="list" allowBlank="1" showErrorMessage="1" errorTitle="Vorsteuer" error="Bitte aus der Liste wählen." sqref="B10">
      <formula1>"ja,nein"</formula1>
    </dataValidation>
    <dataValidation type="list" allowBlank="1" showErrorMessage="1" errorTitle="Übernachtung" error="Bitte aus der Liste wählen." sqref="B11">
      <formula1>"ja"</formula1>
    </dataValidation>
    <dataValidation type="whole" showErrorMessage="1" errorTitle="Jahr" error="Bitte ein Jahr zwischen 2000 und 2099 eintragen." sqref="B7">
      <formula1>2000</formula1>
      <formula2>2099</formula2>
    </dataValidation>
    <dataValidation type="list" allowBlank="1" showErrorMessage="1" errorTitle="Fahrzeug" error="Bitte aus der Liste wählen." sqref="B8">
      <formula1>"Pkw,anderes Kfz (Motorrad, Moped)"</formula1>
    </dataValidation>
    <dataValidation type="list" allowBlank="1" showErrorMessage="1" errorTitle="Kontenrahmen" error="Bitte aus der Liste wählen." sqref="B9">
      <formula1>"SKR 03,SKR 04"</formula1>
    </dataValidation>
  </dataValidations>
  <pageMargins left="0.7" right="0.7" top="0.75" bottom="0.75" header="0.3" footer="0.3"/>
  <pageSetup paperSize="9"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0"/>
  <sheetViews>
    <sheetView workbookViewId="0" showGridLines="0">
      <pane xSplit="2" ySplit="4" topLeftCell="C5" activePane="bottomRight" state="frozen"/>
      <selection pane="bottomRight"/>
    </sheetView>
  </sheetViews>
  <sheetFormatPr defaultRowHeight="15" outlineLevelRow="0" outlineLevelCol="0" x14ac:dyDescent="55"/>
  <cols>
    <col min="1" max="1" width="7" customWidth="1"/>
    <col min="2" max="2" width="4" customWidth="1"/>
    <col min="3" max="4" width="6.5" customWidth="1"/>
    <col min="5" max="5" width="10" customWidth="1"/>
    <col min="6" max="6" width="18" customWidth="1"/>
    <col min="7" max="7" width="24" customWidth="1"/>
    <col min="8" max="10" width="5.5" customWidth="1"/>
    <col min="11" max="11" width="8" customWidth="1"/>
    <col min="14" max="14" width="8.5" customWidth="1"/>
    <col min="15" max="15" width="10.5" customWidth="1"/>
    <col min="16" max="16" width="12" customWidth="1"/>
    <col min="17" max="17" width="10" customWidth="1"/>
    <col min="18" max="18" width="36" customWidth="1"/>
    <col min="19" max="19" width="9" hidden="1" customWidth="1"/>
    <col min="20" max="20" width="9" hidden="1" customWidth="1"/>
    <col min="21" max="21" width="9" hidden="1" customWidth="1"/>
    <col min="22" max="22" width="9" hidden="1" customWidth="1"/>
    <col min="23" max="23" width="9" hidden="1" customWidth="1"/>
    <col min="24" max="24" width="9" hidden="1" customWidth="1"/>
    <col min="25" max="25" width="9" hidden="1" customWidth="1"/>
    <col min="26" max="26" width="9" hidden="1" customWidth="1"/>
    <col min="27" max="27" width="9" hidden="1" customWidth="1"/>
    <col min="28" max="28" width="9" hidden="1" customWidth="1"/>
    <col min="29" max="29" width="9" hidden="1" customWidth="1"/>
    <col min="30" max="30" width="9" hidden="1" customWidth="1"/>
    <col min="31" max="31" width="9" hidden="1" customWidth="1"/>
    <col min="32" max="32" width="9" hidden="1" customWidth="1"/>
    <col min="33" max="33" width="9" hidden="1" customWidth="1"/>
    <col min="34" max="34" width="9" hidden="1" customWidth="1"/>
    <col min="35" max="35" width="9" hidden="1" customWidth="1"/>
    <col min="36" max="36" width="9" hidden="1" customWidth="1"/>
    <col min="37" max="37" width="9" hidden="1" customWidth="1"/>
    <col min="38" max="38" width="9" hidden="1" customWidth="1"/>
    <col min="39" max="39" width="9" hidden="1" customWidth="1"/>
    <col min="40" max="40" width="9" hidden="1" customWidth="1"/>
    <col min="41" max="41" width="9" hidden="1" customWidth="1"/>
    <col min="42" max="42" width="9" hidden="1" customWidth="1"/>
    <col min="43" max="43" width="9" hidden="1" customWidth="1"/>
    <col min="44" max="44" width="9" hidden="1" customWidth="1"/>
    <col min="45" max="45" width="9" hidden="1" customWidth="1"/>
    <col min="46" max="46" width="9" hidden="1" customWidth="1"/>
    <col min="47" max="47" width="9" hidden="1" customWidth="1"/>
  </cols>
  <sheetData>
    <row r="1" spans="1:1" x14ac:dyDescent="0.25">
      <c r="A1" s="5">
        <f>"Reisekostenabrechnung Januar "&amp;Jahr</f>
      </c>
    </row>
    <row r="2" spans="1:1" x14ac:dyDescent="0.25">
      <c r="A2" s="6">
        <f>"Name: "&amp;IF(MitarbeiterName="","…",MitarbeiterName)&amp;IF(Personalnummer="",""," · Personalnr. "&amp;Personalnummer)&amp;IF(Kostenstelle="",""," · "&amp;Kostenstelle)&amp;IF(Firma="",""," · "&amp;Firma)</f>
      </c>
    </row>
    <row r="3" spans="1:1" x14ac:dyDescent="0.25">
      <c r="A3" s="16">
        <f>IF(Jahr&lt;&gt;2026,"Die Pauschalen in dieser Datei gelten für 2026. ","")&amp;IF(MitarbeiterName="","Bitte in den Einstellungen den Namen eintragen.","")</f>
      </c>
    </row>
    <row r="4" ht="40" customHeight="1" spans="1:18" x14ac:dyDescent="0.25">
      <c r="A4" s="12" t="s">
        <v>57</v>
      </c>
      <c r="B4" s="12" t="s">
        <v>58</v>
      </c>
      <c r="C4" s="12" t="s">
        <v>59</v>
      </c>
      <c r="D4" s="12" t="s">
        <v>60</v>
      </c>
      <c r="E4" s="12" t="s">
        <v>61</v>
      </c>
      <c r="F4" s="12" t="s">
        <v>62</v>
      </c>
      <c r="G4" s="12" t="s">
        <v>63</v>
      </c>
      <c r="H4" s="12" t="s">
        <v>64</v>
      </c>
      <c r="I4" s="12" t="s">
        <v>65</v>
      </c>
      <c r="J4" s="12" t="s">
        <v>66</v>
      </c>
      <c r="K4" s="12" t="s">
        <v>67</v>
      </c>
      <c r="L4" s="12" t="s">
        <v>68</v>
      </c>
      <c r="M4" s="12" t="s">
        <v>69</v>
      </c>
      <c r="N4" s="12" t="s">
        <v>70</v>
      </c>
      <c r="O4" s="12" t="s">
        <v>71</v>
      </c>
      <c r="P4" s="12" t="s">
        <v>72</v>
      </c>
      <c r="Q4" s="12" t="s">
        <v>73</v>
      </c>
      <c r="R4" s="12" t="s">
        <v>74</v>
      </c>
    </row>
    <row r="5" spans="1:47" x14ac:dyDescent="0.25">
      <c r="A5" s="17">
        <f>IF(MONTH(DATE(Jahr,1,1))=1,DATE(Jahr,1,1),"")</f>
      </c>
      <c r="B5" s="13">
        <f>IF(A5="","",CHOOSE(WEEKDAY(A5,2),"Mo","Di","Mi","Do","Fr","Sa","So"))</f>
      </c>
      <c r="C5" s="18"/>
      <c r="D5" s="18"/>
      <c r="E5" s="7"/>
      <c r="F5" s="7"/>
      <c r="G5" s="7"/>
      <c r="H5" s="19"/>
      <c r="I5" s="19"/>
      <c r="J5" s="19"/>
      <c r="K5" s="9"/>
      <c r="L5" s="20">
        <f>IF(OR(AD5=0,AF5&lt;&gt;"",AND(W5=1,V5&gt;0,OR(T5=1,U5=1))),"",AE5/1440)</f>
      </c>
      <c r="M5" s="21">
        <f>IF(OR(AD5=0,AF5&lt;&gt;""),"",AJ5)</f>
      </c>
      <c r="N5" s="21">
        <f>IF(AK5=0,"",AK5)</f>
      </c>
      <c r="O5" s="21">
        <f>IF(OR(AD5=0,AF5&lt;&gt;""),"",AJ5-AK5)</f>
      </c>
      <c r="P5" s="21">
        <f>IF(AND(AD5=1,AF5="",V5=2),AI5,"")</f>
      </c>
      <c r="Q5" s="21">
        <f>IF(OR($A5="",N(K5)=0),"",ROUND(K5*KmSatz,2))</f>
      </c>
      <c r="R5" s="22">
        <f>IF(AF5&amp;AL5="","",LEFT(AF5&amp;AL5,LEN(AF5&amp;AL5)-2))</f>
      </c>
      <c r="S5" s="1"/>
      <c r="T5" s="1">
        <f>IF(AND($A5&lt;&gt;"",ISNUMBER(C5)),1,0)</f>
      </c>
      <c r="U5" s="1">
        <f>IF(AND($A5&lt;&gt;"",ISNUMBER(D5)),1,0)</f>
      </c>
      <c r="V5" s="1">
        <f>IF($A5="",0,IF(E5="ja",1,IF(E5="Pauschale",2,0)))</f>
      </c>
      <c r="W5" s="1">
        <f>IF($A5="",0,IF(AU5&gt;0,1,0))</f>
      </c>
      <c r="X5" s="1">
        <f>IF(AND(T5=1,W5=0),1,0)</f>
      </c>
      <c r="Y5" s="1">
        <f>IF(AND(AS5=1,AT5=0,AU5=0),1,0)</f>
      </c>
      <c r="Z5" s="1">
        <f>IF(AND(Y5=1,T5=0,U5=1,V5=0),1,0)</f>
      </c>
      <c r="AA5" s="1">
        <f>IF(AND(X5=1,U5=0,V5=0,AN5=0,AO5=1,AP5=0),1,0)</f>
      </c>
      <c r="AB5" s="1">
        <f>IF(OR(W5=1,Z5=1),0,IF(T5=1,C5,0))</f>
      </c>
      <c r="AC5" s="1">
        <f>IF(OR(V5&gt;0,AA5=1),1,IF(U5=1,D5,1))</f>
      </c>
      <c r="AD5" s="1">
        <f>IF($A5="",0,IF(OR(T5=1,U5=1,V5&gt;0,W5=1),1,0))</f>
      </c>
      <c r="AE5" s="1">
        <f>IF(AD5=0,0,ROUND((AC5-AB5)*1440,0))</f>
      </c>
      <c r="AF5" s="1">
        <f>IF(AD5=0,"",IF(AND(F5&lt;&gt;"",ISNA(MATCH(F5,PauschLand,0))),"Land nicht in der Liste; ","")&amp;IF(AND(T5=0,W5=0,Z5=0),"Beginn fehlt; ","")&amp;IF(AND(V5=0,U5=0,AA5=0),"Ende fehlt; ","")&amp;IF(AND(X5=1,U5=1,V5=0,N(D5)&lt;N(C5)),"Ende vor Beginn (über Mitternacht: Ende in die Zeile des Folgetags); ",""))</f>
      </c>
      <c r="AG5" s="1">
        <f>IF(AD5=0,0,IFERROR(VLOOKUP(IF(F5="","Deutschland",F5),PauschTab,2,FALSE),0))</f>
      </c>
      <c r="AH5" s="1">
        <f>IF(AD5=0,0,IFERROR(VLOOKUP(IF(F5="","Deutschland",F5),PauschTab,3,FALSE),0))</f>
      </c>
      <c r="AI5" s="1">
        <f>IF(AD5=0,0,IFERROR(VLOOKUP(IF(F5="","Deutschland",F5),PauschTab,4,FALSE),0))</f>
      </c>
      <c r="AJ5" s="1">
        <f>IF(OR(AD5=0,AF5&lt;&gt;""),0,IF(AND(W5=1,V5&gt;0),IF(OR(T5=1,U5=1),AH5,AG5),IF(OR(W5=1,V5&gt;0),AH5,IF(AA5=1,IF(AND(AE5+AQ5&gt;480,AE5&gt;=AQ5),AH5,0),IF(Z5=1,IF(AND(AR5+AE5&gt;480,AE5&gt;AR5),AH5,0),IF(AE5&gt;480,AH5,0))))))</f>
      </c>
      <c r="AK5" s="1">
        <f>MIN(AJ5,AM5)</f>
      </c>
      <c r="AL5" s="1">
        <f>IF(OR(AD5=0,AF5&lt;&gt;""),"",IF(AND(W5=0,V5=0,AA5=0,Z5=0,AE5&lt;=480),"nicht mehr als 8 Std.; ","")&amp;IF(AA5=1,IF(AJ5&gt;0,"über Mitternacht, zusammen "&amp;TEXT((AE5+AQ5)/1440,"[h]:mm")&amp;" Std.; ",IF(AE5+AQ5&gt;480,"über Mitternacht: Pauschale am Folgetag; ","über Mitternacht, zusammen nicht mehr als 8 Std.; ")),"")&amp;IF(Z5=1,IF(AJ5&gt;0,"über Mitternacht, zusammen "&amp;TEXT((AR5+AE5)/1440,"[h]:mm")&amp;" Std.; ",IF(AR5+AE5&gt;480,"über Mitternacht: Pauschale am Vortag; ","über Mitternacht, zusammen nicht mehr als 8 Std.; ")),"")&amp;IF(AND(W5=1,V5&gt;0,OR(T5=1,U5=1)),"zwischendurch zu Hause: An- und Abreisetag; ","")&amp;IF(AND(W5=1,V5=0,T5=1),"Beginn leer lassen: unterwegs seit dem Vortag; ","")&amp;IF(AND(W5=0,V5&gt;0,U5=1),"Ende leer lassen: Übernachtung; ","")&amp;IF(AND(AJ5&gt;0,AM5&gt;AJ5),"Kürzung auf die Pauschale begrenzt; ",""))</f>
      </c>
      <c r="AM5" s="1">
        <f>ROUND(AG5*(IF(H5&lt;&gt;"",0.2,0)+IF(I5&lt;&gt;"",0.4,0)+IF(J5&lt;&gt;"",0.4,0)),2)</f>
      </c>
      <c r="AN5" s="1">
        <f>IF($A6="",'Februar'!$T$5,T6)</f>
      </c>
      <c r="AO5" s="1">
        <f>IF($A6="",'Februar'!$U$5,U6)</f>
      </c>
      <c r="AP5" s="1">
        <f>IF($A6="",'Februar'!$V$5,V6)</f>
      </c>
      <c r="AQ5" s="1">
        <f>IF($A6="",'Februar'!$AE$5,AE6)</f>
      </c>
      <c r="AR5" s="1">
        <f>0</f>
      </c>
      <c r="AS5" s="1">
        <f>0</f>
      </c>
      <c r="AT5" s="1">
        <f>0</f>
      </c>
      <c r="AU5" s="1">
        <f>IF(UebernachtungVorjahr="ja",1,0)</f>
      </c>
    </row>
    <row r="6" spans="1:47" x14ac:dyDescent="0.25">
      <c r="A6" s="17">
        <f>IF(MONTH(DATE(Jahr,1,2))=1,DATE(Jahr,1,2),"")</f>
      </c>
      <c r="B6" s="13">
        <f>IF(A6="","",CHOOSE(WEEKDAY(A6,2),"Mo","Di","Mi","Do","Fr","Sa","So"))</f>
      </c>
      <c r="C6" s="18"/>
      <c r="D6" s="18"/>
      <c r="E6" s="7"/>
      <c r="F6" s="7"/>
      <c r="G6" s="7"/>
      <c r="H6" s="19"/>
      <c r="I6" s="19"/>
      <c r="J6" s="19"/>
      <c r="K6" s="9"/>
      <c r="L6" s="20">
        <f>IF(OR(AD6=0,AF6&lt;&gt;"",AND(W6=1,V6&gt;0,OR(T6=1,U6=1))),"",AE6/1440)</f>
      </c>
      <c r="M6" s="21">
        <f>IF(OR(AD6=0,AF6&lt;&gt;""),"",AJ6)</f>
      </c>
      <c r="N6" s="21">
        <f>IF(AK6=0,"",AK6)</f>
      </c>
      <c r="O6" s="21">
        <f>IF(OR(AD6=0,AF6&lt;&gt;""),"",AJ6-AK6)</f>
      </c>
      <c r="P6" s="21">
        <f>IF(AND(AD6=1,AF6="",V6=2),AI6,"")</f>
      </c>
      <c r="Q6" s="21">
        <f>IF(OR($A6="",N(K6)=0),"",ROUND(K6*KmSatz,2))</f>
      </c>
      <c r="R6" s="22">
        <f>IF(AF6&amp;AL6="","",LEFT(AF6&amp;AL6,LEN(AF6&amp;AL6)-2))</f>
      </c>
      <c r="S6" s="1"/>
      <c r="T6" s="1">
        <f>IF(AND($A6&lt;&gt;"",ISNUMBER(C6)),1,0)</f>
      </c>
      <c r="U6" s="1">
        <f>IF(AND($A6&lt;&gt;"",ISNUMBER(D6)),1,0)</f>
      </c>
      <c r="V6" s="1">
        <f>IF($A6="",0,IF(E6="ja",1,IF(E6="Pauschale",2,0)))</f>
      </c>
      <c r="W6" s="1">
        <f>IF($A6="",0,IF(AU6&gt;0,1,0))</f>
      </c>
      <c r="X6" s="1">
        <f>IF(AND(T6=1,W6=0),1,0)</f>
      </c>
      <c r="Y6" s="1">
        <f>IF(AND(AS6=1,AT6=0,AU6=0),1,0)</f>
      </c>
      <c r="Z6" s="1">
        <f>IF(AND(Y6=1,T6=0,U6=1,V6=0),1,0)</f>
      </c>
      <c r="AA6" s="1">
        <f>IF(AND(X6=1,U6=0,V6=0,AN6=0,AO6=1,AP6=0),1,0)</f>
      </c>
      <c r="AB6" s="1">
        <f>IF(OR(W6=1,Z6=1),0,IF(T6=1,C6,0))</f>
      </c>
      <c r="AC6" s="1">
        <f>IF(OR(V6&gt;0,AA6=1),1,IF(U6=1,D6,1))</f>
      </c>
      <c r="AD6" s="1">
        <f>IF($A6="",0,IF(OR(T6=1,U6=1,V6&gt;0,W6=1),1,0))</f>
      </c>
      <c r="AE6" s="1">
        <f>IF(AD6=0,0,ROUND((AC6-AB6)*1440,0))</f>
      </c>
      <c r="AF6" s="1">
        <f>IF(AD6=0,"",IF(AND(F6&lt;&gt;"",ISNA(MATCH(F6,PauschLand,0))),"Land nicht in der Liste; ","")&amp;IF(AND(T6=0,W6=0,Z6=0),"Beginn fehlt; ","")&amp;IF(AND(V6=0,U6=0,AA6=0),"Ende fehlt; ","")&amp;IF(AND(X6=1,U6=1,V6=0,N(D6)&lt;N(C6)),"Ende vor Beginn (über Mitternacht: Ende in die Zeile des Folgetags); ",""))</f>
      </c>
      <c r="AG6" s="1">
        <f>IF(AD6=0,0,IFERROR(VLOOKUP(IF(F6="","Deutschland",F6),PauschTab,2,FALSE),0))</f>
      </c>
      <c r="AH6" s="1">
        <f>IF(AD6=0,0,IFERROR(VLOOKUP(IF(F6="","Deutschland",F6),PauschTab,3,FALSE),0))</f>
      </c>
      <c r="AI6" s="1">
        <f>IF(AD6=0,0,IFERROR(VLOOKUP(IF(F6="","Deutschland",F6),PauschTab,4,FALSE),0))</f>
      </c>
      <c r="AJ6" s="1">
        <f>IF(OR(AD6=0,AF6&lt;&gt;""),0,IF(AND(W6=1,V6&gt;0),IF(OR(T6=1,U6=1),AH6,AG6),IF(OR(W6=1,V6&gt;0),AH6,IF(AA6=1,IF(AND(AE6+AQ6&gt;480,AE6&gt;=AQ6),AH6,0),IF(Z6=1,IF(AND(AR6+AE6&gt;480,AE6&gt;AR6),AH6,0),IF(AE6&gt;480,AH6,0))))))</f>
      </c>
      <c r="AK6" s="1">
        <f>MIN(AJ6,AM6)</f>
      </c>
      <c r="AL6" s="1">
        <f>IF(OR(AD6=0,AF6&lt;&gt;""),"",IF(AND(W6=0,V6=0,AA6=0,Z6=0,AE6&lt;=480),"nicht mehr als 8 Std.; ","")&amp;IF(AA6=1,IF(AJ6&gt;0,"über Mitternacht, zusammen "&amp;TEXT((AE6+AQ6)/1440,"[h]:mm")&amp;" Std.; ",IF(AE6+AQ6&gt;480,"über Mitternacht: Pauschale am Folgetag; ","über Mitternacht, zusammen nicht mehr als 8 Std.; ")),"")&amp;IF(Z6=1,IF(AJ6&gt;0,"über Mitternacht, zusammen "&amp;TEXT((AR6+AE6)/1440,"[h]:mm")&amp;" Std.; ",IF(AR6+AE6&gt;480,"über Mitternacht: Pauschale am Vortag; ","über Mitternacht, zusammen nicht mehr als 8 Std.; ")),"")&amp;IF(AND(W6=1,V6&gt;0,OR(T6=1,U6=1)),"zwischendurch zu Hause: An- und Abreisetag; ","")&amp;IF(AND(W6=1,V6=0,T6=1),"Beginn leer lassen: unterwegs seit dem Vortag; ","")&amp;IF(AND(W6=0,V6&gt;0,U6=1),"Ende leer lassen: Übernachtung; ","")&amp;IF(AND(AJ6&gt;0,AM6&gt;AJ6),"Kürzung auf die Pauschale begrenzt; ",""))</f>
      </c>
      <c r="AM6" s="1">
        <f>ROUND(AG6*(IF(H6&lt;&gt;"",0.2,0)+IF(I6&lt;&gt;"",0.4,0)+IF(J6&lt;&gt;"",0.4,0)),2)</f>
      </c>
      <c r="AN6" s="1">
        <f>IF($A7="",'Februar'!$T$5,T7)</f>
      </c>
      <c r="AO6" s="1">
        <f>IF($A7="",'Februar'!$U$5,U7)</f>
      </c>
      <c r="AP6" s="1">
        <f>IF($A7="",'Februar'!$V$5,V7)</f>
      </c>
      <c r="AQ6" s="1">
        <f>IF($A7="",'Februar'!$AE$5,AE7)</f>
      </c>
      <c r="AR6" s="1">
        <f>AE5</f>
      </c>
      <c r="AS6" s="1">
        <f>X5</f>
      </c>
      <c r="AT6" s="1">
        <f>U5</f>
      </c>
      <c r="AU6" s="1">
        <f>V5</f>
      </c>
    </row>
    <row r="7" spans="1:47" x14ac:dyDescent="0.25">
      <c r="A7" s="17">
        <f>IF(MONTH(DATE(Jahr,1,3))=1,DATE(Jahr,1,3),"")</f>
      </c>
      <c r="B7" s="13">
        <f>IF(A7="","",CHOOSE(WEEKDAY(A7,2),"Mo","Di","Mi","Do","Fr","Sa","So"))</f>
      </c>
      <c r="C7" s="18"/>
      <c r="D7" s="18"/>
      <c r="E7" s="7"/>
      <c r="F7" s="7"/>
      <c r="G7" s="7"/>
      <c r="H7" s="19"/>
      <c r="I7" s="19"/>
      <c r="J7" s="19"/>
      <c r="K7" s="9"/>
      <c r="L7" s="20">
        <f>IF(OR(AD7=0,AF7&lt;&gt;"",AND(W7=1,V7&gt;0,OR(T7=1,U7=1))),"",AE7/1440)</f>
      </c>
      <c r="M7" s="21">
        <f>IF(OR(AD7=0,AF7&lt;&gt;""),"",AJ7)</f>
      </c>
      <c r="N7" s="21">
        <f>IF(AK7=0,"",AK7)</f>
      </c>
      <c r="O7" s="21">
        <f>IF(OR(AD7=0,AF7&lt;&gt;""),"",AJ7-AK7)</f>
      </c>
      <c r="P7" s="21">
        <f>IF(AND(AD7=1,AF7="",V7=2),AI7,"")</f>
      </c>
      <c r="Q7" s="21">
        <f>IF(OR($A7="",N(K7)=0),"",ROUND(K7*KmSatz,2))</f>
      </c>
      <c r="R7" s="22">
        <f>IF(AF7&amp;AL7="","",LEFT(AF7&amp;AL7,LEN(AF7&amp;AL7)-2))</f>
      </c>
      <c r="S7" s="1"/>
      <c r="T7" s="1">
        <f>IF(AND($A7&lt;&gt;"",ISNUMBER(C7)),1,0)</f>
      </c>
      <c r="U7" s="1">
        <f>IF(AND($A7&lt;&gt;"",ISNUMBER(D7)),1,0)</f>
      </c>
      <c r="V7" s="1">
        <f>IF($A7="",0,IF(E7="ja",1,IF(E7="Pauschale",2,0)))</f>
      </c>
      <c r="W7" s="1">
        <f>IF($A7="",0,IF(AU7&gt;0,1,0))</f>
      </c>
      <c r="X7" s="1">
        <f>IF(AND(T7=1,W7=0),1,0)</f>
      </c>
      <c r="Y7" s="1">
        <f>IF(AND(AS7=1,AT7=0,AU7=0),1,0)</f>
      </c>
      <c r="Z7" s="1">
        <f>IF(AND(Y7=1,T7=0,U7=1,V7=0),1,0)</f>
      </c>
      <c r="AA7" s="1">
        <f>IF(AND(X7=1,U7=0,V7=0,AN7=0,AO7=1,AP7=0),1,0)</f>
      </c>
      <c r="AB7" s="1">
        <f>IF(OR(W7=1,Z7=1),0,IF(T7=1,C7,0))</f>
      </c>
      <c r="AC7" s="1">
        <f>IF(OR(V7&gt;0,AA7=1),1,IF(U7=1,D7,1))</f>
      </c>
      <c r="AD7" s="1">
        <f>IF($A7="",0,IF(OR(T7=1,U7=1,V7&gt;0,W7=1),1,0))</f>
      </c>
      <c r="AE7" s="1">
        <f>IF(AD7=0,0,ROUND((AC7-AB7)*1440,0))</f>
      </c>
      <c r="AF7" s="1">
        <f>IF(AD7=0,"",IF(AND(F7&lt;&gt;"",ISNA(MATCH(F7,PauschLand,0))),"Land nicht in der Liste; ","")&amp;IF(AND(T7=0,W7=0,Z7=0),"Beginn fehlt; ","")&amp;IF(AND(V7=0,U7=0,AA7=0),"Ende fehlt; ","")&amp;IF(AND(X7=1,U7=1,V7=0,N(D7)&lt;N(C7)),"Ende vor Beginn (über Mitternacht: Ende in die Zeile des Folgetags); ",""))</f>
      </c>
      <c r="AG7" s="1">
        <f>IF(AD7=0,0,IFERROR(VLOOKUP(IF(F7="","Deutschland",F7),PauschTab,2,FALSE),0))</f>
      </c>
      <c r="AH7" s="1">
        <f>IF(AD7=0,0,IFERROR(VLOOKUP(IF(F7="","Deutschland",F7),PauschTab,3,FALSE),0))</f>
      </c>
      <c r="AI7" s="1">
        <f>IF(AD7=0,0,IFERROR(VLOOKUP(IF(F7="","Deutschland",F7),PauschTab,4,FALSE),0))</f>
      </c>
      <c r="AJ7" s="1">
        <f>IF(OR(AD7=0,AF7&lt;&gt;""),0,IF(AND(W7=1,V7&gt;0),IF(OR(T7=1,U7=1),AH7,AG7),IF(OR(W7=1,V7&gt;0),AH7,IF(AA7=1,IF(AND(AE7+AQ7&gt;480,AE7&gt;=AQ7),AH7,0),IF(Z7=1,IF(AND(AR7+AE7&gt;480,AE7&gt;AR7),AH7,0),IF(AE7&gt;480,AH7,0))))))</f>
      </c>
      <c r="AK7" s="1">
        <f>MIN(AJ7,AM7)</f>
      </c>
      <c r="AL7" s="1">
        <f>IF(OR(AD7=0,AF7&lt;&gt;""),"",IF(AND(W7=0,V7=0,AA7=0,Z7=0,AE7&lt;=480),"nicht mehr als 8 Std.; ","")&amp;IF(AA7=1,IF(AJ7&gt;0,"über Mitternacht, zusammen "&amp;TEXT((AE7+AQ7)/1440,"[h]:mm")&amp;" Std.; ",IF(AE7+AQ7&gt;480,"über Mitternacht: Pauschale am Folgetag; ","über Mitternacht, zusammen nicht mehr als 8 Std.; ")),"")&amp;IF(Z7=1,IF(AJ7&gt;0,"über Mitternacht, zusammen "&amp;TEXT((AR7+AE7)/1440,"[h]:mm")&amp;" Std.; ",IF(AR7+AE7&gt;480,"über Mitternacht: Pauschale am Vortag; ","über Mitternacht, zusammen nicht mehr als 8 Std.; ")),"")&amp;IF(AND(W7=1,V7&gt;0,OR(T7=1,U7=1)),"zwischendurch zu Hause: An- und Abreisetag; ","")&amp;IF(AND(W7=1,V7=0,T7=1),"Beginn leer lassen: unterwegs seit dem Vortag; ","")&amp;IF(AND(W7=0,V7&gt;0,U7=1),"Ende leer lassen: Übernachtung; ","")&amp;IF(AND(AJ7&gt;0,AM7&gt;AJ7),"Kürzung auf die Pauschale begrenzt; ",""))</f>
      </c>
      <c r="AM7" s="1">
        <f>ROUND(AG7*(IF(H7&lt;&gt;"",0.2,0)+IF(I7&lt;&gt;"",0.4,0)+IF(J7&lt;&gt;"",0.4,0)),2)</f>
      </c>
      <c r="AN7" s="1">
        <f>IF($A8="",'Februar'!$T$5,T8)</f>
      </c>
      <c r="AO7" s="1">
        <f>IF($A8="",'Februar'!$U$5,U8)</f>
      </c>
      <c r="AP7" s="1">
        <f>IF($A8="",'Februar'!$V$5,V8)</f>
      </c>
      <c r="AQ7" s="1">
        <f>IF($A8="",'Februar'!$AE$5,AE8)</f>
      </c>
      <c r="AR7" s="1">
        <f>AE6</f>
      </c>
      <c r="AS7" s="1">
        <f>X6</f>
      </c>
      <c r="AT7" s="1">
        <f>U6</f>
      </c>
      <c r="AU7" s="1">
        <f>V6</f>
      </c>
    </row>
    <row r="8" spans="1:47" x14ac:dyDescent="0.25">
      <c r="A8" s="17">
        <f>IF(MONTH(DATE(Jahr,1,4))=1,DATE(Jahr,1,4),"")</f>
      </c>
      <c r="B8" s="13">
        <f>IF(A8="","",CHOOSE(WEEKDAY(A8,2),"Mo","Di","Mi","Do","Fr","Sa","So"))</f>
      </c>
      <c r="C8" s="18"/>
      <c r="D8" s="18"/>
      <c r="E8" s="7"/>
      <c r="F8" s="7"/>
      <c r="G8" s="7"/>
      <c r="H8" s="19"/>
      <c r="I8" s="19"/>
      <c r="J8" s="19"/>
      <c r="K8" s="9"/>
      <c r="L8" s="20">
        <f>IF(OR(AD8=0,AF8&lt;&gt;"",AND(W8=1,V8&gt;0,OR(T8=1,U8=1))),"",AE8/1440)</f>
      </c>
      <c r="M8" s="21">
        <f>IF(OR(AD8=0,AF8&lt;&gt;""),"",AJ8)</f>
      </c>
      <c r="N8" s="21">
        <f>IF(AK8=0,"",AK8)</f>
      </c>
      <c r="O8" s="21">
        <f>IF(OR(AD8=0,AF8&lt;&gt;""),"",AJ8-AK8)</f>
      </c>
      <c r="P8" s="21">
        <f>IF(AND(AD8=1,AF8="",V8=2),AI8,"")</f>
      </c>
      <c r="Q8" s="21">
        <f>IF(OR($A8="",N(K8)=0),"",ROUND(K8*KmSatz,2))</f>
      </c>
      <c r="R8" s="22">
        <f>IF(AF8&amp;AL8="","",LEFT(AF8&amp;AL8,LEN(AF8&amp;AL8)-2))</f>
      </c>
      <c r="S8" s="1"/>
      <c r="T8" s="1">
        <f>IF(AND($A8&lt;&gt;"",ISNUMBER(C8)),1,0)</f>
      </c>
      <c r="U8" s="1">
        <f>IF(AND($A8&lt;&gt;"",ISNUMBER(D8)),1,0)</f>
      </c>
      <c r="V8" s="1">
        <f>IF($A8="",0,IF(E8="ja",1,IF(E8="Pauschale",2,0)))</f>
      </c>
      <c r="W8" s="1">
        <f>IF($A8="",0,IF(AU8&gt;0,1,0))</f>
      </c>
      <c r="X8" s="1">
        <f>IF(AND(T8=1,W8=0),1,0)</f>
      </c>
      <c r="Y8" s="1">
        <f>IF(AND(AS8=1,AT8=0,AU8=0),1,0)</f>
      </c>
      <c r="Z8" s="1">
        <f>IF(AND(Y8=1,T8=0,U8=1,V8=0),1,0)</f>
      </c>
      <c r="AA8" s="1">
        <f>IF(AND(X8=1,U8=0,V8=0,AN8=0,AO8=1,AP8=0),1,0)</f>
      </c>
      <c r="AB8" s="1">
        <f>IF(OR(W8=1,Z8=1),0,IF(T8=1,C8,0))</f>
      </c>
      <c r="AC8" s="1">
        <f>IF(OR(V8&gt;0,AA8=1),1,IF(U8=1,D8,1))</f>
      </c>
      <c r="AD8" s="1">
        <f>IF($A8="",0,IF(OR(T8=1,U8=1,V8&gt;0,W8=1),1,0))</f>
      </c>
      <c r="AE8" s="1">
        <f>IF(AD8=0,0,ROUND((AC8-AB8)*1440,0))</f>
      </c>
      <c r="AF8" s="1">
        <f>IF(AD8=0,"",IF(AND(F8&lt;&gt;"",ISNA(MATCH(F8,PauschLand,0))),"Land nicht in der Liste; ","")&amp;IF(AND(T8=0,W8=0,Z8=0),"Beginn fehlt; ","")&amp;IF(AND(V8=0,U8=0,AA8=0),"Ende fehlt; ","")&amp;IF(AND(X8=1,U8=1,V8=0,N(D8)&lt;N(C8)),"Ende vor Beginn (über Mitternacht: Ende in die Zeile des Folgetags); ",""))</f>
      </c>
      <c r="AG8" s="1">
        <f>IF(AD8=0,0,IFERROR(VLOOKUP(IF(F8="","Deutschland",F8),PauschTab,2,FALSE),0))</f>
      </c>
      <c r="AH8" s="1">
        <f>IF(AD8=0,0,IFERROR(VLOOKUP(IF(F8="","Deutschland",F8),PauschTab,3,FALSE),0))</f>
      </c>
      <c r="AI8" s="1">
        <f>IF(AD8=0,0,IFERROR(VLOOKUP(IF(F8="","Deutschland",F8),PauschTab,4,FALSE),0))</f>
      </c>
      <c r="AJ8" s="1">
        <f>IF(OR(AD8=0,AF8&lt;&gt;""),0,IF(AND(W8=1,V8&gt;0),IF(OR(T8=1,U8=1),AH8,AG8),IF(OR(W8=1,V8&gt;0),AH8,IF(AA8=1,IF(AND(AE8+AQ8&gt;480,AE8&gt;=AQ8),AH8,0),IF(Z8=1,IF(AND(AR8+AE8&gt;480,AE8&gt;AR8),AH8,0),IF(AE8&gt;480,AH8,0))))))</f>
      </c>
      <c r="AK8" s="1">
        <f>MIN(AJ8,AM8)</f>
      </c>
      <c r="AL8" s="1">
        <f>IF(OR(AD8=0,AF8&lt;&gt;""),"",IF(AND(W8=0,V8=0,AA8=0,Z8=0,AE8&lt;=480),"nicht mehr als 8 Std.; ","")&amp;IF(AA8=1,IF(AJ8&gt;0,"über Mitternacht, zusammen "&amp;TEXT((AE8+AQ8)/1440,"[h]:mm")&amp;" Std.; ",IF(AE8+AQ8&gt;480,"über Mitternacht: Pauschale am Folgetag; ","über Mitternacht, zusammen nicht mehr als 8 Std.; ")),"")&amp;IF(Z8=1,IF(AJ8&gt;0,"über Mitternacht, zusammen "&amp;TEXT((AR8+AE8)/1440,"[h]:mm")&amp;" Std.; ",IF(AR8+AE8&gt;480,"über Mitternacht: Pauschale am Vortag; ","über Mitternacht, zusammen nicht mehr als 8 Std.; ")),"")&amp;IF(AND(W8=1,V8&gt;0,OR(T8=1,U8=1)),"zwischendurch zu Hause: An- und Abreisetag; ","")&amp;IF(AND(W8=1,V8=0,T8=1),"Beginn leer lassen: unterwegs seit dem Vortag; ","")&amp;IF(AND(W8=0,V8&gt;0,U8=1),"Ende leer lassen: Übernachtung; ","")&amp;IF(AND(AJ8&gt;0,AM8&gt;AJ8),"Kürzung auf die Pauschale begrenzt; ",""))</f>
      </c>
      <c r="AM8" s="1">
        <f>ROUND(AG8*(IF(H8&lt;&gt;"",0.2,0)+IF(I8&lt;&gt;"",0.4,0)+IF(J8&lt;&gt;"",0.4,0)),2)</f>
      </c>
      <c r="AN8" s="1">
        <f>IF($A9="",'Februar'!$T$5,T9)</f>
      </c>
      <c r="AO8" s="1">
        <f>IF($A9="",'Februar'!$U$5,U9)</f>
      </c>
      <c r="AP8" s="1">
        <f>IF($A9="",'Februar'!$V$5,V9)</f>
      </c>
      <c r="AQ8" s="1">
        <f>IF($A9="",'Februar'!$AE$5,AE9)</f>
      </c>
      <c r="AR8" s="1">
        <f>AE7</f>
      </c>
      <c r="AS8" s="1">
        <f>X7</f>
      </c>
      <c r="AT8" s="1">
        <f>U7</f>
      </c>
      <c r="AU8" s="1">
        <f>V7</f>
      </c>
    </row>
    <row r="9" spans="1:47" x14ac:dyDescent="0.25">
      <c r="A9" s="17">
        <f>IF(MONTH(DATE(Jahr,1,5))=1,DATE(Jahr,1,5),"")</f>
      </c>
      <c r="B9" s="13">
        <f>IF(A9="","",CHOOSE(WEEKDAY(A9,2),"Mo","Di","Mi","Do","Fr","Sa","So"))</f>
      </c>
      <c r="C9" s="18"/>
      <c r="D9" s="18"/>
      <c r="E9" s="7"/>
      <c r="F9" s="7"/>
      <c r="G9" s="7"/>
      <c r="H9" s="19"/>
      <c r="I9" s="19"/>
      <c r="J9" s="19"/>
      <c r="K9" s="9"/>
      <c r="L9" s="20">
        <f>IF(OR(AD9=0,AF9&lt;&gt;"",AND(W9=1,V9&gt;0,OR(T9=1,U9=1))),"",AE9/1440)</f>
      </c>
      <c r="M9" s="21">
        <f>IF(OR(AD9=0,AF9&lt;&gt;""),"",AJ9)</f>
      </c>
      <c r="N9" s="21">
        <f>IF(AK9=0,"",AK9)</f>
      </c>
      <c r="O9" s="21">
        <f>IF(OR(AD9=0,AF9&lt;&gt;""),"",AJ9-AK9)</f>
      </c>
      <c r="P9" s="21">
        <f>IF(AND(AD9=1,AF9="",V9=2),AI9,"")</f>
      </c>
      <c r="Q9" s="21">
        <f>IF(OR($A9="",N(K9)=0),"",ROUND(K9*KmSatz,2))</f>
      </c>
      <c r="R9" s="22">
        <f>IF(AF9&amp;AL9="","",LEFT(AF9&amp;AL9,LEN(AF9&amp;AL9)-2))</f>
      </c>
      <c r="S9" s="1"/>
      <c r="T9" s="1">
        <f>IF(AND($A9&lt;&gt;"",ISNUMBER(C9)),1,0)</f>
      </c>
      <c r="U9" s="1">
        <f>IF(AND($A9&lt;&gt;"",ISNUMBER(D9)),1,0)</f>
      </c>
      <c r="V9" s="1">
        <f>IF($A9="",0,IF(E9="ja",1,IF(E9="Pauschale",2,0)))</f>
      </c>
      <c r="W9" s="1">
        <f>IF($A9="",0,IF(AU9&gt;0,1,0))</f>
      </c>
      <c r="X9" s="1">
        <f>IF(AND(T9=1,W9=0),1,0)</f>
      </c>
      <c r="Y9" s="1">
        <f>IF(AND(AS9=1,AT9=0,AU9=0),1,0)</f>
      </c>
      <c r="Z9" s="1">
        <f>IF(AND(Y9=1,T9=0,U9=1,V9=0),1,0)</f>
      </c>
      <c r="AA9" s="1">
        <f>IF(AND(X9=1,U9=0,V9=0,AN9=0,AO9=1,AP9=0),1,0)</f>
      </c>
      <c r="AB9" s="1">
        <f>IF(OR(W9=1,Z9=1),0,IF(T9=1,C9,0))</f>
      </c>
      <c r="AC9" s="1">
        <f>IF(OR(V9&gt;0,AA9=1),1,IF(U9=1,D9,1))</f>
      </c>
      <c r="AD9" s="1">
        <f>IF($A9="",0,IF(OR(T9=1,U9=1,V9&gt;0,W9=1),1,0))</f>
      </c>
      <c r="AE9" s="1">
        <f>IF(AD9=0,0,ROUND((AC9-AB9)*1440,0))</f>
      </c>
      <c r="AF9" s="1">
        <f>IF(AD9=0,"",IF(AND(F9&lt;&gt;"",ISNA(MATCH(F9,PauschLand,0))),"Land nicht in der Liste; ","")&amp;IF(AND(T9=0,W9=0,Z9=0),"Beginn fehlt; ","")&amp;IF(AND(V9=0,U9=0,AA9=0),"Ende fehlt; ","")&amp;IF(AND(X9=1,U9=1,V9=0,N(D9)&lt;N(C9)),"Ende vor Beginn (über Mitternacht: Ende in die Zeile des Folgetags); ",""))</f>
      </c>
      <c r="AG9" s="1">
        <f>IF(AD9=0,0,IFERROR(VLOOKUP(IF(F9="","Deutschland",F9),PauschTab,2,FALSE),0))</f>
      </c>
      <c r="AH9" s="1">
        <f>IF(AD9=0,0,IFERROR(VLOOKUP(IF(F9="","Deutschland",F9),PauschTab,3,FALSE),0))</f>
      </c>
      <c r="AI9" s="1">
        <f>IF(AD9=0,0,IFERROR(VLOOKUP(IF(F9="","Deutschland",F9),PauschTab,4,FALSE),0))</f>
      </c>
      <c r="AJ9" s="1">
        <f>IF(OR(AD9=0,AF9&lt;&gt;""),0,IF(AND(W9=1,V9&gt;0),IF(OR(T9=1,U9=1),AH9,AG9),IF(OR(W9=1,V9&gt;0),AH9,IF(AA9=1,IF(AND(AE9+AQ9&gt;480,AE9&gt;=AQ9),AH9,0),IF(Z9=1,IF(AND(AR9+AE9&gt;480,AE9&gt;AR9),AH9,0),IF(AE9&gt;480,AH9,0))))))</f>
      </c>
      <c r="AK9" s="1">
        <f>MIN(AJ9,AM9)</f>
      </c>
      <c r="AL9" s="1">
        <f>IF(OR(AD9=0,AF9&lt;&gt;""),"",IF(AND(W9=0,V9=0,AA9=0,Z9=0,AE9&lt;=480),"nicht mehr als 8 Std.; ","")&amp;IF(AA9=1,IF(AJ9&gt;0,"über Mitternacht, zusammen "&amp;TEXT((AE9+AQ9)/1440,"[h]:mm")&amp;" Std.; ",IF(AE9+AQ9&gt;480,"über Mitternacht: Pauschale am Folgetag; ","über Mitternacht, zusammen nicht mehr als 8 Std.; ")),"")&amp;IF(Z9=1,IF(AJ9&gt;0,"über Mitternacht, zusammen "&amp;TEXT((AR9+AE9)/1440,"[h]:mm")&amp;" Std.; ",IF(AR9+AE9&gt;480,"über Mitternacht: Pauschale am Vortag; ","über Mitternacht, zusammen nicht mehr als 8 Std.; ")),"")&amp;IF(AND(W9=1,V9&gt;0,OR(T9=1,U9=1)),"zwischendurch zu Hause: An- und Abreisetag; ","")&amp;IF(AND(W9=1,V9=0,T9=1),"Beginn leer lassen: unterwegs seit dem Vortag; ","")&amp;IF(AND(W9=0,V9&gt;0,U9=1),"Ende leer lassen: Übernachtung; ","")&amp;IF(AND(AJ9&gt;0,AM9&gt;AJ9),"Kürzung auf die Pauschale begrenzt; ",""))</f>
      </c>
      <c r="AM9" s="1">
        <f>ROUND(AG9*(IF(H9&lt;&gt;"",0.2,0)+IF(I9&lt;&gt;"",0.4,0)+IF(J9&lt;&gt;"",0.4,0)),2)</f>
      </c>
      <c r="AN9" s="1">
        <f>IF($A10="",'Februar'!$T$5,T10)</f>
      </c>
      <c r="AO9" s="1">
        <f>IF($A10="",'Februar'!$U$5,U10)</f>
      </c>
      <c r="AP9" s="1">
        <f>IF($A10="",'Februar'!$V$5,V10)</f>
      </c>
      <c r="AQ9" s="1">
        <f>IF($A10="",'Februar'!$AE$5,AE10)</f>
      </c>
      <c r="AR9" s="1">
        <f>AE8</f>
      </c>
      <c r="AS9" s="1">
        <f>X8</f>
      </c>
      <c r="AT9" s="1">
        <f>U8</f>
      </c>
      <c r="AU9" s="1">
        <f>V8</f>
      </c>
    </row>
    <row r="10" spans="1:47" x14ac:dyDescent="0.25">
      <c r="A10" s="17">
        <f>IF(MONTH(DATE(Jahr,1,6))=1,DATE(Jahr,1,6),"")</f>
      </c>
      <c r="B10" s="13">
        <f>IF(A10="","",CHOOSE(WEEKDAY(A10,2),"Mo","Di","Mi","Do","Fr","Sa","So"))</f>
      </c>
      <c r="C10" s="18"/>
      <c r="D10" s="18"/>
      <c r="E10" s="7"/>
      <c r="F10" s="7"/>
      <c r="G10" s="7"/>
      <c r="H10" s="19"/>
      <c r="I10" s="19"/>
      <c r="J10" s="19"/>
      <c r="K10" s="9"/>
      <c r="L10" s="20">
        <f>IF(OR(AD10=0,AF10&lt;&gt;"",AND(W10=1,V10&gt;0,OR(T10=1,U10=1))),"",AE10/1440)</f>
      </c>
      <c r="M10" s="21">
        <f>IF(OR(AD10=0,AF10&lt;&gt;""),"",AJ10)</f>
      </c>
      <c r="N10" s="21">
        <f>IF(AK10=0,"",AK10)</f>
      </c>
      <c r="O10" s="21">
        <f>IF(OR(AD10=0,AF10&lt;&gt;""),"",AJ10-AK10)</f>
      </c>
      <c r="P10" s="21">
        <f>IF(AND(AD10=1,AF10="",V10=2),AI10,"")</f>
      </c>
      <c r="Q10" s="21">
        <f>IF(OR($A10="",N(K10)=0),"",ROUND(K10*KmSatz,2))</f>
      </c>
      <c r="R10" s="22">
        <f>IF(AF10&amp;AL10="","",LEFT(AF10&amp;AL10,LEN(AF10&amp;AL10)-2))</f>
      </c>
      <c r="S10" s="1"/>
      <c r="T10" s="1">
        <f>IF(AND($A10&lt;&gt;"",ISNUMBER(C10)),1,0)</f>
      </c>
      <c r="U10" s="1">
        <f>IF(AND($A10&lt;&gt;"",ISNUMBER(D10)),1,0)</f>
      </c>
      <c r="V10" s="1">
        <f>IF($A10="",0,IF(E10="ja",1,IF(E10="Pauschale",2,0)))</f>
      </c>
      <c r="W10" s="1">
        <f>IF($A10="",0,IF(AU10&gt;0,1,0))</f>
      </c>
      <c r="X10" s="1">
        <f>IF(AND(T10=1,W10=0),1,0)</f>
      </c>
      <c r="Y10" s="1">
        <f>IF(AND(AS10=1,AT10=0,AU10=0),1,0)</f>
      </c>
      <c r="Z10" s="1">
        <f>IF(AND(Y10=1,T10=0,U10=1,V10=0),1,0)</f>
      </c>
      <c r="AA10" s="1">
        <f>IF(AND(X10=1,U10=0,V10=0,AN10=0,AO10=1,AP10=0),1,0)</f>
      </c>
      <c r="AB10" s="1">
        <f>IF(OR(W10=1,Z10=1),0,IF(T10=1,C10,0))</f>
      </c>
      <c r="AC10" s="1">
        <f>IF(OR(V10&gt;0,AA10=1),1,IF(U10=1,D10,1))</f>
      </c>
      <c r="AD10" s="1">
        <f>IF($A10="",0,IF(OR(T10=1,U10=1,V10&gt;0,W10=1),1,0))</f>
      </c>
      <c r="AE10" s="1">
        <f>IF(AD10=0,0,ROUND((AC10-AB10)*1440,0))</f>
      </c>
      <c r="AF10" s="1">
        <f>IF(AD10=0,"",IF(AND(F10&lt;&gt;"",ISNA(MATCH(F10,PauschLand,0))),"Land nicht in der Liste; ","")&amp;IF(AND(T10=0,W10=0,Z10=0),"Beginn fehlt; ","")&amp;IF(AND(V10=0,U10=0,AA10=0),"Ende fehlt; ","")&amp;IF(AND(X10=1,U10=1,V10=0,N(D10)&lt;N(C10)),"Ende vor Beginn (über Mitternacht: Ende in die Zeile des Folgetags); ",""))</f>
      </c>
      <c r="AG10" s="1">
        <f>IF(AD10=0,0,IFERROR(VLOOKUP(IF(F10="","Deutschland",F10),PauschTab,2,FALSE),0))</f>
      </c>
      <c r="AH10" s="1">
        <f>IF(AD10=0,0,IFERROR(VLOOKUP(IF(F10="","Deutschland",F10),PauschTab,3,FALSE),0))</f>
      </c>
      <c r="AI10" s="1">
        <f>IF(AD10=0,0,IFERROR(VLOOKUP(IF(F10="","Deutschland",F10),PauschTab,4,FALSE),0))</f>
      </c>
      <c r="AJ10" s="1">
        <f>IF(OR(AD10=0,AF10&lt;&gt;""),0,IF(AND(W10=1,V10&gt;0),IF(OR(T10=1,U10=1),AH10,AG10),IF(OR(W10=1,V10&gt;0),AH10,IF(AA10=1,IF(AND(AE10+AQ10&gt;480,AE10&gt;=AQ10),AH10,0),IF(Z10=1,IF(AND(AR10+AE10&gt;480,AE10&gt;AR10),AH10,0),IF(AE10&gt;480,AH10,0))))))</f>
      </c>
      <c r="AK10" s="1">
        <f>MIN(AJ10,AM10)</f>
      </c>
      <c r="AL10" s="1">
        <f>IF(OR(AD10=0,AF10&lt;&gt;""),"",IF(AND(W10=0,V10=0,AA10=0,Z10=0,AE10&lt;=480),"nicht mehr als 8 Std.; ","")&amp;IF(AA10=1,IF(AJ10&gt;0,"über Mitternacht, zusammen "&amp;TEXT((AE10+AQ10)/1440,"[h]:mm")&amp;" Std.; ",IF(AE10+AQ10&gt;480,"über Mitternacht: Pauschale am Folgetag; ","über Mitternacht, zusammen nicht mehr als 8 Std.; ")),"")&amp;IF(Z10=1,IF(AJ10&gt;0,"über Mitternacht, zusammen "&amp;TEXT((AR10+AE10)/1440,"[h]:mm")&amp;" Std.; ",IF(AR10+AE10&gt;480,"über Mitternacht: Pauschale am Vortag; ","über Mitternacht, zusammen nicht mehr als 8 Std.; ")),"")&amp;IF(AND(W10=1,V10&gt;0,OR(T10=1,U10=1)),"zwischendurch zu Hause: An- und Abreisetag; ","")&amp;IF(AND(W10=1,V10=0,T10=1),"Beginn leer lassen: unterwegs seit dem Vortag; ","")&amp;IF(AND(W10=0,V10&gt;0,U10=1),"Ende leer lassen: Übernachtung; ","")&amp;IF(AND(AJ10&gt;0,AM10&gt;AJ10),"Kürzung auf die Pauschale begrenzt; ",""))</f>
      </c>
      <c r="AM10" s="1">
        <f>ROUND(AG10*(IF(H10&lt;&gt;"",0.2,0)+IF(I10&lt;&gt;"",0.4,0)+IF(J10&lt;&gt;"",0.4,0)),2)</f>
      </c>
      <c r="AN10" s="1">
        <f>IF($A11="",'Februar'!$T$5,T11)</f>
      </c>
      <c r="AO10" s="1">
        <f>IF($A11="",'Februar'!$U$5,U11)</f>
      </c>
      <c r="AP10" s="1">
        <f>IF($A11="",'Februar'!$V$5,V11)</f>
      </c>
      <c r="AQ10" s="1">
        <f>IF($A11="",'Februar'!$AE$5,AE11)</f>
      </c>
      <c r="AR10" s="1">
        <f>AE9</f>
      </c>
      <c r="AS10" s="1">
        <f>X9</f>
      </c>
      <c r="AT10" s="1">
        <f>U9</f>
      </c>
      <c r="AU10" s="1">
        <f>V9</f>
      </c>
    </row>
    <row r="11" spans="1:47" x14ac:dyDescent="0.25">
      <c r="A11" s="17">
        <f>IF(MONTH(DATE(Jahr,1,7))=1,DATE(Jahr,1,7),"")</f>
      </c>
      <c r="B11" s="13">
        <f>IF(A11="","",CHOOSE(WEEKDAY(A11,2),"Mo","Di","Mi","Do","Fr","Sa","So"))</f>
      </c>
      <c r="C11" s="18"/>
      <c r="D11" s="18"/>
      <c r="E11" s="7"/>
      <c r="F11" s="7"/>
      <c r="G11" s="7"/>
      <c r="H11" s="19"/>
      <c r="I11" s="19"/>
      <c r="J11" s="19"/>
      <c r="K11" s="9"/>
      <c r="L11" s="20">
        <f>IF(OR(AD11=0,AF11&lt;&gt;"",AND(W11=1,V11&gt;0,OR(T11=1,U11=1))),"",AE11/1440)</f>
      </c>
      <c r="M11" s="21">
        <f>IF(OR(AD11=0,AF11&lt;&gt;""),"",AJ11)</f>
      </c>
      <c r="N11" s="21">
        <f>IF(AK11=0,"",AK11)</f>
      </c>
      <c r="O11" s="21">
        <f>IF(OR(AD11=0,AF11&lt;&gt;""),"",AJ11-AK11)</f>
      </c>
      <c r="P11" s="21">
        <f>IF(AND(AD11=1,AF11="",V11=2),AI11,"")</f>
      </c>
      <c r="Q11" s="21">
        <f>IF(OR($A11="",N(K11)=0),"",ROUND(K11*KmSatz,2))</f>
      </c>
      <c r="R11" s="22">
        <f>IF(AF11&amp;AL11="","",LEFT(AF11&amp;AL11,LEN(AF11&amp;AL11)-2))</f>
      </c>
      <c r="S11" s="1"/>
      <c r="T11" s="1">
        <f>IF(AND($A11&lt;&gt;"",ISNUMBER(C11)),1,0)</f>
      </c>
      <c r="U11" s="1">
        <f>IF(AND($A11&lt;&gt;"",ISNUMBER(D11)),1,0)</f>
      </c>
      <c r="V11" s="1">
        <f>IF($A11="",0,IF(E11="ja",1,IF(E11="Pauschale",2,0)))</f>
      </c>
      <c r="W11" s="1">
        <f>IF($A11="",0,IF(AU11&gt;0,1,0))</f>
      </c>
      <c r="X11" s="1">
        <f>IF(AND(T11=1,W11=0),1,0)</f>
      </c>
      <c r="Y11" s="1">
        <f>IF(AND(AS11=1,AT11=0,AU11=0),1,0)</f>
      </c>
      <c r="Z11" s="1">
        <f>IF(AND(Y11=1,T11=0,U11=1,V11=0),1,0)</f>
      </c>
      <c r="AA11" s="1">
        <f>IF(AND(X11=1,U11=0,V11=0,AN11=0,AO11=1,AP11=0),1,0)</f>
      </c>
      <c r="AB11" s="1">
        <f>IF(OR(W11=1,Z11=1),0,IF(T11=1,C11,0))</f>
      </c>
      <c r="AC11" s="1">
        <f>IF(OR(V11&gt;0,AA11=1),1,IF(U11=1,D11,1))</f>
      </c>
      <c r="AD11" s="1">
        <f>IF($A11="",0,IF(OR(T11=1,U11=1,V11&gt;0,W11=1),1,0))</f>
      </c>
      <c r="AE11" s="1">
        <f>IF(AD11=0,0,ROUND((AC11-AB11)*1440,0))</f>
      </c>
      <c r="AF11" s="1">
        <f>IF(AD11=0,"",IF(AND(F11&lt;&gt;"",ISNA(MATCH(F11,PauschLand,0))),"Land nicht in der Liste; ","")&amp;IF(AND(T11=0,W11=0,Z11=0),"Beginn fehlt; ","")&amp;IF(AND(V11=0,U11=0,AA11=0),"Ende fehlt; ","")&amp;IF(AND(X11=1,U11=1,V11=0,N(D11)&lt;N(C11)),"Ende vor Beginn (über Mitternacht: Ende in die Zeile des Folgetags); ",""))</f>
      </c>
      <c r="AG11" s="1">
        <f>IF(AD11=0,0,IFERROR(VLOOKUP(IF(F11="","Deutschland",F11),PauschTab,2,FALSE),0))</f>
      </c>
      <c r="AH11" s="1">
        <f>IF(AD11=0,0,IFERROR(VLOOKUP(IF(F11="","Deutschland",F11),PauschTab,3,FALSE),0))</f>
      </c>
      <c r="AI11" s="1">
        <f>IF(AD11=0,0,IFERROR(VLOOKUP(IF(F11="","Deutschland",F11),PauschTab,4,FALSE),0))</f>
      </c>
      <c r="AJ11" s="1">
        <f>IF(OR(AD11=0,AF11&lt;&gt;""),0,IF(AND(W11=1,V11&gt;0),IF(OR(T11=1,U11=1),AH11,AG11),IF(OR(W11=1,V11&gt;0),AH11,IF(AA11=1,IF(AND(AE11+AQ11&gt;480,AE11&gt;=AQ11),AH11,0),IF(Z11=1,IF(AND(AR11+AE11&gt;480,AE11&gt;AR11),AH11,0),IF(AE11&gt;480,AH11,0))))))</f>
      </c>
      <c r="AK11" s="1">
        <f>MIN(AJ11,AM11)</f>
      </c>
      <c r="AL11" s="1">
        <f>IF(OR(AD11=0,AF11&lt;&gt;""),"",IF(AND(W11=0,V11=0,AA11=0,Z11=0,AE11&lt;=480),"nicht mehr als 8 Std.; ","")&amp;IF(AA11=1,IF(AJ11&gt;0,"über Mitternacht, zusammen "&amp;TEXT((AE11+AQ11)/1440,"[h]:mm")&amp;" Std.; ",IF(AE11+AQ11&gt;480,"über Mitternacht: Pauschale am Folgetag; ","über Mitternacht, zusammen nicht mehr als 8 Std.; ")),"")&amp;IF(Z11=1,IF(AJ11&gt;0,"über Mitternacht, zusammen "&amp;TEXT((AR11+AE11)/1440,"[h]:mm")&amp;" Std.; ",IF(AR11+AE11&gt;480,"über Mitternacht: Pauschale am Vortag; ","über Mitternacht, zusammen nicht mehr als 8 Std.; ")),"")&amp;IF(AND(W11=1,V11&gt;0,OR(T11=1,U11=1)),"zwischendurch zu Hause: An- und Abreisetag; ","")&amp;IF(AND(W11=1,V11=0,T11=1),"Beginn leer lassen: unterwegs seit dem Vortag; ","")&amp;IF(AND(W11=0,V11&gt;0,U11=1),"Ende leer lassen: Übernachtung; ","")&amp;IF(AND(AJ11&gt;0,AM11&gt;AJ11),"Kürzung auf die Pauschale begrenzt; ",""))</f>
      </c>
      <c r="AM11" s="1">
        <f>ROUND(AG11*(IF(H11&lt;&gt;"",0.2,0)+IF(I11&lt;&gt;"",0.4,0)+IF(J11&lt;&gt;"",0.4,0)),2)</f>
      </c>
      <c r="AN11" s="1">
        <f>IF($A12="",'Februar'!$T$5,T12)</f>
      </c>
      <c r="AO11" s="1">
        <f>IF($A12="",'Februar'!$U$5,U12)</f>
      </c>
      <c r="AP11" s="1">
        <f>IF($A12="",'Februar'!$V$5,V12)</f>
      </c>
      <c r="AQ11" s="1">
        <f>IF($A12="",'Februar'!$AE$5,AE12)</f>
      </c>
      <c r="AR11" s="1">
        <f>AE10</f>
      </c>
      <c r="AS11" s="1">
        <f>X10</f>
      </c>
      <c r="AT11" s="1">
        <f>U10</f>
      </c>
      <c r="AU11" s="1">
        <f>V10</f>
      </c>
    </row>
    <row r="12" spans="1:47" x14ac:dyDescent="0.25">
      <c r="A12" s="17">
        <f>IF(MONTH(DATE(Jahr,1,8))=1,DATE(Jahr,1,8),"")</f>
      </c>
      <c r="B12" s="13">
        <f>IF(A12="","",CHOOSE(WEEKDAY(A12,2),"Mo","Di","Mi","Do","Fr","Sa","So"))</f>
      </c>
      <c r="C12" s="18"/>
      <c r="D12" s="18"/>
      <c r="E12" s="7"/>
      <c r="F12" s="7"/>
      <c r="G12" s="7"/>
      <c r="H12" s="19"/>
      <c r="I12" s="19"/>
      <c r="J12" s="19"/>
      <c r="K12" s="9"/>
      <c r="L12" s="20">
        <f>IF(OR(AD12=0,AF12&lt;&gt;"",AND(W12=1,V12&gt;0,OR(T12=1,U12=1))),"",AE12/1440)</f>
      </c>
      <c r="M12" s="21">
        <f>IF(OR(AD12=0,AF12&lt;&gt;""),"",AJ12)</f>
      </c>
      <c r="N12" s="21">
        <f>IF(AK12=0,"",AK12)</f>
      </c>
      <c r="O12" s="21">
        <f>IF(OR(AD12=0,AF12&lt;&gt;""),"",AJ12-AK12)</f>
      </c>
      <c r="P12" s="21">
        <f>IF(AND(AD12=1,AF12="",V12=2),AI12,"")</f>
      </c>
      <c r="Q12" s="21">
        <f>IF(OR($A12="",N(K12)=0),"",ROUND(K12*KmSatz,2))</f>
      </c>
      <c r="R12" s="22">
        <f>IF(AF12&amp;AL12="","",LEFT(AF12&amp;AL12,LEN(AF12&amp;AL12)-2))</f>
      </c>
      <c r="S12" s="1"/>
      <c r="T12" s="1">
        <f>IF(AND($A12&lt;&gt;"",ISNUMBER(C12)),1,0)</f>
      </c>
      <c r="U12" s="1">
        <f>IF(AND($A12&lt;&gt;"",ISNUMBER(D12)),1,0)</f>
      </c>
      <c r="V12" s="1">
        <f>IF($A12="",0,IF(E12="ja",1,IF(E12="Pauschale",2,0)))</f>
      </c>
      <c r="W12" s="1">
        <f>IF($A12="",0,IF(AU12&gt;0,1,0))</f>
      </c>
      <c r="X12" s="1">
        <f>IF(AND(T12=1,W12=0),1,0)</f>
      </c>
      <c r="Y12" s="1">
        <f>IF(AND(AS12=1,AT12=0,AU12=0),1,0)</f>
      </c>
      <c r="Z12" s="1">
        <f>IF(AND(Y12=1,T12=0,U12=1,V12=0),1,0)</f>
      </c>
      <c r="AA12" s="1">
        <f>IF(AND(X12=1,U12=0,V12=0,AN12=0,AO12=1,AP12=0),1,0)</f>
      </c>
      <c r="AB12" s="1">
        <f>IF(OR(W12=1,Z12=1),0,IF(T12=1,C12,0))</f>
      </c>
      <c r="AC12" s="1">
        <f>IF(OR(V12&gt;0,AA12=1),1,IF(U12=1,D12,1))</f>
      </c>
      <c r="AD12" s="1">
        <f>IF($A12="",0,IF(OR(T12=1,U12=1,V12&gt;0,W12=1),1,0))</f>
      </c>
      <c r="AE12" s="1">
        <f>IF(AD12=0,0,ROUND((AC12-AB12)*1440,0))</f>
      </c>
      <c r="AF12" s="1">
        <f>IF(AD12=0,"",IF(AND(F12&lt;&gt;"",ISNA(MATCH(F12,PauschLand,0))),"Land nicht in der Liste; ","")&amp;IF(AND(T12=0,W12=0,Z12=0),"Beginn fehlt; ","")&amp;IF(AND(V12=0,U12=0,AA12=0),"Ende fehlt; ","")&amp;IF(AND(X12=1,U12=1,V12=0,N(D12)&lt;N(C12)),"Ende vor Beginn (über Mitternacht: Ende in die Zeile des Folgetags); ",""))</f>
      </c>
      <c r="AG12" s="1">
        <f>IF(AD12=0,0,IFERROR(VLOOKUP(IF(F12="","Deutschland",F12),PauschTab,2,FALSE),0))</f>
      </c>
      <c r="AH12" s="1">
        <f>IF(AD12=0,0,IFERROR(VLOOKUP(IF(F12="","Deutschland",F12),PauschTab,3,FALSE),0))</f>
      </c>
      <c r="AI12" s="1">
        <f>IF(AD12=0,0,IFERROR(VLOOKUP(IF(F12="","Deutschland",F12),PauschTab,4,FALSE),0))</f>
      </c>
      <c r="AJ12" s="1">
        <f>IF(OR(AD12=0,AF12&lt;&gt;""),0,IF(AND(W12=1,V12&gt;0),IF(OR(T12=1,U12=1),AH12,AG12),IF(OR(W12=1,V12&gt;0),AH12,IF(AA12=1,IF(AND(AE12+AQ12&gt;480,AE12&gt;=AQ12),AH12,0),IF(Z12=1,IF(AND(AR12+AE12&gt;480,AE12&gt;AR12),AH12,0),IF(AE12&gt;480,AH12,0))))))</f>
      </c>
      <c r="AK12" s="1">
        <f>MIN(AJ12,AM12)</f>
      </c>
      <c r="AL12" s="1">
        <f>IF(OR(AD12=0,AF12&lt;&gt;""),"",IF(AND(W12=0,V12=0,AA12=0,Z12=0,AE12&lt;=480),"nicht mehr als 8 Std.; ","")&amp;IF(AA12=1,IF(AJ12&gt;0,"über Mitternacht, zusammen "&amp;TEXT((AE12+AQ12)/1440,"[h]:mm")&amp;" Std.; ",IF(AE12+AQ12&gt;480,"über Mitternacht: Pauschale am Folgetag; ","über Mitternacht, zusammen nicht mehr als 8 Std.; ")),"")&amp;IF(Z12=1,IF(AJ12&gt;0,"über Mitternacht, zusammen "&amp;TEXT((AR12+AE12)/1440,"[h]:mm")&amp;" Std.; ",IF(AR12+AE12&gt;480,"über Mitternacht: Pauschale am Vortag; ","über Mitternacht, zusammen nicht mehr als 8 Std.; ")),"")&amp;IF(AND(W12=1,V12&gt;0,OR(T12=1,U12=1)),"zwischendurch zu Hause: An- und Abreisetag; ","")&amp;IF(AND(W12=1,V12=0,T12=1),"Beginn leer lassen: unterwegs seit dem Vortag; ","")&amp;IF(AND(W12=0,V12&gt;0,U12=1),"Ende leer lassen: Übernachtung; ","")&amp;IF(AND(AJ12&gt;0,AM12&gt;AJ12),"Kürzung auf die Pauschale begrenzt; ",""))</f>
      </c>
      <c r="AM12" s="1">
        <f>ROUND(AG12*(IF(H12&lt;&gt;"",0.2,0)+IF(I12&lt;&gt;"",0.4,0)+IF(J12&lt;&gt;"",0.4,0)),2)</f>
      </c>
      <c r="AN12" s="1">
        <f>IF($A13="",'Februar'!$T$5,T13)</f>
      </c>
      <c r="AO12" s="1">
        <f>IF($A13="",'Februar'!$U$5,U13)</f>
      </c>
      <c r="AP12" s="1">
        <f>IF($A13="",'Februar'!$V$5,V13)</f>
      </c>
      <c r="AQ12" s="1">
        <f>IF($A13="",'Februar'!$AE$5,AE13)</f>
      </c>
      <c r="AR12" s="1">
        <f>AE11</f>
      </c>
      <c r="AS12" s="1">
        <f>X11</f>
      </c>
      <c r="AT12" s="1">
        <f>U11</f>
      </c>
      <c r="AU12" s="1">
        <f>V11</f>
      </c>
    </row>
    <row r="13" spans="1:47" x14ac:dyDescent="0.25">
      <c r="A13" s="17">
        <f>IF(MONTH(DATE(Jahr,1,9))=1,DATE(Jahr,1,9),"")</f>
      </c>
      <c r="B13" s="13">
        <f>IF(A13="","",CHOOSE(WEEKDAY(A13,2),"Mo","Di","Mi","Do","Fr","Sa","So"))</f>
      </c>
      <c r="C13" s="18"/>
      <c r="D13" s="18"/>
      <c r="E13" s="7"/>
      <c r="F13" s="7"/>
      <c r="G13" s="7"/>
      <c r="H13" s="19"/>
      <c r="I13" s="19"/>
      <c r="J13" s="19"/>
      <c r="K13" s="9"/>
      <c r="L13" s="20">
        <f>IF(OR(AD13=0,AF13&lt;&gt;"",AND(W13=1,V13&gt;0,OR(T13=1,U13=1))),"",AE13/1440)</f>
      </c>
      <c r="M13" s="21">
        <f>IF(OR(AD13=0,AF13&lt;&gt;""),"",AJ13)</f>
      </c>
      <c r="N13" s="21">
        <f>IF(AK13=0,"",AK13)</f>
      </c>
      <c r="O13" s="21">
        <f>IF(OR(AD13=0,AF13&lt;&gt;""),"",AJ13-AK13)</f>
      </c>
      <c r="P13" s="21">
        <f>IF(AND(AD13=1,AF13="",V13=2),AI13,"")</f>
      </c>
      <c r="Q13" s="21">
        <f>IF(OR($A13="",N(K13)=0),"",ROUND(K13*KmSatz,2))</f>
      </c>
      <c r="R13" s="22">
        <f>IF(AF13&amp;AL13="","",LEFT(AF13&amp;AL13,LEN(AF13&amp;AL13)-2))</f>
      </c>
      <c r="S13" s="1"/>
      <c r="T13" s="1">
        <f>IF(AND($A13&lt;&gt;"",ISNUMBER(C13)),1,0)</f>
      </c>
      <c r="U13" s="1">
        <f>IF(AND($A13&lt;&gt;"",ISNUMBER(D13)),1,0)</f>
      </c>
      <c r="V13" s="1">
        <f>IF($A13="",0,IF(E13="ja",1,IF(E13="Pauschale",2,0)))</f>
      </c>
      <c r="W13" s="1">
        <f>IF($A13="",0,IF(AU13&gt;0,1,0))</f>
      </c>
      <c r="X13" s="1">
        <f>IF(AND(T13=1,W13=0),1,0)</f>
      </c>
      <c r="Y13" s="1">
        <f>IF(AND(AS13=1,AT13=0,AU13=0),1,0)</f>
      </c>
      <c r="Z13" s="1">
        <f>IF(AND(Y13=1,T13=0,U13=1,V13=0),1,0)</f>
      </c>
      <c r="AA13" s="1">
        <f>IF(AND(X13=1,U13=0,V13=0,AN13=0,AO13=1,AP13=0),1,0)</f>
      </c>
      <c r="AB13" s="1">
        <f>IF(OR(W13=1,Z13=1),0,IF(T13=1,C13,0))</f>
      </c>
      <c r="AC13" s="1">
        <f>IF(OR(V13&gt;0,AA13=1),1,IF(U13=1,D13,1))</f>
      </c>
      <c r="AD13" s="1">
        <f>IF($A13="",0,IF(OR(T13=1,U13=1,V13&gt;0,W13=1),1,0))</f>
      </c>
      <c r="AE13" s="1">
        <f>IF(AD13=0,0,ROUND((AC13-AB13)*1440,0))</f>
      </c>
      <c r="AF13" s="1">
        <f>IF(AD13=0,"",IF(AND(F13&lt;&gt;"",ISNA(MATCH(F13,PauschLand,0))),"Land nicht in der Liste; ","")&amp;IF(AND(T13=0,W13=0,Z13=0),"Beginn fehlt; ","")&amp;IF(AND(V13=0,U13=0,AA13=0),"Ende fehlt; ","")&amp;IF(AND(X13=1,U13=1,V13=0,N(D13)&lt;N(C13)),"Ende vor Beginn (über Mitternacht: Ende in die Zeile des Folgetags); ",""))</f>
      </c>
      <c r="AG13" s="1">
        <f>IF(AD13=0,0,IFERROR(VLOOKUP(IF(F13="","Deutschland",F13),PauschTab,2,FALSE),0))</f>
      </c>
      <c r="AH13" s="1">
        <f>IF(AD13=0,0,IFERROR(VLOOKUP(IF(F13="","Deutschland",F13),PauschTab,3,FALSE),0))</f>
      </c>
      <c r="AI13" s="1">
        <f>IF(AD13=0,0,IFERROR(VLOOKUP(IF(F13="","Deutschland",F13),PauschTab,4,FALSE),0))</f>
      </c>
      <c r="AJ13" s="1">
        <f>IF(OR(AD13=0,AF13&lt;&gt;""),0,IF(AND(W13=1,V13&gt;0),IF(OR(T13=1,U13=1),AH13,AG13),IF(OR(W13=1,V13&gt;0),AH13,IF(AA13=1,IF(AND(AE13+AQ13&gt;480,AE13&gt;=AQ13),AH13,0),IF(Z13=1,IF(AND(AR13+AE13&gt;480,AE13&gt;AR13),AH13,0),IF(AE13&gt;480,AH13,0))))))</f>
      </c>
      <c r="AK13" s="1">
        <f>MIN(AJ13,AM13)</f>
      </c>
      <c r="AL13" s="1">
        <f>IF(OR(AD13=0,AF13&lt;&gt;""),"",IF(AND(W13=0,V13=0,AA13=0,Z13=0,AE13&lt;=480),"nicht mehr als 8 Std.; ","")&amp;IF(AA13=1,IF(AJ13&gt;0,"über Mitternacht, zusammen "&amp;TEXT((AE13+AQ13)/1440,"[h]:mm")&amp;" Std.; ",IF(AE13+AQ13&gt;480,"über Mitternacht: Pauschale am Folgetag; ","über Mitternacht, zusammen nicht mehr als 8 Std.; ")),"")&amp;IF(Z13=1,IF(AJ13&gt;0,"über Mitternacht, zusammen "&amp;TEXT((AR13+AE13)/1440,"[h]:mm")&amp;" Std.; ",IF(AR13+AE13&gt;480,"über Mitternacht: Pauschale am Vortag; ","über Mitternacht, zusammen nicht mehr als 8 Std.; ")),"")&amp;IF(AND(W13=1,V13&gt;0,OR(T13=1,U13=1)),"zwischendurch zu Hause: An- und Abreisetag; ","")&amp;IF(AND(W13=1,V13=0,T13=1),"Beginn leer lassen: unterwegs seit dem Vortag; ","")&amp;IF(AND(W13=0,V13&gt;0,U13=1),"Ende leer lassen: Übernachtung; ","")&amp;IF(AND(AJ13&gt;0,AM13&gt;AJ13),"Kürzung auf die Pauschale begrenzt; ",""))</f>
      </c>
      <c r="AM13" s="1">
        <f>ROUND(AG13*(IF(H13&lt;&gt;"",0.2,0)+IF(I13&lt;&gt;"",0.4,0)+IF(J13&lt;&gt;"",0.4,0)),2)</f>
      </c>
      <c r="AN13" s="1">
        <f>IF($A14="",'Februar'!$T$5,T14)</f>
      </c>
      <c r="AO13" s="1">
        <f>IF($A14="",'Februar'!$U$5,U14)</f>
      </c>
      <c r="AP13" s="1">
        <f>IF($A14="",'Februar'!$V$5,V14)</f>
      </c>
      <c r="AQ13" s="1">
        <f>IF($A14="",'Februar'!$AE$5,AE14)</f>
      </c>
      <c r="AR13" s="1">
        <f>AE12</f>
      </c>
      <c r="AS13" s="1">
        <f>X12</f>
      </c>
      <c r="AT13" s="1">
        <f>U12</f>
      </c>
      <c r="AU13" s="1">
        <f>V12</f>
      </c>
    </row>
    <row r="14" spans="1:47" x14ac:dyDescent="0.25">
      <c r="A14" s="17">
        <f>IF(MONTH(DATE(Jahr,1,10))=1,DATE(Jahr,1,10),"")</f>
      </c>
      <c r="B14" s="13">
        <f>IF(A14="","",CHOOSE(WEEKDAY(A14,2),"Mo","Di","Mi","Do","Fr","Sa","So"))</f>
      </c>
      <c r="C14" s="18"/>
      <c r="D14" s="18"/>
      <c r="E14" s="7"/>
      <c r="F14" s="7"/>
      <c r="G14" s="7"/>
      <c r="H14" s="19"/>
      <c r="I14" s="19"/>
      <c r="J14" s="19"/>
      <c r="K14" s="9"/>
      <c r="L14" s="20">
        <f>IF(OR(AD14=0,AF14&lt;&gt;"",AND(W14=1,V14&gt;0,OR(T14=1,U14=1))),"",AE14/1440)</f>
      </c>
      <c r="M14" s="21">
        <f>IF(OR(AD14=0,AF14&lt;&gt;""),"",AJ14)</f>
      </c>
      <c r="N14" s="21">
        <f>IF(AK14=0,"",AK14)</f>
      </c>
      <c r="O14" s="21">
        <f>IF(OR(AD14=0,AF14&lt;&gt;""),"",AJ14-AK14)</f>
      </c>
      <c r="P14" s="21">
        <f>IF(AND(AD14=1,AF14="",V14=2),AI14,"")</f>
      </c>
      <c r="Q14" s="21">
        <f>IF(OR($A14="",N(K14)=0),"",ROUND(K14*KmSatz,2))</f>
      </c>
      <c r="R14" s="22">
        <f>IF(AF14&amp;AL14="","",LEFT(AF14&amp;AL14,LEN(AF14&amp;AL14)-2))</f>
      </c>
      <c r="S14" s="1"/>
      <c r="T14" s="1">
        <f>IF(AND($A14&lt;&gt;"",ISNUMBER(C14)),1,0)</f>
      </c>
      <c r="U14" s="1">
        <f>IF(AND($A14&lt;&gt;"",ISNUMBER(D14)),1,0)</f>
      </c>
      <c r="V14" s="1">
        <f>IF($A14="",0,IF(E14="ja",1,IF(E14="Pauschale",2,0)))</f>
      </c>
      <c r="W14" s="1">
        <f>IF($A14="",0,IF(AU14&gt;0,1,0))</f>
      </c>
      <c r="X14" s="1">
        <f>IF(AND(T14=1,W14=0),1,0)</f>
      </c>
      <c r="Y14" s="1">
        <f>IF(AND(AS14=1,AT14=0,AU14=0),1,0)</f>
      </c>
      <c r="Z14" s="1">
        <f>IF(AND(Y14=1,T14=0,U14=1,V14=0),1,0)</f>
      </c>
      <c r="AA14" s="1">
        <f>IF(AND(X14=1,U14=0,V14=0,AN14=0,AO14=1,AP14=0),1,0)</f>
      </c>
      <c r="AB14" s="1">
        <f>IF(OR(W14=1,Z14=1),0,IF(T14=1,C14,0))</f>
      </c>
      <c r="AC14" s="1">
        <f>IF(OR(V14&gt;0,AA14=1),1,IF(U14=1,D14,1))</f>
      </c>
      <c r="AD14" s="1">
        <f>IF($A14="",0,IF(OR(T14=1,U14=1,V14&gt;0,W14=1),1,0))</f>
      </c>
      <c r="AE14" s="1">
        <f>IF(AD14=0,0,ROUND((AC14-AB14)*1440,0))</f>
      </c>
      <c r="AF14" s="1">
        <f>IF(AD14=0,"",IF(AND(F14&lt;&gt;"",ISNA(MATCH(F14,PauschLand,0))),"Land nicht in der Liste; ","")&amp;IF(AND(T14=0,W14=0,Z14=0),"Beginn fehlt; ","")&amp;IF(AND(V14=0,U14=0,AA14=0),"Ende fehlt; ","")&amp;IF(AND(X14=1,U14=1,V14=0,N(D14)&lt;N(C14)),"Ende vor Beginn (über Mitternacht: Ende in die Zeile des Folgetags); ",""))</f>
      </c>
      <c r="AG14" s="1">
        <f>IF(AD14=0,0,IFERROR(VLOOKUP(IF(F14="","Deutschland",F14),PauschTab,2,FALSE),0))</f>
      </c>
      <c r="AH14" s="1">
        <f>IF(AD14=0,0,IFERROR(VLOOKUP(IF(F14="","Deutschland",F14),PauschTab,3,FALSE),0))</f>
      </c>
      <c r="AI14" s="1">
        <f>IF(AD14=0,0,IFERROR(VLOOKUP(IF(F14="","Deutschland",F14),PauschTab,4,FALSE),0))</f>
      </c>
      <c r="AJ14" s="1">
        <f>IF(OR(AD14=0,AF14&lt;&gt;""),0,IF(AND(W14=1,V14&gt;0),IF(OR(T14=1,U14=1),AH14,AG14),IF(OR(W14=1,V14&gt;0),AH14,IF(AA14=1,IF(AND(AE14+AQ14&gt;480,AE14&gt;=AQ14),AH14,0),IF(Z14=1,IF(AND(AR14+AE14&gt;480,AE14&gt;AR14),AH14,0),IF(AE14&gt;480,AH14,0))))))</f>
      </c>
      <c r="AK14" s="1">
        <f>MIN(AJ14,AM14)</f>
      </c>
      <c r="AL14" s="1">
        <f>IF(OR(AD14=0,AF14&lt;&gt;""),"",IF(AND(W14=0,V14=0,AA14=0,Z14=0,AE14&lt;=480),"nicht mehr als 8 Std.; ","")&amp;IF(AA14=1,IF(AJ14&gt;0,"über Mitternacht, zusammen "&amp;TEXT((AE14+AQ14)/1440,"[h]:mm")&amp;" Std.; ",IF(AE14+AQ14&gt;480,"über Mitternacht: Pauschale am Folgetag; ","über Mitternacht, zusammen nicht mehr als 8 Std.; ")),"")&amp;IF(Z14=1,IF(AJ14&gt;0,"über Mitternacht, zusammen "&amp;TEXT((AR14+AE14)/1440,"[h]:mm")&amp;" Std.; ",IF(AR14+AE14&gt;480,"über Mitternacht: Pauschale am Vortag; ","über Mitternacht, zusammen nicht mehr als 8 Std.; ")),"")&amp;IF(AND(W14=1,V14&gt;0,OR(T14=1,U14=1)),"zwischendurch zu Hause: An- und Abreisetag; ","")&amp;IF(AND(W14=1,V14=0,T14=1),"Beginn leer lassen: unterwegs seit dem Vortag; ","")&amp;IF(AND(W14=0,V14&gt;0,U14=1),"Ende leer lassen: Übernachtung; ","")&amp;IF(AND(AJ14&gt;0,AM14&gt;AJ14),"Kürzung auf die Pauschale begrenzt; ",""))</f>
      </c>
      <c r="AM14" s="1">
        <f>ROUND(AG14*(IF(H14&lt;&gt;"",0.2,0)+IF(I14&lt;&gt;"",0.4,0)+IF(J14&lt;&gt;"",0.4,0)),2)</f>
      </c>
      <c r="AN14" s="1">
        <f>IF($A15="",'Februar'!$T$5,T15)</f>
      </c>
      <c r="AO14" s="1">
        <f>IF($A15="",'Februar'!$U$5,U15)</f>
      </c>
      <c r="AP14" s="1">
        <f>IF($A15="",'Februar'!$V$5,V15)</f>
      </c>
      <c r="AQ14" s="1">
        <f>IF($A15="",'Februar'!$AE$5,AE15)</f>
      </c>
      <c r="AR14" s="1">
        <f>AE13</f>
      </c>
      <c r="AS14" s="1">
        <f>X13</f>
      </c>
      <c r="AT14" s="1">
        <f>U13</f>
      </c>
      <c r="AU14" s="1">
        <f>V13</f>
      </c>
    </row>
    <row r="15" spans="1:47" x14ac:dyDescent="0.25">
      <c r="A15" s="17">
        <f>IF(MONTH(DATE(Jahr,1,11))=1,DATE(Jahr,1,11),"")</f>
      </c>
      <c r="B15" s="13">
        <f>IF(A15="","",CHOOSE(WEEKDAY(A15,2),"Mo","Di","Mi","Do","Fr","Sa","So"))</f>
      </c>
      <c r="C15" s="18"/>
      <c r="D15" s="18"/>
      <c r="E15" s="7"/>
      <c r="F15" s="7"/>
      <c r="G15" s="7"/>
      <c r="H15" s="19"/>
      <c r="I15" s="19"/>
      <c r="J15" s="19"/>
      <c r="K15" s="9"/>
      <c r="L15" s="20">
        <f>IF(OR(AD15=0,AF15&lt;&gt;"",AND(W15=1,V15&gt;0,OR(T15=1,U15=1))),"",AE15/1440)</f>
      </c>
      <c r="M15" s="21">
        <f>IF(OR(AD15=0,AF15&lt;&gt;""),"",AJ15)</f>
      </c>
      <c r="N15" s="21">
        <f>IF(AK15=0,"",AK15)</f>
      </c>
      <c r="O15" s="21">
        <f>IF(OR(AD15=0,AF15&lt;&gt;""),"",AJ15-AK15)</f>
      </c>
      <c r="P15" s="21">
        <f>IF(AND(AD15=1,AF15="",V15=2),AI15,"")</f>
      </c>
      <c r="Q15" s="21">
        <f>IF(OR($A15="",N(K15)=0),"",ROUND(K15*KmSatz,2))</f>
      </c>
      <c r="R15" s="22">
        <f>IF(AF15&amp;AL15="","",LEFT(AF15&amp;AL15,LEN(AF15&amp;AL15)-2))</f>
      </c>
      <c r="S15" s="1"/>
      <c r="T15" s="1">
        <f>IF(AND($A15&lt;&gt;"",ISNUMBER(C15)),1,0)</f>
      </c>
      <c r="U15" s="1">
        <f>IF(AND($A15&lt;&gt;"",ISNUMBER(D15)),1,0)</f>
      </c>
      <c r="V15" s="1">
        <f>IF($A15="",0,IF(E15="ja",1,IF(E15="Pauschale",2,0)))</f>
      </c>
      <c r="W15" s="1">
        <f>IF($A15="",0,IF(AU15&gt;0,1,0))</f>
      </c>
      <c r="X15" s="1">
        <f>IF(AND(T15=1,W15=0),1,0)</f>
      </c>
      <c r="Y15" s="1">
        <f>IF(AND(AS15=1,AT15=0,AU15=0),1,0)</f>
      </c>
      <c r="Z15" s="1">
        <f>IF(AND(Y15=1,T15=0,U15=1,V15=0),1,0)</f>
      </c>
      <c r="AA15" s="1">
        <f>IF(AND(X15=1,U15=0,V15=0,AN15=0,AO15=1,AP15=0),1,0)</f>
      </c>
      <c r="AB15" s="1">
        <f>IF(OR(W15=1,Z15=1),0,IF(T15=1,C15,0))</f>
      </c>
      <c r="AC15" s="1">
        <f>IF(OR(V15&gt;0,AA15=1),1,IF(U15=1,D15,1))</f>
      </c>
      <c r="AD15" s="1">
        <f>IF($A15="",0,IF(OR(T15=1,U15=1,V15&gt;0,W15=1),1,0))</f>
      </c>
      <c r="AE15" s="1">
        <f>IF(AD15=0,0,ROUND((AC15-AB15)*1440,0))</f>
      </c>
      <c r="AF15" s="1">
        <f>IF(AD15=0,"",IF(AND(F15&lt;&gt;"",ISNA(MATCH(F15,PauschLand,0))),"Land nicht in der Liste; ","")&amp;IF(AND(T15=0,W15=0,Z15=0),"Beginn fehlt; ","")&amp;IF(AND(V15=0,U15=0,AA15=0),"Ende fehlt; ","")&amp;IF(AND(X15=1,U15=1,V15=0,N(D15)&lt;N(C15)),"Ende vor Beginn (über Mitternacht: Ende in die Zeile des Folgetags); ",""))</f>
      </c>
      <c r="AG15" s="1">
        <f>IF(AD15=0,0,IFERROR(VLOOKUP(IF(F15="","Deutschland",F15),PauschTab,2,FALSE),0))</f>
      </c>
      <c r="AH15" s="1">
        <f>IF(AD15=0,0,IFERROR(VLOOKUP(IF(F15="","Deutschland",F15),PauschTab,3,FALSE),0))</f>
      </c>
      <c r="AI15" s="1">
        <f>IF(AD15=0,0,IFERROR(VLOOKUP(IF(F15="","Deutschland",F15),PauschTab,4,FALSE),0))</f>
      </c>
      <c r="AJ15" s="1">
        <f>IF(OR(AD15=0,AF15&lt;&gt;""),0,IF(AND(W15=1,V15&gt;0),IF(OR(T15=1,U15=1),AH15,AG15),IF(OR(W15=1,V15&gt;0),AH15,IF(AA15=1,IF(AND(AE15+AQ15&gt;480,AE15&gt;=AQ15),AH15,0),IF(Z15=1,IF(AND(AR15+AE15&gt;480,AE15&gt;AR15),AH15,0),IF(AE15&gt;480,AH15,0))))))</f>
      </c>
      <c r="AK15" s="1">
        <f>MIN(AJ15,AM15)</f>
      </c>
      <c r="AL15" s="1">
        <f>IF(OR(AD15=0,AF15&lt;&gt;""),"",IF(AND(W15=0,V15=0,AA15=0,Z15=0,AE15&lt;=480),"nicht mehr als 8 Std.; ","")&amp;IF(AA15=1,IF(AJ15&gt;0,"über Mitternacht, zusammen "&amp;TEXT((AE15+AQ15)/1440,"[h]:mm")&amp;" Std.; ",IF(AE15+AQ15&gt;480,"über Mitternacht: Pauschale am Folgetag; ","über Mitternacht, zusammen nicht mehr als 8 Std.; ")),"")&amp;IF(Z15=1,IF(AJ15&gt;0,"über Mitternacht, zusammen "&amp;TEXT((AR15+AE15)/1440,"[h]:mm")&amp;" Std.; ",IF(AR15+AE15&gt;480,"über Mitternacht: Pauschale am Vortag; ","über Mitternacht, zusammen nicht mehr als 8 Std.; ")),"")&amp;IF(AND(W15=1,V15&gt;0,OR(T15=1,U15=1)),"zwischendurch zu Hause: An- und Abreisetag; ","")&amp;IF(AND(W15=1,V15=0,T15=1),"Beginn leer lassen: unterwegs seit dem Vortag; ","")&amp;IF(AND(W15=0,V15&gt;0,U15=1),"Ende leer lassen: Übernachtung; ","")&amp;IF(AND(AJ15&gt;0,AM15&gt;AJ15),"Kürzung auf die Pauschale begrenzt; ",""))</f>
      </c>
      <c r="AM15" s="1">
        <f>ROUND(AG15*(IF(H15&lt;&gt;"",0.2,0)+IF(I15&lt;&gt;"",0.4,0)+IF(J15&lt;&gt;"",0.4,0)),2)</f>
      </c>
      <c r="AN15" s="1">
        <f>IF($A16="",'Februar'!$T$5,T16)</f>
      </c>
      <c r="AO15" s="1">
        <f>IF($A16="",'Februar'!$U$5,U16)</f>
      </c>
      <c r="AP15" s="1">
        <f>IF($A16="",'Februar'!$V$5,V16)</f>
      </c>
      <c r="AQ15" s="1">
        <f>IF($A16="",'Februar'!$AE$5,AE16)</f>
      </c>
      <c r="AR15" s="1">
        <f>AE14</f>
      </c>
      <c r="AS15" s="1">
        <f>X14</f>
      </c>
      <c r="AT15" s="1">
        <f>U14</f>
      </c>
      <c r="AU15" s="1">
        <f>V14</f>
      </c>
    </row>
    <row r="16" spans="1:47" x14ac:dyDescent="0.25">
      <c r="A16" s="17">
        <f>IF(MONTH(DATE(Jahr,1,12))=1,DATE(Jahr,1,12),"")</f>
      </c>
      <c r="B16" s="13">
        <f>IF(A16="","",CHOOSE(WEEKDAY(A16,2),"Mo","Di","Mi","Do","Fr","Sa","So"))</f>
      </c>
      <c r="C16" s="18"/>
      <c r="D16" s="18"/>
      <c r="E16" s="7"/>
      <c r="F16" s="7"/>
      <c r="G16" s="7"/>
      <c r="H16" s="19"/>
      <c r="I16" s="19"/>
      <c r="J16" s="19"/>
      <c r="K16" s="9"/>
      <c r="L16" s="20">
        <f>IF(OR(AD16=0,AF16&lt;&gt;"",AND(W16=1,V16&gt;0,OR(T16=1,U16=1))),"",AE16/1440)</f>
      </c>
      <c r="M16" s="21">
        <f>IF(OR(AD16=0,AF16&lt;&gt;""),"",AJ16)</f>
      </c>
      <c r="N16" s="21">
        <f>IF(AK16=0,"",AK16)</f>
      </c>
      <c r="O16" s="21">
        <f>IF(OR(AD16=0,AF16&lt;&gt;""),"",AJ16-AK16)</f>
      </c>
      <c r="P16" s="21">
        <f>IF(AND(AD16=1,AF16="",V16=2),AI16,"")</f>
      </c>
      <c r="Q16" s="21">
        <f>IF(OR($A16="",N(K16)=0),"",ROUND(K16*KmSatz,2))</f>
      </c>
      <c r="R16" s="22">
        <f>IF(AF16&amp;AL16="","",LEFT(AF16&amp;AL16,LEN(AF16&amp;AL16)-2))</f>
      </c>
      <c r="S16" s="1"/>
      <c r="T16" s="1">
        <f>IF(AND($A16&lt;&gt;"",ISNUMBER(C16)),1,0)</f>
      </c>
      <c r="U16" s="1">
        <f>IF(AND($A16&lt;&gt;"",ISNUMBER(D16)),1,0)</f>
      </c>
      <c r="V16" s="1">
        <f>IF($A16="",0,IF(E16="ja",1,IF(E16="Pauschale",2,0)))</f>
      </c>
      <c r="W16" s="1">
        <f>IF($A16="",0,IF(AU16&gt;0,1,0))</f>
      </c>
      <c r="X16" s="1">
        <f>IF(AND(T16=1,W16=0),1,0)</f>
      </c>
      <c r="Y16" s="1">
        <f>IF(AND(AS16=1,AT16=0,AU16=0),1,0)</f>
      </c>
      <c r="Z16" s="1">
        <f>IF(AND(Y16=1,T16=0,U16=1,V16=0),1,0)</f>
      </c>
      <c r="AA16" s="1">
        <f>IF(AND(X16=1,U16=0,V16=0,AN16=0,AO16=1,AP16=0),1,0)</f>
      </c>
      <c r="AB16" s="1">
        <f>IF(OR(W16=1,Z16=1),0,IF(T16=1,C16,0))</f>
      </c>
      <c r="AC16" s="1">
        <f>IF(OR(V16&gt;0,AA16=1),1,IF(U16=1,D16,1))</f>
      </c>
      <c r="AD16" s="1">
        <f>IF($A16="",0,IF(OR(T16=1,U16=1,V16&gt;0,W16=1),1,0))</f>
      </c>
      <c r="AE16" s="1">
        <f>IF(AD16=0,0,ROUND((AC16-AB16)*1440,0))</f>
      </c>
      <c r="AF16" s="1">
        <f>IF(AD16=0,"",IF(AND(F16&lt;&gt;"",ISNA(MATCH(F16,PauschLand,0))),"Land nicht in der Liste; ","")&amp;IF(AND(T16=0,W16=0,Z16=0),"Beginn fehlt; ","")&amp;IF(AND(V16=0,U16=0,AA16=0),"Ende fehlt; ","")&amp;IF(AND(X16=1,U16=1,V16=0,N(D16)&lt;N(C16)),"Ende vor Beginn (über Mitternacht: Ende in die Zeile des Folgetags); ",""))</f>
      </c>
      <c r="AG16" s="1">
        <f>IF(AD16=0,0,IFERROR(VLOOKUP(IF(F16="","Deutschland",F16),PauschTab,2,FALSE),0))</f>
      </c>
      <c r="AH16" s="1">
        <f>IF(AD16=0,0,IFERROR(VLOOKUP(IF(F16="","Deutschland",F16),PauschTab,3,FALSE),0))</f>
      </c>
      <c r="AI16" s="1">
        <f>IF(AD16=0,0,IFERROR(VLOOKUP(IF(F16="","Deutschland",F16),PauschTab,4,FALSE),0))</f>
      </c>
      <c r="AJ16" s="1">
        <f>IF(OR(AD16=0,AF16&lt;&gt;""),0,IF(AND(W16=1,V16&gt;0),IF(OR(T16=1,U16=1),AH16,AG16),IF(OR(W16=1,V16&gt;0),AH16,IF(AA16=1,IF(AND(AE16+AQ16&gt;480,AE16&gt;=AQ16),AH16,0),IF(Z16=1,IF(AND(AR16+AE16&gt;480,AE16&gt;AR16),AH16,0),IF(AE16&gt;480,AH16,0))))))</f>
      </c>
      <c r="AK16" s="1">
        <f>MIN(AJ16,AM16)</f>
      </c>
      <c r="AL16" s="1">
        <f>IF(OR(AD16=0,AF16&lt;&gt;""),"",IF(AND(W16=0,V16=0,AA16=0,Z16=0,AE16&lt;=480),"nicht mehr als 8 Std.; ","")&amp;IF(AA16=1,IF(AJ16&gt;0,"über Mitternacht, zusammen "&amp;TEXT((AE16+AQ16)/1440,"[h]:mm")&amp;" Std.; ",IF(AE16+AQ16&gt;480,"über Mitternacht: Pauschale am Folgetag; ","über Mitternacht, zusammen nicht mehr als 8 Std.; ")),"")&amp;IF(Z16=1,IF(AJ16&gt;0,"über Mitternacht, zusammen "&amp;TEXT((AR16+AE16)/1440,"[h]:mm")&amp;" Std.; ",IF(AR16+AE16&gt;480,"über Mitternacht: Pauschale am Vortag; ","über Mitternacht, zusammen nicht mehr als 8 Std.; ")),"")&amp;IF(AND(W16=1,V16&gt;0,OR(T16=1,U16=1)),"zwischendurch zu Hause: An- und Abreisetag; ","")&amp;IF(AND(W16=1,V16=0,T16=1),"Beginn leer lassen: unterwegs seit dem Vortag; ","")&amp;IF(AND(W16=0,V16&gt;0,U16=1),"Ende leer lassen: Übernachtung; ","")&amp;IF(AND(AJ16&gt;0,AM16&gt;AJ16),"Kürzung auf die Pauschale begrenzt; ",""))</f>
      </c>
      <c r="AM16" s="1">
        <f>ROUND(AG16*(IF(H16&lt;&gt;"",0.2,0)+IF(I16&lt;&gt;"",0.4,0)+IF(J16&lt;&gt;"",0.4,0)),2)</f>
      </c>
      <c r="AN16" s="1">
        <f>IF($A17="",'Februar'!$T$5,T17)</f>
      </c>
      <c r="AO16" s="1">
        <f>IF($A17="",'Februar'!$U$5,U17)</f>
      </c>
      <c r="AP16" s="1">
        <f>IF($A17="",'Februar'!$V$5,V17)</f>
      </c>
      <c r="AQ16" s="1">
        <f>IF($A17="",'Februar'!$AE$5,AE17)</f>
      </c>
      <c r="AR16" s="1">
        <f>AE15</f>
      </c>
      <c r="AS16" s="1">
        <f>X15</f>
      </c>
      <c r="AT16" s="1">
        <f>U15</f>
      </c>
      <c r="AU16" s="1">
        <f>V15</f>
      </c>
    </row>
    <row r="17" spans="1:47" x14ac:dyDescent="0.25">
      <c r="A17" s="17">
        <f>IF(MONTH(DATE(Jahr,1,13))=1,DATE(Jahr,1,13),"")</f>
      </c>
      <c r="B17" s="13">
        <f>IF(A17="","",CHOOSE(WEEKDAY(A17,2),"Mo","Di","Mi","Do","Fr","Sa","So"))</f>
      </c>
      <c r="C17" s="18"/>
      <c r="D17" s="18"/>
      <c r="E17" s="7"/>
      <c r="F17" s="7"/>
      <c r="G17" s="7"/>
      <c r="H17" s="19"/>
      <c r="I17" s="19"/>
      <c r="J17" s="19"/>
      <c r="K17" s="9"/>
      <c r="L17" s="20">
        <f>IF(OR(AD17=0,AF17&lt;&gt;"",AND(W17=1,V17&gt;0,OR(T17=1,U17=1))),"",AE17/1440)</f>
      </c>
      <c r="M17" s="21">
        <f>IF(OR(AD17=0,AF17&lt;&gt;""),"",AJ17)</f>
      </c>
      <c r="N17" s="21">
        <f>IF(AK17=0,"",AK17)</f>
      </c>
      <c r="O17" s="21">
        <f>IF(OR(AD17=0,AF17&lt;&gt;""),"",AJ17-AK17)</f>
      </c>
      <c r="P17" s="21">
        <f>IF(AND(AD17=1,AF17="",V17=2),AI17,"")</f>
      </c>
      <c r="Q17" s="21">
        <f>IF(OR($A17="",N(K17)=0),"",ROUND(K17*KmSatz,2))</f>
      </c>
      <c r="R17" s="22">
        <f>IF(AF17&amp;AL17="","",LEFT(AF17&amp;AL17,LEN(AF17&amp;AL17)-2))</f>
      </c>
      <c r="S17" s="1"/>
      <c r="T17" s="1">
        <f>IF(AND($A17&lt;&gt;"",ISNUMBER(C17)),1,0)</f>
      </c>
      <c r="U17" s="1">
        <f>IF(AND($A17&lt;&gt;"",ISNUMBER(D17)),1,0)</f>
      </c>
      <c r="V17" s="1">
        <f>IF($A17="",0,IF(E17="ja",1,IF(E17="Pauschale",2,0)))</f>
      </c>
      <c r="W17" s="1">
        <f>IF($A17="",0,IF(AU17&gt;0,1,0))</f>
      </c>
      <c r="X17" s="1">
        <f>IF(AND(T17=1,W17=0),1,0)</f>
      </c>
      <c r="Y17" s="1">
        <f>IF(AND(AS17=1,AT17=0,AU17=0),1,0)</f>
      </c>
      <c r="Z17" s="1">
        <f>IF(AND(Y17=1,T17=0,U17=1,V17=0),1,0)</f>
      </c>
      <c r="AA17" s="1">
        <f>IF(AND(X17=1,U17=0,V17=0,AN17=0,AO17=1,AP17=0),1,0)</f>
      </c>
      <c r="AB17" s="1">
        <f>IF(OR(W17=1,Z17=1),0,IF(T17=1,C17,0))</f>
      </c>
      <c r="AC17" s="1">
        <f>IF(OR(V17&gt;0,AA17=1),1,IF(U17=1,D17,1))</f>
      </c>
      <c r="AD17" s="1">
        <f>IF($A17="",0,IF(OR(T17=1,U17=1,V17&gt;0,W17=1),1,0))</f>
      </c>
      <c r="AE17" s="1">
        <f>IF(AD17=0,0,ROUND((AC17-AB17)*1440,0))</f>
      </c>
      <c r="AF17" s="1">
        <f>IF(AD17=0,"",IF(AND(F17&lt;&gt;"",ISNA(MATCH(F17,PauschLand,0))),"Land nicht in der Liste; ","")&amp;IF(AND(T17=0,W17=0,Z17=0),"Beginn fehlt; ","")&amp;IF(AND(V17=0,U17=0,AA17=0),"Ende fehlt; ","")&amp;IF(AND(X17=1,U17=1,V17=0,N(D17)&lt;N(C17)),"Ende vor Beginn (über Mitternacht: Ende in die Zeile des Folgetags); ",""))</f>
      </c>
      <c r="AG17" s="1">
        <f>IF(AD17=0,0,IFERROR(VLOOKUP(IF(F17="","Deutschland",F17),PauschTab,2,FALSE),0))</f>
      </c>
      <c r="AH17" s="1">
        <f>IF(AD17=0,0,IFERROR(VLOOKUP(IF(F17="","Deutschland",F17),PauschTab,3,FALSE),0))</f>
      </c>
      <c r="AI17" s="1">
        <f>IF(AD17=0,0,IFERROR(VLOOKUP(IF(F17="","Deutschland",F17),PauschTab,4,FALSE),0))</f>
      </c>
      <c r="AJ17" s="1">
        <f>IF(OR(AD17=0,AF17&lt;&gt;""),0,IF(AND(W17=1,V17&gt;0),IF(OR(T17=1,U17=1),AH17,AG17),IF(OR(W17=1,V17&gt;0),AH17,IF(AA17=1,IF(AND(AE17+AQ17&gt;480,AE17&gt;=AQ17),AH17,0),IF(Z17=1,IF(AND(AR17+AE17&gt;480,AE17&gt;AR17),AH17,0),IF(AE17&gt;480,AH17,0))))))</f>
      </c>
      <c r="AK17" s="1">
        <f>MIN(AJ17,AM17)</f>
      </c>
      <c r="AL17" s="1">
        <f>IF(OR(AD17=0,AF17&lt;&gt;""),"",IF(AND(W17=0,V17=0,AA17=0,Z17=0,AE17&lt;=480),"nicht mehr als 8 Std.; ","")&amp;IF(AA17=1,IF(AJ17&gt;0,"über Mitternacht, zusammen "&amp;TEXT((AE17+AQ17)/1440,"[h]:mm")&amp;" Std.; ",IF(AE17+AQ17&gt;480,"über Mitternacht: Pauschale am Folgetag; ","über Mitternacht, zusammen nicht mehr als 8 Std.; ")),"")&amp;IF(Z17=1,IF(AJ17&gt;0,"über Mitternacht, zusammen "&amp;TEXT((AR17+AE17)/1440,"[h]:mm")&amp;" Std.; ",IF(AR17+AE17&gt;480,"über Mitternacht: Pauschale am Vortag; ","über Mitternacht, zusammen nicht mehr als 8 Std.; ")),"")&amp;IF(AND(W17=1,V17&gt;0,OR(T17=1,U17=1)),"zwischendurch zu Hause: An- und Abreisetag; ","")&amp;IF(AND(W17=1,V17=0,T17=1),"Beginn leer lassen: unterwegs seit dem Vortag; ","")&amp;IF(AND(W17=0,V17&gt;0,U17=1),"Ende leer lassen: Übernachtung; ","")&amp;IF(AND(AJ17&gt;0,AM17&gt;AJ17),"Kürzung auf die Pauschale begrenzt; ",""))</f>
      </c>
      <c r="AM17" s="1">
        <f>ROUND(AG17*(IF(H17&lt;&gt;"",0.2,0)+IF(I17&lt;&gt;"",0.4,0)+IF(J17&lt;&gt;"",0.4,0)),2)</f>
      </c>
      <c r="AN17" s="1">
        <f>IF($A18="",'Februar'!$T$5,T18)</f>
      </c>
      <c r="AO17" s="1">
        <f>IF($A18="",'Februar'!$U$5,U18)</f>
      </c>
      <c r="AP17" s="1">
        <f>IF($A18="",'Februar'!$V$5,V18)</f>
      </c>
      <c r="AQ17" s="1">
        <f>IF($A18="",'Februar'!$AE$5,AE18)</f>
      </c>
      <c r="AR17" s="1">
        <f>AE16</f>
      </c>
      <c r="AS17" s="1">
        <f>X16</f>
      </c>
      <c r="AT17" s="1">
        <f>U16</f>
      </c>
      <c r="AU17" s="1">
        <f>V16</f>
      </c>
    </row>
    <row r="18" spans="1:47" x14ac:dyDescent="0.25">
      <c r="A18" s="17">
        <f>IF(MONTH(DATE(Jahr,1,14))=1,DATE(Jahr,1,14),"")</f>
      </c>
      <c r="B18" s="13">
        <f>IF(A18="","",CHOOSE(WEEKDAY(A18,2),"Mo","Di","Mi","Do","Fr","Sa","So"))</f>
      </c>
      <c r="C18" s="18"/>
      <c r="D18" s="18"/>
      <c r="E18" s="7"/>
      <c r="F18" s="7"/>
      <c r="G18" s="7"/>
      <c r="H18" s="19"/>
      <c r="I18" s="19"/>
      <c r="J18" s="19"/>
      <c r="K18" s="9"/>
      <c r="L18" s="20">
        <f>IF(OR(AD18=0,AF18&lt;&gt;"",AND(W18=1,V18&gt;0,OR(T18=1,U18=1))),"",AE18/1440)</f>
      </c>
      <c r="M18" s="21">
        <f>IF(OR(AD18=0,AF18&lt;&gt;""),"",AJ18)</f>
      </c>
      <c r="N18" s="21">
        <f>IF(AK18=0,"",AK18)</f>
      </c>
      <c r="O18" s="21">
        <f>IF(OR(AD18=0,AF18&lt;&gt;""),"",AJ18-AK18)</f>
      </c>
      <c r="P18" s="21">
        <f>IF(AND(AD18=1,AF18="",V18=2),AI18,"")</f>
      </c>
      <c r="Q18" s="21">
        <f>IF(OR($A18="",N(K18)=0),"",ROUND(K18*KmSatz,2))</f>
      </c>
      <c r="R18" s="22">
        <f>IF(AF18&amp;AL18="","",LEFT(AF18&amp;AL18,LEN(AF18&amp;AL18)-2))</f>
      </c>
      <c r="S18" s="1"/>
      <c r="T18" s="1">
        <f>IF(AND($A18&lt;&gt;"",ISNUMBER(C18)),1,0)</f>
      </c>
      <c r="U18" s="1">
        <f>IF(AND($A18&lt;&gt;"",ISNUMBER(D18)),1,0)</f>
      </c>
      <c r="V18" s="1">
        <f>IF($A18="",0,IF(E18="ja",1,IF(E18="Pauschale",2,0)))</f>
      </c>
      <c r="W18" s="1">
        <f>IF($A18="",0,IF(AU18&gt;0,1,0))</f>
      </c>
      <c r="X18" s="1">
        <f>IF(AND(T18=1,W18=0),1,0)</f>
      </c>
      <c r="Y18" s="1">
        <f>IF(AND(AS18=1,AT18=0,AU18=0),1,0)</f>
      </c>
      <c r="Z18" s="1">
        <f>IF(AND(Y18=1,T18=0,U18=1,V18=0),1,0)</f>
      </c>
      <c r="AA18" s="1">
        <f>IF(AND(X18=1,U18=0,V18=0,AN18=0,AO18=1,AP18=0),1,0)</f>
      </c>
      <c r="AB18" s="1">
        <f>IF(OR(W18=1,Z18=1),0,IF(T18=1,C18,0))</f>
      </c>
      <c r="AC18" s="1">
        <f>IF(OR(V18&gt;0,AA18=1),1,IF(U18=1,D18,1))</f>
      </c>
      <c r="AD18" s="1">
        <f>IF($A18="",0,IF(OR(T18=1,U18=1,V18&gt;0,W18=1),1,0))</f>
      </c>
      <c r="AE18" s="1">
        <f>IF(AD18=0,0,ROUND((AC18-AB18)*1440,0))</f>
      </c>
      <c r="AF18" s="1">
        <f>IF(AD18=0,"",IF(AND(F18&lt;&gt;"",ISNA(MATCH(F18,PauschLand,0))),"Land nicht in der Liste; ","")&amp;IF(AND(T18=0,W18=0,Z18=0),"Beginn fehlt; ","")&amp;IF(AND(V18=0,U18=0,AA18=0),"Ende fehlt; ","")&amp;IF(AND(X18=1,U18=1,V18=0,N(D18)&lt;N(C18)),"Ende vor Beginn (über Mitternacht: Ende in die Zeile des Folgetags); ",""))</f>
      </c>
      <c r="AG18" s="1">
        <f>IF(AD18=0,0,IFERROR(VLOOKUP(IF(F18="","Deutschland",F18),PauschTab,2,FALSE),0))</f>
      </c>
      <c r="AH18" s="1">
        <f>IF(AD18=0,0,IFERROR(VLOOKUP(IF(F18="","Deutschland",F18),PauschTab,3,FALSE),0))</f>
      </c>
      <c r="AI18" s="1">
        <f>IF(AD18=0,0,IFERROR(VLOOKUP(IF(F18="","Deutschland",F18),PauschTab,4,FALSE),0))</f>
      </c>
      <c r="AJ18" s="1">
        <f>IF(OR(AD18=0,AF18&lt;&gt;""),0,IF(AND(W18=1,V18&gt;0),IF(OR(T18=1,U18=1),AH18,AG18),IF(OR(W18=1,V18&gt;0),AH18,IF(AA18=1,IF(AND(AE18+AQ18&gt;480,AE18&gt;=AQ18),AH18,0),IF(Z18=1,IF(AND(AR18+AE18&gt;480,AE18&gt;AR18),AH18,0),IF(AE18&gt;480,AH18,0))))))</f>
      </c>
      <c r="AK18" s="1">
        <f>MIN(AJ18,AM18)</f>
      </c>
      <c r="AL18" s="1">
        <f>IF(OR(AD18=0,AF18&lt;&gt;""),"",IF(AND(W18=0,V18=0,AA18=0,Z18=0,AE18&lt;=480),"nicht mehr als 8 Std.; ","")&amp;IF(AA18=1,IF(AJ18&gt;0,"über Mitternacht, zusammen "&amp;TEXT((AE18+AQ18)/1440,"[h]:mm")&amp;" Std.; ",IF(AE18+AQ18&gt;480,"über Mitternacht: Pauschale am Folgetag; ","über Mitternacht, zusammen nicht mehr als 8 Std.; ")),"")&amp;IF(Z18=1,IF(AJ18&gt;0,"über Mitternacht, zusammen "&amp;TEXT((AR18+AE18)/1440,"[h]:mm")&amp;" Std.; ",IF(AR18+AE18&gt;480,"über Mitternacht: Pauschale am Vortag; ","über Mitternacht, zusammen nicht mehr als 8 Std.; ")),"")&amp;IF(AND(W18=1,V18&gt;0,OR(T18=1,U18=1)),"zwischendurch zu Hause: An- und Abreisetag; ","")&amp;IF(AND(W18=1,V18=0,T18=1),"Beginn leer lassen: unterwegs seit dem Vortag; ","")&amp;IF(AND(W18=0,V18&gt;0,U18=1),"Ende leer lassen: Übernachtung; ","")&amp;IF(AND(AJ18&gt;0,AM18&gt;AJ18),"Kürzung auf die Pauschale begrenzt; ",""))</f>
      </c>
      <c r="AM18" s="1">
        <f>ROUND(AG18*(IF(H18&lt;&gt;"",0.2,0)+IF(I18&lt;&gt;"",0.4,0)+IF(J18&lt;&gt;"",0.4,0)),2)</f>
      </c>
      <c r="AN18" s="1">
        <f>IF($A19="",'Februar'!$T$5,T19)</f>
      </c>
      <c r="AO18" s="1">
        <f>IF($A19="",'Februar'!$U$5,U19)</f>
      </c>
      <c r="AP18" s="1">
        <f>IF($A19="",'Februar'!$V$5,V19)</f>
      </c>
      <c r="AQ18" s="1">
        <f>IF($A19="",'Februar'!$AE$5,AE19)</f>
      </c>
      <c r="AR18" s="1">
        <f>AE17</f>
      </c>
      <c r="AS18" s="1">
        <f>X17</f>
      </c>
      <c r="AT18" s="1">
        <f>U17</f>
      </c>
      <c r="AU18" s="1">
        <f>V17</f>
      </c>
    </row>
    <row r="19" spans="1:47" x14ac:dyDescent="0.25">
      <c r="A19" s="17">
        <f>IF(MONTH(DATE(Jahr,1,15))=1,DATE(Jahr,1,15),"")</f>
      </c>
      <c r="B19" s="13">
        <f>IF(A19="","",CHOOSE(WEEKDAY(A19,2),"Mo","Di","Mi","Do","Fr","Sa","So"))</f>
      </c>
      <c r="C19" s="18"/>
      <c r="D19" s="18"/>
      <c r="E19" s="7"/>
      <c r="F19" s="7"/>
      <c r="G19" s="7"/>
      <c r="H19" s="19"/>
      <c r="I19" s="19"/>
      <c r="J19" s="19"/>
      <c r="K19" s="9"/>
      <c r="L19" s="20">
        <f>IF(OR(AD19=0,AF19&lt;&gt;"",AND(W19=1,V19&gt;0,OR(T19=1,U19=1))),"",AE19/1440)</f>
      </c>
      <c r="M19" s="21">
        <f>IF(OR(AD19=0,AF19&lt;&gt;""),"",AJ19)</f>
      </c>
      <c r="N19" s="21">
        <f>IF(AK19=0,"",AK19)</f>
      </c>
      <c r="O19" s="21">
        <f>IF(OR(AD19=0,AF19&lt;&gt;""),"",AJ19-AK19)</f>
      </c>
      <c r="P19" s="21">
        <f>IF(AND(AD19=1,AF19="",V19=2),AI19,"")</f>
      </c>
      <c r="Q19" s="21">
        <f>IF(OR($A19="",N(K19)=0),"",ROUND(K19*KmSatz,2))</f>
      </c>
      <c r="R19" s="22">
        <f>IF(AF19&amp;AL19="","",LEFT(AF19&amp;AL19,LEN(AF19&amp;AL19)-2))</f>
      </c>
      <c r="S19" s="1"/>
      <c r="T19" s="1">
        <f>IF(AND($A19&lt;&gt;"",ISNUMBER(C19)),1,0)</f>
      </c>
      <c r="U19" s="1">
        <f>IF(AND($A19&lt;&gt;"",ISNUMBER(D19)),1,0)</f>
      </c>
      <c r="V19" s="1">
        <f>IF($A19="",0,IF(E19="ja",1,IF(E19="Pauschale",2,0)))</f>
      </c>
      <c r="W19" s="1">
        <f>IF($A19="",0,IF(AU19&gt;0,1,0))</f>
      </c>
      <c r="X19" s="1">
        <f>IF(AND(T19=1,W19=0),1,0)</f>
      </c>
      <c r="Y19" s="1">
        <f>IF(AND(AS19=1,AT19=0,AU19=0),1,0)</f>
      </c>
      <c r="Z19" s="1">
        <f>IF(AND(Y19=1,T19=0,U19=1,V19=0),1,0)</f>
      </c>
      <c r="AA19" s="1">
        <f>IF(AND(X19=1,U19=0,V19=0,AN19=0,AO19=1,AP19=0),1,0)</f>
      </c>
      <c r="AB19" s="1">
        <f>IF(OR(W19=1,Z19=1),0,IF(T19=1,C19,0))</f>
      </c>
      <c r="AC19" s="1">
        <f>IF(OR(V19&gt;0,AA19=1),1,IF(U19=1,D19,1))</f>
      </c>
      <c r="AD19" s="1">
        <f>IF($A19="",0,IF(OR(T19=1,U19=1,V19&gt;0,W19=1),1,0))</f>
      </c>
      <c r="AE19" s="1">
        <f>IF(AD19=0,0,ROUND((AC19-AB19)*1440,0))</f>
      </c>
      <c r="AF19" s="1">
        <f>IF(AD19=0,"",IF(AND(F19&lt;&gt;"",ISNA(MATCH(F19,PauschLand,0))),"Land nicht in der Liste; ","")&amp;IF(AND(T19=0,W19=0,Z19=0),"Beginn fehlt; ","")&amp;IF(AND(V19=0,U19=0,AA19=0),"Ende fehlt; ","")&amp;IF(AND(X19=1,U19=1,V19=0,N(D19)&lt;N(C19)),"Ende vor Beginn (über Mitternacht: Ende in die Zeile des Folgetags); ",""))</f>
      </c>
      <c r="AG19" s="1">
        <f>IF(AD19=0,0,IFERROR(VLOOKUP(IF(F19="","Deutschland",F19),PauschTab,2,FALSE),0))</f>
      </c>
      <c r="AH19" s="1">
        <f>IF(AD19=0,0,IFERROR(VLOOKUP(IF(F19="","Deutschland",F19),PauschTab,3,FALSE),0))</f>
      </c>
      <c r="AI19" s="1">
        <f>IF(AD19=0,0,IFERROR(VLOOKUP(IF(F19="","Deutschland",F19),PauschTab,4,FALSE),0))</f>
      </c>
      <c r="AJ19" s="1">
        <f>IF(OR(AD19=0,AF19&lt;&gt;""),0,IF(AND(W19=1,V19&gt;0),IF(OR(T19=1,U19=1),AH19,AG19),IF(OR(W19=1,V19&gt;0),AH19,IF(AA19=1,IF(AND(AE19+AQ19&gt;480,AE19&gt;=AQ19),AH19,0),IF(Z19=1,IF(AND(AR19+AE19&gt;480,AE19&gt;AR19),AH19,0),IF(AE19&gt;480,AH19,0))))))</f>
      </c>
      <c r="AK19" s="1">
        <f>MIN(AJ19,AM19)</f>
      </c>
      <c r="AL19" s="1">
        <f>IF(OR(AD19=0,AF19&lt;&gt;""),"",IF(AND(W19=0,V19=0,AA19=0,Z19=0,AE19&lt;=480),"nicht mehr als 8 Std.; ","")&amp;IF(AA19=1,IF(AJ19&gt;0,"über Mitternacht, zusammen "&amp;TEXT((AE19+AQ19)/1440,"[h]:mm")&amp;" Std.; ",IF(AE19+AQ19&gt;480,"über Mitternacht: Pauschale am Folgetag; ","über Mitternacht, zusammen nicht mehr als 8 Std.; ")),"")&amp;IF(Z19=1,IF(AJ19&gt;0,"über Mitternacht, zusammen "&amp;TEXT((AR19+AE19)/1440,"[h]:mm")&amp;" Std.; ",IF(AR19+AE19&gt;480,"über Mitternacht: Pauschale am Vortag; ","über Mitternacht, zusammen nicht mehr als 8 Std.; ")),"")&amp;IF(AND(W19=1,V19&gt;0,OR(T19=1,U19=1)),"zwischendurch zu Hause: An- und Abreisetag; ","")&amp;IF(AND(W19=1,V19=0,T19=1),"Beginn leer lassen: unterwegs seit dem Vortag; ","")&amp;IF(AND(W19=0,V19&gt;0,U19=1),"Ende leer lassen: Übernachtung; ","")&amp;IF(AND(AJ19&gt;0,AM19&gt;AJ19),"Kürzung auf die Pauschale begrenzt; ",""))</f>
      </c>
      <c r="AM19" s="1">
        <f>ROUND(AG19*(IF(H19&lt;&gt;"",0.2,0)+IF(I19&lt;&gt;"",0.4,0)+IF(J19&lt;&gt;"",0.4,0)),2)</f>
      </c>
      <c r="AN19" s="1">
        <f>IF($A20="",'Februar'!$T$5,T20)</f>
      </c>
      <c r="AO19" s="1">
        <f>IF($A20="",'Februar'!$U$5,U20)</f>
      </c>
      <c r="AP19" s="1">
        <f>IF($A20="",'Februar'!$V$5,V20)</f>
      </c>
      <c r="AQ19" s="1">
        <f>IF($A20="",'Februar'!$AE$5,AE20)</f>
      </c>
      <c r="AR19" s="1">
        <f>AE18</f>
      </c>
      <c r="AS19" s="1">
        <f>X18</f>
      </c>
      <c r="AT19" s="1">
        <f>U18</f>
      </c>
      <c r="AU19" s="1">
        <f>V18</f>
      </c>
    </row>
    <row r="20" spans="1:47" x14ac:dyDescent="0.25">
      <c r="A20" s="17">
        <f>IF(MONTH(DATE(Jahr,1,16))=1,DATE(Jahr,1,16),"")</f>
      </c>
      <c r="B20" s="13">
        <f>IF(A20="","",CHOOSE(WEEKDAY(A20,2),"Mo","Di","Mi","Do","Fr","Sa","So"))</f>
      </c>
      <c r="C20" s="18"/>
      <c r="D20" s="18"/>
      <c r="E20" s="7"/>
      <c r="F20" s="7"/>
      <c r="G20" s="7"/>
      <c r="H20" s="19"/>
      <c r="I20" s="19"/>
      <c r="J20" s="19"/>
      <c r="K20" s="9"/>
      <c r="L20" s="20">
        <f>IF(OR(AD20=0,AF20&lt;&gt;"",AND(W20=1,V20&gt;0,OR(T20=1,U20=1))),"",AE20/1440)</f>
      </c>
      <c r="M20" s="21">
        <f>IF(OR(AD20=0,AF20&lt;&gt;""),"",AJ20)</f>
      </c>
      <c r="N20" s="21">
        <f>IF(AK20=0,"",AK20)</f>
      </c>
      <c r="O20" s="21">
        <f>IF(OR(AD20=0,AF20&lt;&gt;""),"",AJ20-AK20)</f>
      </c>
      <c r="P20" s="21">
        <f>IF(AND(AD20=1,AF20="",V20=2),AI20,"")</f>
      </c>
      <c r="Q20" s="21">
        <f>IF(OR($A20="",N(K20)=0),"",ROUND(K20*KmSatz,2))</f>
      </c>
      <c r="R20" s="22">
        <f>IF(AF20&amp;AL20="","",LEFT(AF20&amp;AL20,LEN(AF20&amp;AL20)-2))</f>
      </c>
      <c r="S20" s="1"/>
      <c r="T20" s="1">
        <f>IF(AND($A20&lt;&gt;"",ISNUMBER(C20)),1,0)</f>
      </c>
      <c r="U20" s="1">
        <f>IF(AND($A20&lt;&gt;"",ISNUMBER(D20)),1,0)</f>
      </c>
      <c r="V20" s="1">
        <f>IF($A20="",0,IF(E20="ja",1,IF(E20="Pauschale",2,0)))</f>
      </c>
      <c r="W20" s="1">
        <f>IF($A20="",0,IF(AU20&gt;0,1,0))</f>
      </c>
      <c r="X20" s="1">
        <f>IF(AND(T20=1,W20=0),1,0)</f>
      </c>
      <c r="Y20" s="1">
        <f>IF(AND(AS20=1,AT20=0,AU20=0),1,0)</f>
      </c>
      <c r="Z20" s="1">
        <f>IF(AND(Y20=1,T20=0,U20=1,V20=0),1,0)</f>
      </c>
      <c r="AA20" s="1">
        <f>IF(AND(X20=1,U20=0,V20=0,AN20=0,AO20=1,AP20=0),1,0)</f>
      </c>
      <c r="AB20" s="1">
        <f>IF(OR(W20=1,Z20=1),0,IF(T20=1,C20,0))</f>
      </c>
      <c r="AC20" s="1">
        <f>IF(OR(V20&gt;0,AA20=1),1,IF(U20=1,D20,1))</f>
      </c>
      <c r="AD20" s="1">
        <f>IF($A20="",0,IF(OR(T20=1,U20=1,V20&gt;0,W20=1),1,0))</f>
      </c>
      <c r="AE20" s="1">
        <f>IF(AD20=0,0,ROUND((AC20-AB20)*1440,0))</f>
      </c>
      <c r="AF20" s="1">
        <f>IF(AD20=0,"",IF(AND(F20&lt;&gt;"",ISNA(MATCH(F20,PauschLand,0))),"Land nicht in der Liste; ","")&amp;IF(AND(T20=0,W20=0,Z20=0),"Beginn fehlt; ","")&amp;IF(AND(V20=0,U20=0,AA20=0),"Ende fehlt; ","")&amp;IF(AND(X20=1,U20=1,V20=0,N(D20)&lt;N(C20)),"Ende vor Beginn (über Mitternacht: Ende in die Zeile des Folgetags); ",""))</f>
      </c>
      <c r="AG20" s="1">
        <f>IF(AD20=0,0,IFERROR(VLOOKUP(IF(F20="","Deutschland",F20),PauschTab,2,FALSE),0))</f>
      </c>
      <c r="AH20" s="1">
        <f>IF(AD20=0,0,IFERROR(VLOOKUP(IF(F20="","Deutschland",F20),PauschTab,3,FALSE),0))</f>
      </c>
      <c r="AI20" s="1">
        <f>IF(AD20=0,0,IFERROR(VLOOKUP(IF(F20="","Deutschland",F20),PauschTab,4,FALSE),0))</f>
      </c>
      <c r="AJ20" s="1">
        <f>IF(OR(AD20=0,AF20&lt;&gt;""),0,IF(AND(W20=1,V20&gt;0),IF(OR(T20=1,U20=1),AH20,AG20),IF(OR(W20=1,V20&gt;0),AH20,IF(AA20=1,IF(AND(AE20+AQ20&gt;480,AE20&gt;=AQ20),AH20,0),IF(Z20=1,IF(AND(AR20+AE20&gt;480,AE20&gt;AR20),AH20,0),IF(AE20&gt;480,AH20,0))))))</f>
      </c>
      <c r="AK20" s="1">
        <f>MIN(AJ20,AM20)</f>
      </c>
      <c r="AL20" s="1">
        <f>IF(OR(AD20=0,AF20&lt;&gt;""),"",IF(AND(W20=0,V20=0,AA20=0,Z20=0,AE20&lt;=480),"nicht mehr als 8 Std.; ","")&amp;IF(AA20=1,IF(AJ20&gt;0,"über Mitternacht, zusammen "&amp;TEXT((AE20+AQ20)/1440,"[h]:mm")&amp;" Std.; ",IF(AE20+AQ20&gt;480,"über Mitternacht: Pauschale am Folgetag; ","über Mitternacht, zusammen nicht mehr als 8 Std.; ")),"")&amp;IF(Z20=1,IF(AJ20&gt;0,"über Mitternacht, zusammen "&amp;TEXT((AR20+AE20)/1440,"[h]:mm")&amp;" Std.; ",IF(AR20+AE20&gt;480,"über Mitternacht: Pauschale am Vortag; ","über Mitternacht, zusammen nicht mehr als 8 Std.; ")),"")&amp;IF(AND(W20=1,V20&gt;0,OR(T20=1,U20=1)),"zwischendurch zu Hause: An- und Abreisetag; ","")&amp;IF(AND(W20=1,V20=0,T20=1),"Beginn leer lassen: unterwegs seit dem Vortag; ","")&amp;IF(AND(W20=0,V20&gt;0,U20=1),"Ende leer lassen: Übernachtung; ","")&amp;IF(AND(AJ20&gt;0,AM20&gt;AJ20),"Kürzung auf die Pauschale begrenzt; ",""))</f>
      </c>
      <c r="AM20" s="1">
        <f>ROUND(AG20*(IF(H20&lt;&gt;"",0.2,0)+IF(I20&lt;&gt;"",0.4,0)+IF(J20&lt;&gt;"",0.4,0)),2)</f>
      </c>
      <c r="AN20" s="1">
        <f>IF($A21="",'Februar'!$T$5,T21)</f>
      </c>
      <c r="AO20" s="1">
        <f>IF($A21="",'Februar'!$U$5,U21)</f>
      </c>
      <c r="AP20" s="1">
        <f>IF($A21="",'Februar'!$V$5,V21)</f>
      </c>
      <c r="AQ20" s="1">
        <f>IF($A21="",'Februar'!$AE$5,AE21)</f>
      </c>
      <c r="AR20" s="1">
        <f>AE19</f>
      </c>
      <c r="AS20" s="1">
        <f>X19</f>
      </c>
      <c r="AT20" s="1">
        <f>U19</f>
      </c>
      <c r="AU20" s="1">
        <f>V19</f>
      </c>
    </row>
    <row r="21" spans="1:47" x14ac:dyDescent="0.25">
      <c r="A21" s="17">
        <f>IF(MONTH(DATE(Jahr,1,17))=1,DATE(Jahr,1,17),"")</f>
      </c>
      <c r="B21" s="13">
        <f>IF(A21="","",CHOOSE(WEEKDAY(A21,2),"Mo","Di","Mi","Do","Fr","Sa","So"))</f>
      </c>
      <c r="C21" s="18"/>
      <c r="D21" s="18"/>
      <c r="E21" s="7"/>
      <c r="F21" s="7"/>
      <c r="G21" s="7"/>
      <c r="H21" s="19"/>
      <c r="I21" s="19"/>
      <c r="J21" s="19"/>
      <c r="K21" s="9"/>
      <c r="L21" s="20">
        <f>IF(OR(AD21=0,AF21&lt;&gt;"",AND(W21=1,V21&gt;0,OR(T21=1,U21=1))),"",AE21/1440)</f>
      </c>
      <c r="M21" s="21">
        <f>IF(OR(AD21=0,AF21&lt;&gt;""),"",AJ21)</f>
      </c>
      <c r="N21" s="21">
        <f>IF(AK21=0,"",AK21)</f>
      </c>
      <c r="O21" s="21">
        <f>IF(OR(AD21=0,AF21&lt;&gt;""),"",AJ21-AK21)</f>
      </c>
      <c r="P21" s="21">
        <f>IF(AND(AD21=1,AF21="",V21=2),AI21,"")</f>
      </c>
      <c r="Q21" s="21">
        <f>IF(OR($A21="",N(K21)=0),"",ROUND(K21*KmSatz,2))</f>
      </c>
      <c r="R21" s="22">
        <f>IF(AF21&amp;AL21="","",LEFT(AF21&amp;AL21,LEN(AF21&amp;AL21)-2))</f>
      </c>
      <c r="S21" s="1"/>
      <c r="T21" s="1">
        <f>IF(AND($A21&lt;&gt;"",ISNUMBER(C21)),1,0)</f>
      </c>
      <c r="U21" s="1">
        <f>IF(AND($A21&lt;&gt;"",ISNUMBER(D21)),1,0)</f>
      </c>
      <c r="V21" s="1">
        <f>IF($A21="",0,IF(E21="ja",1,IF(E21="Pauschale",2,0)))</f>
      </c>
      <c r="W21" s="1">
        <f>IF($A21="",0,IF(AU21&gt;0,1,0))</f>
      </c>
      <c r="X21" s="1">
        <f>IF(AND(T21=1,W21=0),1,0)</f>
      </c>
      <c r="Y21" s="1">
        <f>IF(AND(AS21=1,AT21=0,AU21=0),1,0)</f>
      </c>
      <c r="Z21" s="1">
        <f>IF(AND(Y21=1,T21=0,U21=1,V21=0),1,0)</f>
      </c>
      <c r="AA21" s="1">
        <f>IF(AND(X21=1,U21=0,V21=0,AN21=0,AO21=1,AP21=0),1,0)</f>
      </c>
      <c r="AB21" s="1">
        <f>IF(OR(W21=1,Z21=1),0,IF(T21=1,C21,0))</f>
      </c>
      <c r="AC21" s="1">
        <f>IF(OR(V21&gt;0,AA21=1),1,IF(U21=1,D21,1))</f>
      </c>
      <c r="AD21" s="1">
        <f>IF($A21="",0,IF(OR(T21=1,U21=1,V21&gt;0,W21=1),1,0))</f>
      </c>
      <c r="AE21" s="1">
        <f>IF(AD21=0,0,ROUND((AC21-AB21)*1440,0))</f>
      </c>
      <c r="AF21" s="1">
        <f>IF(AD21=0,"",IF(AND(F21&lt;&gt;"",ISNA(MATCH(F21,PauschLand,0))),"Land nicht in der Liste; ","")&amp;IF(AND(T21=0,W21=0,Z21=0),"Beginn fehlt; ","")&amp;IF(AND(V21=0,U21=0,AA21=0),"Ende fehlt; ","")&amp;IF(AND(X21=1,U21=1,V21=0,N(D21)&lt;N(C21)),"Ende vor Beginn (über Mitternacht: Ende in die Zeile des Folgetags); ",""))</f>
      </c>
      <c r="AG21" s="1">
        <f>IF(AD21=0,0,IFERROR(VLOOKUP(IF(F21="","Deutschland",F21),PauschTab,2,FALSE),0))</f>
      </c>
      <c r="AH21" s="1">
        <f>IF(AD21=0,0,IFERROR(VLOOKUP(IF(F21="","Deutschland",F21),PauschTab,3,FALSE),0))</f>
      </c>
      <c r="AI21" s="1">
        <f>IF(AD21=0,0,IFERROR(VLOOKUP(IF(F21="","Deutschland",F21),PauschTab,4,FALSE),0))</f>
      </c>
      <c r="AJ21" s="1">
        <f>IF(OR(AD21=0,AF21&lt;&gt;""),0,IF(AND(W21=1,V21&gt;0),IF(OR(T21=1,U21=1),AH21,AG21),IF(OR(W21=1,V21&gt;0),AH21,IF(AA21=1,IF(AND(AE21+AQ21&gt;480,AE21&gt;=AQ21),AH21,0),IF(Z21=1,IF(AND(AR21+AE21&gt;480,AE21&gt;AR21),AH21,0),IF(AE21&gt;480,AH21,0))))))</f>
      </c>
      <c r="AK21" s="1">
        <f>MIN(AJ21,AM21)</f>
      </c>
      <c r="AL21" s="1">
        <f>IF(OR(AD21=0,AF21&lt;&gt;""),"",IF(AND(W21=0,V21=0,AA21=0,Z21=0,AE21&lt;=480),"nicht mehr als 8 Std.; ","")&amp;IF(AA21=1,IF(AJ21&gt;0,"über Mitternacht, zusammen "&amp;TEXT((AE21+AQ21)/1440,"[h]:mm")&amp;" Std.; ",IF(AE21+AQ21&gt;480,"über Mitternacht: Pauschale am Folgetag; ","über Mitternacht, zusammen nicht mehr als 8 Std.; ")),"")&amp;IF(Z21=1,IF(AJ21&gt;0,"über Mitternacht, zusammen "&amp;TEXT((AR21+AE21)/1440,"[h]:mm")&amp;" Std.; ",IF(AR21+AE21&gt;480,"über Mitternacht: Pauschale am Vortag; ","über Mitternacht, zusammen nicht mehr als 8 Std.; ")),"")&amp;IF(AND(W21=1,V21&gt;0,OR(T21=1,U21=1)),"zwischendurch zu Hause: An- und Abreisetag; ","")&amp;IF(AND(W21=1,V21=0,T21=1),"Beginn leer lassen: unterwegs seit dem Vortag; ","")&amp;IF(AND(W21=0,V21&gt;0,U21=1),"Ende leer lassen: Übernachtung; ","")&amp;IF(AND(AJ21&gt;0,AM21&gt;AJ21),"Kürzung auf die Pauschale begrenzt; ",""))</f>
      </c>
      <c r="AM21" s="1">
        <f>ROUND(AG21*(IF(H21&lt;&gt;"",0.2,0)+IF(I21&lt;&gt;"",0.4,0)+IF(J21&lt;&gt;"",0.4,0)),2)</f>
      </c>
      <c r="AN21" s="1">
        <f>IF($A22="",'Februar'!$T$5,T22)</f>
      </c>
      <c r="AO21" s="1">
        <f>IF($A22="",'Februar'!$U$5,U22)</f>
      </c>
      <c r="AP21" s="1">
        <f>IF($A22="",'Februar'!$V$5,V22)</f>
      </c>
      <c r="AQ21" s="1">
        <f>IF($A22="",'Februar'!$AE$5,AE22)</f>
      </c>
      <c r="AR21" s="1">
        <f>AE20</f>
      </c>
      <c r="AS21" s="1">
        <f>X20</f>
      </c>
      <c r="AT21" s="1">
        <f>U20</f>
      </c>
      <c r="AU21" s="1">
        <f>V20</f>
      </c>
    </row>
    <row r="22" spans="1:47" x14ac:dyDescent="0.25">
      <c r="A22" s="17">
        <f>IF(MONTH(DATE(Jahr,1,18))=1,DATE(Jahr,1,18),"")</f>
      </c>
      <c r="B22" s="13">
        <f>IF(A22="","",CHOOSE(WEEKDAY(A22,2),"Mo","Di","Mi","Do","Fr","Sa","So"))</f>
      </c>
      <c r="C22" s="18"/>
      <c r="D22" s="18"/>
      <c r="E22" s="7"/>
      <c r="F22" s="7"/>
      <c r="G22" s="7"/>
      <c r="H22" s="19"/>
      <c r="I22" s="19"/>
      <c r="J22" s="19"/>
      <c r="K22" s="9"/>
      <c r="L22" s="20">
        <f>IF(OR(AD22=0,AF22&lt;&gt;"",AND(W22=1,V22&gt;0,OR(T22=1,U22=1))),"",AE22/1440)</f>
      </c>
      <c r="M22" s="21">
        <f>IF(OR(AD22=0,AF22&lt;&gt;""),"",AJ22)</f>
      </c>
      <c r="N22" s="21">
        <f>IF(AK22=0,"",AK22)</f>
      </c>
      <c r="O22" s="21">
        <f>IF(OR(AD22=0,AF22&lt;&gt;""),"",AJ22-AK22)</f>
      </c>
      <c r="P22" s="21">
        <f>IF(AND(AD22=1,AF22="",V22=2),AI22,"")</f>
      </c>
      <c r="Q22" s="21">
        <f>IF(OR($A22="",N(K22)=0),"",ROUND(K22*KmSatz,2))</f>
      </c>
      <c r="R22" s="22">
        <f>IF(AF22&amp;AL22="","",LEFT(AF22&amp;AL22,LEN(AF22&amp;AL22)-2))</f>
      </c>
      <c r="S22" s="1"/>
      <c r="T22" s="1">
        <f>IF(AND($A22&lt;&gt;"",ISNUMBER(C22)),1,0)</f>
      </c>
      <c r="U22" s="1">
        <f>IF(AND($A22&lt;&gt;"",ISNUMBER(D22)),1,0)</f>
      </c>
      <c r="V22" s="1">
        <f>IF($A22="",0,IF(E22="ja",1,IF(E22="Pauschale",2,0)))</f>
      </c>
      <c r="W22" s="1">
        <f>IF($A22="",0,IF(AU22&gt;0,1,0))</f>
      </c>
      <c r="X22" s="1">
        <f>IF(AND(T22=1,W22=0),1,0)</f>
      </c>
      <c r="Y22" s="1">
        <f>IF(AND(AS22=1,AT22=0,AU22=0),1,0)</f>
      </c>
      <c r="Z22" s="1">
        <f>IF(AND(Y22=1,T22=0,U22=1,V22=0),1,0)</f>
      </c>
      <c r="AA22" s="1">
        <f>IF(AND(X22=1,U22=0,V22=0,AN22=0,AO22=1,AP22=0),1,0)</f>
      </c>
      <c r="AB22" s="1">
        <f>IF(OR(W22=1,Z22=1),0,IF(T22=1,C22,0))</f>
      </c>
      <c r="AC22" s="1">
        <f>IF(OR(V22&gt;0,AA22=1),1,IF(U22=1,D22,1))</f>
      </c>
      <c r="AD22" s="1">
        <f>IF($A22="",0,IF(OR(T22=1,U22=1,V22&gt;0,W22=1),1,0))</f>
      </c>
      <c r="AE22" s="1">
        <f>IF(AD22=0,0,ROUND((AC22-AB22)*1440,0))</f>
      </c>
      <c r="AF22" s="1">
        <f>IF(AD22=0,"",IF(AND(F22&lt;&gt;"",ISNA(MATCH(F22,PauschLand,0))),"Land nicht in der Liste; ","")&amp;IF(AND(T22=0,W22=0,Z22=0),"Beginn fehlt; ","")&amp;IF(AND(V22=0,U22=0,AA22=0),"Ende fehlt; ","")&amp;IF(AND(X22=1,U22=1,V22=0,N(D22)&lt;N(C22)),"Ende vor Beginn (über Mitternacht: Ende in die Zeile des Folgetags); ",""))</f>
      </c>
      <c r="AG22" s="1">
        <f>IF(AD22=0,0,IFERROR(VLOOKUP(IF(F22="","Deutschland",F22),PauschTab,2,FALSE),0))</f>
      </c>
      <c r="AH22" s="1">
        <f>IF(AD22=0,0,IFERROR(VLOOKUP(IF(F22="","Deutschland",F22),PauschTab,3,FALSE),0))</f>
      </c>
      <c r="AI22" s="1">
        <f>IF(AD22=0,0,IFERROR(VLOOKUP(IF(F22="","Deutschland",F22),PauschTab,4,FALSE),0))</f>
      </c>
      <c r="AJ22" s="1">
        <f>IF(OR(AD22=0,AF22&lt;&gt;""),0,IF(AND(W22=1,V22&gt;0),IF(OR(T22=1,U22=1),AH22,AG22),IF(OR(W22=1,V22&gt;0),AH22,IF(AA22=1,IF(AND(AE22+AQ22&gt;480,AE22&gt;=AQ22),AH22,0),IF(Z22=1,IF(AND(AR22+AE22&gt;480,AE22&gt;AR22),AH22,0),IF(AE22&gt;480,AH22,0))))))</f>
      </c>
      <c r="AK22" s="1">
        <f>MIN(AJ22,AM22)</f>
      </c>
      <c r="AL22" s="1">
        <f>IF(OR(AD22=0,AF22&lt;&gt;""),"",IF(AND(W22=0,V22=0,AA22=0,Z22=0,AE22&lt;=480),"nicht mehr als 8 Std.; ","")&amp;IF(AA22=1,IF(AJ22&gt;0,"über Mitternacht, zusammen "&amp;TEXT((AE22+AQ22)/1440,"[h]:mm")&amp;" Std.; ",IF(AE22+AQ22&gt;480,"über Mitternacht: Pauschale am Folgetag; ","über Mitternacht, zusammen nicht mehr als 8 Std.; ")),"")&amp;IF(Z22=1,IF(AJ22&gt;0,"über Mitternacht, zusammen "&amp;TEXT((AR22+AE22)/1440,"[h]:mm")&amp;" Std.; ",IF(AR22+AE22&gt;480,"über Mitternacht: Pauschale am Vortag; ","über Mitternacht, zusammen nicht mehr als 8 Std.; ")),"")&amp;IF(AND(W22=1,V22&gt;0,OR(T22=1,U22=1)),"zwischendurch zu Hause: An- und Abreisetag; ","")&amp;IF(AND(W22=1,V22=0,T22=1),"Beginn leer lassen: unterwegs seit dem Vortag; ","")&amp;IF(AND(W22=0,V22&gt;0,U22=1),"Ende leer lassen: Übernachtung; ","")&amp;IF(AND(AJ22&gt;0,AM22&gt;AJ22),"Kürzung auf die Pauschale begrenzt; ",""))</f>
      </c>
      <c r="AM22" s="1">
        <f>ROUND(AG22*(IF(H22&lt;&gt;"",0.2,0)+IF(I22&lt;&gt;"",0.4,0)+IF(J22&lt;&gt;"",0.4,0)),2)</f>
      </c>
      <c r="AN22" s="1">
        <f>IF($A23="",'Februar'!$T$5,T23)</f>
      </c>
      <c r="AO22" s="1">
        <f>IF($A23="",'Februar'!$U$5,U23)</f>
      </c>
      <c r="AP22" s="1">
        <f>IF($A23="",'Februar'!$V$5,V23)</f>
      </c>
      <c r="AQ22" s="1">
        <f>IF($A23="",'Februar'!$AE$5,AE23)</f>
      </c>
      <c r="AR22" s="1">
        <f>AE21</f>
      </c>
      <c r="AS22" s="1">
        <f>X21</f>
      </c>
      <c r="AT22" s="1">
        <f>U21</f>
      </c>
      <c r="AU22" s="1">
        <f>V21</f>
      </c>
    </row>
    <row r="23" spans="1:47" x14ac:dyDescent="0.25">
      <c r="A23" s="17">
        <f>IF(MONTH(DATE(Jahr,1,19))=1,DATE(Jahr,1,19),"")</f>
      </c>
      <c r="B23" s="13">
        <f>IF(A23="","",CHOOSE(WEEKDAY(A23,2),"Mo","Di","Mi","Do","Fr","Sa","So"))</f>
      </c>
      <c r="C23" s="18"/>
      <c r="D23" s="18"/>
      <c r="E23" s="7"/>
      <c r="F23" s="7"/>
      <c r="G23" s="7"/>
      <c r="H23" s="19"/>
      <c r="I23" s="19"/>
      <c r="J23" s="19"/>
      <c r="K23" s="9"/>
      <c r="L23" s="20">
        <f>IF(OR(AD23=0,AF23&lt;&gt;"",AND(W23=1,V23&gt;0,OR(T23=1,U23=1))),"",AE23/1440)</f>
      </c>
      <c r="M23" s="21">
        <f>IF(OR(AD23=0,AF23&lt;&gt;""),"",AJ23)</f>
      </c>
      <c r="N23" s="21">
        <f>IF(AK23=0,"",AK23)</f>
      </c>
      <c r="O23" s="21">
        <f>IF(OR(AD23=0,AF23&lt;&gt;""),"",AJ23-AK23)</f>
      </c>
      <c r="P23" s="21">
        <f>IF(AND(AD23=1,AF23="",V23=2),AI23,"")</f>
      </c>
      <c r="Q23" s="21">
        <f>IF(OR($A23="",N(K23)=0),"",ROUND(K23*KmSatz,2))</f>
      </c>
      <c r="R23" s="22">
        <f>IF(AF23&amp;AL23="","",LEFT(AF23&amp;AL23,LEN(AF23&amp;AL23)-2))</f>
      </c>
      <c r="S23" s="1"/>
      <c r="T23" s="1">
        <f>IF(AND($A23&lt;&gt;"",ISNUMBER(C23)),1,0)</f>
      </c>
      <c r="U23" s="1">
        <f>IF(AND($A23&lt;&gt;"",ISNUMBER(D23)),1,0)</f>
      </c>
      <c r="V23" s="1">
        <f>IF($A23="",0,IF(E23="ja",1,IF(E23="Pauschale",2,0)))</f>
      </c>
      <c r="W23" s="1">
        <f>IF($A23="",0,IF(AU23&gt;0,1,0))</f>
      </c>
      <c r="X23" s="1">
        <f>IF(AND(T23=1,W23=0),1,0)</f>
      </c>
      <c r="Y23" s="1">
        <f>IF(AND(AS23=1,AT23=0,AU23=0),1,0)</f>
      </c>
      <c r="Z23" s="1">
        <f>IF(AND(Y23=1,T23=0,U23=1,V23=0),1,0)</f>
      </c>
      <c r="AA23" s="1">
        <f>IF(AND(X23=1,U23=0,V23=0,AN23=0,AO23=1,AP23=0),1,0)</f>
      </c>
      <c r="AB23" s="1">
        <f>IF(OR(W23=1,Z23=1),0,IF(T23=1,C23,0))</f>
      </c>
      <c r="AC23" s="1">
        <f>IF(OR(V23&gt;0,AA23=1),1,IF(U23=1,D23,1))</f>
      </c>
      <c r="AD23" s="1">
        <f>IF($A23="",0,IF(OR(T23=1,U23=1,V23&gt;0,W23=1),1,0))</f>
      </c>
      <c r="AE23" s="1">
        <f>IF(AD23=0,0,ROUND((AC23-AB23)*1440,0))</f>
      </c>
      <c r="AF23" s="1">
        <f>IF(AD23=0,"",IF(AND(F23&lt;&gt;"",ISNA(MATCH(F23,PauschLand,0))),"Land nicht in der Liste; ","")&amp;IF(AND(T23=0,W23=0,Z23=0),"Beginn fehlt; ","")&amp;IF(AND(V23=0,U23=0,AA23=0),"Ende fehlt; ","")&amp;IF(AND(X23=1,U23=1,V23=0,N(D23)&lt;N(C23)),"Ende vor Beginn (über Mitternacht: Ende in die Zeile des Folgetags); ",""))</f>
      </c>
      <c r="AG23" s="1">
        <f>IF(AD23=0,0,IFERROR(VLOOKUP(IF(F23="","Deutschland",F23),PauschTab,2,FALSE),0))</f>
      </c>
      <c r="AH23" s="1">
        <f>IF(AD23=0,0,IFERROR(VLOOKUP(IF(F23="","Deutschland",F23),PauschTab,3,FALSE),0))</f>
      </c>
      <c r="AI23" s="1">
        <f>IF(AD23=0,0,IFERROR(VLOOKUP(IF(F23="","Deutschland",F23),PauschTab,4,FALSE),0))</f>
      </c>
      <c r="AJ23" s="1">
        <f>IF(OR(AD23=0,AF23&lt;&gt;""),0,IF(AND(W23=1,V23&gt;0),IF(OR(T23=1,U23=1),AH23,AG23),IF(OR(W23=1,V23&gt;0),AH23,IF(AA23=1,IF(AND(AE23+AQ23&gt;480,AE23&gt;=AQ23),AH23,0),IF(Z23=1,IF(AND(AR23+AE23&gt;480,AE23&gt;AR23),AH23,0),IF(AE23&gt;480,AH23,0))))))</f>
      </c>
      <c r="AK23" s="1">
        <f>MIN(AJ23,AM23)</f>
      </c>
      <c r="AL23" s="1">
        <f>IF(OR(AD23=0,AF23&lt;&gt;""),"",IF(AND(W23=0,V23=0,AA23=0,Z23=0,AE23&lt;=480),"nicht mehr als 8 Std.; ","")&amp;IF(AA23=1,IF(AJ23&gt;0,"über Mitternacht, zusammen "&amp;TEXT((AE23+AQ23)/1440,"[h]:mm")&amp;" Std.; ",IF(AE23+AQ23&gt;480,"über Mitternacht: Pauschale am Folgetag; ","über Mitternacht, zusammen nicht mehr als 8 Std.; ")),"")&amp;IF(Z23=1,IF(AJ23&gt;0,"über Mitternacht, zusammen "&amp;TEXT((AR23+AE23)/1440,"[h]:mm")&amp;" Std.; ",IF(AR23+AE23&gt;480,"über Mitternacht: Pauschale am Vortag; ","über Mitternacht, zusammen nicht mehr als 8 Std.; ")),"")&amp;IF(AND(W23=1,V23&gt;0,OR(T23=1,U23=1)),"zwischendurch zu Hause: An- und Abreisetag; ","")&amp;IF(AND(W23=1,V23=0,T23=1),"Beginn leer lassen: unterwegs seit dem Vortag; ","")&amp;IF(AND(W23=0,V23&gt;0,U23=1),"Ende leer lassen: Übernachtung; ","")&amp;IF(AND(AJ23&gt;0,AM23&gt;AJ23),"Kürzung auf die Pauschale begrenzt; ",""))</f>
      </c>
      <c r="AM23" s="1">
        <f>ROUND(AG23*(IF(H23&lt;&gt;"",0.2,0)+IF(I23&lt;&gt;"",0.4,0)+IF(J23&lt;&gt;"",0.4,0)),2)</f>
      </c>
      <c r="AN23" s="1">
        <f>IF($A24="",'Februar'!$T$5,T24)</f>
      </c>
      <c r="AO23" s="1">
        <f>IF($A24="",'Februar'!$U$5,U24)</f>
      </c>
      <c r="AP23" s="1">
        <f>IF($A24="",'Februar'!$V$5,V24)</f>
      </c>
      <c r="AQ23" s="1">
        <f>IF($A24="",'Februar'!$AE$5,AE24)</f>
      </c>
      <c r="AR23" s="1">
        <f>AE22</f>
      </c>
      <c r="AS23" s="1">
        <f>X22</f>
      </c>
      <c r="AT23" s="1">
        <f>U22</f>
      </c>
      <c r="AU23" s="1">
        <f>V22</f>
      </c>
    </row>
    <row r="24" spans="1:47" x14ac:dyDescent="0.25">
      <c r="A24" s="17">
        <f>IF(MONTH(DATE(Jahr,1,20))=1,DATE(Jahr,1,20),"")</f>
      </c>
      <c r="B24" s="13">
        <f>IF(A24="","",CHOOSE(WEEKDAY(A24,2),"Mo","Di","Mi","Do","Fr","Sa","So"))</f>
      </c>
      <c r="C24" s="18"/>
      <c r="D24" s="18"/>
      <c r="E24" s="7"/>
      <c r="F24" s="7"/>
      <c r="G24" s="7"/>
      <c r="H24" s="19"/>
      <c r="I24" s="19"/>
      <c r="J24" s="19"/>
      <c r="K24" s="9"/>
      <c r="L24" s="20">
        <f>IF(OR(AD24=0,AF24&lt;&gt;"",AND(W24=1,V24&gt;0,OR(T24=1,U24=1))),"",AE24/1440)</f>
      </c>
      <c r="M24" s="21">
        <f>IF(OR(AD24=0,AF24&lt;&gt;""),"",AJ24)</f>
      </c>
      <c r="N24" s="21">
        <f>IF(AK24=0,"",AK24)</f>
      </c>
      <c r="O24" s="21">
        <f>IF(OR(AD24=0,AF24&lt;&gt;""),"",AJ24-AK24)</f>
      </c>
      <c r="P24" s="21">
        <f>IF(AND(AD24=1,AF24="",V24=2),AI24,"")</f>
      </c>
      <c r="Q24" s="21">
        <f>IF(OR($A24="",N(K24)=0),"",ROUND(K24*KmSatz,2))</f>
      </c>
      <c r="R24" s="22">
        <f>IF(AF24&amp;AL24="","",LEFT(AF24&amp;AL24,LEN(AF24&amp;AL24)-2))</f>
      </c>
      <c r="S24" s="1"/>
      <c r="T24" s="1">
        <f>IF(AND($A24&lt;&gt;"",ISNUMBER(C24)),1,0)</f>
      </c>
      <c r="U24" s="1">
        <f>IF(AND($A24&lt;&gt;"",ISNUMBER(D24)),1,0)</f>
      </c>
      <c r="V24" s="1">
        <f>IF($A24="",0,IF(E24="ja",1,IF(E24="Pauschale",2,0)))</f>
      </c>
      <c r="W24" s="1">
        <f>IF($A24="",0,IF(AU24&gt;0,1,0))</f>
      </c>
      <c r="X24" s="1">
        <f>IF(AND(T24=1,W24=0),1,0)</f>
      </c>
      <c r="Y24" s="1">
        <f>IF(AND(AS24=1,AT24=0,AU24=0),1,0)</f>
      </c>
      <c r="Z24" s="1">
        <f>IF(AND(Y24=1,T24=0,U24=1,V24=0),1,0)</f>
      </c>
      <c r="AA24" s="1">
        <f>IF(AND(X24=1,U24=0,V24=0,AN24=0,AO24=1,AP24=0),1,0)</f>
      </c>
      <c r="AB24" s="1">
        <f>IF(OR(W24=1,Z24=1),0,IF(T24=1,C24,0))</f>
      </c>
      <c r="AC24" s="1">
        <f>IF(OR(V24&gt;0,AA24=1),1,IF(U24=1,D24,1))</f>
      </c>
      <c r="AD24" s="1">
        <f>IF($A24="",0,IF(OR(T24=1,U24=1,V24&gt;0,W24=1),1,0))</f>
      </c>
      <c r="AE24" s="1">
        <f>IF(AD24=0,0,ROUND((AC24-AB24)*1440,0))</f>
      </c>
      <c r="AF24" s="1">
        <f>IF(AD24=0,"",IF(AND(F24&lt;&gt;"",ISNA(MATCH(F24,PauschLand,0))),"Land nicht in der Liste; ","")&amp;IF(AND(T24=0,W24=0,Z24=0),"Beginn fehlt; ","")&amp;IF(AND(V24=0,U24=0,AA24=0),"Ende fehlt; ","")&amp;IF(AND(X24=1,U24=1,V24=0,N(D24)&lt;N(C24)),"Ende vor Beginn (über Mitternacht: Ende in die Zeile des Folgetags); ",""))</f>
      </c>
      <c r="AG24" s="1">
        <f>IF(AD24=0,0,IFERROR(VLOOKUP(IF(F24="","Deutschland",F24),PauschTab,2,FALSE),0))</f>
      </c>
      <c r="AH24" s="1">
        <f>IF(AD24=0,0,IFERROR(VLOOKUP(IF(F24="","Deutschland",F24),PauschTab,3,FALSE),0))</f>
      </c>
      <c r="AI24" s="1">
        <f>IF(AD24=0,0,IFERROR(VLOOKUP(IF(F24="","Deutschland",F24),PauschTab,4,FALSE),0))</f>
      </c>
      <c r="AJ24" s="1">
        <f>IF(OR(AD24=0,AF24&lt;&gt;""),0,IF(AND(W24=1,V24&gt;0),IF(OR(T24=1,U24=1),AH24,AG24),IF(OR(W24=1,V24&gt;0),AH24,IF(AA24=1,IF(AND(AE24+AQ24&gt;480,AE24&gt;=AQ24),AH24,0),IF(Z24=1,IF(AND(AR24+AE24&gt;480,AE24&gt;AR24),AH24,0),IF(AE24&gt;480,AH24,0))))))</f>
      </c>
      <c r="AK24" s="1">
        <f>MIN(AJ24,AM24)</f>
      </c>
      <c r="AL24" s="1">
        <f>IF(OR(AD24=0,AF24&lt;&gt;""),"",IF(AND(W24=0,V24=0,AA24=0,Z24=0,AE24&lt;=480),"nicht mehr als 8 Std.; ","")&amp;IF(AA24=1,IF(AJ24&gt;0,"über Mitternacht, zusammen "&amp;TEXT((AE24+AQ24)/1440,"[h]:mm")&amp;" Std.; ",IF(AE24+AQ24&gt;480,"über Mitternacht: Pauschale am Folgetag; ","über Mitternacht, zusammen nicht mehr als 8 Std.; ")),"")&amp;IF(Z24=1,IF(AJ24&gt;0,"über Mitternacht, zusammen "&amp;TEXT((AR24+AE24)/1440,"[h]:mm")&amp;" Std.; ",IF(AR24+AE24&gt;480,"über Mitternacht: Pauschale am Vortag; ","über Mitternacht, zusammen nicht mehr als 8 Std.; ")),"")&amp;IF(AND(W24=1,V24&gt;0,OR(T24=1,U24=1)),"zwischendurch zu Hause: An- und Abreisetag; ","")&amp;IF(AND(W24=1,V24=0,T24=1),"Beginn leer lassen: unterwegs seit dem Vortag; ","")&amp;IF(AND(W24=0,V24&gt;0,U24=1),"Ende leer lassen: Übernachtung; ","")&amp;IF(AND(AJ24&gt;0,AM24&gt;AJ24),"Kürzung auf die Pauschale begrenzt; ",""))</f>
      </c>
      <c r="AM24" s="1">
        <f>ROUND(AG24*(IF(H24&lt;&gt;"",0.2,0)+IF(I24&lt;&gt;"",0.4,0)+IF(J24&lt;&gt;"",0.4,0)),2)</f>
      </c>
      <c r="AN24" s="1">
        <f>IF($A25="",'Februar'!$T$5,T25)</f>
      </c>
      <c r="AO24" s="1">
        <f>IF($A25="",'Februar'!$U$5,U25)</f>
      </c>
      <c r="AP24" s="1">
        <f>IF($A25="",'Februar'!$V$5,V25)</f>
      </c>
      <c r="AQ24" s="1">
        <f>IF($A25="",'Februar'!$AE$5,AE25)</f>
      </c>
      <c r="AR24" s="1">
        <f>AE23</f>
      </c>
      <c r="AS24" s="1">
        <f>X23</f>
      </c>
      <c r="AT24" s="1">
        <f>U23</f>
      </c>
      <c r="AU24" s="1">
        <f>V23</f>
      </c>
    </row>
    <row r="25" spans="1:47" x14ac:dyDescent="0.25">
      <c r="A25" s="17">
        <f>IF(MONTH(DATE(Jahr,1,21))=1,DATE(Jahr,1,21),"")</f>
      </c>
      <c r="B25" s="13">
        <f>IF(A25="","",CHOOSE(WEEKDAY(A25,2),"Mo","Di","Mi","Do","Fr","Sa","So"))</f>
      </c>
      <c r="C25" s="18"/>
      <c r="D25" s="18"/>
      <c r="E25" s="7"/>
      <c r="F25" s="7"/>
      <c r="G25" s="7"/>
      <c r="H25" s="19"/>
      <c r="I25" s="19"/>
      <c r="J25" s="19"/>
      <c r="K25" s="9"/>
      <c r="L25" s="20">
        <f>IF(OR(AD25=0,AF25&lt;&gt;"",AND(W25=1,V25&gt;0,OR(T25=1,U25=1))),"",AE25/1440)</f>
      </c>
      <c r="M25" s="21">
        <f>IF(OR(AD25=0,AF25&lt;&gt;""),"",AJ25)</f>
      </c>
      <c r="N25" s="21">
        <f>IF(AK25=0,"",AK25)</f>
      </c>
      <c r="O25" s="21">
        <f>IF(OR(AD25=0,AF25&lt;&gt;""),"",AJ25-AK25)</f>
      </c>
      <c r="P25" s="21">
        <f>IF(AND(AD25=1,AF25="",V25=2),AI25,"")</f>
      </c>
      <c r="Q25" s="21">
        <f>IF(OR($A25="",N(K25)=0),"",ROUND(K25*KmSatz,2))</f>
      </c>
      <c r="R25" s="22">
        <f>IF(AF25&amp;AL25="","",LEFT(AF25&amp;AL25,LEN(AF25&amp;AL25)-2))</f>
      </c>
      <c r="S25" s="1"/>
      <c r="T25" s="1">
        <f>IF(AND($A25&lt;&gt;"",ISNUMBER(C25)),1,0)</f>
      </c>
      <c r="U25" s="1">
        <f>IF(AND($A25&lt;&gt;"",ISNUMBER(D25)),1,0)</f>
      </c>
      <c r="V25" s="1">
        <f>IF($A25="",0,IF(E25="ja",1,IF(E25="Pauschale",2,0)))</f>
      </c>
      <c r="W25" s="1">
        <f>IF($A25="",0,IF(AU25&gt;0,1,0))</f>
      </c>
      <c r="X25" s="1">
        <f>IF(AND(T25=1,W25=0),1,0)</f>
      </c>
      <c r="Y25" s="1">
        <f>IF(AND(AS25=1,AT25=0,AU25=0),1,0)</f>
      </c>
      <c r="Z25" s="1">
        <f>IF(AND(Y25=1,T25=0,U25=1,V25=0),1,0)</f>
      </c>
      <c r="AA25" s="1">
        <f>IF(AND(X25=1,U25=0,V25=0,AN25=0,AO25=1,AP25=0),1,0)</f>
      </c>
      <c r="AB25" s="1">
        <f>IF(OR(W25=1,Z25=1),0,IF(T25=1,C25,0))</f>
      </c>
      <c r="AC25" s="1">
        <f>IF(OR(V25&gt;0,AA25=1),1,IF(U25=1,D25,1))</f>
      </c>
      <c r="AD25" s="1">
        <f>IF($A25="",0,IF(OR(T25=1,U25=1,V25&gt;0,W25=1),1,0))</f>
      </c>
      <c r="AE25" s="1">
        <f>IF(AD25=0,0,ROUND((AC25-AB25)*1440,0))</f>
      </c>
      <c r="AF25" s="1">
        <f>IF(AD25=0,"",IF(AND(F25&lt;&gt;"",ISNA(MATCH(F25,PauschLand,0))),"Land nicht in der Liste; ","")&amp;IF(AND(T25=0,W25=0,Z25=0),"Beginn fehlt; ","")&amp;IF(AND(V25=0,U25=0,AA25=0),"Ende fehlt; ","")&amp;IF(AND(X25=1,U25=1,V25=0,N(D25)&lt;N(C25)),"Ende vor Beginn (über Mitternacht: Ende in die Zeile des Folgetags); ",""))</f>
      </c>
      <c r="AG25" s="1">
        <f>IF(AD25=0,0,IFERROR(VLOOKUP(IF(F25="","Deutschland",F25),PauschTab,2,FALSE),0))</f>
      </c>
      <c r="AH25" s="1">
        <f>IF(AD25=0,0,IFERROR(VLOOKUP(IF(F25="","Deutschland",F25),PauschTab,3,FALSE),0))</f>
      </c>
      <c r="AI25" s="1">
        <f>IF(AD25=0,0,IFERROR(VLOOKUP(IF(F25="","Deutschland",F25),PauschTab,4,FALSE),0))</f>
      </c>
      <c r="AJ25" s="1">
        <f>IF(OR(AD25=0,AF25&lt;&gt;""),0,IF(AND(W25=1,V25&gt;0),IF(OR(T25=1,U25=1),AH25,AG25),IF(OR(W25=1,V25&gt;0),AH25,IF(AA25=1,IF(AND(AE25+AQ25&gt;480,AE25&gt;=AQ25),AH25,0),IF(Z25=1,IF(AND(AR25+AE25&gt;480,AE25&gt;AR25),AH25,0),IF(AE25&gt;480,AH25,0))))))</f>
      </c>
      <c r="AK25" s="1">
        <f>MIN(AJ25,AM25)</f>
      </c>
      <c r="AL25" s="1">
        <f>IF(OR(AD25=0,AF25&lt;&gt;""),"",IF(AND(W25=0,V25=0,AA25=0,Z25=0,AE25&lt;=480),"nicht mehr als 8 Std.; ","")&amp;IF(AA25=1,IF(AJ25&gt;0,"über Mitternacht, zusammen "&amp;TEXT((AE25+AQ25)/1440,"[h]:mm")&amp;" Std.; ",IF(AE25+AQ25&gt;480,"über Mitternacht: Pauschale am Folgetag; ","über Mitternacht, zusammen nicht mehr als 8 Std.; ")),"")&amp;IF(Z25=1,IF(AJ25&gt;0,"über Mitternacht, zusammen "&amp;TEXT((AR25+AE25)/1440,"[h]:mm")&amp;" Std.; ",IF(AR25+AE25&gt;480,"über Mitternacht: Pauschale am Vortag; ","über Mitternacht, zusammen nicht mehr als 8 Std.; ")),"")&amp;IF(AND(W25=1,V25&gt;0,OR(T25=1,U25=1)),"zwischendurch zu Hause: An- und Abreisetag; ","")&amp;IF(AND(W25=1,V25=0,T25=1),"Beginn leer lassen: unterwegs seit dem Vortag; ","")&amp;IF(AND(W25=0,V25&gt;0,U25=1),"Ende leer lassen: Übernachtung; ","")&amp;IF(AND(AJ25&gt;0,AM25&gt;AJ25),"Kürzung auf die Pauschale begrenzt; ",""))</f>
      </c>
      <c r="AM25" s="1">
        <f>ROUND(AG25*(IF(H25&lt;&gt;"",0.2,0)+IF(I25&lt;&gt;"",0.4,0)+IF(J25&lt;&gt;"",0.4,0)),2)</f>
      </c>
      <c r="AN25" s="1">
        <f>IF($A26="",'Februar'!$T$5,T26)</f>
      </c>
      <c r="AO25" s="1">
        <f>IF($A26="",'Februar'!$U$5,U26)</f>
      </c>
      <c r="AP25" s="1">
        <f>IF($A26="",'Februar'!$V$5,V26)</f>
      </c>
      <c r="AQ25" s="1">
        <f>IF($A26="",'Februar'!$AE$5,AE26)</f>
      </c>
      <c r="AR25" s="1">
        <f>AE24</f>
      </c>
      <c r="AS25" s="1">
        <f>X24</f>
      </c>
      <c r="AT25" s="1">
        <f>U24</f>
      </c>
      <c r="AU25" s="1">
        <f>V24</f>
      </c>
    </row>
    <row r="26" spans="1:47" x14ac:dyDescent="0.25">
      <c r="A26" s="17">
        <f>IF(MONTH(DATE(Jahr,1,22))=1,DATE(Jahr,1,22),"")</f>
      </c>
      <c r="B26" s="13">
        <f>IF(A26="","",CHOOSE(WEEKDAY(A26,2),"Mo","Di","Mi","Do","Fr","Sa","So"))</f>
      </c>
      <c r="C26" s="18"/>
      <c r="D26" s="18"/>
      <c r="E26" s="7"/>
      <c r="F26" s="7"/>
      <c r="G26" s="7"/>
      <c r="H26" s="19"/>
      <c r="I26" s="19"/>
      <c r="J26" s="19"/>
      <c r="K26" s="9"/>
      <c r="L26" s="20">
        <f>IF(OR(AD26=0,AF26&lt;&gt;"",AND(W26=1,V26&gt;0,OR(T26=1,U26=1))),"",AE26/1440)</f>
      </c>
      <c r="M26" s="21">
        <f>IF(OR(AD26=0,AF26&lt;&gt;""),"",AJ26)</f>
      </c>
      <c r="N26" s="21">
        <f>IF(AK26=0,"",AK26)</f>
      </c>
      <c r="O26" s="21">
        <f>IF(OR(AD26=0,AF26&lt;&gt;""),"",AJ26-AK26)</f>
      </c>
      <c r="P26" s="21">
        <f>IF(AND(AD26=1,AF26="",V26=2),AI26,"")</f>
      </c>
      <c r="Q26" s="21">
        <f>IF(OR($A26="",N(K26)=0),"",ROUND(K26*KmSatz,2))</f>
      </c>
      <c r="R26" s="22">
        <f>IF(AF26&amp;AL26="","",LEFT(AF26&amp;AL26,LEN(AF26&amp;AL26)-2))</f>
      </c>
      <c r="S26" s="1"/>
      <c r="T26" s="1">
        <f>IF(AND($A26&lt;&gt;"",ISNUMBER(C26)),1,0)</f>
      </c>
      <c r="U26" s="1">
        <f>IF(AND($A26&lt;&gt;"",ISNUMBER(D26)),1,0)</f>
      </c>
      <c r="V26" s="1">
        <f>IF($A26="",0,IF(E26="ja",1,IF(E26="Pauschale",2,0)))</f>
      </c>
      <c r="W26" s="1">
        <f>IF($A26="",0,IF(AU26&gt;0,1,0))</f>
      </c>
      <c r="X26" s="1">
        <f>IF(AND(T26=1,W26=0),1,0)</f>
      </c>
      <c r="Y26" s="1">
        <f>IF(AND(AS26=1,AT26=0,AU26=0),1,0)</f>
      </c>
      <c r="Z26" s="1">
        <f>IF(AND(Y26=1,T26=0,U26=1,V26=0),1,0)</f>
      </c>
      <c r="AA26" s="1">
        <f>IF(AND(X26=1,U26=0,V26=0,AN26=0,AO26=1,AP26=0),1,0)</f>
      </c>
      <c r="AB26" s="1">
        <f>IF(OR(W26=1,Z26=1),0,IF(T26=1,C26,0))</f>
      </c>
      <c r="AC26" s="1">
        <f>IF(OR(V26&gt;0,AA26=1),1,IF(U26=1,D26,1))</f>
      </c>
      <c r="AD26" s="1">
        <f>IF($A26="",0,IF(OR(T26=1,U26=1,V26&gt;0,W26=1),1,0))</f>
      </c>
      <c r="AE26" s="1">
        <f>IF(AD26=0,0,ROUND((AC26-AB26)*1440,0))</f>
      </c>
      <c r="AF26" s="1">
        <f>IF(AD26=0,"",IF(AND(F26&lt;&gt;"",ISNA(MATCH(F26,PauschLand,0))),"Land nicht in der Liste; ","")&amp;IF(AND(T26=0,W26=0,Z26=0),"Beginn fehlt; ","")&amp;IF(AND(V26=0,U26=0,AA26=0),"Ende fehlt; ","")&amp;IF(AND(X26=1,U26=1,V26=0,N(D26)&lt;N(C26)),"Ende vor Beginn (über Mitternacht: Ende in die Zeile des Folgetags); ",""))</f>
      </c>
      <c r="AG26" s="1">
        <f>IF(AD26=0,0,IFERROR(VLOOKUP(IF(F26="","Deutschland",F26),PauschTab,2,FALSE),0))</f>
      </c>
      <c r="AH26" s="1">
        <f>IF(AD26=0,0,IFERROR(VLOOKUP(IF(F26="","Deutschland",F26),PauschTab,3,FALSE),0))</f>
      </c>
      <c r="AI26" s="1">
        <f>IF(AD26=0,0,IFERROR(VLOOKUP(IF(F26="","Deutschland",F26),PauschTab,4,FALSE),0))</f>
      </c>
      <c r="AJ26" s="1">
        <f>IF(OR(AD26=0,AF26&lt;&gt;""),0,IF(AND(W26=1,V26&gt;0),IF(OR(T26=1,U26=1),AH26,AG26),IF(OR(W26=1,V26&gt;0),AH26,IF(AA26=1,IF(AND(AE26+AQ26&gt;480,AE26&gt;=AQ26),AH26,0),IF(Z26=1,IF(AND(AR26+AE26&gt;480,AE26&gt;AR26),AH26,0),IF(AE26&gt;480,AH26,0))))))</f>
      </c>
      <c r="AK26" s="1">
        <f>MIN(AJ26,AM26)</f>
      </c>
      <c r="AL26" s="1">
        <f>IF(OR(AD26=0,AF26&lt;&gt;""),"",IF(AND(W26=0,V26=0,AA26=0,Z26=0,AE26&lt;=480),"nicht mehr als 8 Std.; ","")&amp;IF(AA26=1,IF(AJ26&gt;0,"über Mitternacht, zusammen "&amp;TEXT((AE26+AQ26)/1440,"[h]:mm")&amp;" Std.; ",IF(AE26+AQ26&gt;480,"über Mitternacht: Pauschale am Folgetag; ","über Mitternacht, zusammen nicht mehr als 8 Std.; ")),"")&amp;IF(Z26=1,IF(AJ26&gt;0,"über Mitternacht, zusammen "&amp;TEXT((AR26+AE26)/1440,"[h]:mm")&amp;" Std.; ",IF(AR26+AE26&gt;480,"über Mitternacht: Pauschale am Vortag; ","über Mitternacht, zusammen nicht mehr als 8 Std.; ")),"")&amp;IF(AND(W26=1,V26&gt;0,OR(T26=1,U26=1)),"zwischendurch zu Hause: An- und Abreisetag; ","")&amp;IF(AND(W26=1,V26=0,T26=1),"Beginn leer lassen: unterwegs seit dem Vortag; ","")&amp;IF(AND(W26=0,V26&gt;0,U26=1),"Ende leer lassen: Übernachtung; ","")&amp;IF(AND(AJ26&gt;0,AM26&gt;AJ26),"Kürzung auf die Pauschale begrenzt; ",""))</f>
      </c>
      <c r="AM26" s="1">
        <f>ROUND(AG26*(IF(H26&lt;&gt;"",0.2,0)+IF(I26&lt;&gt;"",0.4,0)+IF(J26&lt;&gt;"",0.4,0)),2)</f>
      </c>
      <c r="AN26" s="1">
        <f>IF($A27="",'Februar'!$T$5,T27)</f>
      </c>
      <c r="AO26" s="1">
        <f>IF($A27="",'Februar'!$U$5,U27)</f>
      </c>
      <c r="AP26" s="1">
        <f>IF($A27="",'Februar'!$V$5,V27)</f>
      </c>
      <c r="AQ26" s="1">
        <f>IF($A27="",'Februar'!$AE$5,AE27)</f>
      </c>
      <c r="AR26" s="1">
        <f>AE25</f>
      </c>
      <c r="AS26" s="1">
        <f>X25</f>
      </c>
      <c r="AT26" s="1">
        <f>U25</f>
      </c>
      <c r="AU26" s="1">
        <f>V25</f>
      </c>
    </row>
    <row r="27" spans="1:47" x14ac:dyDescent="0.25">
      <c r="A27" s="17">
        <f>IF(MONTH(DATE(Jahr,1,23))=1,DATE(Jahr,1,23),"")</f>
      </c>
      <c r="B27" s="13">
        <f>IF(A27="","",CHOOSE(WEEKDAY(A27,2),"Mo","Di","Mi","Do","Fr","Sa","So"))</f>
      </c>
      <c r="C27" s="18"/>
      <c r="D27" s="18"/>
      <c r="E27" s="7"/>
      <c r="F27" s="7"/>
      <c r="G27" s="7"/>
      <c r="H27" s="19"/>
      <c r="I27" s="19"/>
      <c r="J27" s="19"/>
      <c r="K27" s="9"/>
      <c r="L27" s="20">
        <f>IF(OR(AD27=0,AF27&lt;&gt;"",AND(W27=1,V27&gt;0,OR(T27=1,U27=1))),"",AE27/1440)</f>
      </c>
      <c r="M27" s="21">
        <f>IF(OR(AD27=0,AF27&lt;&gt;""),"",AJ27)</f>
      </c>
      <c r="N27" s="21">
        <f>IF(AK27=0,"",AK27)</f>
      </c>
      <c r="O27" s="21">
        <f>IF(OR(AD27=0,AF27&lt;&gt;""),"",AJ27-AK27)</f>
      </c>
      <c r="P27" s="21">
        <f>IF(AND(AD27=1,AF27="",V27=2),AI27,"")</f>
      </c>
      <c r="Q27" s="21">
        <f>IF(OR($A27="",N(K27)=0),"",ROUND(K27*KmSatz,2))</f>
      </c>
      <c r="R27" s="22">
        <f>IF(AF27&amp;AL27="","",LEFT(AF27&amp;AL27,LEN(AF27&amp;AL27)-2))</f>
      </c>
      <c r="S27" s="1"/>
      <c r="T27" s="1">
        <f>IF(AND($A27&lt;&gt;"",ISNUMBER(C27)),1,0)</f>
      </c>
      <c r="U27" s="1">
        <f>IF(AND($A27&lt;&gt;"",ISNUMBER(D27)),1,0)</f>
      </c>
      <c r="V27" s="1">
        <f>IF($A27="",0,IF(E27="ja",1,IF(E27="Pauschale",2,0)))</f>
      </c>
      <c r="W27" s="1">
        <f>IF($A27="",0,IF(AU27&gt;0,1,0))</f>
      </c>
      <c r="X27" s="1">
        <f>IF(AND(T27=1,W27=0),1,0)</f>
      </c>
      <c r="Y27" s="1">
        <f>IF(AND(AS27=1,AT27=0,AU27=0),1,0)</f>
      </c>
      <c r="Z27" s="1">
        <f>IF(AND(Y27=1,T27=0,U27=1,V27=0),1,0)</f>
      </c>
      <c r="AA27" s="1">
        <f>IF(AND(X27=1,U27=0,V27=0,AN27=0,AO27=1,AP27=0),1,0)</f>
      </c>
      <c r="AB27" s="1">
        <f>IF(OR(W27=1,Z27=1),0,IF(T27=1,C27,0))</f>
      </c>
      <c r="AC27" s="1">
        <f>IF(OR(V27&gt;0,AA27=1),1,IF(U27=1,D27,1))</f>
      </c>
      <c r="AD27" s="1">
        <f>IF($A27="",0,IF(OR(T27=1,U27=1,V27&gt;0,W27=1),1,0))</f>
      </c>
      <c r="AE27" s="1">
        <f>IF(AD27=0,0,ROUND((AC27-AB27)*1440,0))</f>
      </c>
      <c r="AF27" s="1">
        <f>IF(AD27=0,"",IF(AND(F27&lt;&gt;"",ISNA(MATCH(F27,PauschLand,0))),"Land nicht in der Liste; ","")&amp;IF(AND(T27=0,W27=0,Z27=0),"Beginn fehlt; ","")&amp;IF(AND(V27=0,U27=0,AA27=0),"Ende fehlt; ","")&amp;IF(AND(X27=1,U27=1,V27=0,N(D27)&lt;N(C27)),"Ende vor Beginn (über Mitternacht: Ende in die Zeile des Folgetags); ",""))</f>
      </c>
      <c r="AG27" s="1">
        <f>IF(AD27=0,0,IFERROR(VLOOKUP(IF(F27="","Deutschland",F27),PauschTab,2,FALSE),0))</f>
      </c>
      <c r="AH27" s="1">
        <f>IF(AD27=0,0,IFERROR(VLOOKUP(IF(F27="","Deutschland",F27),PauschTab,3,FALSE),0))</f>
      </c>
      <c r="AI27" s="1">
        <f>IF(AD27=0,0,IFERROR(VLOOKUP(IF(F27="","Deutschland",F27),PauschTab,4,FALSE),0))</f>
      </c>
      <c r="AJ27" s="1">
        <f>IF(OR(AD27=0,AF27&lt;&gt;""),0,IF(AND(W27=1,V27&gt;0),IF(OR(T27=1,U27=1),AH27,AG27),IF(OR(W27=1,V27&gt;0),AH27,IF(AA27=1,IF(AND(AE27+AQ27&gt;480,AE27&gt;=AQ27),AH27,0),IF(Z27=1,IF(AND(AR27+AE27&gt;480,AE27&gt;AR27),AH27,0),IF(AE27&gt;480,AH27,0))))))</f>
      </c>
      <c r="AK27" s="1">
        <f>MIN(AJ27,AM27)</f>
      </c>
      <c r="AL27" s="1">
        <f>IF(OR(AD27=0,AF27&lt;&gt;""),"",IF(AND(W27=0,V27=0,AA27=0,Z27=0,AE27&lt;=480),"nicht mehr als 8 Std.; ","")&amp;IF(AA27=1,IF(AJ27&gt;0,"über Mitternacht, zusammen "&amp;TEXT((AE27+AQ27)/1440,"[h]:mm")&amp;" Std.; ",IF(AE27+AQ27&gt;480,"über Mitternacht: Pauschale am Folgetag; ","über Mitternacht, zusammen nicht mehr als 8 Std.; ")),"")&amp;IF(Z27=1,IF(AJ27&gt;0,"über Mitternacht, zusammen "&amp;TEXT((AR27+AE27)/1440,"[h]:mm")&amp;" Std.; ",IF(AR27+AE27&gt;480,"über Mitternacht: Pauschale am Vortag; ","über Mitternacht, zusammen nicht mehr als 8 Std.; ")),"")&amp;IF(AND(W27=1,V27&gt;0,OR(T27=1,U27=1)),"zwischendurch zu Hause: An- und Abreisetag; ","")&amp;IF(AND(W27=1,V27=0,T27=1),"Beginn leer lassen: unterwegs seit dem Vortag; ","")&amp;IF(AND(W27=0,V27&gt;0,U27=1),"Ende leer lassen: Übernachtung; ","")&amp;IF(AND(AJ27&gt;0,AM27&gt;AJ27),"Kürzung auf die Pauschale begrenzt; ",""))</f>
      </c>
      <c r="AM27" s="1">
        <f>ROUND(AG27*(IF(H27&lt;&gt;"",0.2,0)+IF(I27&lt;&gt;"",0.4,0)+IF(J27&lt;&gt;"",0.4,0)),2)</f>
      </c>
      <c r="AN27" s="1">
        <f>IF($A28="",'Februar'!$T$5,T28)</f>
      </c>
      <c r="AO27" s="1">
        <f>IF($A28="",'Februar'!$U$5,U28)</f>
      </c>
      <c r="AP27" s="1">
        <f>IF($A28="",'Februar'!$V$5,V28)</f>
      </c>
      <c r="AQ27" s="1">
        <f>IF($A28="",'Februar'!$AE$5,AE28)</f>
      </c>
      <c r="AR27" s="1">
        <f>AE26</f>
      </c>
      <c r="AS27" s="1">
        <f>X26</f>
      </c>
      <c r="AT27" s="1">
        <f>U26</f>
      </c>
      <c r="AU27" s="1">
        <f>V26</f>
      </c>
    </row>
    <row r="28" spans="1:47" x14ac:dyDescent="0.25">
      <c r="A28" s="17">
        <f>IF(MONTH(DATE(Jahr,1,24))=1,DATE(Jahr,1,24),"")</f>
      </c>
      <c r="B28" s="13">
        <f>IF(A28="","",CHOOSE(WEEKDAY(A28,2),"Mo","Di","Mi","Do","Fr","Sa","So"))</f>
      </c>
      <c r="C28" s="18"/>
      <c r="D28" s="18"/>
      <c r="E28" s="7"/>
      <c r="F28" s="7"/>
      <c r="G28" s="7"/>
      <c r="H28" s="19"/>
      <c r="I28" s="19"/>
      <c r="J28" s="19"/>
      <c r="K28" s="9"/>
      <c r="L28" s="20">
        <f>IF(OR(AD28=0,AF28&lt;&gt;"",AND(W28=1,V28&gt;0,OR(T28=1,U28=1))),"",AE28/1440)</f>
      </c>
      <c r="M28" s="21">
        <f>IF(OR(AD28=0,AF28&lt;&gt;""),"",AJ28)</f>
      </c>
      <c r="N28" s="21">
        <f>IF(AK28=0,"",AK28)</f>
      </c>
      <c r="O28" s="21">
        <f>IF(OR(AD28=0,AF28&lt;&gt;""),"",AJ28-AK28)</f>
      </c>
      <c r="P28" s="21">
        <f>IF(AND(AD28=1,AF28="",V28=2),AI28,"")</f>
      </c>
      <c r="Q28" s="21">
        <f>IF(OR($A28="",N(K28)=0),"",ROUND(K28*KmSatz,2))</f>
      </c>
      <c r="R28" s="22">
        <f>IF(AF28&amp;AL28="","",LEFT(AF28&amp;AL28,LEN(AF28&amp;AL28)-2))</f>
      </c>
      <c r="S28" s="1"/>
      <c r="T28" s="1">
        <f>IF(AND($A28&lt;&gt;"",ISNUMBER(C28)),1,0)</f>
      </c>
      <c r="U28" s="1">
        <f>IF(AND($A28&lt;&gt;"",ISNUMBER(D28)),1,0)</f>
      </c>
      <c r="V28" s="1">
        <f>IF($A28="",0,IF(E28="ja",1,IF(E28="Pauschale",2,0)))</f>
      </c>
      <c r="W28" s="1">
        <f>IF($A28="",0,IF(AU28&gt;0,1,0))</f>
      </c>
      <c r="X28" s="1">
        <f>IF(AND(T28=1,W28=0),1,0)</f>
      </c>
      <c r="Y28" s="1">
        <f>IF(AND(AS28=1,AT28=0,AU28=0),1,0)</f>
      </c>
      <c r="Z28" s="1">
        <f>IF(AND(Y28=1,T28=0,U28=1,V28=0),1,0)</f>
      </c>
      <c r="AA28" s="1">
        <f>IF(AND(X28=1,U28=0,V28=0,AN28=0,AO28=1,AP28=0),1,0)</f>
      </c>
      <c r="AB28" s="1">
        <f>IF(OR(W28=1,Z28=1),0,IF(T28=1,C28,0))</f>
      </c>
      <c r="AC28" s="1">
        <f>IF(OR(V28&gt;0,AA28=1),1,IF(U28=1,D28,1))</f>
      </c>
      <c r="AD28" s="1">
        <f>IF($A28="",0,IF(OR(T28=1,U28=1,V28&gt;0,W28=1),1,0))</f>
      </c>
      <c r="AE28" s="1">
        <f>IF(AD28=0,0,ROUND((AC28-AB28)*1440,0))</f>
      </c>
      <c r="AF28" s="1">
        <f>IF(AD28=0,"",IF(AND(F28&lt;&gt;"",ISNA(MATCH(F28,PauschLand,0))),"Land nicht in der Liste; ","")&amp;IF(AND(T28=0,W28=0,Z28=0),"Beginn fehlt; ","")&amp;IF(AND(V28=0,U28=0,AA28=0),"Ende fehlt; ","")&amp;IF(AND(X28=1,U28=1,V28=0,N(D28)&lt;N(C28)),"Ende vor Beginn (über Mitternacht: Ende in die Zeile des Folgetags); ",""))</f>
      </c>
      <c r="AG28" s="1">
        <f>IF(AD28=0,0,IFERROR(VLOOKUP(IF(F28="","Deutschland",F28),PauschTab,2,FALSE),0))</f>
      </c>
      <c r="AH28" s="1">
        <f>IF(AD28=0,0,IFERROR(VLOOKUP(IF(F28="","Deutschland",F28),PauschTab,3,FALSE),0))</f>
      </c>
      <c r="AI28" s="1">
        <f>IF(AD28=0,0,IFERROR(VLOOKUP(IF(F28="","Deutschland",F28),PauschTab,4,FALSE),0))</f>
      </c>
      <c r="AJ28" s="1">
        <f>IF(OR(AD28=0,AF28&lt;&gt;""),0,IF(AND(W28=1,V28&gt;0),IF(OR(T28=1,U28=1),AH28,AG28),IF(OR(W28=1,V28&gt;0),AH28,IF(AA28=1,IF(AND(AE28+AQ28&gt;480,AE28&gt;=AQ28),AH28,0),IF(Z28=1,IF(AND(AR28+AE28&gt;480,AE28&gt;AR28),AH28,0),IF(AE28&gt;480,AH28,0))))))</f>
      </c>
      <c r="AK28" s="1">
        <f>MIN(AJ28,AM28)</f>
      </c>
      <c r="AL28" s="1">
        <f>IF(OR(AD28=0,AF28&lt;&gt;""),"",IF(AND(W28=0,V28=0,AA28=0,Z28=0,AE28&lt;=480),"nicht mehr als 8 Std.; ","")&amp;IF(AA28=1,IF(AJ28&gt;0,"über Mitternacht, zusammen "&amp;TEXT((AE28+AQ28)/1440,"[h]:mm")&amp;" Std.; ",IF(AE28+AQ28&gt;480,"über Mitternacht: Pauschale am Folgetag; ","über Mitternacht, zusammen nicht mehr als 8 Std.; ")),"")&amp;IF(Z28=1,IF(AJ28&gt;0,"über Mitternacht, zusammen "&amp;TEXT((AR28+AE28)/1440,"[h]:mm")&amp;" Std.; ",IF(AR28+AE28&gt;480,"über Mitternacht: Pauschale am Vortag; ","über Mitternacht, zusammen nicht mehr als 8 Std.; ")),"")&amp;IF(AND(W28=1,V28&gt;0,OR(T28=1,U28=1)),"zwischendurch zu Hause: An- und Abreisetag; ","")&amp;IF(AND(W28=1,V28=0,T28=1),"Beginn leer lassen: unterwegs seit dem Vortag; ","")&amp;IF(AND(W28=0,V28&gt;0,U28=1),"Ende leer lassen: Übernachtung; ","")&amp;IF(AND(AJ28&gt;0,AM28&gt;AJ28),"Kürzung auf die Pauschale begrenzt; ",""))</f>
      </c>
      <c r="AM28" s="1">
        <f>ROUND(AG28*(IF(H28&lt;&gt;"",0.2,0)+IF(I28&lt;&gt;"",0.4,0)+IF(J28&lt;&gt;"",0.4,0)),2)</f>
      </c>
      <c r="AN28" s="1">
        <f>IF($A29="",'Februar'!$T$5,T29)</f>
      </c>
      <c r="AO28" s="1">
        <f>IF($A29="",'Februar'!$U$5,U29)</f>
      </c>
      <c r="AP28" s="1">
        <f>IF($A29="",'Februar'!$V$5,V29)</f>
      </c>
      <c r="AQ28" s="1">
        <f>IF($A29="",'Februar'!$AE$5,AE29)</f>
      </c>
      <c r="AR28" s="1">
        <f>AE27</f>
      </c>
      <c r="AS28" s="1">
        <f>X27</f>
      </c>
      <c r="AT28" s="1">
        <f>U27</f>
      </c>
      <c r="AU28" s="1">
        <f>V27</f>
      </c>
    </row>
    <row r="29" spans="1:47" x14ac:dyDescent="0.25">
      <c r="A29" s="17">
        <f>IF(MONTH(DATE(Jahr,1,25))=1,DATE(Jahr,1,25),"")</f>
      </c>
      <c r="B29" s="13">
        <f>IF(A29="","",CHOOSE(WEEKDAY(A29,2),"Mo","Di","Mi","Do","Fr","Sa","So"))</f>
      </c>
      <c r="C29" s="18"/>
      <c r="D29" s="18"/>
      <c r="E29" s="7"/>
      <c r="F29" s="7"/>
      <c r="G29" s="7"/>
      <c r="H29" s="19"/>
      <c r="I29" s="19"/>
      <c r="J29" s="19"/>
      <c r="K29" s="9"/>
      <c r="L29" s="20">
        <f>IF(OR(AD29=0,AF29&lt;&gt;"",AND(W29=1,V29&gt;0,OR(T29=1,U29=1))),"",AE29/1440)</f>
      </c>
      <c r="M29" s="21">
        <f>IF(OR(AD29=0,AF29&lt;&gt;""),"",AJ29)</f>
      </c>
      <c r="N29" s="21">
        <f>IF(AK29=0,"",AK29)</f>
      </c>
      <c r="O29" s="21">
        <f>IF(OR(AD29=0,AF29&lt;&gt;""),"",AJ29-AK29)</f>
      </c>
      <c r="P29" s="21">
        <f>IF(AND(AD29=1,AF29="",V29=2),AI29,"")</f>
      </c>
      <c r="Q29" s="21">
        <f>IF(OR($A29="",N(K29)=0),"",ROUND(K29*KmSatz,2))</f>
      </c>
      <c r="R29" s="22">
        <f>IF(AF29&amp;AL29="","",LEFT(AF29&amp;AL29,LEN(AF29&amp;AL29)-2))</f>
      </c>
      <c r="S29" s="1"/>
      <c r="T29" s="1">
        <f>IF(AND($A29&lt;&gt;"",ISNUMBER(C29)),1,0)</f>
      </c>
      <c r="U29" s="1">
        <f>IF(AND($A29&lt;&gt;"",ISNUMBER(D29)),1,0)</f>
      </c>
      <c r="V29" s="1">
        <f>IF($A29="",0,IF(E29="ja",1,IF(E29="Pauschale",2,0)))</f>
      </c>
      <c r="W29" s="1">
        <f>IF($A29="",0,IF(AU29&gt;0,1,0))</f>
      </c>
      <c r="X29" s="1">
        <f>IF(AND(T29=1,W29=0),1,0)</f>
      </c>
      <c r="Y29" s="1">
        <f>IF(AND(AS29=1,AT29=0,AU29=0),1,0)</f>
      </c>
      <c r="Z29" s="1">
        <f>IF(AND(Y29=1,T29=0,U29=1,V29=0),1,0)</f>
      </c>
      <c r="AA29" s="1">
        <f>IF(AND(X29=1,U29=0,V29=0,AN29=0,AO29=1,AP29=0),1,0)</f>
      </c>
      <c r="AB29" s="1">
        <f>IF(OR(W29=1,Z29=1),0,IF(T29=1,C29,0))</f>
      </c>
      <c r="AC29" s="1">
        <f>IF(OR(V29&gt;0,AA29=1),1,IF(U29=1,D29,1))</f>
      </c>
      <c r="AD29" s="1">
        <f>IF($A29="",0,IF(OR(T29=1,U29=1,V29&gt;0,W29=1),1,0))</f>
      </c>
      <c r="AE29" s="1">
        <f>IF(AD29=0,0,ROUND((AC29-AB29)*1440,0))</f>
      </c>
      <c r="AF29" s="1">
        <f>IF(AD29=0,"",IF(AND(F29&lt;&gt;"",ISNA(MATCH(F29,PauschLand,0))),"Land nicht in der Liste; ","")&amp;IF(AND(T29=0,W29=0,Z29=0),"Beginn fehlt; ","")&amp;IF(AND(V29=0,U29=0,AA29=0),"Ende fehlt; ","")&amp;IF(AND(X29=1,U29=1,V29=0,N(D29)&lt;N(C29)),"Ende vor Beginn (über Mitternacht: Ende in die Zeile des Folgetags); ",""))</f>
      </c>
      <c r="AG29" s="1">
        <f>IF(AD29=0,0,IFERROR(VLOOKUP(IF(F29="","Deutschland",F29),PauschTab,2,FALSE),0))</f>
      </c>
      <c r="AH29" s="1">
        <f>IF(AD29=0,0,IFERROR(VLOOKUP(IF(F29="","Deutschland",F29),PauschTab,3,FALSE),0))</f>
      </c>
      <c r="AI29" s="1">
        <f>IF(AD29=0,0,IFERROR(VLOOKUP(IF(F29="","Deutschland",F29),PauschTab,4,FALSE),0))</f>
      </c>
      <c r="AJ29" s="1">
        <f>IF(OR(AD29=0,AF29&lt;&gt;""),0,IF(AND(W29=1,V29&gt;0),IF(OR(T29=1,U29=1),AH29,AG29),IF(OR(W29=1,V29&gt;0),AH29,IF(AA29=1,IF(AND(AE29+AQ29&gt;480,AE29&gt;=AQ29),AH29,0),IF(Z29=1,IF(AND(AR29+AE29&gt;480,AE29&gt;AR29),AH29,0),IF(AE29&gt;480,AH29,0))))))</f>
      </c>
      <c r="AK29" s="1">
        <f>MIN(AJ29,AM29)</f>
      </c>
      <c r="AL29" s="1">
        <f>IF(OR(AD29=0,AF29&lt;&gt;""),"",IF(AND(W29=0,V29=0,AA29=0,Z29=0,AE29&lt;=480),"nicht mehr als 8 Std.; ","")&amp;IF(AA29=1,IF(AJ29&gt;0,"über Mitternacht, zusammen "&amp;TEXT((AE29+AQ29)/1440,"[h]:mm")&amp;" Std.; ",IF(AE29+AQ29&gt;480,"über Mitternacht: Pauschale am Folgetag; ","über Mitternacht, zusammen nicht mehr als 8 Std.; ")),"")&amp;IF(Z29=1,IF(AJ29&gt;0,"über Mitternacht, zusammen "&amp;TEXT((AR29+AE29)/1440,"[h]:mm")&amp;" Std.; ",IF(AR29+AE29&gt;480,"über Mitternacht: Pauschale am Vortag; ","über Mitternacht, zusammen nicht mehr als 8 Std.; ")),"")&amp;IF(AND(W29=1,V29&gt;0,OR(T29=1,U29=1)),"zwischendurch zu Hause: An- und Abreisetag; ","")&amp;IF(AND(W29=1,V29=0,T29=1),"Beginn leer lassen: unterwegs seit dem Vortag; ","")&amp;IF(AND(W29=0,V29&gt;0,U29=1),"Ende leer lassen: Übernachtung; ","")&amp;IF(AND(AJ29&gt;0,AM29&gt;AJ29),"Kürzung auf die Pauschale begrenzt; ",""))</f>
      </c>
      <c r="AM29" s="1">
        <f>ROUND(AG29*(IF(H29&lt;&gt;"",0.2,0)+IF(I29&lt;&gt;"",0.4,0)+IF(J29&lt;&gt;"",0.4,0)),2)</f>
      </c>
      <c r="AN29" s="1">
        <f>IF($A30="",'Februar'!$T$5,T30)</f>
      </c>
      <c r="AO29" s="1">
        <f>IF($A30="",'Februar'!$U$5,U30)</f>
      </c>
      <c r="AP29" s="1">
        <f>IF($A30="",'Februar'!$V$5,V30)</f>
      </c>
      <c r="AQ29" s="1">
        <f>IF($A30="",'Februar'!$AE$5,AE30)</f>
      </c>
      <c r="AR29" s="1">
        <f>AE28</f>
      </c>
      <c r="AS29" s="1">
        <f>X28</f>
      </c>
      <c r="AT29" s="1">
        <f>U28</f>
      </c>
      <c r="AU29" s="1">
        <f>V28</f>
      </c>
    </row>
    <row r="30" spans="1:47" x14ac:dyDescent="0.25">
      <c r="A30" s="17">
        <f>IF(MONTH(DATE(Jahr,1,26))=1,DATE(Jahr,1,26),"")</f>
      </c>
      <c r="B30" s="13">
        <f>IF(A30="","",CHOOSE(WEEKDAY(A30,2),"Mo","Di","Mi","Do","Fr","Sa","So"))</f>
      </c>
      <c r="C30" s="18"/>
      <c r="D30" s="18"/>
      <c r="E30" s="7"/>
      <c r="F30" s="7"/>
      <c r="G30" s="7"/>
      <c r="H30" s="19"/>
      <c r="I30" s="19"/>
      <c r="J30" s="19"/>
      <c r="K30" s="9"/>
      <c r="L30" s="20">
        <f>IF(OR(AD30=0,AF30&lt;&gt;"",AND(W30=1,V30&gt;0,OR(T30=1,U30=1))),"",AE30/1440)</f>
      </c>
      <c r="M30" s="21">
        <f>IF(OR(AD30=0,AF30&lt;&gt;""),"",AJ30)</f>
      </c>
      <c r="N30" s="21">
        <f>IF(AK30=0,"",AK30)</f>
      </c>
      <c r="O30" s="21">
        <f>IF(OR(AD30=0,AF30&lt;&gt;""),"",AJ30-AK30)</f>
      </c>
      <c r="P30" s="21">
        <f>IF(AND(AD30=1,AF30="",V30=2),AI30,"")</f>
      </c>
      <c r="Q30" s="21">
        <f>IF(OR($A30="",N(K30)=0),"",ROUND(K30*KmSatz,2))</f>
      </c>
      <c r="R30" s="22">
        <f>IF(AF30&amp;AL30="","",LEFT(AF30&amp;AL30,LEN(AF30&amp;AL30)-2))</f>
      </c>
      <c r="S30" s="1"/>
      <c r="T30" s="1">
        <f>IF(AND($A30&lt;&gt;"",ISNUMBER(C30)),1,0)</f>
      </c>
      <c r="U30" s="1">
        <f>IF(AND($A30&lt;&gt;"",ISNUMBER(D30)),1,0)</f>
      </c>
      <c r="V30" s="1">
        <f>IF($A30="",0,IF(E30="ja",1,IF(E30="Pauschale",2,0)))</f>
      </c>
      <c r="W30" s="1">
        <f>IF($A30="",0,IF(AU30&gt;0,1,0))</f>
      </c>
      <c r="X30" s="1">
        <f>IF(AND(T30=1,W30=0),1,0)</f>
      </c>
      <c r="Y30" s="1">
        <f>IF(AND(AS30=1,AT30=0,AU30=0),1,0)</f>
      </c>
      <c r="Z30" s="1">
        <f>IF(AND(Y30=1,T30=0,U30=1,V30=0),1,0)</f>
      </c>
      <c r="AA30" s="1">
        <f>IF(AND(X30=1,U30=0,V30=0,AN30=0,AO30=1,AP30=0),1,0)</f>
      </c>
      <c r="AB30" s="1">
        <f>IF(OR(W30=1,Z30=1),0,IF(T30=1,C30,0))</f>
      </c>
      <c r="AC30" s="1">
        <f>IF(OR(V30&gt;0,AA30=1),1,IF(U30=1,D30,1))</f>
      </c>
      <c r="AD30" s="1">
        <f>IF($A30="",0,IF(OR(T30=1,U30=1,V30&gt;0,W30=1),1,0))</f>
      </c>
      <c r="AE30" s="1">
        <f>IF(AD30=0,0,ROUND((AC30-AB30)*1440,0))</f>
      </c>
      <c r="AF30" s="1">
        <f>IF(AD30=0,"",IF(AND(F30&lt;&gt;"",ISNA(MATCH(F30,PauschLand,0))),"Land nicht in der Liste; ","")&amp;IF(AND(T30=0,W30=0,Z30=0),"Beginn fehlt; ","")&amp;IF(AND(V30=0,U30=0,AA30=0),"Ende fehlt; ","")&amp;IF(AND(X30=1,U30=1,V30=0,N(D30)&lt;N(C30)),"Ende vor Beginn (über Mitternacht: Ende in die Zeile des Folgetags); ",""))</f>
      </c>
      <c r="AG30" s="1">
        <f>IF(AD30=0,0,IFERROR(VLOOKUP(IF(F30="","Deutschland",F30),PauschTab,2,FALSE),0))</f>
      </c>
      <c r="AH30" s="1">
        <f>IF(AD30=0,0,IFERROR(VLOOKUP(IF(F30="","Deutschland",F30),PauschTab,3,FALSE),0))</f>
      </c>
      <c r="AI30" s="1">
        <f>IF(AD30=0,0,IFERROR(VLOOKUP(IF(F30="","Deutschland",F30),PauschTab,4,FALSE),0))</f>
      </c>
      <c r="AJ30" s="1">
        <f>IF(OR(AD30=0,AF30&lt;&gt;""),0,IF(AND(W30=1,V30&gt;0),IF(OR(T30=1,U30=1),AH30,AG30),IF(OR(W30=1,V30&gt;0),AH30,IF(AA30=1,IF(AND(AE30+AQ30&gt;480,AE30&gt;=AQ30),AH30,0),IF(Z30=1,IF(AND(AR30+AE30&gt;480,AE30&gt;AR30),AH30,0),IF(AE30&gt;480,AH30,0))))))</f>
      </c>
      <c r="AK30" s="1">
        <f>MIN(AJ30,AM30)</f>
      </c>
      <c r="AL30" s="1">
        <f>IF(OR(AD30=0,AF30&lt;&gt;""),"",IF(AND(W30=0,V30=0,AA30=0,Z30=0,AE30&lt;=480),"nicht mehr als 8 Std.; ","")&amp;IF(AA30=1,IF(AJ30&gt;0,"über Mitternacht, zusammen "&amp;TEXT((AE30+AQ30)/1440,"[h]:mm")&amp;" Std.; ",IF(AE30+AQ30&gt;480,"über Mitternacht: Pauschale am Folgetag; ","über Mitternacht, zusammen nicht mehr als 8 Std.; ")),"")&amp;IF(Z30=1,IF(AJ30&gt;0,"über Mitternacht, zusammen "&amp;TEXT((AR30+AE30)/1440,"[h]:mm")&amp;" Std.; ",IF(AR30+AE30&gt;480,"über Mitternacht: Pauschale am Vortag; ","über Mitternacht, zusammen nicht mehr als 8 Std.; ")),"")&amp;IF(AND(W30=1,V30&gt;0,OR(T30=1,U30=1)),"zwischendurch zu Hause: An- und Abreisetag; ","")&amp;IF(AND(W30=1,V30=0,T30=1),"Beginn leer lassen: unterwegs seit dem Vortag; ","")&amp;IF(AND(W30=0,V30&gt;0,U30=1),"Ende leer lassen: Übernachtung; ","")&amp;IF(AND(AJ30&gt;0,AM30&gt;AJ30),"Kürzung auf die Pauschale begrenzt; ",""))</f>
      </c>
      <c r="AM30" s="1">
        <f>ROUND(AG30*(IF(H30&lt;&gt;"",0.2,0)+IF(I30&lt;&gt;"",0.4,0)+IF(J30&lt;&gt;"",0.4,0)),2)</f>
      </c>
      <c r="AN30" s="1">
        <f>IF($A31="",'Februar'!$T$5,T31)</f>
      </c>
      <c r="AO30" s="1">
        <f>IF($A31="",'Februar'!$U$5,U31)</f>
      </c>
      <c r="AP30" s="1">
        <f>IF($A31="",'Februar'!$V$5,V31)</f>
      </c>
      <c r="AQ30" s="1">
        <f>IF($A31="",'Februar'!$AE$5,AE31)</f>
      </c>
      <c r="AR30" s="1">
        <f>AE29</f>
      </c>
      <c r="AS30" s="1">
        <f>X29</f>
      </c>
      <c r="AT30" s="1">
        <f>U29</f>
      </c>
      <c r="AU30" s="1">
        <f>V29</f>
      </c>
    </row>
    <row r="31" spans="1:47" x14ac:dyDescent="0.25">
      <c r="A31" s="17">
        <f>IF(MONTH(DATE(Jahr,1,27))=1,DATE(Jahr,1,27),"")</f>
      </c>
      <c r="B31" s="13">
        <f>IF(A31="","",CHOOSE(WEEKDAY(A31,2),"Mo","Di","Mi","Do","Fr","Sa","So"))</f>
      </c>
      <c r="C31" s="18"/>
      <c r="D31" s="18"/>
      <c r="E31" s="7"/>
      <c r="F31" s="7"/>
      <c r="G31" s="7"/>
      <c r="H31" s="19"/>
      <c r="I31" s="19"/>
      <c r="J31" s="19"/>
      <c r="K31" s="9"/>
      <c r="L31" s="20">
        <f>IF(OR(AD31=0,AF31&lt;&gt;"",AND(W31=1,V31&gt;0,OR(T31=1,U31=1))),"",AE31/1440)</f>
      </c>
      <c r="M31" s="21">
        <f>IF(OR(AD31=0,AF31&lt;&gt;""),"",AJ31)</f>
      </c>
      <c r="N31" s="21">
        <f>IF(AK31=0,"",AK31)</f>
      </c>
      <c r="O31" s="21">
        <f>IF(OR(AD31=0,AF31&lt;&gt;""),"",AJ31-AK31)</f>
      </c>
      <c r="P31" s="21">
        <f>IF(AND(AD31=1,AF31="",V31=2),AI31,"")</f>
      </c>
      <c r="Q31" s="21">
        <f>IF(OR($A31="",N(K31)=0),"",ROUND(K31*KmSatz,2))</f>
      </c>
      <c r="R31" s="22">
        <f>IF(AF31&amp;AL31="","",LEFT(AF31&amp;AL31,LEN(AF31&amp;AL31)-2))</f>
      </c>
      <c r="S31" s="1"/>
      <c r="T31" s="1">
        <f>IF(AND($A31&lt;&gt;"",ISNUMBER(C31)),1,0)</f>
      </c>
      <c r="U31" s="1">
        <f>IF(AND($A31&lt;&gt;"",ISNUMBER(D31)),1,0)</f>
      </c>
      <c r="V31" s="1">
        <f>IF($A31="",0,IF(E31="ja",1,IF(E31="Pauschale",2,0)))</f>
      </c>
      <c r="W31" s="1">
        <f>IF($A31="",0,IF(AU31&gt;0,1,0))</f>
      </c>
      <c r="X31" s="1">
        <f>IF(AND(T31=1,W31=0),1,0)</f>
      </c>
      <c r="Y31" s="1">
        <f>IF(AND(AS31=1,AT31=0,AU31=0),1,0)</f>
      </c>
      <c r="Z31" s="1">
        <f>IF(AND(Y31=1,T31=0,U31=1,V31=0),1,0)</f>
      </c>
      <c r="AA31" s="1">
        <f>IF(AND(X31=1,U31=0,V31=0,AN31=0,AO31=1,AP31=0),1,0)</f>
      </c>
      <c r="AB31" s="1">
        <f>IF(OR(W31=1,Z31=1),0,IF(T31=1,C31,0))</f>
      </c>
      <c r="AC31" s="1">
        <f>IF(OR(V31&gt;0,AA31=1),1,IF(U31=1,D31,1))</f>
      </c>
      <c r="AD31" s="1">
        <f>IF($A31="",0,IF(OR(T31=1,U31=1,V31&gt;0,W31=1),1,0))</f>
      </c>
      <c r="AE31" s="1">
        <f>IF(AD31=0,0,ROUND((AC31-AB31)*1440,0))</f>
      </c>
      <c r="AF31" s="1">
        <f>IF(AD31=0,"",IF(AND(F31&lt;&gt;"",ISNA(MATCH(F31,PauschLand,0))),"Land nicht in der Liste; ","")&amp;IF(AND(T31=0,W31=0,Z31=0),"Beginn fehlt; ","")&amp;IF(AND(V31=0,U31=0,AA31=0),"Ende fehlt; ","")&amp;IF(AND(X31=1,U31=1,V31=0,N(D31)&lt;N(C31)),"Ende vor Beginn (über Mitternacht: Ende in die Zeile des Folgetags); ",""))</f>
      </c>
      <c r="AG31" s="1">
        <f>IF(AD31=0,0,IFERROR(VLOOKUP(IF(F31="","Deutschland",F31),PauschTab,2,FALSE),0))</f>
      </c>
      <c r="AH31" s="1">
        <f>IF(AD31=0,0,IFERROR(VLOOKUP(IF(F31="","Deutschland",F31),PauschTab,3,FALSE),0))</f>
      </c>
      <c r="AI31" s="1">
        <f>IF(AD31=0,0,IFERROR(VLOOKUP(IF(F31="","Deutschland",F31),PauschTab,4,FALSE),0))</f>
      </c>
      <c r="AJ31" s="1">
        <f>IF(OR(AD31=0,AF31&lt;&gt;""),0,IF(AND(W31=1,V31&gt;0),IF(OR(T31=1,U31=1),AH31,AG31),IF(OR(W31=1,V31&gt;0),AH31,IF(AA31=1,IF(AND(AE31+AQ31&gt;480,AE31&gt;=AQ31),AH31,0),IF(Z31=1,IF(AND(AR31+AE31&gt;480,AE31&gt;AR31),AH31,0),IF(AE31&gt;480,AH31,0))))))</f>
      </c>
      <c r="AK31" s="1">
        <f>MIN(AJ31,AM31)</f>
      </c>
      <c r="AL31" s="1">
        <f>IF(OR(AD31=0,AF31&lt;&gt;""),"",IF(AND(W31=0,V31=0,AA31=0,Z31=0,AE31&lt;=480),"nicht mehr als 8 Std.; ","")&amp;IF(AA31=1,IF(AJ31&gt;0,"über Mitternacht, zusammen "&amp;TEXT((AE31+AQ31)/1440,"[h]:mm")&amp;" Std.; ",IF(AE31+AQ31&gt;480,"über Mitternacht: Pauschale am Folgetag; ","über Mitternacht, zusammen nicht mehr als 8 Std.; ")),"")&amp;IF(Z31=1,IF(AJ31&gt;0,"über Mitternacht, zusammen "&amp;TEXT((AR31+AE31)/1440,"[h]:mm")&amp;" Std.; ",IF(AR31+AE31&gt;480,"über Mitternacht: Pauschale am Vortag; ","über Mitternacht, zusammen nicht mehr als 8 Std.; ")),"")&amp;IF(AND(W31=1,V31&gt;0,OR(T31=1,U31=1)),"zwischendurch zu Hause: An- und Abreisetag; ","")&amp;IF(AND(W31=1,V31=0,T31=1),"Beginn leer lassen: unterwegs seit dem Vortag; ","")&amp;IF(AND(W31=0,V31&gt;0,U31=1),"Ende leer lassen: Übernachtung; ","")&amp;IF(AND(AJ31&gt;0,AM31&gt;AJ31),"Kürzung auf die Pauschale begrenzt; ",""))</f>
      </c>
      <c r="AM31" s="1">
        <f>ROUND(AG31*(IF(H31&lt;&gt;"",0.2,0)+IF(I31&lt;&gt;"",0.4,0)+IF(J31&lt;&gt;"",0.4,0)),2)</f>
      </c>
      <c r="AN31" s="1">
        <f>IF($A32="",'Februar'!$T$5,T32)</f>
      </c>
      <c r="AO31" s="1">
        <f>IF($A32="",'Februar'!$U$5,U32)</f>
      </c>
      <c r="AP31" s="1">
        <f>IF($A32="",'Februar'!$V$5,V32)</f>
      </c>
      <c r="AQ31" s="1">
        <f>IF($A32="",'Februar'!$AE$5,AE32)</f>
      </c>
      <c r="AR31" s="1">
        <f>AE30</f>
      </c>
      <c r="AS31" s="1">
        <f>X30</f>
      </c>
      <c r="AT31" s="1">
        <f>U30</f>
      </c>
      <c r="AU31" s="1">
        <f>V30</f>
      </c>
    </row>
    <row r="32" spans="1:47" x14ac:dyDescent="0.25">
      <c r="A32" s="17">
        <f>IF(MONTH(DATE(Jahr,1,28))=1,DATE(Jahr,1,28),"")</f>
      </c>
      <c r="B32" s="13">
        <f>IF(A32="","",CHOOSE(WEEKDAY(A32,2),"Mo","Di","Mi","Do","Fr","Sa","So"))</f>
      </c>
      <c r="C32" s="18"/>
      <c r="D32" s="18"/>
      <c r="E32" s="7"/>
      <c r="F32" s="7"/>
      <c r="G32" s="7"/>
      <c r="H32" s="19"/>
      <c r="I32" s="19"/>
      <c r="J32" s="19"/>
      <c r="K32" s="9"/>
      <c r="L32" s="20">
        <f>IF(OR(AD32=0,AF32&lt;&gt;"",AND(W32=1,V32&gt;0,OR(T32=1,U32=1))),"",AE32/1440)</f>
      </c>
      <c r="M32" s="21">
        <f>IF(OR(AD32=0,AF32&lt;&gt;""),"",AJ32)</f>
      </c>
      <c r="N32" s="21">
        <f>IF(AK32=0,"",AK32)</f>
      </c>
      <c r="O32" s="21">
        <f>IF(OR(AD32=0,AF32&lt;&gt;""),"",AJ32-AK32)</f>
      </c>
      <c r="P32" s="21">
        <f>IF(AND(AD32=1,AF32="",V32=2),AI32,"")</f>
      </c>
      <c r="Q32" s="21">
        <f>IF(OR($A32="",N(K32)=0),"",ROUND(K32*KmSatz,2))</f>
      </c>
      <c r="R32" s="22">
        <f>IF(AF32&amp;AL32="","",LEFT(AF32&amp;AL32,LEN(AF32&amp;AL32)-2))</f>
      </c>
      <c r="S32" s="1"/>
      <c r="T32" s="1">
        <f>IF(AND($A32&lt;&gt;"",ISNUMBER(C32)),1,0)</f>
      </c>
      <c r="U32" s="1">
        <f>IF(AND($A32&lt;&gt;"",ISNUMBER(D32)),1,0)</f>
      </c>
      <c r="V32" s="1">
        <f>IF($A32="",0,IF(E32="ja",1,IF(E32="Pauschale",2,0)))</f>
      </c>
      <c r="W32" s="1">
        <f>IF($A32="",0,IF(AU32&gt;0,1,0))</f>
      </c>
      <c r="X32" s="1">
        <f>IF(AND(T32=1,W32=0),1,0)</f>
      </c>
      <c r="Y32" s="1">
        <f>IF(AND(AS32=1,AT32=0,AU32=0),1,0)</f>
      </c>
      <c r="Z32" s="1">
        <f>IF(AND(Y32=1,T32=0,U32=1,V32=0),1,0)</f>
      </c>
      <c r="AA32" s="1">
        <f>IF(AND(X32=1,U32=0,V32=0,AN32=0,AO32=1,AP32=0),1,0)</f>
      </c>
      <c r="AB32" s="1">
        <f>IF(OR(W32=1,Z32=1),0,IF(T32=1,C32,0))</f>
      </c>
      <c r="AC32" s="1">
        <f>IF(OR(V32&gt;0,AA32=1),1,IF(U32=1,D32,1))</f>
      </c>
      <c r="AD32" s="1">
        <f>IF($A32="",0,IF(OR(T32=1,U32=1,V32&gt;0,W32=1),1,0))</f>
      </c>
      <c r="AE32" s="1">
        <f>IF(AD32=0,0,ROUND((AC32-AB32)*1440,0))</f>
      </c>
      <c r="AF32" s="1">
        <f>IF(AD32=0,"",IF(AND(F32&lt;&gt;"",ISNA(MATCH(F32,PauschLand,0))),"Land nicht in der Liste; ","")&amp;IF(AND(T32=0,W32=0,Z32=0),"Beginn fehlt; ","")&amp;IF(AND(V32=0,U32=0,AA32=0),"Ende fehlt; ","")&amp;IF(AND(X32=1,U32=1,V32=0,N(D32)&lt;N(C32)),"Ende vor Beginn (über Mitternacht: Ende in die Zeile des Folgetags); ",""))</f>
      </c>
      <c r="AG32" s="1">
        <f>IF(AD32=0,0,IFERROR(VLOOKUP(IF(F32="","Deutschland",F32),PauschTab,2,FALSE),0))</f>
      </c>
      <c r="AH32" s="1">
        <f>IF(AD32=0,0,IFERROR(VLOOKUP(IF(F32="","Deutschland",F32),PauschTab,3,FALSE),0))</f>
      </c>
      <c r="AI32" s="1">
        <f>IF(AD32=0,0,IFERROR(VLOOKUP(IF(F32="","Deutschland",F32),PauschTab,4,FALSE),0))</f>
      </c>
      <c r="AJ32" s="1">
        <f>IF(OR(AD32=0,AF32&lt;&gt;""),0,IF(AND(W32=1,V32&gt;0),IF(OR(T32=1,U32=1),AH32,AG32),IF(OR(W32=1,V32&gt;0),AH32,IF(AA32=1,IF(AND(AE32+AQ32&gt;480,AE32&gt;=AQ32),AH32,0),IF(Z32=1,IF(AND(AR32+AE32&gt;480,AE32&gt;AR32),AH32,0),IF(AE32&gt;480,AH32,0))))))</f>
      </c>
      <c r="AK32" s="1">
        <f>MIN(AJ32,AM32)</f>
      </c>
      <c r="AL32" s="1">
        <f>IF(OR(AD32=0,AF32&lt;&gt;""),"",IF(AND(W32=0,V32=0,AA32=0,Z32=0,AE32&lt;=480),"nicht mehr als 8 Std.; ","")&amp;IF(AA32=1,IF(AJ32&gt;0,"über Mitternacht, zusammen "&amp;TEXT((AE32+AQ32)/1440,"[h]:mm")&amp;" Std.; ",IF(AE32+AQ32&gt;480,"über Mitternacht: Pauschale am Folgetag; ","über Mitternacht, zusammen nicht mehr als 8 Std.; ")),"")&amp;IF(Z32=1,IF(AJ32&gt;0,"über Mitternacht, zusammen "&amp;TEXT((AR32+AE32)/1440,"[h]:mm")&amp;" Std.; ",IF(AR32+AE32&gt;480,"über Mitternacht: Pauschale am Vortag; ","über Mitternacht, zusammen nicht mehr als 8 Std.; ")),"")&amp;IF(AND(W32=1,V32&gt;0,OR(T32=1,U32=1)),"zwischendurch zu Hause: An- und Abreisetag; ","")&amp;IF(AND(W32=1,V32=0,T32=1),"Beginn leer lassen: unterwegs seit dem Vortag; ","")&amp;IF(AND(W32=0,V32&gt;0,U32=1),"Ende leer lassen: Übernachtung; ","")&amp;IF(AND(AJ32&gt;0,AM32&gt;AJ32),"Kürzung auf die Pauschale begrenzt; ",""))</f>
      </c>
      <c r="AM32" s="1">
        <f>ROUND(AG32*(IF(H32&lt;&gt;"",0.2,0)+IF(I32&lt;&gt;"",0.4,0)+IF(J32&lt;&gt;"",0.4,0)),2)</f>
      </c>
      <c r="AN32" s="1">
        <f>IF($A33="",'Februar'!$T$5,T33)</f>
      </c>
      <c r="AO32" s="1">
        <f>IF($A33="",'Februar'!$U$5,U33)</f>
      </c>
      <c r="AP32" s="1">
        <f>IF($A33="",'Februar'!$V$5,V33)</f>
      </c>
      <c r="AQ32" s="1">
        <f>IF($A33="",'Februar'!$AE$5,AE33)</f>
      </c>
      <c r="AR32" s="1">
        <f>AE31</f>
      </c>
      <c r="AS32" s="1">
        <f>X31</f>
      </c>
      <c r="AT32" s="1">
        <f>U31</f>
      </c>
      <c r="AU32" s="1">
        <f>V31</f>
      </c>
    </row>
    <row r="33" spans="1:47" x14ac:dyDescent="0.25">
      <c r="A33" s="17">
        <f>IF(MONTH(DATE(Jahr,1,29))=1,DATE(Jahr,1,29),"")</f>
      </c>
      <c r="B33" s="13">
        <f>IF(A33="","",CHOOSE(WEEKDAY(A33,2),"Mo","Di","Mi","Do","Fr","Sa","So"))</f>
      </c>
      <c r="C33" s="18"/>
      <c r="D33" s="18"/>
      <c r="E33" s="7"/>
      <c r="F33" s="7"/>
      <c r="G33" s="7"/>
      <c r="H33" s="19"/>
      <c r="I33" s="19"/>
      <c r="J33" s="19"/>
      <c r="K33" s="9"/>
      <c r="L33" s="20">
        <f>IF(OR(AD33=0,AF33&lt;&gt;"",AND(W33=1,V33&gt;0,OR(T33=1,U33=1))),"",AE33/1440)</f>
      </c>
      <c r="M33" s="21">
        <f>IF(OR(AD33=0,AF33&lt;&gt;""),"",AJ33)</f>
      </c>
      <c r="N33" s="21">
        <f>IF(AK33=0,"",AK33)</f>
      </c>
      <c r="O33" s="21">
        <f>IF(OR(AD33=0,AF33&lt;&gt;""),"",AJ33-AK33)</f>
      </c>
      <c r="P33" s="21">
        <f>IF(AND(AD33=1,AF33="",V33=2),AI33,"")</f>
      </c>
      <c r="Q33" s="21">
        <f>IF(OR($A33="",N(K33)=0),"",ROUND(K33*KmSatz,2))</f>
      </c>
      <c r="R33" s="22">
        <f>IF(AF33&amp;AL33="","",LEFT(AF33&amp;AL33,LEN(AF33&amp;AL33)-2))</f>
      </c>
      <c r="S33" s="1"/>
      <c r="T33" s="1">
        <f>IF(AND($A33&lt;&gt;"",ISNUMBER(C33)),1,0)</f>
      </c>
      <c r="U33" s="1">
        <f>IF(AND($A33&lt;&gt;"",ISNUMBER(D33)),1,0)</f>
      </c>
      <c r="V33" s="1">
        <f>IF($A33="",0,IF(E33="ja",1,IF(E33="Pauschale",2,0)))</f>
      </c>
      <c r="W33" s="1">
        <f>IF($A33="",0,IF(AU33&gt;0,1,0))</f>
      </c>
      <c r="X33" s="1">
        <f>IF(AND(T33=1,W33=0),1,0)</f>
      </c>
      <c r="Y33" s="1">
        <f>IF(AND(AS33=1,AT33=0,AU33=0),1,0)</f>
      </c>
      <c r="Z33" s="1">
        <f>IF(AND(Y33=1,T33=0,U33=1,V33=0),1,0)</f>
      </c>
      <c r="AA33" s="1">
        <f>IF(AND(X33=1,U33=0,V33=0,AN33=0,AO33=1,AP33=0),1,0)</f>
      </c>
      <c r="AB33" s="1">
        <f>IF(OR(W33=1,Z33=1),0,IF(T33=1,C33,0))</f>
      </c>
      <c r="AC33" s="1">
        <f>IF(OR(V33&gt;0,AA33=1),1,IF(U33=1,D33,1))</f>
      </c>
      <c r="AD33" s="1">
        <f>IF($A33="",0,IF(OR(T33=1,U33=1,V33&gt;0,W33=1),1,0))</f>
      </c>
      <c r="AE33" s="1">
        <f>IF(AD33=0,0,ROUND((AC33-AB33)*1440,0))</f>
      </c>
      <c r="AF33" s="1">
        <f>IF(AD33=0,"",IF(AND(F33&lt;&gt;"",ISNA(MATCH(F33,PauschLand,0))),"Land nicht in der Liste; ","")&amp;IF(AND(T33=0,W33=0,Z33=0),"Beginn fehlt; ","")&amp;IF(AND(V33=0,U33=0,AA33=0),"Ende fehlt; ","")&amp;IF(AND(X33=1,U33=1,V33=0,N(D33)&lt;N(C33)),"Ende vor Beginn (über Mitternacht: Ende in die Zeile des Folgetags); ",""))</f>
      </c>
      <c r="AG33" s="1">
        <f>IF(AD33=0,0,IFERROR(VLOOKUP(IF(F33="","Deutschland",F33),PauschTab,2,FALSE),0))</f>
      </c>
      <c r="AH33" s="1">
        <f>IF(AD33=0,0,IFERROR(VLOOKUP(IF(F33="","Deutschland",F33),PauschTab,3,FALSE),0))</f>
      </c>
      <c r="AI33" s="1">
        <f>IF(AD33=0,0,IFERROR(VLOOKUP(IF(F33="","Deutschland",F33),PauschTab,4,FALSE),0))</f>
      </c>
      <c r="AJ33" s="1">
        <f>IF(OR(AD33=0,AF33&lt;&gt;""),0,IF(AND(W33=1,V33&gt;0),IF(OR(T33=1,U33=1),AH33,AG33),IF(OR(W33=1,V33&gt;0),AH33,IF(AA33=1,IF(AND(AE33+AQ33&gt;480,AE33&gt;=AQ33),AH33,0),IF(Z33=1,IF(AND(AR33+AE33&gt;480,AE33&gt;AR33),AH33,0),IF(AE33&gt;480,AH33,0))))))</f>
      </c>
      <c r="AK33" s="1">
        <f>MIN(AJ33,AM33)</f>
      </c>
      <c r="AL33" s="1">
        <f>IF(OR(AD33=0,AF33&lt;&gt;""),"",IF(AND(W33=0,V33=0,AA33=0,Z33=0,AE33&lt;=480),"nicht mehr als 8 Std.; ","")&amp;IF(AA33=1,IF(AJ33&gt;0,"über Mitternacht, zusammen "&amp;TEXT((AE33+AQ33)/1440,"[h]:mm")&amp;" Std.; ",IF(AE33+AQ33&gt;480,"über Mitternacht: Pauschale am Folgetag; ","über Mitternacht, zusammen nicht mehr als 8 Std.; ")),"")&amp;IF(Z33=1,IF(AJ33&gt;0,"über Mitternacht, zusammen "&amp;TEXT((AR33+AE33)/1440,"[h]:mm")&amp;" Std.; ",IF(AR33+AE33&gt;480,"über Mitternacht: Pauschale am Vortag; ","über Mitternacht, zusammen nicht mehr als 8 Std.; ")),"")&amp;IF(AND(W33=1,V33&gt;0,OR(T33=1,U33=1)),"zwischendurch zu Hause: An- und Abreisetag; ","")&amp;IF(AND(W33=1,V33=0,T33=1),"Beginn leer lassen: unterwegs seit dem Vortag; ","")&amp;IF(AND(W33=0,V33&gt;0,U33=1),"Ende leer lassen: Übernachtung; ","")&amp;IF(AND(AJ33&gt;0,AM33&gt;AJ33),"Kürzung auf die Pauschale begrenzt; ",""))</f>
      </c>
      <c r="AM33" s="1">
        <f>ROUND(AG33*(IF(H33&lt;&gt;"",0.2,0)+IF(I33&lt;&gt;"",0.4,0)+IF(J33&lt;&gt;"",0.4,0)),2)</f>
      </c>
      <c r="AN33" s="1">
        <f>IF($A34="",'Februar'!$T$5,T34)</f>
      </c>
      <c r="AO33" s="1">
        <f>IF($A34="",'Februar'!$U$5,U34)</f>
      </c>
      <c r="AP33" s="1">
        <f>IF($A34="",'Februar'!$V$5,V34)</f>
      </c>
      <c r="AQ33" s="1">
        <f>IF($A34="",'Februar'!$AE$5,AE34)</f>
      </c>
      <c r="AR33" s="1">
        <f>AE32</f>
      </c>
      <c r="AS33" s="1">
        <f>X32</f>
      </c>
      <c r="AT33" s="1">
        <f>U32</f>
      </c>
      <c r="AU33" s="1">
        <f>V32</f>
      </c>
    </row>
    <row r="34" spans="1:47" x14ac:dyDescent="0.25">
      <c r="A34" s="17">
        <f>IF(MONTH(DATE(Jahr,1,30))=1,DATE(Jahr,1,30),"")</f>
      </c>
      <c r="B34" s="13">
        <f>IF(A34="","",CHOOSE(WEEKDAY(A34,2),"Mo","Di","Mi","Do","Fr","Sa","So"))</f>
      </c>
      <c r="C34" s="18"/>
      <c r="D34" s="18"/>
      <c r="E34" s="7"/>
      <c r="F34" s="7"/>
      <c r="G34" s="7"/>
      <c r="H34" s="19"/>
      <c r="I34" s="19"/>
      <c r="J34" s="19"/>
      <c r="K34" s="9"/>
      <c r="L34" s="20">
        <f>IF(OR(AD34=0,AF34&lt;&gt;"",AND(W34=1,V34&gt;0,OR(T34=1,U34=1))),"",AE34/1440)</f>
      </c>
      <c r="M34" s="21">
        <f>IF(OR(AD34=0,AF34&lt;&gt;""),"",AJ34)</f>
      </c>
      <c r="N34" s="21">
        <f>IF(AK34=0,"",AK34)</f>
      </c>
      <c r="O34" s="21">
        <f>IF(OR(AD34=0,AF34&lt;&gt;""),"",AJ34-AK34)</f>
      </c>
      <c r="P34" s="21">
        <f>IF(AND(AD34=1,AF34="",V34=2),AI34,"")</f>
      </c>
      <c r="Q34" s="21">
        <f>IF(OR($A34="",N(K34)=0),"",ROUND(K34*KmSatz,2))</f>
      </c>
      <c r="R34" s="22">
        <f>IF(AF34&amp;AL34="","",LEFT(AF34&amp;AL34,LEN(AF34&amp;AL34)-2))</f>
      </c>
      <c r="S34" s="1"/>
      <c r="T34" s="1">
        <f>IF(AND($A34&lt;&gt;"",ISNUMBER(C34)),1,0)</f>
      </c>
      <c r="U34" s="1">
        <f>IF(AND($A34&lt;&gt;"",ISNUMBER(D34)),1,0)</f>
      </c>
      <c r="V34" s="1">
        <f>IF($A34="",0,IF(E34="ja",1,IF(E34="Pauschale",2,0)))</f>
      </c>
      <c r="W34" s="1">
        <f>IF($A34="",0,IF(AU34&gt;0,1,0))</f>
      </c>
      <c r="X34" s="1">
        <f>IF(AND(T34=1,W34=0),1,0)</f>
      </c>
      <c r="Y34" s="1">
        <f>IF(AND(AS34=1,AT34=0,AU34=0),1,0)</f>
      </c>
      <c r="Z34" s="1">
        <f>IF(AND(Y34=1,T34=0,U34=1,V34=0),1,0)</f>
      </c>
      <c r="AA34" s="1">
        <f>IF(AND(X34=1,U34=0,V34=0,AN34=0,AO34=1,AP34=0),1,0)</f>
      </c>
      <c r="AB34" s="1">
        <f>IF(OR(W34=1,Z34=1),0,IF(T34=1,C34,0))</f>
      </c>
      <c r="AC34" s="1">
        <f>IF(OR(V34&gt;0,AA34=1),1,IF(U34=1,D34,1))</f>
      </c>
      <c r="AD34" s="1">
        <f>IF($A34="",0,IF(OR(T34=1,U34=1,V34&gt;0,W34=1),1,0))</f>
      </c>
      <c r="AE34" s="1">
        <f>IF(AD34=0,0,ROUND((AC34-AB34)*1440,0))</f>
      </c>
      <c r="AF34" s="1">
        <f>IF(AD34=0,"",IF(AND(F34&lt;&gt;"",ISNA(MATCH(F34,PauschLand,0))),"Land nicht in der Liste; ","")&amp;IF(AND(T34=0,W34=0,Z34=0),"Beginn fehlt; ","")&amp;IF(AND(V34=0,U34=0,AA34=0),"Ende fehlt; ","")&amp;IF(AND(X34=1,U34=1,V34=0,N(D34)&lt;N(C34)),"Ende vor Beginn (über Mitternacht: Ende in die Zeile des Folgetags); ",""))</f>
      </c>
      <c r="AG34" s="1">
        <f>IF(AD34=0,0,IFERROR(VLOOKUP(IF(F34="","Deutschland",F34),PauschTab,2,FALSE),0))</f>
      </c>
      <c r="AH34" s="1">
        <f>IF(AD34=0,0,IFERROR(VLOOKUP(IF(F34="","Deutschland",F34),PauschTab,3,FALSE),0))</f>
      </c>
      <c r="AI34" s="1">
        <f>IF(AD34=0,0,IFERROR(VLOOKUP(IF(F34="","Deutschland",F34),PauschTab,4,FALSE),0))</f>
      </c>
      <c r="AJ34" s="1">
        <f>IF(OR(AD34=0,AF34&lt;&gt;""),0,IF(AND(W34=1,V34&gt;0),IF(OR(T34=1,U34=1),AH34,AG34),IF(OR(W34=1,V34&gt;0),AH34,IF(AA34=1,IF(AND(AE34+AQ34&gt;480,AE34&gt;=AQ34),AH34,0),IF(Z34=1,IF(AND(AR34+AE34&gt;480,AE34&gt;AR34),AH34,0),IF(AE34&gt;480,AH34,0))))))</f>
      </c>
      <c r="AK34" s="1">
        <f>MIN(AJ34,AM34)</f>
      </c>
      <c r="AL34" s="1">
        <f>IF(OR(AD34=0,AF34&lt;&gt;""),"",IF(AND(W34=0,V34=0,AA34=0,Z34=0,AE34&lt;=480),"nicht mehr als 8 Std.; ","")&amp;IF(AA34=1,IF(AJ34&gt;0,"über Mitternacht, zusammen "&amp;TEXT((AE34+AQ34)/1440,"[h]:mm")&amp;" Std.; ",IF(AE34+AQ34&gt;480,"über Mitternacht: Pauschale am Folgetag; ","über Mitternacht, zusammen nicht mehr als 8 Std.; ")),"")&amp;IF(Z34=1,IF(AJ34&gt;0,"über Mitternacht, zusammen "&amp;TEXT((AR34+AE34)/1440,"[h]:mm")&amp;" Std.; ",IF(AR34+AE34&gt;480,"über Mitternacht: Pauschale am Vortag; ","über Mitternacht, zusammen nicht mehr als 8 Std.; ")),"")&amp;IF(AND(W34=1,V34&gt;0,OR(T34=1,U34=1)),"zwischendurch zu Hause: An- und Abreisetag; ","")&amp;IF(AND(W34=1,V34=0,T34=1),"Beginn leer lassen: unterwegs seit dem Vortag; ","")&amp;IF(AND(W34=0,V34&gt;0,U34=1),"Ende leer lassen: Übernachtung; ","")&amp;IF(AND(AJ34&gt;0,AM34&gt;AJ34),"Kürzung auf die Pauschale begrenzt; ",""))</f>
      </c>
      <c r="AM34" s="1">
        <f>ROUND(AG34*(IF(H34&lt;&gt;"",0.2,0)+IF(I34&lt;&gt;"",0.4,0)+IF(J34&lt;&gt;"",0.4,0)),2)</f>
      </c>
      <c r="AN34" s="1">
        <f>IF($A35="",'Februar'!$T$5,T35)</f>
      </c>
      <c r="AO34" s="1">
        <f>IF($A35="",'Februar'!$U$5,U35)</f>
      </c>
      <c r="AP34" s="1">
        <f>IF($A35="",'Februar'!$V$5,V35)</f>
      </c>
      <c r="AQ34" s="1">
        <f>IF($A35="",'Februar'!$AE$5,AE35)</f>
      </c>
      <c r="AR34" s="1">
        <f>AE33</f>
      </c>
      <c r="AS34" s="1">
        <f>X33</f>
      </c>
      <c r="AT34" s="1">
        <f>U33</f>
      </c>
      <c r="AU34" s="1">
        <f>V33</f>
      </c>
    </row>
    <row r="35" spans="1:47" x14ac:dyDescent="0.25">
      <c r="A35" s="17">
        <f>IF(MONTH(DATE(Jahr,1,31))=1,DATE(Jahr,1,31),"")</f>
      </c>
      <c r="B35" s="13">
        <f>IF(A35="","",CHOOSE(WEEKDAY(A35,2),"Mo","Di","Mi","Do","Fr","Sa","So"))</f>
      </c>
      <c r="C35" s="18"/>
      <c r="D35" s="18"/>
      <c r="E35" s="7"/>
      <c r="F35" s="7"/>
      <c r="G35" s="7"/>
      <c r="H35" s="19"/>
      <c r="I35" s="19"/>
      <c r="J35" s="19"/>
      <c r="K35" s="9"/>
      <c r="L35" s="20">
        <f>IF(OR(AD35=0,AF35&lt;&gt;"",AND(W35=1,V35&gt;0,OR(T35=1,U35=1))),"",AE35/1440)</f>
      </c>
      <c r="M35" s="21">
        <f>IF(OR(AD35=0,AF35&lt;&gt;""),"",AJ35)</f>
      </c>
      <c r="N35" s="21">
        <f>IF(AK35=0,"",AK35)</f>
      </c>
      <c r="O35" s="21">
        <f>IF(OR(AD35=0,AF35&lt;&gt;""),"",AJ35-AK35)</f>
      </c>
      <c r="P35" s="21">
        <f>IF(AND(AD35=1,AF35="",V35=2),AI35,"")</f>
      </c>
      <c r="Q35" s="21">
        <f>IF(OR($A35="",N(K35)=0),"",ROUND(K35*KmSatz,2))</f>
      </c>
      <c r="R35" s="22">
        <f>IF(AF35&amp;AL35="","",LEFT(AF35&amp;AL35,LEN(AF35&amp;AL35)-2))</f>
      </c>
      <c r="S35" s="1"/>
      <c r="T35" s="1">
        <f>IF(AND($A35&lt;&gt;"",ISNUMBER(C35)),1,0)</f>
      </c>
      <c r="U35" s="1">
        <f>IF(AND($A35&lt;&gt;"",ISNUMBER(D35)),1,0)</f>
      </c>
      <c r="V35" s="1">
        <f>IF($A35="",0,IF(E35="ja",1,IF(E35="Pauschale",2,0)))</f>
      </c>
      <c r="W35" s="1">
        <f>IF($A35="",0,IF(AU35&gt;0,1,0))</f>
      </c>
      <c r="X35" s="1">
        <f>IF(AND(T35=1,W35=0),1,0)</f>
      </c>
      <c r="Y35" s="1">
        <f>IF(AND(AS35=1,AT35=0,AU35=0),1,0)</f>
      </c>
      <c r="Z35" s="1">
        <f>IF(AND(Y35=1,T35=0,U35=1,V35=0),1,0)</f>
      </c>
      <c r="AA35" s="1">
        <f>IF(AND(X35=1,U35=0,V35=0,AN35=0,AO35=1,AP35=0),1,0)</f>
      </c>
      <c r="AB35" s="1">
        <f>IF(OR(W35=1,Z35=1),0,IF(T35=1,C35,0))</f>
      </c>
      <c r="AC35" s="1">
        <f>IF(OR(V35&gt;0,AA35=1),1,IF(U35=1,D35,1))</f>
      </c>
      <c r="AD35" s="1">
        <f>IF($A35="",0,IF(OR(T35=1,U35=1,V35&gt;0,W35=1),1,0))</f>
      </c>
      <c r="AE35" s="1">
        <f>IF(AD35=0,0,ROUND((AC35-AB35)*1440,0))</f>
      </c>
      <c r="AF35" s="1">
        <f>IF(AD35=0,"",IF(AND(F35&lt;&gt;"",ISNA(MATCH(F35,PauschLand,0))),"Land nicht in der Liste; ","")&amp;IF(AND(T35=0,W35=0,Z35=0),"Beginn fehlt; ","")&amp;IF(AND(V35=0,U35=0,AA35=0),"Ende fehlt; ","")&amp;IF(AND(X35=1,U35=1,V35=0,N(D35)&lt;N(C35)),"Ende vor Beginn (über Mitternacht: Ende in die Zeile des Folgetags); ",""))</f>
      </c>
      <c r="AG35" s="1">
        <f>IF(AD35=0,0,IFERROR(VLOOKUP(IF(F35="","Deutschland",F35),PauschTab,2,FALSE),0))</f>
      </c>
      <c r="AH35" s="1">
        <f>IF(AD35=0,0,IFERROR(VLOOKUP(IF(F35="","Deutschland",F35),PauschTab,3,FALSE),0))</f>
      </c>
      <c r="AI35" s="1">
        <f>IF(AD35=0,0,IFERROR(VLOOKUP(IF(F35="","Deutschland",F35),PauschTab,4,FALSE),0))</f>
      </c>
      <c r="AJ35" s="1">
        <f>IF(OR(AD35=0,AF35&lt;&gt;""),0,IF(AND(W35=1,V35&gt;0),IF(OR(T35=1,U35=1),AH35,AG35),IF(OR(W35=1,V35&gt;0),AH35,IF(AA35=1,IF(AND(AE35+AQ35&gt;480,AE35&gt;=AQ35),AH35,0),IF(Z35=1,IF(AND(AR35+AE35&gt;480,AE35&gt;AR35),AH35,0),IF(AE35&gt;480,AH35,0))))))</f>
      </c>
      <c r="AK35" s="1">
        <f>MIN(AJ35,AM35)</f>
      </c>
      <c r="AL35" s="1">
        <f>IF(OR(AD35=0,AF35&lt;&gt;""),"",IF(AND(W35=0,V35=0,AA35=0,Z35=0,AE35&lt;=480),"nicht mehr als 8 Std.; ","")&amp;IF(AA35=1,IF(AJ35&gt;0,"über Mitternacht, zusammen "&amp;TEXT((AE35+AQ35)/1440,"[h]:mm")&amp;" Std.; ",IF(AE35+AQ35&gt;480,"über Mitternacht: Pauschale am Folgetag; ","über Mitternacht, zusammen nicht mehr als 8 Std.; ")),"")&amp;IF(Z35=1,IF(AJ35&gt;0,"über Mitternacht, zusammen "&amp;TEXT((AR35+AE35)/1440,"[h]:mm")&amp;" Std.; ",IF(AR35+AE35&gt;480,"über Mitternacht: Pauschale am Vortag; ","über Mitternacht, zusammen nicht mehr als 8 Std.; ")),"")&amp;IF(AND(W35=1,V35&gt;0,OR(T35=1,U35=1)),"zwischendurch zu Hause: An- und Abreisetag; ","")&amp;IF(AND(W35=1,V35=0,T35=1),"Beginn leer lassen: unterwegs seit dem Vortag; ","")&amp;IF(AND(W35=0,V35&gt;0,U35=1),"Ende leer lassen: Übernachtung; ","")&amp;IF(AND(AJ35&gt;0,AM35&gt;AJ35),"Kürzung auf die Pauschale begrenzt; ",""))</f>
      </c>
      <c r="AM35" s="1">
        <f>ROUND(AG35*(IF(H35&lt;&gt;"",0.2,0)+IF(I35&lt;&gt;"",0.4,0)+IF(J35&lt;&gt;"",0.4,0)),2)</f>
      </c>
      <c r="AN35" s="1">
        <f>'Februar'!$T$5</f>
      </c>
      <c r="AO35" s="1">
        <f>'Februar'!$U$5</f>
      </c>
      <c r="AP35" s="1">
        <f>'Februar'!$V$5</f>
      </c>
      <c r="AQ35" s="1">
        <f>'Februar'!$AE$5</f>
      </c>
      <c r="AR35" s="1">
        <f>AE34</f>
      </c>
      <c r="AS35" s="1">
        <f>X34</f>
      </c>
      <c r="AT35" s="1">
        <f>U34</f>
      </c>
      <c r="AU35" s="1">
        <f>V34</f>
      </c>
    </row>
    <row r="37" spans="1:21" x14ac:dyDescent="0.25">
      <c r="A37" s="23">
        <f>"Abrechnung Januar "&amp;Jahr</f>
      </c>
      <c r="B37" s="1"/>
      <c r="C37" s="1"/>
      <c r="D37" s="1"/>
      <c r="E37" s="1"/>
      <c r="F37" s="1"/>
      <c r="G37" s="1"/>
      <c r="H37" s="1"/>
      <c r="I37" s="1"/>
      <c r="J37" s="1"/>
      <c r="K37" s="23">
        <f>"Buchung ("&amp;Kontenrahmen&amp;IF(Vorsteuerabzug="nein",", ohne Vorsteuer","")&amp;")"</f>
      </c>
      <c r="L37" s="1"/>
      <c r="M37" s="1"/>
      <c r="N37" s="1"/>
      <c r="O37" s="1"/>
      <c r="P37" s="1"/>
      <c r="Q37" s="1"/>
      <c r="R37" s="1"/>
      <c r="S37" s="1"/>
      <c r="T37" s="1">
        <f>COUNTIF(AD5:AD35,1)</f>
      </c>
      <c r="U37" s="1">
        <f>SUM(K5:K35)</f>
      </c>
    </row>
    <row r="38" spans="1:19" x14ac:dyDescent="0.25">
      <c r="A38" s="6" t="s">
        <v>49</v>
      </c>
      <c r="B38" s="6"/>
      <c r="C38" s="6"/>
      <c r="D38" s="6"/>
      <c r="E38" s="6"/>
      <c r="F38" s="6"/>
      <c r="G38" s="24">
        <f>SUM(O5:O35)</f>
      </c>
      <c r="H38" s="1"/>
      <c r="I38" s="1"/>
      <c r="J38" s="1"/>
      <c r="K38" s="25">
        <f>KtoVerpflegung</f>
      </c>
      <c r="L38" s="1" t="s">
        <v>49</v>
      </c>
      <c r="M38" s="1"/>
      <c r="N38" s="1"/>
      <c r="O38" s="1"/>
      <c r="P38" s="1"/>
      <c r="Q38" s="1"/>
      <c r="R38" s="26">
        <f>S38</f>
      </c>
      <c r="S38" s="1">
        <f>G38</f>
      </c>
    </row>
    <row r="39" spans="1:19" x14ac:dyDescent="0.25">
      <c r="A39" s="6" t="s">
        <v>75</v>
      </c>
      <c r="B39" s="6"/>
      <c r="C39" s="6"/>
      <c r="D39" s="6"/>
      <c r="E39" s="6"/>
      <c r="F39" s="6"/>
      <c r="G39" s="24">
        <f>SUMIFS(Belege!$O$5:$O$304,Belege!$L$5:$L$304,1,Belege!$C$5:$C$304,"Übernachtung")+SUM(P5:P35)</f>
      </c>
      <c r="H39" s="1"/>
      <c r="I39" s="1"/>
      <c r="J39" s="1"/>
      <c r="K39" s="25">
        <f>KtoUebernachtung</f>
      </c>
      <c r="L39" s="1" t="s">
        <v>50</v>
      </c>
      <c r="M39" s="1"/>
      <c r="N39" s="1"/>
      <c r="O39" s="1"/>
      <c r="P39" s="1"/>
      <c r="Q39" s="1"/>
      <c r="R39" s="26">
        <f>S39</f>
      </c>
      <c r="S39" s="1">
        <f>IF(Vorsteuerabzug="nein",SUMIFS(Belege!$O$5:$O$304,Belege!$L$5:$L$304,1,Belege!$C$5:$C$304,"Übernachtung"),SUMIFS(Belege!$P$5:$P$304,Belege!$L$5:$L$304,1,Belege!$C$5:$C$304,"Übernachtung"))+SUM(P5:P35)</f>
      </c>
    </row>
    <row r="40" spans="1:19" x14ac:dyDescent="0.25">
      <c r="A40" s="6" t="s">
        <v>76</v>
      </c>
      <c r="B40" s="6"/>
      <c r="C40" s="6"/>
      <c r="D40" s="6"/>
      <c r="E40" s="6"/>
      <c r="F40" s="6"/>
      <c r="G40" s="24">
        <f>SUMIFS(Belege!$O$5:$O$304,Belege!$L$5:$L$304,1,Belege!$C$5:$C$304,"Fahrtkosten")</f>
      </c>
      <c r="H40" s="1"/>
      <c r="I40" s="1"/>
      <c r="J40" s="1"/>
      <c r="K40" s="25">
        <f>KtoFahrtkosten</f>
      </c>
      <c r="L40" s="1" t="s">
        <v>51</v>
      </c>
      <c r="M40" s="1"/>
      <c r="N40" s="1"/>
      <c r="O40" s="1"/>
      <c r="P40" s="1"/>
      <c r="Q40" s="1"/>
      <c r="R40" s="26">
        <f>S40</f>
      </c>
      <c r="S40" s="1">
        <f>IF(Vorsteuerabzug="nein",SUMIFS(Belege!$O$5:$O$304,Belege!$L$5:$L$304,1,Belege!$C$5:$C$304,"Fahrtkosten"),SUMIFS(Belege!$P$5:$P$304,Belege!$L$5:$L$304,1,Belege!$C$5:$C$304,"Fahrtkosten"))</f>
      </c>
    </row>
    <row r="41" spans="1:19" x14ac:dyDescent="0.25">
      <c r="A41" s="6">
        <f>"Kilometergeld ("&amp;SUM(K5:K35)&amp;" km zu "&amp;IF(KmSatz=0.2,"0,20","0,30")&amp;" €)"</f>
      </c>
      <c r="B41" s="6"/>
      <c r="C41" s="6"/>
      <c r="D41" s="6"/>
      <c r="E41" s="6"/>
      <c r="F41" s="6"/>
      <c r="G41" s="24">
        <f>SUM(Q5:Q35)</f>
      </c>
      <c r="H41" s="1"/>
      <c r="I41" s="1"/>
      <c r="J41" s="1"/>
      <c r="K41" s="25">
        <f>KtoKilometergeld</f>
      </c>
      <c r="L41" s="1" t="s">
        <v>52</v>
      </c>
      <c r="M41" s="1"/>
      <c r="N41" s="1"/>
      <c r="O41" s="1"/>
      <c r="P41" s="1"/>
      <c r="Q41" s="1"/>
      <c r="R41" s="26">
        <f>S41</f>
      </c>
      <c r="S41" s="1">
        <f>G41</f>
      </c>
    </row>
    <row r="42" spans="1:19" x14ac:dyDescent="0.25">
      <c r="A42" s="6" t="s">
        <v>77</v>
      </c>
      <c r="B42" s="6"/>
      <c r="C42" s="6"/>
      <c r="D42" s="6"/>
      <c r="E42" s="6"/>
      <c r="F42" s="6"/>
      <c r="G42" s="24">
        <f>SUMIFS(Belege!$O$5:$O$304,Belege!$L$5:$L$304,1,Belege!$C$5:$C$304,"Nebenkosten")</f>
      </c>
      <c r="H42" s="1"/>
      <c r="I42" s="1"/>
      <c r="J42" s="1"/>
      <c r="K42" s="25">
        <f>KtoNebenkosten</f>
      </c>
      <c r="L42" s="1" t="s">
        <v>53</v>
      </c>
      <c r="M42" s="1"/>
      <c r="N42" s="1"/>
      <c r="O42" s="1"/>
      <c r="P42" s="1"/>
      <c r="Q42" s="1"/>
      <c r="R42" s="26">
        <f>S42</f>
      </c>
      <c r="S42" s="1">
        <f>IF(Vorsteuerabzug="nein",SUMIFS(Belege!$O$5:$O$304,Belege!$L$5:$L$304,1,Belege!$C$5:$C$304,"Nebenkosten"),SUMIFS(Belege!$P$5:$P$304,Belege!$L$5:$L$304,1,Belege!$C$5:$C$304,"Nebenkosten"))</f>
      </c>
    </row>
    <row r="43" spans="1:19" x14ac:dyDescent="0.25">
      <c r="A43" s="11" t="s">
        <v>78</v>
      </c>
      <c r="B43" s="11"/>
      <c r="C43" s="11"/>
      <c r="D43" s="11"/>
      <c r="E43" s="11"/>
      <c r="F43" s="11"/>
      <c r="G43" s="27">
        <f>SUM(G38:G42)</f>
      </c>
      <c r="H43" s="1"/>
      <c r="I43" s="1"/>
      <c r="J43" s="1"/>
      <c r="K43" s="25">
        <f>KtoVSt7</f>
      </c>
      <c r="L43" s="1" t="s">
        <v>54</v>
      </c>
      <c r="M43" s="1"/>
      <c r="N43" s="1"/>
      <c r="O43" s="1"/>
      <c r="P43" s="1"/>
      <c r="Q43" s="1"/>
      <c r="R43" s="26">
        <f>IF(Vorsteuerabzug="nein","",S43)</f>
      </c>
      <c r="S43" s="1">
        <f>IF(Vorsteuerabzug="nein",0,SUMIFS(Belege!$Q$5:$Q$304,Belege!$L$5:$L$304,1,Belege!$M$5:$M$304,0.07))</f>
      </c>
    </row>
    <row r="44" spans="1:19" x14ac:dyDescent="0.25">
      <c r="A44" s="6" t="s">
        <v>79</v>
      </c>
      <c r="B44" s="6"/>
      <c r="C44" s="6"/>
      <c r="D44" s="6"/>
      <c r="E44" s="6"/>
      <c r="F44" s="6"/>
      <c r="G44" s="28"/>
      <c r="H44" s="1"/>
      <c r="I44" s="1"/>
      <c r="J44" s="1"/>
      <c r="K44" s="25">
        <f>KtoVSt19</f>
      </c>
      <c r="L44" s="1" t="s">
        <v>55</v>
      </c>
      <c r="M44" s="1"/>
      <c r="N44" s="1"/>
      <c r="O44" s="1"/>
      <c r="P44" s="1"/>
      <c r="Q44" s="1"/>
      <c r="R44" s="26">
        <f>IF(Vorsteuerabzug="nein","",S44)</f>
      </c>
      <c r="S44" s="1">
        <f>IF(Vorsteuerabzug="nein",0,SUMIFS(Belege!$Q$5:$Q$304,Belege!$L$5:$L$304,1,Belege!$M$5:$M$304,0.19))</f>
      </c>
    </row>
    <row r="45" spans="1:18" x14ac:dyDescent="0.25">
      <c r="A45" s="11" t="s">
        <v>80</v>
      </c>
      <c r="B45" s="11"/>
      <c r="C45" s="11"/>
      <c r="D45" s="11"/>
      <c r="E45" s="11"/>
      <c r="F45" s="11"/>
      <c r="G45" s="27">
        <f>G43-N(G44)</f>
      </c>
      <c r="H45" s="1"/>
      <c r="I45" s="1"/>
      <c r="J45" s="1"/>
      <c r="K45" s="11" t="s">
        <v>81</v>
      </c>
      <c r="L45" s="11"/>
      <c r="M45" s="11"/>
      <c r="N45" s="11"/>
      <c r="O45" s="11"/>
      <c r="P45" s="11"/>
      <c r="Q45" s="11"/>
      <c r="R45" s="27">
        <f>SUM(S38:S44)</f>
      </c>
    </row>
    <row r="46" spans="1:7" x14ac:dyDescent="0.25">
      <c r="A46" s="29" t="s">
        <v>82</v>
      </c>
      <c r="B46" s="29"/>
      <c r="C46" s="29"/>
      <c r="D46" s="29"/>
      <c r="E46" s="29"/>
      <c r="F46" s="29"/>
      <c r="G46" s="30">
        <f>SUMIFS(Belege!$E$5:$E$304,Belege!$L$5:$L$304,1,Belege!$N$5:$N$304,0)</f>
      </c>
    </row>
    <row r="49" spans="1:18" x14ac:dyDescent="0.25">
      <c r="A49" s="31"/>
      <c r="B49" s="31"/>
      <c r="C49" s="31"/>
      <c r="D49" s="31"/>
      <c r="E49" s="31"/>
      <c r="F49" s="31"/>
      <c r="G49" s="31"/>
      <c r="H49" s="31"/>
      <c r="I49" s="31"/>
      <c r="J49" s="31"/>
      <c r="K49" s="31"/>
      <c r="M49" s="31"/>
      <c r="N49" s="31"/>
      <c r="O49" s="31"/>
      <c r="P49" s="31"/>
      <c r="Q49" s="31"/>
      <c r="R49" s="31"/>
    </row>
    <row r="50" spans="1:13" x14ac:dyDescent="0.25">
      <c r="A50" s="32" t="s">
        <v>83</v>
      </c>
      <c r="B50" s="1"/>
      <c r="C50" s="1"/>
      <c r="D50" s="1"/>
      <c r="E50" s="1"/>
      <c r="F50" s="1"/>
      <c r="G50" s="32" t="s">
        <v>84</v>
      </c>
      <c r="H50" s="1"/>
      <c r="I50" s="1"/>
      <c r="J50" s="1"/>
      <c r="K50" s="1"/>
      <c r="L50" s="1"/>
      <c r="M50" s="32" t="s">
        <v>85</v>
      </c>
    </row>
  </sheetData>
  <sheetProtection sheet="1" formatCells="0" formatColumns="0" formatRows="0"/>
  <mergeCells count="17">
    <mergeCell ref="A38:F38"/>
    <mergeCell ref="L38:Q38"/>
    <mergeCell ref="A39:F39"/>
    <mergeCell ref="L39:Q39"/>
    <mergeCell ref="A40:F40"/>
    <mergeCell ref="L40:Q40"/>
    <mergeCell ref="A41:F41"/>
    <mergeCell ref="L41:Q41"/>
    <mergeCell ref="A42:F42"/>
    <mergeCell ref="L42:Q42"/>
    <mergeCell ref="A43:F43"/>
    <mergeCell ref="L43:Q43"/>
    <mergeCell ref="A44:F44"/>
    <mergeCell ref="L44:Q44"/>
    <mergeCell ref="A45:F45"/>
    <mergeCell ref="K45:Q45"/>
    <mergeCell ref="A46:F46"/>
  </mergeCells>
  <conditionalFormatting sqref="A5:Q35">
    <cfRule type="expression" dxfId="0" priority="1">
      <formula>$A5=""</formula>
    </cfRule>
    <cfRule type="expression" dxfId="1" priority="2">
      <formula>WEEKDAY($A5,2)&gt;5</formula>
    </cfRule>
  </conditionalFormatting>
  <conditionalFormatting sqref="R5:R35">
    <cfRule type="expression" dxfId="2" priority="3">
      <formula>$A5=""</formula>
    </cfRule>
    <cfRule type="expression" dxfId="3" priority="4">
      <formula>AND($AF5&lt;&gt;"",WEEKDAY($A5,2)&gt;5)</formula>
    </cfRule>
    <cfRule type="expression" dxfId="4" priority="5">
      <formula>$AF5&lt;&gt;""</formula>
    </cfRule>
    <cfRule type="expression" dxfId="5" priority="6">
      <formula>WEEKDAY($A5,2)&gt;5</formula>
    </cfRule>
  </conditionalFormatting>
  <dataValidations count="11">
    <dataValidation type="decimal" allowBlank="1" showErrorMessage="1" errorTitle="Uhrzeit" error="Bitte als Uhrzeit hh:mm eingeben, z. B. 7:30 oder 16:45." sqref="C10:D35">
      <formula1>0</formula1>
      <formula2>0.99999</formula2>
    </dataValidation>
    <dataValidation type="decimal" allowBlank="1" showErrorMessage="1" errorTitle="Uhrzeit" error="Bitte als Uhrzeit hh:mm eingeben, z. B. 7:30 oder 16:45." sqref="C5:D35">
      <formula1>0</formula1>
      <formula2>0.99999</formula2>
    </dataValidation>
    <dataValidation type="list" allowBlank="1" showErrorMessage="1" errorTitle="Übernachtung" error="Bitte aus der Liste wählen." sqref="E10:E35">
      <formula1>"ja,Pauschale"</formula1>
    </dataValidation>
    <dataValidation type="list" allowBlank="1" showErrorMessage="1" errorTitle="Übernachtung" error="Bitte aus der Liste wählen." sqref="E5:E35">
      <formula1>"ja,Pauschale"</formula1>
    </dataValidation>
    <dataValidation type="list" allowBlank="1" showErrorMessage="1" errorTitle="Land / Ort" error="Bitte aus der Liste wählen; nicht aufgeführte Länder: Luxemburg." sqref="F10:F35">
      <formula1>Pauschalen!$A$4:$A$218</formula1>
    </dataValidation>
    <dataValidation type="list" allowBlank="1" showErrorMessage="1" errorTitle="Land / Ort" error="Bitte aus der Liste wählen; nicht aufgeführte Länder: Luxemburg." sqref="F5:F35">
      <formula1>Pauschalen!$A$4:$A$218</formula1>
    </dataValidation>
    <dataValidation type="decimal" allowBlank="1" showErrorMessage="1" errorTitle="Vorschuss" error="Bitte einen Betrag in Euro eintragen." sqref="G44">
      <formula1>0</formula1>
      <formula2>99999</formula2>
    </dataValidation>
    <dataValidation type="list" allowBlank="1" showErrorMessage="1" errorTitle="Mahlzeit" error="Bitte aus der Liste wählen." sqref="H10:J35">
      <formula1>"x"</formula1>
    </dataValidation>
    <dataValidation type="list" allowBlank="1" showErrorMessage="1" errorTitle="Mahlzeit" error="Bitte aus der Liste wählen." sqref="H5:J35">
      <formula1>"x"</formula1>
    </dataValidation>
    <dataValidation type="whole" allowBlank="1" showErrorMessage="1" errorTitle="Kilometer" error="Bitte die gefahrenen Kilometer als ganze Zahl eintragen." sqref="K10:K35">
      <formula1>0</formula1>
      <formula2>5000</formula2>
    </dataValidation>
    <dataValidation type="whole" allowBlank="1" showErrorMessage="1" errorTitle="Kilometer" error="Bitte die gefahrenen Kilometer als ganze Zahl eintragen." sqref="K5:K35">
      <formula1>0</formula1>
      <formula2>5000</formula2>
    </dataValidation>
  </dataValidations>
  <pageMargins left="0.4" right="0.4" top="0.5" bottom="0.5" header="0.2" footer="0.2"/>
  <pageSetup paperSize="9" orientation="landscape"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0"/>
  <sheetViews>
    <sheetView workbookViewId="0" showGridLines="0">
      <pane xSplit="2" ySplit="4" topLeftCell="C5" activePane="bottomRight" state="frozen"/>
      <selection pane="bottomRight"/>
    </sheetView>
  </sheetViews>
  <sheetFormatPr defaultRowHeight="15" outlineLevelRow="0" outlineLevelCol="0" x14ac:dyDescent="55"/>
  <cols>
    <col min="1" max="1" width="7" customWidth="1"/>
    <col min="2" max="2" width="4" customWidth="1"/>
    <col min="3" max="4" width="6.5" customWidth="1"/>
    <col min="5" max="5" width="10" customWidth="1"/>
    <col min="6" max="6" width="18" customWidth="1"/>
    <col min="7" max="7" width="24" customWidth="1"/>
    <col min="8" max="10" width="5.5" customWidth="1"/>
    <col min="11" max="11" width="8" customWidth="1"/>
    <col min="14" max="14" width="8.5" customWidth="1"/>
    <col min="15" max="15" width="10.5" customWidth="1"/>
    <col min="16" max="16" width="12" customWidth="1"/>
    <col min="17" max="17" width="10" customWidth="1"/>
    <col min="18" max="18" width="36" customWidth="1"/>
    <col min="19" max="19" width="9" hidden="1" customWidth="1"/>
    <col min="20" max="20" width="9" hidden="1" customWidth="1"/>
    <col min="21" max="21" width="9" hidden="1" customWidth="1"/>
    <col min="22" max="22" width="9" hidden="1" customWidth="1"/>
    <col min="23" max="23" width="9" hidden="1" customWidth="1"/>
    <col min="24" max="24" width="9" hidden="1" customWidth="1"/>
    <col min="25" max="25" width="9" hidden="1" customWidth="1"/>
    <col min="26" max="26" width="9" hidden="1" customWidth="1"/>
    <col min="27" max="27" width="9" hidden="1" customWidth="1"/>
    <col min="28" max="28" width="9" hidden="1" customWidth="1"/>
    <col min="29" max="29" width="9" hidden="1" customWidth="1"/>
    <col min="30" max="30" width="9" hidden="1" customWidth="1"/>
    <col min="31" max="31" width="9" hidden="1" customWidth="1"/>
    <col min="32" max="32" width="9" hidden="1" customWidth="1"/>
    <col min="33" max="33" width="9" hidden="1" customWidth="1"/>
    <col min="34" max="34" width="9" hidden="1" customWidth="1"/>
    <col min="35" max="35" width="9" hidden="1" customWidth="1"/>
    <col min="36" max="36" width="9" hidden="1" customWidth="1"/>
    <col min="37" max="37" width="9" hidden="1" customWidth="1"/>
    <col min="38" max="38" width="9" hidden="1" customWidth="1"/>
    <col min="39" max="39" width="9" hidden="1" customWidth="1"/>
    <col min="40" max="40" width="9" hidden="1" customWidth="1"/>
    <col min="41" max="41" width="9" hidden="1" customWidth="1"/>
    <col min="42" max="42" width="9" hidden="1" customWidth="1"/>
    <col min="43" max="43" width="9" hidden="1" customWidth="1"/>
    <col min="44" max="44" width="9" hidden="1" customWidth="1"/>
    <col min="45" max="45" width="9" hidden="1" customWidth="1"/>
    <col min="46" max="46" width="9" hidden="1" customWidth="1"/>
    <col min="47" max="47" width="9" hidden="1" customWidth="1"/>
  </cols>
  <sheetData>
    <row r="1" spans="1:1" x14ac:dyDescent="0.25">
      <c r="A1" s="5">
        <f>"Reisekostenabrechnung Februar "&amp;Jahr</f>
      </c>
    </row>
    <row r="2" spans="1:1" x14ac:dyDescent="0.25">
      <c r="A2" s="6">
        <f>"Name: "&amp;IF(MitarbeiterName="","…",MitarbeiterName)&amp;IF(Personalnummer="",""," · Personalnr. "&amp;Personalnummer)&amp;IF(Kostenstelle="",""," · "&amp;Kostenstelle)&amp;IF(Firma="",""," · "&amp;Firma)</f>
      </c>
    </row>
    <row r="3" spans="1:1" x14ac:dyDescent="0.25">
      <c r="A3" s="16">
        <f>IF(Jahr&lt;&gt;2026,"Die Pauschalen in dieser Datei gelten für 2026. ","")&amp;IF(MitarbeiterName="","Bitte in den Einstellungen den Namen eintragen.","")</f>
      </c>
    </row>
    <row r="4" ht="40" customHeight="1" spans="1:18" x14ac:dyDescent="0.25">
      <c r="A4" s="12" t="s">
        <v>57</v>
      </c>
      <c r="B4" s="12" t="s">
        <v>58</v>
      </c>
      <c r="C4" s="12" t="s">
        <v>59</v>
      </c>
      <c r="D4" s="12" t="s">
        <v>60</v>
      </c>
      <c r="E4" s="12" t="s">
        <v>61</v>
      </c>
      <c r="F4" s="12" t="s">
        <v>62</v>
      </c>
      <c r="G4" s="12" t="s">
        <v>63</v>
      </c>
      <c r="H4" s="12" t="s">
        <v>64</v>
      </c>
      <c r="I4" s="12" t="s">
        <v>65</v>
      </c>
      <c r="J4" s="12" t="s">
        <v>66</v>
      </c>
      <c r="K4" s="12" t="s">
        <v>67</v>
      </c>
      <c r="L4" s="12" t="s">
        <v>68</v>
      </c>
      <c r="M4" s="12" t="s">
        <v>69</v>
      </c>
      <c r="N4" s="12" t="s">
        <v>70</v>
      </c>
      <c r="O4" s="12" t="s">
        <v>71</v>
      </c>
      <c r="P4" s="12" t="s">
        <v>72</v>
      </c>
      <c r="Q4" s="12" t="s">
        <v>73</v>
      </c>
      <c r="R4" s="12" t="s">
        <v>74</v>
      </c>
    </row>
    <row r="5" spans="1:47" x14ac:dyDescent="0.25">
      <c r="A5" s="17">
        <f>IF(MONTH(DATE(Jahr,2,1))=2,DATE(Jahr,2,1),"")</f>
      </c>
      <c r="B5" s="13">
        <f>IF(A5="","",CHOOSE(WEEKDAY(A5,2),"Mo","Di","Mi","Do","Fr","Sa","So"))</f>
      </c>
      <c r="C5" s="18"/>
      <c r="D5" s="18"/>
      <c r="E5" s="7"/>
      <c r="F5" s="7"/>
      <c r="G5" s="7"/>
      <c r="H5" s="19"/>
      <c r="I5" s="19"/>
      <c r="J5" s="19"/>
      <c r="K5" s="9"/>
      <c r="L5" s="20">
        <f>IF(OR(AD5=0,AF5&lt;&gt;"",AND(W5=1,V5&gt;0,OR(T5=1,U5=1))),"",AE5/1440)</f>
      </c>
      <c r="M5" s="21">
        <f>IF(OR(AD5=0,AF5&lt;&gt;""),"",AJ5)</f>
      </c>
      <c r="N5" s="21">
        <f>IF(AK5=0,"",AK5)</f>
      </c>
      <c r="O5" s="21">
        <f>IF(OR(AD5=0,AF5&lt;&gt;""),"",AJ5-AK5)</f>
      </c>
      <c r="P5" s="21">
        <f>IF(AND(AD5=1,AF5="",V5=2),AI5,"")</f>
      </c>
      <c r="Q5" s="21">
        <f>IF(OR($A5="",N(K5)=0),"",ROUND(K5*KmSatz,2))</f>
      </c>
      <c r="R5" s="22">
        <f>IF(AF5&amp;AL5="","",LEFT(AF5&amp;AL5,LEN(AF5&amp;AL5)-2))</f>
      </c>
      <c r="S5" s="1"/>
      <c r="T5" s="1">
        <f>IF(AND($A5&lt;&gt;"",ISNUMBER(C5)),1,0)</f>
      </c>
      <c r="U5" s="1">
        <f>IF(AND($A5&lt;&gt;"",ISNUMBER(D5)),1,0)</f>
      </c>
      <c r="V5" s="1">
        <f>IF($A5="",0,IF(E5="ja",1,IF(E5="Pauschale",2,0)))</f>
      </c>
      <c r="W5" s="1">
        <f>IF($A5="",0,IF(AU5&gt;0,1,0))</f>
      </c>
      <c r="X5" s="1">
        <f>IF(AND(T5=1,W5=0),1,0)</f>
      </c>
      <c r="Y5" s="1">
        <f>IF(AND(AS5=1,AT5=0,AU5=0),1,0)</f>
      </c>
      <c r="Z5" s="1">
        <f>IF(AND(Y5=1,T5=0,U5=1,V5=0),1,0)</f>
      </c>
      <c r="AA5" s="1">
        <f>IF(AND(X5=1,U5=0,V5=0,AN5=0,AO5=1,AP5=0),1,0)</f>
      </c>
      <c r="AB5" s="1">
        <f>IF(OR(W5=1,Z5=1),0,IF(T5=1,C5,0))</f>
      </c>
      <c r="AC5" s="1">
        <f>IF(OR(V5&gt;0,AA5=1),1,IF(U5=1,D5,1))</f>
      </c>
      <c r="AD5" s="1">
        <f>IF($A5="",0,IF(OR(T5=1,U5=1,V5&gt;0,W5=1),1,0))</f>
      </c>
      <c r="AE5" s="1">
        <f>IF(AD5=0,0,ROUND((AC5-AB5)*1440,0))</f>
      </c>
      <c r="AF5" s="1">
        <f>IF(AD5=0,"",IF(AND(F5&lt;&gt;"",ISNA(MATCH(F5,PauschLand,0))),"Land nicht in der Liste; ","")&amp;IF(AND(T5=0,W5=0,Z5=0),"Beginn fehlt; ","")&amp;IF(AND(V5=0,U5=0,AA5=0),"Ende fehlt; ","")&amp;IF(AND(X5=1,U5=1,V5=0,N(D5)&lt;N(C5)),"Ende vor Beginn (über Mitternacht: Ende in die Zeile des Folgetags); ",""))</f>
      </c>
      <c r="AG5" s="1">
        <f>IF(AD5=0,0,IFERROR(VLOOKUP(IF(F5="","Deutschland",F5),PauschTab,2,FALSE),0))</f>
      </c>
      <c r="AH5" s="1">
        <f>IF(AD5=0,0,IFERROR(VLOOKUP(IF(F5="","Deutschland",F5),PauschTab,3,FALSE),0))</f>
      </c>
      <c r="AI5" s="1">
        <f>IF(AD5=0,0,IFERROR(VLOOKUP(IF(F5="","Deutschland",F5),PauschTab,4,FALSE),0))</f>
      </c>
      <c r="AJ5" s="1">
        <f>IF(OR(AD5=0,AF5&lt;&gt;""),0,IF(AND(W5=1,V5&gt;0),IF(OR(T5=1,U5=1),AH5,AG5),IF(OR(W5=1,V5&gt;0),AH5,IF(AA5=1,IF(AND(AE5+AQ5&gt;480,AE5&gt;=AQ5),AH5,0),IF(Z5=1,IF(AND(AR5+AE5&gt;480,AE5&gt;AR5),AH5,0),IF(AE5&gt;480,AH5,0))))))</f>
      </c>
      <c r="AK5" s="1">
        <f>MIN(AJ5,AM5)</f>
      </c>
      <c r="AL5" s="1">
        <f>IF(OR(AD5=0,AF5&lt;&gt;""),"",IF(AND(W5=0,V5=0,AA5=0,Z5=0,AE5&lt;=480),"nicht mehr als 8 Std.; ","")&amp;IF(AA5=1,IF(AJ5&gt;0,"über Mitternacht, zusammen "&amp;TEXT((AE5+AQ5)/1440,"[h]:mm")&amp;" Std.; ",IF(AE5+AQ5&gt;480,"über Mitternacht: Pauschale am Folgetag; ","über Mitternacht, zusammen nicht mehr als 8 Std.; ")),"")&amp;IF(Z5=1,IF(AJ5&gt;0,"über Mitternacht, zusammen "&amp;TEXT((AR5+AE5)/1440,"[h]:mm")&amp;" Std.; ",IF(AR5+AE5&gt;480,"über Mitternacht: Pauschale am Vortag; ","über Mitternacht, zusammen nicht mehr als 8 Std.; ")),"")&amp;IF(AND(W5=1,V5&gt;0,OR(T5=1,U5=1)),"zwischendurch zu Hause: An- und Abreisetag; ","")&amp;IF(AND(W5=1,V5=0,T5=1),"Beginn leer lassen: unterwegs seit dem Vortag; ","")&amp;IF(AND(W5=0,V5&gt;0,U5=1),"Ende leer lassen: Übernachtung; ","")&amp;IF(AND(AJ5&gt;0,AM5&gt;AJ5),"Kürzung auf die Pauschale begrenzt; ",""))</f>
      </c>
      <c r="AM5" s="1">
        <f>ROUND(AG5*(IF(H5&lt;&gt;"",0.2,0)+IF(I5&lt;&gt;"",0.4,0)+IF(J5&lt;&gt;"",0.4,0)),2)</f>
      </c>
      <c r="AN5" s="1">
        <f>IF($A6="",'März'!$T$5,T6)</f>
      </c>
      <c r="AO5" s="1">
        <f>IF($A6="",'März'!$U$5,U6)</f>
      </c>
      <c r="AP5" s="1">
        <f>IF($A6="",'März'!$V$5,V6)</f>
      </c>
      <c r="AQ5" s="1">
        <f>IF($A6="",'März'!$AE$5,AE6)</f>
      </c>
      <c r="AR5" s="1">
        <f>INDEX('Januar'!$AE$5:$AE$35,DAY(DATE(Jahr,2,0)))</f>
      </c>
      <c r="AS5" s="1">
        <f>INDEX('Januar'!$X$5:$X$35,DAY(DATE(Jahr,2,0)))</f>
      </c>
      <c r="AT5" s="1">
        <f>INDEX('Januar'!$U$5:$U$35,DAY(DATE(Jahr,2,0)))</f>
      </c>
      <c r="AU5" s="1">
        <f>INDEX('Januar'!$V$5:$V$35,DAY(DATE(Jahr,2,0)))</f>
      </c>
    </row>
    <row r="6" spans="1:47" x14ac:dyDescent="0.25">
      <c r="A6" s="17">
        <f>IF(MONTH(DATE(Jahr,2,2))=2,DATE(Jahr,2,2),"")</f>
      </c>
      <c r="B6" s="13">
        <f>IF(A6="","",CHOOSE(WEEKDAY(A6,2),"Mo","Di","Mi","Do","Fr","Sa","So"))</f>
      </c>
      <c r="C6" s="18"/>
      <c r="D6" s="18"/>
      <c r="E6" s="7"/>
      <c r="F6" s="7"/>
      <c r="G6" s="7"/>
      <c r="H6" s="19"/>
      <c r="I6" s="19"/>
      <c r="J6" s="19"/>
      <c r="K6" s="9"/>
      <c r="L6" s="20">
        <f>IF(OR(AD6=0,AF6&lt;&gt;"",AND(W6=1,V6&gt;0,OR(T6=1,U6=1))),"",AE6/1440)</f>
      </c>
      <c r="M6" s="21">
        <f>IF(OR(AD6=0,AF6&lt;&gt;""),"",AJ6)</f>
      </c>
      <c r="N6" s="21">
        <f>IF(AK6=0,"",AK6)</f>
      </c>
      <c r="O6" s="21">
        <f>IF(OR(AD6=0,AF6&lt;&gt;""),"",AJ6-AK6)</f>
      </c>
      <c r="P6" s="21">
        <f>IF(AND(AD6=1,AF6="",V6=2),AI6,"")</f>
      </c>
      <c r="Q6" s="21">
        <f>IF(OR($A6="",N(K6)=0),"",ROUND(K6*KmSatz,2))</f>
      </c>
      <c r="R6" s="22">
        <f>IF(AF6&amp;AL6="","",LEFT(AF6&amp;AL6,LEN(AF6&amp;AL6)-2))</f>
      </c>
      <c r="S6" s="1"/>
      <c r="T6" s="1">
        <f>IF(AND($A6&lt;&gt;"",ISNUMBER(C6)),1,0)</f>
      </c>
      <c r="U6" s="1">
        <f>IF(AND($A6&lt;&gt;"",ISNUMBER(D6)),1,0)</f>
      </c>
      <c r="V6" s="1">
        <f>IF($A6="",0,IF(E6="ja",1,IF(E6="Pauschale",2,0)))</f>
      </c>
      <c r="W6" s="1">
        <f>IF($A6="",0,IF(AU6&gt;0,1,0))</f>
      </c>
      <c r="X6" s="1">
        <f>IF(AND(T6=1,W6=0),1,0)</f>
      </c>
      <c r="Y6" s="1">
        <f>IF(AND(AS6=1,AT6=0,AU6=0),1,0)</f>
      </c>
      <c r="Z6" s="1">
        <f>IF(AND(Y6=1,T6=0,U6=1,V6=0),1,0)</f>
      </c>
      <c r="AA6" s="1">
        <f>IF(AND(X6=1,U6=0,V6=0,AN6=0,AO6=1,AP6=0),1,0)</f>
      </c>
      <c r="AB6" s="1">
        <f>IF(OR(W6=1,Z6=1),0,IF(T6=1,C6,0))</f>
      </c>
      <c r="AC6" s="1">
        <f>IF(OR(V6&gt;0,AA6=1),1,IF(U6=1,D6,1))</f>
      </c>
      <c r="AD6" s="1">
        <f>IF($A6="",0,IF(OR(T6=1,U6=1,V6&gt;0,W6=1),1,0))</f>
      </c>
      <c r="AE6" s="1">
        <f>IF(AD6=0,0,ROUND((AC6-AB6)*1440,0))</f>
      </c>
      <c r="AF6" s="1">
        <f>IF(AD6=0,"",IF(AND(F6&lt;&gt;"",ISNA(MATCH(F6,PauschLand,0))),"Land nicht in der Liste; ","")&amp;IF(AND(T6=0,W6=0,Z6=0),"Beginn fehlt; ","")&amp;IF(AND(V6=0,U6=0,AA6=0),"Ende fehlt; ","")&amp;IF(AND(X6=1,U6=1,V6=0,N(D6)&lt;N(C6)),"Ende vor Beginn (über Mitternacht: Ende in die Zeile des Folgetags); ",""))</f>
      </c>
      <c r="AG6" s="1">
        <f>IF(AD6=0,0,IFERROR(VLOOKUP(IF(F6="","Deutschland",F6),PauschTab,2,FALSE),0))</f>
      </c>
      <c r="AH6" s="1">
        <f>IF(AD6=0,0,IFERROR(VLOOKUP(IF(F6="","Deutschland",F6),PauschTab,3,FALSE),0))</f>
      </c>
      <c r="AI6" s="1">
        <f>IF(AD6=0,0,IFERROR(VLOOKUP(IF(F6="","Deutschland",F6),PauschTab,4,FALSE),0))</f>
      </c>
      <c r="AJ6" s="1">
        <f>IF(OR(AD6=0,AF6&lt;&gt;""),0,IF(AND(W6=1,V6&gt;0),IF(OR(T6=1,U6=1),AH6,AG6),IF(OR(W6=1,V6&gt;0),AH6,IF(AA6=1,IF(AND(AE6+AQ6&gt;480,AE6&gt;=AQ6),AH6,0),IF(Z6=1,IF(AND(AR6+AE6&gt;480,AE6&gt;AR6),AH6,0),IF(AE6&gt;480,AH6,0))))))</f>
      </c>
      <c r="AK6" s="1">
        <f>MIN(AJ6,AM6)</f>
      </c>
      <c r="AL6" s="1">
        <f>IF(OR(AD6=0,AF6&lt;&gt;""),"",IF(AND(W6=0,V6=0,AA6=0,Z6=0,AE6&lt;=480),"nicht mehr als 8 Std.; ","")&amp;IF(AA6=1,IF(AJ6&gt;0,"über Mitternacht, zusammen "&amp;TEXT((AE6+AQ6)/1440,"[h]:mm")&amp;" Std.; ",IF(AE6+AQ6&gt;480,"über Mitternacht: Pauschale am Folgetag; ","über Mitternacht, zusammen nicht mehr als 8 Std.; ")),"")&amp;IF(Z6=1,IF(AJ6&gt;0,"über Mitternacht, zusammen "&amp;TEXT((AR6+AE6)/1440,"[h]:mm")&amp;" Std.; ",IF(AR6+AE6&gt;480,"über Mitternacht: Pauschale am Vortag; ","über Mitternacht, zusammen nicht mehr als 8 Std.; ")),"")&amp;IF(AND(W6=1,V6&gt;0,OR(T6=1,U6=1)),"zwischendurch zu Hause: An- und Abreisetag; ","")&amp;IF(AND(W6=1,V6=0,T6=1),"Beginn leer lassen: unterwegs seit dem Vortag; ","")&amp;IF(AND(W6=0,V6&gt;0,U6=1),"Ende leer lassen: Übernachtung; ","")&amp;IF(AND(AJ6&gt;0,AM6&gt;AJ6),"Kürzung auf die Pauschale begrenzt; ",""))</f>
      </c>
      <c r="AM6" s="1">
        <f>ROUND(AG6*(IF(H6&lt;&gt;"",0.2,0)+IF(I6&lt;&gt;"",0.4,0)+IF(J6&lt;&gt;"",0.4,0)),2)</f>
      </c>
      <c r="AN6" s="1">
        <f>IF($A7="",'März'!$T$5,T7)</f>
      </c>
      <c r="AO6" s="1">
        <f>IF($A7="",'März'!$U$5,U7)</f>
      </c>
      <c r="AP6" s="1">
        <f>IF($A7="",'März'!$V$5,V7)</f>
      </c>
      <c r="AQ6" s="1">
        <f>IF($A7="",'März'!$AE$5,AE7)</f>
      </c>
      <c r="AR6" s="1">
        <f>AE5</f>
      </c>
      <c r="AS6" s="1">
        <f>X5</f>
      </c>
      <c r="AT6" s="1">
        <f>U5</f>
      </c>
      <c r="AU6" s="1">
        <f>V5</f>
      </c>
    </row>
    <row r="7" spans="1:47" x14ac:dyDescent="0.25">
      <c r="A7" s="17">
        <f>IF(MONTH(DATE(Jahr,2,3))=2,DATE(Jahr,2,3),"")</f>
      </c>
      <c r="B7" s="13">
        <f>IF(A7="","",CHOOSE(WEEKDAY(A7,2),"Mo","Di","Mi","Do","Fr","Sa","So"))</f>
      </c>
      <c r="C7" s="18"/>
      <c r="D7" s="18"/>
      <c r="E7" s="7"/>
      <c r="F7" s="7"/>
      <c r="G7" s="7"/>
      <c r="H7" s="19"/>
      <c r="I7" s="19"/>
      <c r="J7" s="19"/>
      <c r="K7" s="9"/>
      <c r="L7" s="20">
        <f>IF(OR(AD7=0,AF7&lt;&gt;"",AND(W7=1,V7&gt;0,OR(T7=1,U7=1))),"",AE7/1440)</f>
      </c>
      <c r="M7" s="21">
        <f>IF(OR(AD7=0,AF7&lt;&gt;""),"",AJ7)</f>
      </c>
      <c r="N7" s="21">
        <f>IF(AK7=0,"",AK7)</f>
      </c>
      <c r="O7" s="21">
        <f>IF(OR(AD7=0,AF7&lt;&gt;""),"",AJ7-AK7)</f>
      </c>
      <c r="P7" s="21">
        <f>IF(AND(AD7=1,AF7="",V7=2),AI7,"")</f>
      </c>
      <c r="Q7" s="21">
        <f>IF(OR($A7="",N(K7)=0),"",ROUND(K7*KmSatz,2))</f>
      </c>
      <c r="R7" s="22">
        <f>IF(AF7&amp;AL7="","",LEFT(AF7&amp;AL7,LEN(AF7&amp;AL7)-2))</f>
      </c>
      <c r="S7" s="1"/>
      <c r="T7" s="1">
        <f>IF(AND($A7&lt;&gt;"",ISNUMBER(C7)),1,0)</f>
      </c>
      <c r="U7" s="1">
        <f>IF(AND($A7&lt;&gt;"",ISNUMBER(D7)),1,0)</f>
      </c>
      <c r="V7" s="1">
        <f>IF($A7="",0,IF(E7="ja",1,IF(E7="Pauschale",2,0)))</f>
      </c>
      <c r="W7" s="1">
        <f>IF($A7="",0,IF(AU7&gt;0,1,0))</f>
      </c>
      <c r="X7" s="1">
        <f>IF(AND(T7=1,W7=0),1,0)</f>
      </c>
      <c r="Y7" s="1">
        <f>IF(AND(AS7=1,AT7=0,AU7=0),1,0)</f>
      </c>
      <c r="Z7" s="1">
        <f>IF(AND(Y7=1,T7=0,U7=1,V7=0),1,0)</f>
      </c>
      <c r="AA7" s="1">
        <f>IF(AND(X7=1,U7=0,V7=0,AN7=0,AO7=1,AP7=0),1,0)</f>
      </c>
      <c r="AB7" s="1">
        <f>IF(OR(W7=1,Z7=1),0,IF(T7=1,C7,0))</f>
      </c>
      <c r="AC7" s="1">
        <f>IF(OR(V7&gt;0,AA7=1),1,IF(U7=1,D7,1))</f>
      </c>
      <c r="AD7" s="1">
        <f>IF($A7="",0,IF(OR(T7=1,U7=1,V7&gt;0,W7=1),1,0))</f>
      </c>
      <c r="AE7" s="1">
        <f>IF(AD7=0,0,ROUND((AC7-AB7)*1440,0))</f>
      </c>
      <c r="AF7" s="1">
        <f>IF(AD7=0,"",IF(AND(F7&lt;&gt;"",ISNA(MATCH(F7,PauschLand,0))),"Land nicht in der Liste; ","")&amp;IF(AND(T7=0,W7=0,Z7=0),"Beginn fehlt; ","")&amp;IF(AND(V7=0,U7=0,AA7=0),"Ende fehlt; ","")&amp;IF(AND(X7=1,U7=1,V7=0,N(D7)&lt;N(C7)),"Ende vor Beginn (über Mitternacht: Ende in die Zeile des Folgetags); ",""))</f>
      </c>
      <c r="AG7" s="1">
        <f>IF(AD7=0,0,IFERROR(VLOOKUP(IF(F7="","Deutschland",F7),PauschTab,2,FALSE),0))</f>
      </c>
      <c r="AH7" s="1">
        <f>IF(AD7=0,0,IFERROR(VLOOKUP(IF(F7="","Deutschland",F7),PauschTab,3,FALSE),0))</f>
      </c>
      <c r="AI7" s="1">
        <f>IF(AD7=0,0,IFERROR(VLOOKUP(IF(F7="","Deutschland",F7),PauschTab,4,FALSE),0))</f>
      </c>
      <c r="AJ7" s="1">
        <f>IF(OR(AD7=0,AF7&lt;&gt;""),0,IF(AND(W7=1,V7&gt;0),IF(OR(T7=1,U7=1),AH7,AG7),IF(OR(W7=1,V7&gt;0),AH7,IF(AA7=1,IF(AND(AE7+AQ7&gt;480,AE7&gt;=AQ7),AH7,0),IF(Z7=1,IF(AND(AR7+AE7&gt;480,AE7&gt;AR7),AH7,0),IF(AE7&gt;480,AH7,0))))))</f>
      </c>
      <c r="AK7" s="1">
        <f>MIN(AJ7,AM7)</f>
      </c>
      <c r="AL7" s="1">
        <f>IF(OR(AD7=0,AF7&lt;&gt;""),"",IF(AND(W7=0,V7=0,AA7=0,Z7=0,AE7&lt;=480),"nicht mehr als 8 Std.; ","")&amp;IF(AA7=1,IF(AJ7&gt;0,"über Mitternacht, zusammen "&amp;TEXT((AE7+AQ7)/1440,"[h]:mm")&amp;" Std.; ",IF(AE7+AQ7&gt;480,"über Mitternacht: Pauschale am Folgetag; ","über Mitternacht, zusammen nicht mehr als 8 Std.; ")),"")&amp;IF(Z7=1,IF(AJ7&gt;0,"über Mitternacht, zusammen "&amp;TEXT((AR7+AE7)/1440,"[h]:mm")&amp;" Std.; ",IF(AR7+AE7&gt;480,"über Mitternacht: Pauschale am Vortag; ","über Mitternacht, zusammen nicht mehr als 8 Std.; ")),"")&amp;IF(AND(W7=1,V7&gt;0,OR(T7=1,U7=1)),"zwischendurch zu Hause: An- und Abreisetag; ","")&amp;IF(AND(W7=1,V7=0,T7=1),"Beginn leer lassen: unterwegs seit dem Vortag; ","")&amp;IF(AND(W7=0,V7&gt;0,U7=1),"Ende leer lassen: Übernachtung; ","")&amp;IF(AND(AJ7&gt;0,AM7&gt;AJ7),"Kürzung auf die Pauschale begrenzt; ",""))</f>
      </c>
      <c r="AM7" s="1">
        <f>ROUND(AG7*(IF(H7&lt;&gt;"",0.2,0)+IF(I7&lt;&gt;"",0.4,0)+IF(J7&lt;&gt;"",0.4,0)),2)</f>
      </c>
      <c r="AN7" s="1">
        <f>IF($A8="",'März'!$T$5,T8)</f>
      </c>
      <c r="AO7" s="1">
        <f>IF($A8="",'März'!$U$5,U8)</f>
      </c>
      <c r="AP7" s="1">
        <f>IF($A8="",'März'!$V$5,V8)</f>
      </c>
      <c r="AQ7" s="1">
        <f>IF($A8="",'März'!$AE$5,AE8)</f>
      </c>
      <c r="AR7" s="1">
        <f>AE6</f>
      </c>
      <c r="AS7" s="1">
        <f>X6</f>
      </c>
      <c r="AT7" s="1">
        <f>U6</f>
      </c>
      <c r="AU7" s="1">
        <f>V6</f>
      </c>
    </row>
    <row r="8" spans="1:47" x14ac:dyDescent="0.25">
      <c r="A8" s="17">
        <f>IF(MONTH(DATE(Jahr,2,4))=2,DATE(Jahr,2,4),"")</f>
      </c>
      <c r="B8" s="13">
        <f>IF(A8="","",CHOOSE(WEEKDAY(A8,2),"Mo","Di","Mi","Do","Fr","Sa","So"))</f>
      </c>
      <c r="C8" s="18"/>
      <c r="D8" s="18"/>
      <c r="E8" s="7"/>
      <c r="F8" s="7"/>
      <c r="G8" s="7"/>
      <c r="H8" s="19"/>
      <c r="I8" s="19"/>
      <c r="J8" s="19"/>
      <c r="K8" s="9"/>
      <c r="L8" s="20">
        <f>IF(OR(AD8=0,AF8&lt;&gt;"",AND(W8=1,V8&gt;0,OR(T8=1,U8=1))),"",AE8/1440)</f>
      </c>
      <c r="M8" s="21">
        <f>IF(OR(AD8=0,AF8&lt;&gt;""),"",AJ8)</f>
      </c>
      <c r="N8" s="21">
        <f>IF(AK8=0,"",AK8)</f>
      </c>
      <c r="O8" s="21">
        <f>IF(OR(AD8=0,AF8&lt;&gt;""),"",AJ8-AK8)</f>
      </c>
      <c r="P8" s="21">
        <f>IF(AND(AD8=1,AF8="",V8=2),AI8,"")</f>
      </c>
      <c r="Q8" s="21">
        <f>IF(OR($A8="",N(K8)=0),"",ROUND(K8*KmSatz,2))</f>
      </c>
      <c r="R8" s="22">
        <f>IF(AF8&amp;AL8="","",LEFT(AF8&amp;AL8,LEN(AF8&amp;AL8)-2))</f>
      </c>
      <c r="S8" s="1"/>
      <c r="T8" s="1">
        <f>IF(AND($A8&lt;&gt;"",ISNUMBER(C8)),1,0)</f>
      </c>
      <c r="U8" s="1">
        <f>IF(AND($A8&lt;&gt;"",ISNUMBER(D8)),1,0)</f>
      </c>
      <c r="V8" s="1">
        <f>IF($A8="",0,IF(E8="ja",1,IF(E8="Pauschale",2,0)))</f>
      </c>
      <c r="W8" s="1">
        <f>IF($A8="",0,IF(AU8&gt;0,1,0))</f>
      </c>
      <c r="X8" s="1">
        <f>IF(AND(T8=1,W8=0),1,0)</f>
      </c>
      <c r="Y8" s="1">
        <f>IF(AND(AS8=1,AT8=0,AU8=0),1,0)</f>
      </c>
      <c r="Z8" s="1">
        <f>IF(AND(Y8=1,T8=0,U8=1,V8=0),1,0)</f>
      </c>
      <c r="AA8" s="1">
        <f>IF(AND(X8=1,U8=0,V8=0,AN8=0,AO8=1,AP8=0),1,0)</f>
      </c>
      <c r="AB8" s="1">
        <f>IF(OR(W8=1,Z8=1),0,IF(T8=1,C8,0))</f>
      </c>
      <c r="AC8" s="1">
        <f>IF(OR(V8&gt;0,AA8=1),1,IF(U8=1,D8,1))</f>
      </c>
      <c r="AD8" s="1">
        <f>IF($A8="",0,IF(OR(T8=1,U8=1,V8&gt;0,W8=1),1,0))</f>
      </c>
      <c r="AE8" s="1">
        <f>IF(AD8=0,0,ROUND((AC8-AB8)*1440,0))</f>
      </c>
      <c r="AF8" s="1">
        <f>IF(AD8=0,"",IF(AND(F8&lt;&gt;"",ISNA(MATCH(F8,PauschLand,0))),"Land nicht in der Liste; ","")&amp;IF(AND(T8=0,W8=0,Z8=0),"Beginn fehlt; ","")&amp;IF(AND(V8=0,U8=0,AA8=0),"Ende fehlt; ","")&amp;IF(AND(X8=1,U8=1,V8=0,N(D8)&lt;N(C8)),"Ende vor Beginn (über Mitternacht: Ende in die Zeile des Folgetags); ",""))</f>
      </c>
      <c r="AG8" s="1">
        <f>IF(AD8=0,0,IFERROR(VLOOKUP(IF(F8="","Deutschland",F8),PauschTab,2,FALSE),0))</f>
      </c>
      <c r="AH8" s="1">
        <f>IF(AD8=0,0,IFERROR(VLOOKUP(IF(F8="","Deutschland",F8),PauschTab,3,FALSE),0))</f>
      </c>
      <c r="AI8" s="1">
        <f>IF(AD8=0,0,IFERROR(VLOOKUP(IF(F8="","Deutschland",F8),PauschTab,4,FALSE),0))</f>
      </c>
      <c r="AJ8" s="1">
        <f>IF(OR(AD8=0,AF8&lt;&gt;""),0,IF(AND(W8=1,V8&gt;0),IF(OR(T8=1,U8=1),AH8,AG8),IF(OR(W8=1,V8&gt;0),AH8,IF(AA8=1,IF(AND(AE8+AQ8&gt;480,AE8&gt;=AQ8),AH8,0),IF(Z8=1,IF(AND(AR8+AE8&gt;480,AE8&gt;AR8),AH8,0),IF(AE8&gt;480,AH8,0))))))</f>
      </c>
      <c r="AK8" s="1">
        <f>MIN(AJ8,AM8)</f>
      </c>
      <c r="AL8" s="1">
        <f>IF(OR(AD8=0,AF8&lt;&gt;""),"",IF(AND(W8=0,V8=0,AA8=0,Z8=0,AE8&lt;=480),"nicht mehr als 8 Std.; ","")&amp;IF(AA8=1,IF(AJ8&gt;0,"über Mitternacht, zusammen "&amp;TEXT((AE8+AQ8)/1440,"[h]:mm")&amp;" Std.; ",IF(AE8+AQ8&gt;480,"über Mitternacht: Pauschale am Folgetag; ","über Mitternacht, zusammen nicht mehr als 8 Std.; ")),"")&amp;IF(Z8=1,IF(AJ8&gt;0,"über Mitternacht, zusammen "&amp;TEXT((AR8+AE8)/1440,"[h]:mm")&amp;" Std.; ",IF(AR8+AE8&gt;480,"über Mitternacht: Pauschale am Vortag; ","über Mitternacht, zusammen nicht mehr als 8 Std.; ")),"")&amp;IF(AND(W8=1,V8&gt;0,OR(T8=1,U8=1)),"zwischendurch zu Hause: An- und Abreisetag; ","")&amp;IF(AND(W8=1,V8=0,T8=1),"Beginn leer lassen: unterwegs seit dem Vortag; ","")&amp;IF(AND(W8=0,V8&gt;0,U8=1),"Ende leer lassen: Übernachtung; ","")&amp;IF(AND(AJ8&gt;0,AM8&gt;AJ8),"Kürzung auf die Pauschale begrenzt; ",""))</f>
      </c>
      <c r="AM8" s="1">
        <f>ROUND(AG8*(IF(H8&lt;&gt;"",0.2,0)+IF(I8&lt;&gt;"",0.4,0)+IF(J8&lt;&gt;"",0.4,0)),2)</f>
      </c>
      <c r="AN8" s="1">
        <f>IF($A9="",'März'!$T$5,T9)</f>
      </c>
      <c r="AO8" s="1">
        <f>IF($A9="",'März'!$U$5,U9)</f>
      </c>
      <c r="AP8" s="1">
        <f>IF($A9="",'März'!$V$5,V9)</f>
      </c>
      <c r="AQ8" s="1">
        <f>IF($A9="",'März'!$AE$5,AE9)</f>
      </c>
      <c r="AR8" s="1">
        <f>AE7</f>
      </c>
      <c r="AS8" s="1">
        <f>X7</f>
      </c>
      <c r="AT8" s="1">
        <f>U7</f>
      </c>
      <c r="AU8" s="1">
        <f>V7</f>
      </c>
    </row>
    <row r="9" spans="1:47" x14ac:dyDescent="0.25">
      <c r="A9" s="17">
        <f>IF(MONTH(DATE(Jahr,2,5))=2,DATE(Jahr,2,5),"")</f>
      </c>
      <c r="B9" s="13">
        <f>IF(A9="","",CHOOSE(WEEKDAY(A9,2),"Mo","Di","Mi","Do","Fr","Sa","So"))</f>
      </c>
      <c r="C9" s="18"/>
      <c r="D9" s="18"/>
      <c r="E9" s="7"/>
      <c r="F9" s="7"/>
      <c r="G9" s="7"/>
      <c r="H9" s="19"/>
      <c r="I9" s="19"/>
      <c r="J9" s="19"/>
      <c r="K9" s="9"/>
      <c r="L9" s="20">
        <f>IF(OR(AD9=0,AF9&lt;&gt;"",AND(W9=1,V9&gt;0,OR(T9=1,U9=1))),"",AE9/1440)</f>
      </c>
      <c r="M9" s="21">
        <f>IF(OR(AD9=0,AF9&lt;&gt;""),"",AJ9)</f>
      </c>
      <c r="N9" s="21">
        <f>IF(AK9=0,"",AK9)</f>
      </c>
      <c r="O9" s="21">
        <f>IF(OR(AD9=0,AF9&lt;&gt;""),"",AJ9-AK9)</f>
      </c>
      <c r="P9" s="21">
        <f>IF(AND(AD9=1,AF9="",V9=2),AI9,"")</f>
      </c>
      <c r="Q9" s="21">
        <f>IF(OR($A9="",N(K9)=0),"",ROUND(K9*KmSatz,2))</f>
      </c>
      <c r="R9" s="22">
        <f>IF(AF9&amp;AL9="","",LEFT(AF9&amp;AL9,LEN(AF9&amp;AL9)-2))</f>
      </c>
      <c r="S9" s="1"/>
      <c r="T9" s="1">
        <f>IF(AND($A9&lt;&gt;"",ISNUMBER(C9)),1,0)</f>
      </c>
      <c r="U9" s="1">
        <f>IF(AND($A9&lt;&gt;"",ISNUMBER(D9)),1,0)</f>
      </c>
      <c r="V9" s="1">
        <f>IF($A9="",0,IF(E9="ja",1,IF(E9="Pauschale",2,0)))</f>
      </c>
      <c r="W9" s="1">
        <f>IF($A9="",0,IF(AU9&gt;0,1,0))</f>
      </c>
      <c r="X9" s="1">
        <f>IF(AND(T9=1,W9=0),1,0)</f>
      </c>
      <c r="Y9" s="1">
        <f>IF(AND(AS9=1,AT9=0,AU9=0),1,0)</f>
      </c>
      <c r="Z9" s="1">
        <f>IF(AND(Y9=1,T9=0,U9=1,V9=0),1,0)</f>
      </c>
      <c r="AA9" s="1">
        <f>IF(AND(X9=1,U9=0,V9=0,AN9=0,AO9=1,AP9=0),1,0)</f>
      </c>
      <c r="AB9" s="1">
        <f>IF(OR(W9=1,Z9=1),0,IF(T9=1,C9,0))</f>
      </c>
      <c r="AC9" s="1">
        <f>IF(OR(V9&gt;0,AA9=1),1,IF(U9=1,D9,1))</f>
      </c>
      <c r="AD9" s="1">
        <f>IF($A9="",0,IF(OR(T9=1,U9=1,V9&gt;0,W9=1),1,0))</f>
      </c>
      <c r="AE9" s="1">
        <f>IF(AD9=0,0,ROUND((AC9-AB9)*1440,0))</f>
      </c>
      <c r="AF9" s="1">
        <f>IF(AD9=0,"",IF(AND(F9&lt;&gt;"",ISNA(MATCH(F9,PauschLand,0))),"Land nicht in der Liste; ","")&amp;IF(AND(T9=0,W9=0,Z9=0),"Beginn fehlt; ","")&amp;IF(AND(V9=0,U9=0,AA9=0),"Ende fehlt; ","")&amp;IF(AND(X9=1,U9=1,V9=0,N(D9)&lt;N(C9)),"Ende vor Beginn (über Mitternacht: Ende in die Zeile des Folgetags); ",""))</f>
      </c>
      <c r="AG9" s="1">
        <f>IF(AD9=0,0,IFERROR(VLOOKUP(IF(F9="","Deutschland",F9),PauschTab,2,FALSE),0))</f>
      </c>
      <c r="AH9" s="1">
        <f>IF(AD9=0,0,IFERROR(VLOOKUP(IF(F9="","Deutschland",F9),PauschTab,3,FALSE),0))</f>
      </c>
      <c r="AI9" s="1">
        <f>IF(AD9=0,0,IFERROR(VLOOKUP(IF(F9="","Deutschland",F9),PauschTab,4,FALSE),0))</f>
      </c>
      <c r="AJ9" s="1">
        <f>IF(OR(AD9=0,AF9&lt;&gt;""),0,IF(AND(W9=1,V9&gt;0),IF(OR(T9=1,U9=1),AH9,AG9),IF(OR(W9=1,V9&gt;0),AH9,IF(AA9=1,IF(AND(AE9+AQ9&gt;480,AE9&gt;=AQ9),AH9,0),IF(Z9=1,IF(AND(AR9+AE9&gt;480,AE9&gt;AR9),AH9,0),IF(AE9&gt;480,AH9,0))))))</f>
      </c>
      <c r="AK9" s="1">
        <f>MIN(AJ9,AM9)</f>
      </c>
      <c r="AL9" s="1">
        <f>IF(OR(AD9=0,AF9&lt;&gt;""),"",IF(AND(W9=0,V9=0,AA9=0,Z9=0,AE9&lt;=480),"nicht mehr als 8 Std.; ","")&amp;IF(AA9=1,IF(AJ9&gt;0,"über Mitternacht, zusammen "&amp;TEXT((AE9+AQ9)/1440,"[h]:mm")&amp;" Std.; ",IF(AE9+AQ9&gt;480,"über Mitternacht: Pauschale am Folgetag; ","über Mitternacht, zusammen nicht mehr als 8 Std.; ")),"")&amp;IF(Z9=1,IF(AJ9&gt;0,"über Mitternacht, zusammen "&amp;TEXT((AR9+AE9)/1440,"[h]:mm")&amp;" Std.; ",IF(AR9+AE9&gt;480,"über Mitternacht: Pauschale am Vortag; ","über Mitternacht, zusammen nicht mehr als 8 Std.; ")),"")&amp;IF(AND(W9=1,V9&gt;0,OR(T9=1,U9=1)),"zwischendurch zu Hause: An- und Abreisetag; ","")&amp;IF(AND(W9=1,V9=0,T9=1),"Beginn leer lassen: unterwegs seit dem Vortag; ","")&amp;IF(AND(W9=0,V9&gt;0,U9=1),"Ende leer lassen: Übernachtung; ","")&amp;IF(AND(AJ9&gt;0,AM9&gt;AJ9),"Kürzung auf die Pauschale begrenzt; ",""))</f>
      </c>
      <c r="AM9" s="1">
        <f>ROUND(AG9*(IF(H9&lt;&gt;"",0.2,0)+IF(I9&lt;&gt;"",0.4,0)+IF(J9&lt;&gt;"",0.4,0)),2)</f>
      </c>
      <c r="AN9" s="1">
        <f>IF($A10="",'März'!$T$5,T10)</f>
      </c>
      <c r="AO9" s="1">
        <f>IF($A10="",'März'!$U$5,U10)</f>
      </c>
      <c r="AP9" s="1">
        <f>IF($A10="",'März'!$V$5,V10)</f>
      </c>
      <c r="AQ9" s="1">
        <f>IF($A10="",'März'!$AE$5,AE10)</f>
      </c>
      <c r="AR9" s="1">
        <f>AE8</f>
      </c>
      <c r="AS9" s="1">
        <f>X8</f>
      </c>
      <c r="AT9" s="1">
        <f>U8</f>
      </c>
      <c r="AU9" s="1">
        <f>V8</f>
      </c>
    </row>
    <row r="10" spans="1:47" x14ac:dyDescent="0.25">
      <c r="A10" s="17">
        <f>IF(MONTH(DATE(Jahr,2,6))=2,DATE(Jahr,2,6),"")</f>
      </c>
      <c r="B10" s="13">
        <f>IF(A10="","",CHOOSE(WEEKDAY(A10,2),"Mo","Di","Mi","Do","Fr","Sa","So"))</f>
      </c>
      <c r="C10" s="18"/>
      <c r="D10" s="18"/>
      <c r="E10" s="7"/>
      <c r="F10" s="7"/>
      <c r="G10" s="7"/>
      <c r="H10" s="19"/>
      <c r="I10" s="19"/>
      <c r="J10" s="19"/>
      <c r="K10" s="9"/>
      <c r="L10" s="20">
        <f>IF(OR(AD10=0,AF10&lt;&gt;"",AND(W10=1,V10&gt;0,OR(T10=1,U10=1))),"",AE10/1440)</f>
      </c>
      <c r="M10" s="21">
        <f>IF(OR(AD10=0,AF10&lt;&gt;""),"",AJ10)</f>
      </c>
      <c r="N10" s="21">
        <f>IF(AK10=0,"",AK10)</f>
      </c>
      <c r="O10" s="21">
        <f>IF(OR(AD10=0,AF10&lt;&gt;""),"",AJ10-AK10)</f>
      </c>
      <c r="P10" s="21">
        <f>IF(AND(AD10=1,AF10="",V10=2),AI10,"")</f>
      </c>
      <c r="Q10" s="21">
        <f>IF(OR($A10="",N(K10)=0),"",ROUND(K10*KmSatz,2))</f>
      </c>
      <c r="R10" s="22">
        <f>IF(AF10&amp;AL10="","",LEFT(AF10&amp;AL10,LEN(AF10&amp;AL10)-2))</f>
      </c>
      <c r="S10" s="1"/>
      <c r="T10" s="1">
        <f>IF(AND($A10&lt;&gt;"",ISNUMBER(C10)),1,0)</f>
      </c>
      <c r="U10" s="1">
        <f>IF(AND($A10&lt;&gt;"",ISNUMBER(D10)),1,0)</f>
      </c>
      <c r="V10" s="1">
        <f>IF($A10="",0,IF(E10="ja",1,IF(E10="Pauschale",2,0)))</f>
      </c>
      <c r="W10" s="1">
        <f>IF($A10="",0,IF(AU10&gt;0,1,0))</f>
      </c>
      <c r="X10" s="1">
        <f>IF(AND(T10=1,W10=0),1,0)</f>
      </c>
      <c r="Y10" s="1">
        <f>IF(AND(AS10=1,AT10=0,AU10=0),1,0)</f>
      </c>
      <c r="Z10" s="1">
        <f>IF(AND(Y10=1,T10=0,U10=1,V10=0),1,0)</f>
      </c>
      <c r="AA10" s="1">
        <f>IF(AND(X10=1,U10=0,V10=0,AN10=0,AO10=1,AP10=0),1,0)</f>
      </c>
      <c r="AB10" s="1">
        <f>IF(OR(W10=1,Z10=1),0,IF(T10=1,C10,0))</f>
      </c>
      <c r="AC10" s="1">
        <f>IF(OR(V10&gt;0,AA10=1),1,IF(U10=1,D10,1))</f>
      </c>
      <c r="AD10" s="1">
        <f>IF($A10="",0,IF(OR(T10=1,U10=1,V10&gt;0,W10=1),1,0))</f>
      </c>
      <c r="AE10" s="1">
        <f>IF(AD10=0,0,ROUND((AC10-AB10)*1440,0))</f>
      </c>
      <c r="AF10" s="1">
        <f>IF(AD10=0,"",IF(AND(F10&lt;&gt;"",ISNA(MATCH(F10,PauschLand,0))),"Land nicht in der Liste; ","")&amp;IF(AND(T10=0,W10=0,Z10=0),"Beginn fehlt; ","")&amp;IF(AND(V10=0,U10=0,AA10=0),"Ende fehlt; ","")&amp;IF(AND(X10=1,U10=1,V10=0,N(D10)&lt;N(C10)),"Ende vor Beginn (über Mitternacht: Ende in die Zeile des Folgetags); ",""))</f>
      </c>
      <c r="AG10" s="1">
        <f>IF(AD10=0,0,IFERROR(VLOOKUP(IF(F10="","Deutschland",F10),PauschTab,2,FALSE),0))</f>
      </c>
      <c r="AH10" s="1">
        <f>IF(AD10=0,0,IFERROR(VLOOKUP(IF(F10="","Deutschland",F10),PauschTab,3,FALSE),0))</f>
      </c>
      <c r="AI10" s="1">
        <f>IF(AD10=0,0,IFERROR(VLOOKUP(IF(F10="","Deutschland",F10),PauschTab,4,FALSE),0))</f>
      </c>
      <c r="AJ10" s="1">
        <f>IF(OR(AD10=0,AF10&lt;&gt;""),0,IF(AND(W10=1,V10&gt;0),IF(OR(T10=1,U10=1),AH10,AG10),IF(OR(W10=1,V10&gt;0),AH10,IF(AA10=1,IF(AND(AE10+AQ10&gt;480,AE10&gt;=AQ10),AH10,0),IF(Z10=1,IF(AND(AR10+AE10&gt;480,AE10&gt;AR10),AH10,0),IF(AE10&gt;480,AH10,0))))))</f>
      </c>
      <c r="AK10" s="1">
        <f>MIN(AJ10,AM10)</f>
      </c>
      <c r="AL10" s="1">
        <f>IF(OR(AD10=0,AF10&lt;&gt;""),"",IF(AND(W10=0,V10=0,AA10=0,Z10=0,AE10&lt;=480),"nicht mehr als 8 Std.; ","")&amp;IF(AA10=1,IF(AJ10&gt;0,"über Mitternacht, zusammen "&amp;TEXT((AE10+AQ10)/1440,"[h]:mm")&amp;" Std.; ",IF(AE10+AQ10&gt;480,"über Mitternacht: Pauschale am Folgetag; ","über Mitternacht, zusammen nicht mehr als 8 Std.; ")),"")&amp;IF(Z10=1,IF(AJ10&gt;0,"über Mitternacht, zusammen "&amp;TEXT((AR10+AE10)/1440,"[h]:mm")&amp;" Std.; ",IF(AR10+AE10&gt;480,"über Mitternacht: Pauschale am Vortag; ","über Mitternacht, zusammen nicht mehr als 8 Std.; ")),"")&amp;IF(AND(W10=1,V10&gt;0,OR(T10=1,U10=1)),"zwischendurch zu Hause: An- und Abreisetag; ","")&amp;IF(AND(W10=1,V10=0,T10=1),"Beginn leer lassen: unterwegs seit dem Vortag; ","")&amp;IF(AND(W10=0,V10&gt;0,U10=1),"Ende leer lassen: Übernachtung; ","")&amp;IF(AND(AJ10&gt;0,AM10&gt;AJ10),"Kürzung auf die Pauschale begrenzt; ",""))</f>
      </c>
      <c r="AM10" s="1">
        <f>ROUND(AG10*(IF(H10&lt;&gt;"",0.2,0)+IF(I10&lt;&gt;"",0.4,0)+IF(J10&lt;&gt;"",0.4,0)),2)</f>
      </c>
      <c r="AN10" s="1">
        <f>IF($A11="",'März'!$T$5,T11)</f>
      </c>
      <c r="AO10" s="1">
        <f>IF($A11="",'März'!$U$5,U11)</f>
      </c>
      <c r="AP10" s="1">
        <f>IF($A11="",'März'!$V$5,V11)</f>
      </c>
      <c r="AQ10" s="1">
        <f>IF($A11="",'März'!$AE$5,AE11)</f>
      </c>
      <c r="AR10" s="1">
        <f>AE9</f>
      </c>
      <c r="AS10" s="1">
        <f>X9</f>
      </c>
      <c r="AT10" s="1">
        <f>U9</f>
      </c>
      <c r="AU10" s="1">
        <f>V9</f>
      </c>
    </row>
    <row r="11" spans="1:47" x14ac:dyDescent="0.25">
      <c r="A11" s="17">
        <f>IF(MONTH(DATE(Jahr,2,7))=2,DATE(Jahr,2,7),"")</f>
      </c>
      <c r="B11" s="13">
        <f>IF(A11="","",CHOOSE(WEEKDAY(A11,2),"Mo","Di","Mi","Do","Fr","Sa","So"))</f>
      </c>
      <c r="C11" s="18"/>
      <c r="D11" s="18"/>
      <c r="E11" s="7"/>
      <c r="F11" s="7"/>
      <c r="G11" s="7"/>
      <c r="H11" s="19"/>
      <c r="I11" s="19"/>
      <c r="J11" s="19"/>
      <c r="K11" s="9"/>
      <c r="L11" s="20">
        <f>IF(OR(AD11=0,AF11&lt;&gt;"",AND(W11=1,V11&gt;0,OR(T11=1,U11=1))),"",AE11/1440)</f>
      </c>
      <c r="M11" s="21">
        <f>IF(OR(AD11=0,AF11&lt;&gt;""),"",AJ11)</f>
      </c>
      <c r="N11" s="21">
        <f>IF(AK11=0,"",AK11)</f>
      </c>
      <c r="O11" s="21">
        <f>IF(OR(AD11=0,AF11&lt;&gt;""),"",AJ11-AK11)</f>
      </c>
      <c r="P11" s="21">
        <f>IF(AND(AD11=1,AF11="",V11=2),AI11,"")</f>
      </c>
      <c r="Q11" s="21">
        <f>IF(OR($A11="",N(K11)=0),"",ROUND(K11*KmSatz,2))</f>
      </c>
      <c r="R11" s="22">
        <f>IF(AF11&amp;AL11="","",LEFT(AF11&amp;AL11,LEN(AF11&amp;AL11)-2))</f>
      </c>
      <c r="S11" s="1"/>
      <c r="T11" s="1">
        <f>IF(AND($A11&lt;&gt;"",ISNUMBER(C11)),1,0)</f>
      </c>
      <c r="U11" s="1">
        <f>IF(AND($A11&lt;&gt;"",ISNUMBER(D11)),1,0)</f>
      </c>
      <c r="V11" s="1">
        <f>IF($A11="",0,IF(E11="ja",1,IF(E11="Pauschale",2,0)))</f>
      </c>
      <c r="W11" s="1">
        <f>IF($A11="",0,IF(AU11&gt;0,1,0))</f>
      </c>
      <c r="X11" s="1">
        <f>IF(AND(T11=1,W11=0),1,0)</f>
      </c>
      <c r="Y11" s="1">
        <f>IF(AND(AS11=1,AT11=0,AU11=0),1,0)</f>
      </c>
      <c r="Z11" s="1">
        <f>IF(AND(Y11=1,T11=0,U11=1,V11=0),1,0)</f>
      </c>
      <c r="AA11" s="1">
        <f>IF(AND(X11=1,U11=0,V11=0,AN11=0,AO11=1,AP11=0),1,0)</f>
      </c>
      <c r="AB11" s="1">
        <f>IF(OR(W11=1,Z11=1),0,IF(T11=1,C11,0))</f>
      </c>
      <c r="AC11" s="1">
        <f>IF(OR(V11&gt;0,AA11=1),1,IF(U11=1,D11,1))</f>
      </c>
      <c r="AD11" s="1">
        <f>IF($A11="",0,IF(OR(T11=1,U11=1,V11&gt;0,W11=1),1,0))</f>
      </c>
      <c r="AE11" s="1">
        <f>IF(AD11=0,0,ROUND((AC11-AB11)*1440,0))</f>
      </c>
      <c r="AF11" s="1">
        <f>IF(AD11=0,"",IF(AND(F11&lt;&gt;"",ISNA(MATCH(F11,PauschLand,0))),"Land nicht in der Liste; ","")&amp;IF(AND(T11=0,W11=0,Z11=0),"Beginn fehlt; ","")&amp;IF(AND(V11=0,U11=0,AA11=0),"Ende fehlt; ","")&amp;IF(AND(X11=1,U11=1,V11=0,N(D11)&lt;N(C11)),"Ende vor Beginn (über Mitternacht: Ende in die Zeile des Folgetags); ",""))</f>
      </c>
      <c r="AG11" s="1">
        <f>IF(AD11=0,0,IFERROR(VLOOKUP(IF(F11="","Deutschland",F11),PauschTab,2,FALSE),0))</f>
      </c>
      <c r="AH11" s="1">
        <f>IF(AD11=0,0,IFERROR(VLOOKUP(IF(F11="","Deutschland",F11),PauschTab,3,FALSE),0))</f>
      </c>
      <c r="AI11" s="1">
        <f>IF(AD11=0,0,IFERROR(VLOOKUP(IF(F11="","Deutschland",F11),PauschTab,4,FALSE),0))</f>
      </c>
      <c r="AJ11" s="1">
        <f>IF(OR(AD11=0,AF11&lt;&gt;""),0,IF(AND(W11=1,V11&gt;0),IF(OR(T11=1,U11=1),AH11,AG11),IF(OR(W11=1,V11&gt;0),AH11,IF(AA11=1,IF(AND(AE11+AQ11&gt;480,AE11&gt;=AQ11),AH11,0),IF(Z11=1,IF(AND(AR11+AE11&gt;480,AE11&gt;AR11),AH11,0),IF(AE11&gt;480,AH11,0))))))</f>
      </c>
      <c r="AK11" s="1">
        <f>MIN(AJ11,AM11)</f>
      </c>
      <c r="AL11" s="1">
        <f>IF(OR(AD11=0,AF11&lt;&gt;""),"",IF(AND(W11=0,V11=0,AA11=0,Z11=0,AE11&lt;=480),"nicht mehr als 8 Std.; ","")&amp;IF(AA11=1,IF(AJ11&gt;0,"über Mitternacht, zusammen "&amp;TEXT((AE11+AQ11)/1440,"[h]:mm")&amp;" Std.; ",IF(AE11+AQ11&gt;480,"über Mitternacht: Pauschale am Folgetag; ","über Mitternacht, zusammen nicht mehr als 8 Std.; ")),"")&amp;IF(Z11=1,IF(AJ11&gt;0,"über Mitternacht, zusammen "&amp;TEXT((AR11+AE11)/1440,"[h]:mm")&amp;" Std.; ",IF(AR11+AE11&gt;480,"über Mitternacht: Pauschale am Vortag; ","über Mitternacht, zusammen nicht mehr als 8 Std.; ")),"")&amp;IF(AND(W11=1,V11&gt;0,OR(T11=1,U11=1)),"zwischendurch zu Hause: An- und Abreisetag; ","")&amp;IF(AND(W11=1,V11=0,T11=1),"Beginn leer lassen: unterwegs seit dem Vortag; ","")&amp;IF(AND(W11=0,V11&gt;0,U11=1),"Ende leer lassen: Übernachtung; ","")&amp;IF(AND(AJ11&gt;0,AM11&gt;AJ11),"Kürzung auf die Pauschale begrenzt; ",""))</f>
      </c>
      <c r="AM11" s="1">
        <f>ROUND(AG11*(IF(H11&lt;&gt;"",0.2,0)+IF(I11&lt;&gt;"",0.4,0)+IF(J11&lt;&gt;"",0.4,0)),2)</f>
      </c>
      <c r="AN11" s="1">
        <f>IF($A12="",'März'!$T$5,T12)</f>
      </c>
      <c r="AO11" s="1">
        <f>IF($A12="",'März'!$U$5,U12)</f>
      </c>
      <c r="AP11" s="1">
        <f>IF($A12="",'März'!$V$5,V12)</f>
      </c>
      <c r="AQ11" s="1">
        <f>IF($A12="",'März'!$AE$5,AE12)</f>
      </c>
      <c r="AR11" s="1">
        <f>AE10</f>
      </c>
      <c r="AS11" s="1">
        <f>X10</f>
      </c>
      <c r="AT11" s="1">
        <f>U10</f>
      </c>
      <c r="AU11" s="1">
        <f>V10</f>
      </c>
    </row>
    <row r="12" spans="1:47" x14ac:dyDescent="0.25">
      <c r="A12" s="17">
        <f>IF(MONTH(DATE(Jahr,2,8))=2,DATE(Jahr,2,8),"")</f>
      </c>
      <c r="B12" s="13">
        <f>IF(A12="","",CHOOSE(WEEKDAY(A12,2),"Mo","Di","Mi","Do","Fr","Sa","So"))</f>
      </c>
      <c r="C12" s="18"/>
      <c r="D12" s="18"/>
      <c r="E12" s="7"/>
      <c r="F12" s="7"/>
      <c r="G12" s="7"/>
      <c r="H12" s="19"/>
      <c r="I12" s="19"/>
      <c r="J12" s="19"/>
      <c r="K12" s="9"/>
      <c r="L12" s="20">
        <f>IF(OR(AD12=0,AF12&lt;&gt;"",AND(W12=1,V12&gt;0,OR(T12=1,U12=1))),"",AE12/1440)</f>
      </c>
      <c r="M12" s="21">
        <f>IF(OR(AD12=0,AF12&lt;&gt;""),"",AJ12)</f>
      </c>
      <c r="N12" s="21">
        <f>IF(AK12=0,"",AK12)</f>
      </c>
      <c r="O12" s="21">
        <f>IF(OR(AD12=0,AF12&lt;&gt;""),"",AJ12-AK12)</f>
      </c>
      <c r="P12" s="21">
        <f>IF(AND(AD12=1,AF12="",V12=2),AI12,"")</f>
      </c>
      <c r="Q12" s="21">
        <f>IF(OR($A12="",N(K12)=0),"",ROUND(K12*KmSatz,2))</f>
      </c>
      <c r="R12" s="22">
        <f>IF(AF12&amp;AL12="","",LEFT(AF12&amp;AL12,LEN(AF12&amp;AL12)-2))</f>
      </c>
      <c r="S12" s="1"/>
      <c r="T12" s="1">
        <f>IF(AND($A12&lt;&gt;"",ISNUMBER(C12)),1,0)</f>
      </c>
      <c r="U12" s="1">
        <f>IF(AND($A12&lt;&gt;"",ISNUMBER(D12)),1,0)</f>
      </c>
      <c r="V12" s="1">
        <f>IF($A12="",0,IF(E12="ja",1,IF(E12="Pauschale",2,0)))</f>
      </c>
      <c r="W12" s="1">
        <f>IF($A12="",0,IF(AU12&gt;0,1,0))</f>
      </c>
      <c r="X12" s="1">
        <f>IF(AND(T12=1,W12=0),1,0)</f>
      </c>
      <c r="Y12" s="1">
        <f>IF(AND(AS12=1,AT12=0,AU12=0),1,0)</f>
      </c>
      <c r="Z12" s="1">
        <f>IF(AND(Y12=1,T12=0,U12=1,V12=0),1,0)</f>
      </c>
      <c r="AA12" s="1">
        <f>IF(AND(X12=1,U12=0,V12=0,AN12=0,AO12=1,AP12=0),1,0)</f>
      </c>
      <c r="AB12" s="1">
        <f>IF(OR(W12=1,Z12=1),0,IF(T12=1,C12,0))</f>
      </c>
      <c r="AC12" s="1">
        <f>IF(OR(V12&gt;0,AA12=1),1,IF(U12=1,D12,1))</f>
      </c>
      <c r="AD12" s="1">
        <f>IF($A12="",0,IF(OR(T12=1,U12=1,V12&gt;0,W12=1),1,0))</f>
      </c>
      <c r="AE12" s="1">
        <f>IF(AD12=0,0,ROUND((AC12-AB12)*1440,0))</f>
      </c>
      <c r="AF12" s="1">
        <f>IF(AD12=0,"",IF(AND(F12&lt;&gt;"",ISNA(MATCH(F12,PauschLand,0))),"Land nicht in der Liste; ","")&amp;IF(AND(T12=0,W12=0,Z12=0),"Beginn fehlt; ","")&amp;IF(AND(V12=0,U12=0,AA12=0),"Ende fehlt; ","")&amp;IF(AND(X12=1,U12=1,V12=0,N(D12)&lt;N(C12)),"Ende vor Beginn (über Mitternacht: Ende in die Zeile des Folgetags); ",""))</f>
      </c>
      <c r="AG12" s="1">
        <f>IF(AD12=0,0,IFERROR(VLOOKUP(IF(F12="","Deutschland",F12),PauschTab,2,FALSE),0))</f>
      </c>
      <c r="AH12" s="1">
        <f>IF(AD12=0,0,IFERROR(VLOOKUP(IF(F12="","Deutschland",F12),PauschTab,3,FALSE),0))</f>
      </c>
      <c r="AI12" s="1">
        <f>IF(AD12=0,0,IFERROR(VLOOKUP(IF(F12="","Deutschland",F12),PauschTab,4,FALSE),0))</f>
      </c>
      <c r="AJ12" s="1">
        <f>IF(OR(AD12=0,AF12&lt;&gt;""),0,IF(AND(W12=1,V12&gt;0),IF(OR(T12=1,U12=1),AH12,AG12),IF(OR(W12=1,V12&gt;0),AH12,IF(AA12=1,IF(AND(AE12+AQ12&gt;480,AE12&gt;=AQ12),AH12,0),IF(Z12=1,IF(AND(AR12+AE12&gt;480,AE12&gt;AR12),AH12,0),IF(AE12&gt;480,AH12,0))))))</f>
      </c>
      <c r="AK12" s="1">
        <f>MIN(AJ12,AM12)</f>
      </c>
      <c r="AL12" s="1">
        <f>IF(OR(AD12=0,AF12&lt;&gt;""),"",IF(AND(W12=0,V12=0,AA12=0,Z12=0,AE12&lt;=480),"nicht mehr als 8 Std.; ","")&amp;IF(AA12=1,IF(AJ12&gt;0,"über Mitternacht, zusammen "&amp;TEXT((AE12+AQ12)/1440,"[h]:mm")&amp;" Std.; ",IF(AE12+AQ12&gt;480,"über Mitternacht: Pauschale am Folgetag; ","über Mitternacht, zusammen nicht mehr als 8 Std.; ")),"")&amp;IF(Z12=1,IF(AJ12&gt;0,"über Mitternacht, zusammen "&amp;TEXT((AR12+AE12)/1440,"[h]:mm")&amp;" Std.; ",IF(AR12+AE12&gt;480,"über Mitternacht: Pauschale am Vortag; ","über Mitternacht, zusammen nicht mehr als 8 Std.; ")),"")&amp;IF(AND(W12=1,V12&gt;0,OR(T12=1,U12=1)),"zwischendurch zu Hause: An- und Abreisetag; ","")&amp;IF(AND(W12=1,V12=0,T12=1),"Beginn leer lassen: unterwegs seit dem Vortag; ","")&amp;IF(AND(W12=0,V12&gt;0,U12=1),"Ende leer lassen: Übernachtung; ","")&amp;IF(AND(AJ12&gt;0,AM12&gt;AJ12),"Kürzung auf die Pauschale begrenzt; ",""))</f>
      </c>
      <c r="AM12" s="1">
        <f>ROUND(AG12*(IF(H12&lt;&gt;"",0.2,0)+IF(I12&lt;&gt;"",0.4,0)+IF(J12&lt;&gt;"",0.4,0)),2)</f>
      </c>
      <c r="AN12" s="1">
        <f>IF($A13="",'März'!$T$5,T13)</f>
      </c>
      <c r="AO12" s="1">
        <f>IF($A13="",'März'!$U$5,U13)</f>
      </c>
      <c r="AP12" s="1">
        <f>IF($A13="",'März'!$V$5,V13)</f>
      </c>
      <c r="AQ12" s="1">
        <f>IF($A13="",'März'!$AE$5,AE13)</f>
      </c>
      <c r="AR12" s="1">
        <f>AE11</f>
      </c>
      <c r="AS12" s="1">
        <f>X11</f>
      </c>
      <c r="AT12" s="1">
        <f>U11</f>
      </c>
      <c r="AU12" s="1">
        <f>V11</f>
      </c>
    </row>
    <row r="13" spans="1:47" x14ac:dyDescent="0.25">
      <c r="A13" s="17">
        <f>IF(MONTH(DATE(Jahr,2,9))=2,DATE(Jahr,2,9),"")</f>
      </c>
      <c r="B13" s="13">
        <f>IF(A13="","",CHOOSE(WEEKDAY(A13,2),"Mo","Di","Mi","Do","Fr","Sa","So"))</f>
      </c>
      <c r="C13" s="18"/>
      <c r="D13" s="18"/>
      <c r="E13" s="7"/>
      <c r="F13" s="7"/>
      <c r="G13" s="7"/>
      <c r="H13" s="19"/>
      <c r="I13" s="19"/>
      <c r="J13" s="19"/>
      <c r="K13" s="9"/>
      <c r="L13" s="20">
        <f>IF(OR(AD13=0,AF13&lt;&gt;"",AND(W13=1,V13&gt;0,OR(T13=1,U13=1))),"",AE13/1440)</f>
      </c>
      <c r="M13" s="21">
        <f>IF(OR(AD13=0,AF13&lt;&gt;""),"",AJ13)</f>
      </c>
      <c r="N13" s="21">
        <f>IF(AK13=0,"",AK13)</f>
      </c>
      <c r="O13" s="21">
        <f>IF(OR(AD13=0,AF13&lt;&gt;""),"",AJ13-AK13)</f>
      </c>
      <c r="P13" s="21">
        <f>IF(AND(AD13=1,AF13="",V13=2),AI13,"")</f>
      </c>
      <c r="Q13" s="21">
        <f>IF(OR($A13="",N(K13)=0),"",ROUND(K13*KmSatz,2))</f>
      </c>
      <c r="R13" s="22">
        <f>IF(AF13&amp;AL13="","",LEFT(AF13&amp;AL13,LEN(AF13&amp;AL13)-2))</f>
      </c>
      <c r="S13" s="1"/>
      <c r="T13" s="1">
        <f>IF(AND($A13&lt;&gt;"",ISNUMBER(C13)),1,0)</f>
      </c>
      <c r="U13" s="1">
        <f>IF(AND($A13&lt;&gt;"",ISNUMBER(D13)),1,0)</f>
      </c>
      <c r="V13" s="1">
        <f>IF($A13="",0,IF(E13="ja",1,IF(E13="Pauschale",2,0)))</f>
      </c>
      <c r="W13" s="1">
        <f>IF($A13="",0,IF(AU13&gt;0,1,0))</f>
      </c>
      <c r="X13" s="1">
        <f>IF(AND(T13=1,W13=0),1,0)</f>
      </c>
      <c r="Y13" s="1">
        <f>IF(AND(AS13=1,AT13=0,AU13=0),1,0)</f>
      </c>
      <c r="Z13" s="1">
        <f>IF(AND(Y13=1,T13=0,U13=1,V13=0),1,0)</f>
      </c>
      <c r="AA13" s="1">
        <f>IF(AND(X13=1,U13=0,V13=0,AN13=0,AO13=1,AP13=0),1,0)</f>
      </c>
      <c r="AB13" s="1">
        <f>IF(OR(W13=1,Z13=1),0,IF(T13=1,C13,0))</f>
      </c>
      <c r="AC13" s="1">
        <f>IF(OR(V13&gt;0,AA13=1),1,IF(U13=1,D13,1))</f>
      </c>
      <c r="AD13" s="1">
        <f>IF($A13="",0,IF(OR(T13=1,U13=1,V13&gt;0,W13=1),1,0))</f>
      </c>
      <c r="AE13" s="1">
        <f>IF(AD13=0,0,ROUND((AC13-AB13)*1440,0))</f>
      </c>
      <c r="AF13" s="1">
        <f>IF(AD13=0,"",IF(AND(F13&lt;&gt;"",ISNA(MATCH(F13,PauschLand,0))),"Land nicht in der Liste; ","")&amp;IF(AND(T13=0,W13=0,Z13=0),"Beginn fehlt; ","")&amp;IF(AND(V13=0,U13=0,AA13=0),"Ende fehlt; ","")&amp;IF(AND(X13=1,U13=1,V13=0,N(D13)&lt;N(C13)),"Ende vor Beginn (über Mitternacht: Ende in die Zeile des Folgetags); ",""))</f>
      </c>
      <c r="AG13" s="1">
        <f>IF(AD13=0,0,IFERROR(VLOOKUP(IF(F13="","Deutschland",F13),PauschTab,2,FALSE),0))</f>
      </c>
      <c r="AH13" s="1">
        <f>IF(AD13=0,0,IFERROR(VLOOKUP(IF(F13="","Deutschland",F13),PauschTab,3,FALSE),0))</f>
      </c>
      <c r="AI13" s="1">
        <f>IF(AD13=0,0,IFERROR(VLOOKUP(IF(F13="","Deutschland",F13),PauschTab,4,FALSE),0))</f>
      </c>
      <c r="AJ13" s="1">
        <f>IF(OR(AD13=0,AF13&lt;&gt;""),0,IF(AND(W13=1,V13&gt;0),IF(OR(T13=1,U13=1),AH13,AG13),IF(OR(W13=1,V13&gt;0),AH13,IF(AA13=1,IF(AND(AE13+AQ13&gt;480,AE13&gt;=AQ13),AH13,0),IF(Z13=1,IF(AND(AR13+AE13&gt;480,AE13&gt;AR13),AH13,0),IF(AE13&gt;480,AH13,0))))))</f>
      </c>
      <c r="AK13" s="1">
        <f>MIN(AJ13,AM13)</f>
      </c>
      <c r="AL13" s="1">
        <f>IF(OR(AD13=0,AF13&lt;&gt;""),"",IF(AND(W13=0,V13=0,AA13=0,Z13=0,AE13&lt;=480),"nicht mehr als 8 Std.; ","")&amp;IF(AA13=1,IF(AJ13&gt;0,"über Mitternacht, zusammen "&amp;TEXT((AE13+AQ13)/1440,"[h]:mm")&amp;" Std.; ",IF(AE13+AQ13&gt;480,"über Mitternacht: Pauschale am Folgetag; ","über Mitternacht, zusammen nicht mehr als 8 Std.; ")),"")&amp;IF(Z13=1,IF(AJ13&gt;0,"über Mitternacht, zusammen "&amp;TEXT((AR13+AE13)/1440,"[h]:mm")&amp;" Std.; ",IF(AR13+AE13&gt;480,"über Mitternacht: Pauschale am Vortag; ","über Mitternacht, zusammen nicht mehr als 8 Std.; ")),"")&amp;IF(AND(W13=1,V13&gt;0,OR(T13=1,U13=1)),"zwischendurch zu Hause: An- und Abreisetag; ","")&amp;IF(AND(W13=1,V13=0,T13=1),"Beginn leer lassen: unterwegs seit dem Vortag; ","")&amp;IF(AND(W13=0,V13&gt;0,U13=1),"Ende leer lassen: Übernachtung; ","")&amp;IF(AND(AJ13&gt;0,AM13&gt;AJ13),"Kürzung auf die Pauschale begrenzt; ",""))</f>
      </c>
      <c r="AM13" s="1">
        <f>ROUND(AG13*(IF(H13&lt;&gt;"",0.2,0)+IF(I13&lt;&gt;"",0.4,0)+IF(J13&lt;&gt;"",0.4,0)),2)</f>
      </c>
      <c r="AN13" s="1">
        <f>IF($A14="",'März'!$T$5,T14)</f>
      </c>
      <c r="AO13" s="1">
        <f>IF($A14="",'März'!$U$5,U14)</f>
      </c>
      <c r="AP13" s="1">
        <f>IF($A14="",'März'!$V$5,V14)</f>
      </c>
      <c r="AQ13" s="1">
        <f>IF($A14="",'März'!$AE$5,AE14)</f>
      </c>
      <c r="AR13" s="1">
        <f>AE12</f>
      </c>
      <c r="AS13" s="1">
        <f>X12</f>
      </c>
      <c r="AT13" s="1">
        <f>U12</f>
      </c>
      <c r="AU13" s="1">
        <f>V12</f>
      </c>
    </row>
    <row r="14" spans="1:47" x14ac:dyDescent="0.25">
      <c r="A14" s="17">
        <f>IF(MONTH(DATE(Jahr,2,10))=2,DATE(Jahr,2,10),"")</f>
      </c>
      <c r="B14" s="13">
        <f>IF(A14="","",CHOOSE(WEEKDAY(A14,2),"Mo","Di","Mi","Do","Fr","Sa","So"))</f>
      </c>
      <c r="C14" s="18"/>
      <c r="D14" s="18"/>
      <c r="E14" s="7"/>
      <c r="F14" s="7"/>
      <c r="G14" s="7"/>
      <c r="H14" s="19"/>
      <c r="I14" s="19"/>
      <c r="J14" s="19"/>
      <c r="K14" s="9"/>
      <c r="L14" s="20">
        <f>IF(OR(AD14=0,AF14&lt;&gt;"",AND(W14=1,V14&gt;0,OR(T14=1,U14=1))),"",AE14/1440)</f>
      </c>
      <c r="M14" s="21">
        <f>IF(OR(AD14=0,AF14&lt;&gt;""),"",AJ14)</f>
      </c>
      <c r="N14" s="21">
        <f>IF(AK14=0,"",AK14)</f>
      </c>
      <c r="O14" s="21">
        <f>IF(OR(AD14=0,AF14&lt;&gt;""),"",AJ14-AK14)</f>
      </c>
      <c r="P14" s="21">
        <f>IF(AND(AD14=1,AF14="",V14=2),AI14,"")</f>
      </c>
      <c r="Q14" s="21">
        <f>IF(OR($A14="",N(K14)=0),"",ROUND(K14*KmSatz,2))</f>
      </c>
      <c r="R14" s="22">
        <f>IF(AF14&amp;AL14="","",LEFT(AF14&amp;AL14,LEN(AF14&amp;AL14)-2))</f>
      </c>
      <c r="S14" s="1"/>
      <c r="T14" s="1">
        <f>IF(AND($A14&lt;&gt;"",ISNUMBER(C14)),1,0)</f>
      </c>
      <c r="U14" s="1">
        <f>IF(AND($A14&lt;&gt;"",ISNUMBER(D14)),1,0)</f>
      </c>
      <c r="V14" s="1">
        <f>IF($A14="",0,IF(E14="ja",1,IF(E14="Pauschale",2,0)))</f>
      </c>
      <c r="W14" s="1">
        <f>IF($A14="",0,IF(AU14&gt;0,1,0))</f>
      </c>
      <c r="X14" s="1">
        <f>IF(AND(T14=1,W14=0),1,0)</f>
      </c>
      <c r="Y14" s="1">
        <f>IF(AND(AS14=1,AT14=0,AU14=0),1,0)</f>
      </c>
      <c r="Z14" s="1">
        <f>IF(AND(Y14=1,T14=0,U14=1,V14=0),1,0)</f>
      </c>
      <c r="AA14" s="1">
        <f>IF(AND(X14=1,U14=0,V14=0,AN14=0,AO14=1,AP14=0),1,0)</f>
      </c>
      <c r="AB14" s="1">
        <f>IF(OR(W14=1,Z14=1),0,IF(T14=1,C14,0))</f>
      </c>
      <c r="AC14" s="1">
        <f>IF(OR(V14&gt;0,AA14=1),1,IF(U14=1,D14,1))</f>
      </c>
      <c r="AD14" s="1">
        <f>IF($A14="",0,IF(OR(T14=1,U14=1,V14&gt;0,W14=1),1,0))</f>
      </c>
      <c r="AE14" s="1">
        <f>IF(AD14=0,0,ROUND((AC14-AB14)*1440,0))</f>
      </c>
      <c r="AF14" s="1">
        <f>IF(AD14=0,"",IF(AND(F14&lt;&gt;"",ISNA(MATCH(F14,PauschLand,0))),"Land nicht in der Liste; ","")&amp;IF(AND(T14=0,W14=0,Z14=0),"Beginn fehlt; ","")&amp;IF(AND(V14=0,U14=0,AA14=0),"Ende fehlt; ","")&amp;IF(AND(X14=1,U14=1,V14=0,N(D14)&lt;N(C14)),"Ende vor Beginn (über Mitternacht: Ende in die Zeile des Folgetags); ",""))</f>
      </c>
      <c r="AG14" s="1">
        <f>IF(AD14=0,0,IFERROR(VLOOKUP(IF(F14="","Deutschland",F14),PauschTab,2,FALSE),0))</f>
      </c>
      <c r="AH14" s="1">
        <f>IF(AD14=0,0,IFERROR(VLOOKUP(IF(F14="","Deutschland",F14),PauschTab,3,FALSE),0))</f>
      </c>
      <c r="AI14" s="1">
        <f>IF(AD14=0,0,IFERROR(VLOOKUP(IF(F14="","Deutschland",F14),PauschTab,4,FALSE),0))</f>
      </c>
      <c r="AJ14" s="1">
        <f>IF(OR(AD14=0,AF14&lt;&gt;""),0,IF(AND(W14=1,V14&gt;0),IF(OR(T14=1,U14=1),AH14,AG14),IF(OR(W14=1,V14&gt;0),AH14,IF(AA14=1,IF(AND(AE14+AQ14&gt;480,AE14&gt;=AQ14),AH14,0),IF(Z14=1,IF(AND(AR14+AE14&gt;480,AE14&gt;AR14),AH14,0),IF(AE14&gt;480,AH14,0))))))</f>
      </c>
      <c r="AK14" s="1">
        <f>MIN(AJ14,AM14)</f>
      </c>
      <c r="AL14" s="1">
        <f>IF(OR(AD14=0,AF14&lt;&gt;""),"",IF(AND(W14=0,V14=0,AA14=0,Z14=0,AE14&lt;=480),"nicht mehr als 8 Std.; ","")&amp;IF(AA14=1,IF(AJ14&gt;0,"über Mitternacht, zusammen "&amp;TEXT((AE14+AQ14)/1440,"[h]:mm")&amp;" Std.; ",IF(AE14+AQ14&gt;480,"über Mitternacht: Pauschale am Folgetag; ","über Mitternacht, zusammen nicht mehr als 8 Std.; ")),"")&amp;IF(Z14=1,IF(AJ14&gt;0,"über Mitternacht, zusammen "&amp;TEXT((AR14+AE14)/1440,"[h]:mm")&amp;" Std.; ",IF(AR14+AE14&gt;480,"über Mitternacht: Pauschale am Vortag; ","über Mitternacht, zusammen nicht mehr als 8 Std.; ")),"")&amp;IF(AND(W14=1,V14&gt;0,OR(T14=1,U14=1)),"zwischendurch zu Hause: An- und Abreisetag; ","")&amp;IF(AND(W14=1,V14=0,T14=1),"Beginn leer lassen: unterwegs seit dem Vortag; ","")&amp;IF(AND(W14=0,V14&gt;0,U14=1),"Ende leer lassen: Übernachtung; ","")&amp;IF(AND(AJ14&gt;0,AM14&gt;AJ14),"Kürzung auf die Pauschale begrenzt; ",""))</f>
      </c>
      <c r="AM14" s="1">
        <f>ROUND(AG14*(IF(H14&lt;&gt;"",0.2,0)+IF(I14&lt;&gt;"",0.4,0)+IF(J14&lt;&gt;"",0.4,0)),2)</f>
      </c>
      <c r="AN14" s="1">
        <f>IF($A15="",'März'!$T$5,T15)</f>
      </c>
      <c r="AO14" s="1">
        <f>IF($A15="",'März'!$U$5,U15)</f>
      </c>
      <c r="AP14" s="1">
        <f>IF($A15="",'März'!$V$5,V15)</f>
      </c>
      <c r="AQ14" s="1">
        <f>IF($A15="",'März'!$AE$5,AE15)</f>
      </c>
      <c r="AR14" s="1">
        <f>AE13</f>
      </c>
      <c r="AS14" s="1">
        <f>X13</f>
      </c>
      <c r="AT14" s="1">
        <f>U13</f>
      </c>
      <c r="AU14" s="1">
        <f>V13</f>
      </c>
    </row>
    <row r="15" spans="1:47" x14ac:dyDescent="0.25">
      <c r="A15" s="17">
        <f>IF(MONTH(DATE(Jahr,2,11))=2,DATE(Jahr,2,11),"")</f>
      </c>
      <c r="B15" s="13">
        <f>IF(A15="","",CHOOSE(WEEKDAY(A15,2),"Mo","Di","Mi","Do","Fr","Sa","So"))</f>
      </c>
      <c r="C15" s="18"/>
      <c r="D15" s="18"/>
      <c r="E15" s="7"/>
      <c r="F15" s="7"/>
      <c r="G15" s="7"/>
      <c r="H15" s="19"/>
      <c r="I15" s="19"/>
      <c r="J15" s="19"/>
      <c r="K15" s="9"/>
      <c r="L15" s="20">
        <f>IF(OR(AD15=0,AF15&lt;&gt;"",AND(W15=1,V15&gt;0,OR(T15=1,U15=1))),"",AE15/1440)</f>
      </c>
      <c r="M15" s="21">
        <f>IF(OR(AD15=0,AF15&lt;&gt;""),"",AJ15)</f>
      </c>
      <c r="N15" s="21">
        <f>IF(AK15=0,"",AK15)</f>
      </c>
      <c r="O15" s="21">
        <f>IF(OR(AD15=0,AF15&lt;&gt;""),"",AJ15-AK15)</f>
      </c>
      <c r="P15" s="21">
        <f>IF(AND(AD15=1,AF15="",V15=2),AI15,"")</f>
      </c>
      <c r="Q15" s="21">
        <f>IF(OR($A15="",N(K15)=0),"",ROUND(K15*KmSatz,2))</f>
      </c>
      <c r="R15" s="22">
        <f>IF(AF15&amp;AL15="","",LEFT(AF15&amp;AL15,LEN(AF15&amp;AL15)-2))</f>
      </c>
      <c r="S15" s="1"/>
      <c r="T15" s="1">
        <f>IF(AND($A15&lt;&gt;"",ISNUMBER(C15)),1,0)</f>
      </c>
      <c r="U15" s="1">
        <f>IF(AND($A15&lt;&gt;"",ISNUMBER(D15)),1,0)</f>
      </c>
      <c r="V15" s="1">
        <f>IF($A15="",0,IF(E15="ja",1,IF(E15="Pauschale",2,0)))</f>
      </c>
      <c r="W15" s="1">
        <f>IF($A15="",0,IF(AU15&gt;0,1,0))</f>
      </c>
      <c r="X15" s="1">
        <f>IF(AND(T15=1,W15=0),1,0)</f>
      </c>
      <c r="Y15" s="1">
        <f>IF(AND(AS15=1,AT15=0,AU15=0),1,0)</f>
      </c>
      <c r="Z15" s="1">
        <f>IF(AND(Y15=1,T15=0,U15=1,V15=0),1,0)</f>
      </c>
      <c r="AA15" s="1">
        <f>IF(AND(X15=1,U15=0,V15=0,AN15=0,AO15=1,AP15=0),1,0)</f>
      </c>
      <c r="AB15" s="1">
        <f>IF(OR(W15=1,Z15=1),0,IF(T15=1,C15,0))</f>
      </c>
      <c r="AC15" s="1">
        <f>IF(OR(V15&gt;0,AA15=1),1,IF(U15=1,D15,1))</f>
      </c>
      <c r="AD15" s="1">
        <f>IF($A15="",0,IF(OR(T15=1,U15=1,V15&gt;0,W15=1),1,0))</f>
      </c>
      <c r="AE15" s="1">
        <f>IF(AD15=0,0,ROUND((AC15-AB15)*1440,0))</f>
      </c>
      <c r="AF15" s="1">
        <f>IF(AD15=0,"",IF(AND(F15&lt;&gt;"",ISNA(MATCH(F15,PauschLand,0))),"Land nicht in der Liste; ","")&amp;IF(AND(T15=0,W15=0,Z15=0),"Beginn fehlt; ","")&amp;IF(AND(V15=0,U15=0,AA15=0),"Ende fehlt; ","")&amp;IF(AND(X15=1,U15=1,V15=0,N(D15)&lt;N(C15)),"Ende vor Beginn (über Mitternacht: Ende in die Zeile des Folgetags); ",""))</f>
      </c>
      <c r="AG15" s="1">
        <f>IF(AD15=0,0,IFERROR(VLOOKUP(IF(F15="","Deutschland",F15),PauschTab,2,FALSE),0))</f>
      </c>
      <c r="AH15" s="1">
        <f>IF(AD15=0,0,IFERROR(VLOOKUP(IF(F15="","Deutschland",F15),PauschTab,3,FALSE),0))</f>
      </c>
      <c r="AI15" s="1">
        <f>IF(AD15=0,0,IFERROR(VLOOKUP(IF(F15="","Deutschland",F15),PauschTab,4,FALSE),0))</f>
      </c>
      <c r="AJ15" s="1">
        <f>IF(OR(AD15=0,AF15&lt;&gt;""),0,IF(AND(W15=1,V15&gt;0),IF(OR(T15=1,U15=1),AH15,AG15),IF(OR(W15=1,V15&gt;0),AH15,IF(AA15=1,IF(AND(AE15+AQ15&gt;480,AE15&gt;=AQ15),AH15,0),IF(Z15=1,IF(AND(AR15+AE15&gt;480,AE15&gt;AR15),AH15,0),IF(AE15&gt;480,AH15,0))))))</f>
      </c>
      <c r="AK15" s="1">
        <f>MIN(AJ15,AM15)</f>
      </c>
      <c r="AL15" s="1">
        <f>IF(OR(AD15=0,AF15&lt;&gt;""),"",IF(AND(W15=0,V15=0,AA15=0,Z15=0,AE15&lt;=480),"nicht mehr als 8 Std.; ","")&amp;IF(AA15=1,IF(AJ15&gt;0,"über Mitternacht, zusammen "&amp;TEXT((AE15+AQ15)/1440,"[h]:mm")&amp;" Std.; ",IF(AE15+AQ15&gt;480,"über Mitternacht: Pauschale am Folgetag; ","über Mitternacht, zusammen nicht mehr als 8 Std.; ")),"")&amp;IF(Z15=1,IF(AJ15&gt;0,"über Mitternacht, zusammen "&amp;TEXT((AR15+AE15)/1440,"[h]:mm")&amp;" Std.; ",IF(AR15+AE15&gt;480,"über Mitternacht: Pauschale am Vortag; ","über Mitternacht, zusammen nicht mehr als 8 Std.; ")),"")&amp;IF(AND(W15=1,V15&gt;0,OR(T15=1,U15=1)),"zwischendurch zu Hause: An- und Abreisetag; ","")&amp;IF(AND(W15=1,V15=0,T15=1),"Beginn leer lassen: unterwegs seit dem Vortag; ","")&amp;IF(AND(W15=0,V15&gt;0,U15=1),"Ende leer lassen: Übernachtung; ","")&amp;IF(AND(AJ15&gt;0,AM15&gt;AJ15),"Kürzung auf die Pauschale begrenzt; ",""))</f>
      </c>
      <c r="AM15" s="1">
        <f>ROUND(AG15*(IF(H15&lt;&gt;"",0.2,0)+IF(I15&lt;&gt;"",0.4,0)+IF(J15&lt;&gt;"",0.4,0)),2)</f>
      </c>
      <c r="AN15" s="1">
        <f>IF($A16="",'März'!$T$5,T16)</f>
      </c>
      <c r="AO15" s="1">
        <f>IF($A16="",'März'!$U$5,U16)</f>
      </c>
      <c r="AP15" s="1">
        <f>IF($A16="",'März'!$V$5,V16)</f>
      </c>
      <c r="AQ15" s="1">
        <f>IF($A16="",'März'!$AE$5,AE16)</f>
      </c>
      <c r="AR15" s="1">
        <f>AE14</f>
      </c>
      <c r="AS15" s="1">
        <f>X14</f>
      </c>
      <c r="AT15" s="1">
        <f>U14</f>
      </c>
      <c r="AU15" s="1">
        <f>V14</f>
      </c>
    </row>
    <row r="16" spans="1:47" x14ac:dyDescent="0.25">
      <c r="A16" s="17">
        <f>IF(MONTH(DATE(Jahr,2,12))=2,DATE(Jahr,2,12),"")</f>
      </c>
      <c r="B16" s="13">
        <f>IF(A16="","",CHOOSE(WEEKDAY(A16,2),"Mo","Di","Mi","Do","Fr","Sa","So"))</f>
      </c>
      <c r="C16" s="18"/>
      <c r="D16" s="18"/>
      <c r="E16" s="7"/>
      <c r="F16" s="7"/>
      <c r="G16" s="7"/>
      <c r="H16" s="19"/>
      <c r="I16" s="19"/>
      <c r="J16" s="19"/>
      <c r="K16" s="9"/>
      <c r="L16" s="20">
        <f>IF(OR(AD16=0,AF16&lt;&gt;"",AND(W16=1,V16&gt;0,OR(T16=1,U16=1))),"",AE16/1440)</f>
      </c>
      <c r="M16" s="21">
        <f>IF(OR(AD16=0,AF16&lt;&gt;""),"",AJ16)</f>
      </c>
      <c r="N16" s="21">
        <f>IF(AK16=0,"",AK16)</f>
      </c>
      <c r="O16" s="21">
        <f>IF(OR(AD16=0,AF16&lt;&gt;""),"",AJ16-AK16)</f>
      </c>
      <c r="P16" s="21">
        <f>IF(AND(AD16=1,AF16="",V16=2),AI16,"")</f>
      </c>
      <c r="Q16" s="21">
        <f>IF(OR($A16="",N(K16)=0),"",ROUND(K16*KmSatz,2))</f>
      </c>
      <c r="R16" s="22">
        <f>IF(AF16&amp;AL16="","",LEFT(AF16&amp;AL16,LEN(AF16&amp;AL16)-2))</f>
      </c>
      <c r="S16" s="1"/>
      <c r="T16" s="1">
        <f>IF(AND($A16&lt;&gt;"",ISNUMBER(C16)),1,0)</f>
      </c>
      <c r="U16" s="1">
        <f>IF(AND($A16&lt;&gt;"",ISNUMBER(D16)),1,0)</f>
      </c>
      <c r="V16" s="1">
        <f>IF($A16="",0,IF(E16="ja",1,IF(E16="Pauschale",2,0)))</f>
      </c>
      <c r="W16" s="1">
        <f>IF($A16="",0,IF(AU16&gt;0,1,0))</f>
      </c>
      <c r="X16" s="1">
        <f>IF(AND(T16=1,W16=0),1,0)</f>
      </c>
      <c r="Y16" s="1">
        <f>IF(AND(AS16=1,AT16=0,AU16=0),1,0)</f>
      </c>
      <c r="Z16" s="1">
        <f>IF(AND(Y16=1,T16=0,U16=1,V16=0),1,0)</f>
      </c>
      <c r="AA16" s="1">
        <f>IF(AND(X16=1,U16=0,V16=0,AN16=0,AO16=1,AP16=0),1,0)</f>
      </c>
      <c r="AB16" s="1">
        <f>IF(OR(W16=1,Z16=1),0,IF(T16=1,C16,0))</f>
      </c>
      <c r="AC16" s="1">
        <f>IF(OR(V16&gt;0,AA16=1),1,IF(U16=1,D16,1))</f>
      </c>
      <c r="AD16" s="1">
        <f>IF($A16="",0,IF(OR(T16=1,U16=1,V16&gt;0,W16=1),1,0))</f>
      </c>
      <c r="AE16" s="1">
        <f>IF(AD16=0,0,ROUND((AC16-AB16)*1440,0))</f>
      </c>
      <c r="AF16" s="1">
        <f>IF(AD16=0,"",IF(AND(F16&lt;&gt;"",ISNA(MATCH(F16,PauschLand,0))),"Land nicht in der Liste; ","")&amp;IF(AND(T16=0,W16=0,Z16=0),"Beginn fehlt; ","")&amp;IF(AND(V16=0,U16=0,AA16=0),"Ende fehlt; ","")&amp;IF(AND(X16=1,U16=1,V16=0,N(D16)&lt;N(C16)),"Ende vor Beginn (über Mitternacht: Ende in die Zeile des Folgetags); ",""))</f>
      </c>
      <c r="AG16" s="1">
        <f>IF(AD16=0,0,IFERROR(VLOOKUP(IF(F16="","Deutschland",F16),PauschTab,2,FALSE),0))</f>
      </c>
      <c r="AH16" s="1">
        <f>IF(AD16=0,0,IFERROR(VLOOKUP(IF(F16="","Deutschland",F16),PauschTab,3,FALSE),0))</f>
      </c>
      <c r="AI16" s="1">
        <f>IF(AD16=0,0,IFERROR(VLOOKUP(IF(F16="","Deutschland",F16),PauschTab,4,FALSE),0))</f>
      </c>
      <c r="AJ16" s="1">
        <f>IF(OR(AD16=0,AF16&lt;&gt;""),0,IF(AND(W16=1,V16&gt;0),IF(OR(T16=1,U16=1),AH16,AG16),IF(OR(W16=1,V16&gt;0),AH16,IF(AA16=1,IF(AND(AE16+AQ16&gt;480,AE16&gt;=AQ16),AH16,0),IF(Z16=1,IF(AND(AR16+AE16&gt;480,AE16&gt;AR16),AH16,0),IF(AE16&gt;480,AH16,0))))))</f>
      </c>
      <c r="AK16" s="1">
        <f>MIN(AJ16,AM16)</f>
      </c>
      <c r="AL16" s="1">
        <f>IF(OR(AD16=0,AF16&lt;&gt;""),"",IF(AND(W16=0,V16=0,AA16=0,Z16=0,AE16&lt;=480),"nicht mehr als 8 Std.; ","")&amp;IF(AA16=1,IF(AJ16&gt;0,"über Mitternacht, zusammen "&amp;TEXT((AE16+AQ16)/1440,"[h]:mm")&amp;" Std.; ",IF(AE16+AQ16&gt;480,"über Mitternacht: Pauschale am Folgetag; ","über Mitternacht, zusammen nicht mehr als 8 Std.; ")),"")&amp;IF(Z16=1,IF(AJ16&gt;0,"über Mitternacht, zusammen "&amp;TEXT((AR16+AE16)/1440,"[h]:mm")&amp;" Std.; ",IF(AR16+AE16&gt;480,"über Mitternacht: Pauschale am Vortag; ","über Mitternacht, zusammen nicht mehr als 8 Std.; ")),"")&amp;IF(AND(W16=1,V16&gt;0,OR(T16=1,U16=1)),"zwischendurch zu Hause: An- und Abreisetag; ","")&amp;IF(AND(W16=1,V16=0,T16=1),"Beginn leer lassen: unterwegs seit dem Vortag; ","")&amp;IF(AND(W16=0,V16&gt;0,U16=1),"Ende leer lassen: Übernachtung; ","")&amp;IF(AND(AJ16&gt;0,AM16&gt;AJ16),"Kürzung auf die Pauschale begrenzt; ",""))</f>
      </c>
      <c r="AM16" s="1">
        <f>ROUND(AG16*(IF(H16&lt;&gt;"",0.2,0)+IF(I16&lt;&gt;"",0.4,0)+IF(J16&lt;&gt;"",0.4,0)),2)</f>
      </c>
      <c r="AN16" s="1">
        <f>IF($A17="",'März'!$T$5,T17)</f>
      </c>
      <c r="AO16" s="1">
        <f>IF($A17="",'März'!$U$5,U17)</f>
      </c>
      <c r="AP16" s="1">
        <f>IF($A17="",'März'!$V$5,V17)</f>
      </c>
      <c r="AQ16" s="1">
        <f>IF($A17="",'März'!$AE$5,AE17)</f>
      </c>
      <c r="AR16" s="1">
        <f>AE15</f>
      </c>
      <c r="AS16" s="1">
        <f>X15</f>
      </c>
      <c r="AT16" s="1">
        <f>U15</f>
      </c>
      <c r="AU16" s="1">
        <f>V15</f>
      </c>
    </row>
    <row r="17" spans="1:47" x14ac:dyDescent="0.25">
      <c r="A17" s="17">
        <f>IF(MONTH(DATE(Jahr,2,13))=2,DATE(Jahr,2,13),"")</f>
      </c>
      <c r="B17" s="13">
        <f>IF(A17="","",CHOOSE(WEEKDAY(A17,2),"Mo","Di","Mi","Do","Fr","Sa","So"))</f>
      </c>
      <c r="C17" s="18"/>
      <c r="D17" s="18"/>
      <c r="E17" s="7"/>
      <c r="F17" s="7"/>
      <c r="G17" s="7"/>
      <c r="H17" s="19"/>
      <c r="I17" s="19"/>
      <c r="J17" s="19"/>
      <c r="K17" s="9"/>
      <c r="L17" s="20">
        <f>IF(OR(AD17=0,AF17&lt;&gt;"",AND(W17=1,V17&gt;0,OR(T17=1,U17=1))),"",AE17/1440)</f>
      </c>
      <c r="M17" s="21">
        <f>IF(OR(AD17=0,AF17&lt;&gt;""),"",AJ17)</f>
      </c>
      <c r="N17" s="21">
        <f>IF(AK17=0,"",AK17)</f>
      </c>
      <c r="O17" s="21">
        <f>IF(OR(AD17=0,AF17&lt;&gt;""),"",AJ17-AK17)</f>
      </c>
      <c r="P17" s="21">
        <f>IF(AND(AD17=1,AF17="",V17=2),AI17,"")</f>
      </c>
      <c r="Q17" s="21">
        <f>IF(OR($A17="",N(K17)=0),"",ROUND(K17*KmSatz,2))</f>
      </c>
      <c r="R17" s="22">
        <f>IF(AF17&amp;AL17="","",LEFT(AF17&amp;AL17,LEN(AF17&amp;AL17)-2))</f>
      </c>
      <c r="S17" s="1"/>
      <c r="T17" s="1">
        <f>IF(AND($A17&lt;&gt;"",ISNUMBER(C17)),1,0)</f>
      </c>
      <c r="U17" s="1">
        <f>IF(AND($A17&lt;&gt;"",ISNUMBER(D17)),1,0)</f>
      </c>
      <c r="V17" s="1">
        <f>IF($A17="",0,IF(E17="ja",1,IF(E17="Pauschale",2,0)))</f>
      </c>
      <c r="W17" s="1">
        <f>IF($A17="",0,IF(AU17&gt;0,1,0))</f>
      </c>
      <c r="X17" s="1">
        <f>IF(AND(T17=1,W17=0),1,0)</f>
      </c>
      <c r="Y17" s="1">
        <f>IF(AND(AS17=1,AT17=0,AU17=0),1,0)</f>
      </c>
      <c r="Z17" s="1">
        <f>IF(AND(Y17=1,T17=0,U17=1,V17=0),1,0)</f>
      </c>
      <c r="AA17" s="1">
        <f>IF(AND(X17=1,U17=0,V17=0,AN17=0,AO17=1,AP17=0),1,0)</f>
      </c>
      <c r="AB17" s="1">
        <f>IF(OR(W17=1,Z17=1),0,IF(T17=1,C17,0))</f>
      </c>
      <c r="AC17" s="1">
        <f>IF(OR(V17&gt;0,AA17=1),1,IF(U17=1,D17,1))</f>
      </c>
      <c r="AD17" s="1">
        <f>IF($A17="",0,IF(OR(T17=1,U17=1,V17&gt;0,W17=1),1,0))</f>
      </c>
      <c r="AE17" s="1">
        <f>IF(AD17=0,0,ROUND((AC17-AB17)*1440,0))</f>
      </c>
      <c r="AF17" s="1">
        <f>IF(AD17=0,"",IF(AND(F17&lt;&gt;"",ISNA(MATCH(F17,PauschLand,0))),"Land nicht in der Liste; ","")&amp;IF(AND(T17=0,W17=0,Z17=0),"Beginn fehlt; ","")&amp;IF(AND(V17=0,U17=0,AA17=0),"Ende fehlt; ","")&amp;IF(AND(X17=1,U17=1,V17=0,N(D17)&lt;N(C17)),"Ende vor Beginn (über Mitternacht: Ende in die Zeile des Folgetags); ",""))</f>
      </c>
      <c r="AG17" s="1">
        <f>IF(AD17=0,0,IFERROR(VLOOKUP(IF(F17="","Deutschland",F17),PauschTab,2,FALSE),0))</f>
      </c>
      <c r="AH17" s="1">
        <f>IF(AD17=0,0,IFERROR(VLOOKUP(IF(F17="","Deutschland",F17),PauschTab,3,FALSE),0))</f>
      </c>
      <c r="AI17" s="1">
        <f>IF(AD17=0,0,IFERROR(VLOOKUP(IF(F17="","Deutschland",F17),PauschTab,4,FALSE),0))</f>
      </c>
      <c r="AJ17" s="1">
        <f>IF(OR(AD17=0,AF17&lt;&gt;""),0,IF(AND(W17=1,V17&gt;0),IF(OR(T17=1,U17=1),AH17,AG17),IF(OR(W17=1,V17&gt;0),AH17,IF(AA17=1,IF(AND(AE17+AQ17&gt;480,AE17&gt;=AQ17),AH17,0),IF(Z17=1,IF(AND(AR17+AE17&gt;480,AE17&gt;AR17),AH17,0),IF(AE17&gt;480,AH17,0))))))</f>
      </c>
      <c r="AK17" s="1">
        <f>MIN(AJ17,AM17)</f>
      </c>
      <c r="AL17" s="1">
        <f>IF(OR(AD17=0,AF17&lt;&gt;""),"",IF(AND(W17=0,V17=0,AA17=0,Z17=0,AE17&lt;=480),"nicht mehr als 8 Std.; ","")&amp;IF(AA17=1,IF(AJ17&gt;0,"über Mitternacht, zusammen "&amp;TEXT((AE17+AQ17)/1440,"[h]:mm")&amp;" Std.; ",IF(AE17+AQ17&gt;480,"über Mitternacht: Pauschale am Folgetag; ","über Mitternacht, zusammen nicht mehr als 8 Std.; ")),"")&amp;IF(Z17=1,IF(AJ17&gt;0,"über Mitternacht, zusammen "&amp;TEXT((AR17+AE17)/1440,"[h]:mm")&amp;" Std.; ",IF(AR17+AE17&gt;480,"über Mitternacht: Pauschale am Vortag; ","über Mitternacht, zusammen nicht mehr als 8 Std.; ")),"")&amp;IF(AND(W17=1,V17&gt;0,OR(T17=1,U17=1)),"zwischendurch zu Hause: An- und Abreisetag; ","")&amp;IF(AND(W17=1,V17=0,T17=1),"Beginn leer lassen: unterwegs seit dem Vortag; ","")&amp;IF(AND(W17=0,V17&gt;0,U17=1),"Ende leer lassen: Übernachtung; ","")&amp;IF(AND(AJ17&gt;0,AM17&gt;AJ17),"Kürzung auf die Pauschale begrenzt; ",""))</f>
      </c>
      <c r="AM17" s="1">
        <f>ROUND(AG17*(IF(H17&lt;&gt;"",0.2,0)+IF(I17&lt;&gt;"",0.4,0)+IF(J17&lt;&gt;"",0.4,0)),2)</f>
      </c>
      <c r="AN17" s="1">
        <f>IF($A18="",'März'!$T$5,T18)</f>
      </c>
      <c r="AO17" s="1">
        <f>IF($A18="",'März'!$U$5,U18)</f>
      </c>
      <c r="AP17" s="1">
        <f>IF($A18="",'März'!$V$5,V18)</f>
      </c>
      <c r="AQ17" s="1">
        <f>IF($A18="",'März'!$AE$5,AE18)</f>
      </c>
      <c r="AR17" s="1">
        <f>AE16</f>
      </c>
      <c r="AS17" s="1">
        <f>X16</f>
      </c>
      <c r="AT17" s="1">
        <f>U16</f>
      </c>
      <c r="AU17" s="1">
        <f>V16</f>
      </c>
    </row>
    <row r="18" spans="1:47" x14ac:dyDescent="0.25">
      <c r="A18" s="17">
        <f>IF(MONTH(DATE(Jahr,2,14))=2,DATE(Jahr,2,14),"")</f>
      </c>
      <c r="B18" s="13">
        <f>IF(A18="","",CHOOSE(WEEKDAY(A18,2),"Mo","Di","Mi","Do","Fr","Sa","So"))</f>
      </c>
      <c r="C18" s="18"/>
      <c r="D18" s="18"/>
      <c r="E18" s="7"/>
      <c r="F18" s="7"/>
      <c r="G18" s="7"/>
      <c r="H18" s="19"/>
      <c r="I18" s="19"/>
      <c r="J18" s="19"/>
      <c r="K18" s="9"/>
      <c r="L18" s="20">
        <f>IF(OR(AD18=0,AF18&lt;&gt;"",AND(W18=1,V18&gt;0,OR(T18=1,U18=1))),"",AE18/1440)</f>
      </c>
      <c r="M18" s="21">
        <f>IF(OR(AD18=0,AF18&lt;&gt;""),"",AJ18)</f>
      </c>
      <c r="N18" s="21">
        <f>IF(AK18=0,"",AK18)</f>
      </c>
      <c r="O18" s="21">
        <f>IF(OR(AD18=0,AF18&lt;&gt;""),"",AJ18-AK18)</f>
      </c>
      <c r="P18" s="21">
        <f>IF(AND(AD18=1,AF18="",V18=2),AI18,"")</f>
      </c>
      <c r="Q18" s="21">
        <f>IF(OR($A18="",N(K18)=0),"",ROUND(K18*KmSatz,2))</f>
      </c>
      <c r="R18" s="22">
        <f>IF(AF18&amp;AL18="","",LEFT(AF18&amp;AL18,LEN(AF18&amp;AL18)-2))</f>
      </c>
      <c r="S18" s="1"/>
      <c r="T18" s="1">
        <f>IF(AND($A18&lt;&gt;"",ISNUMBER(C18)),1,0)</f>
      </c>
      <c r="U18" s="1">
        <f>IF(AND($A18&lt;&gt;"",ISNUMBER(D18)),1,0)</f>
      </c>
      <c r="V18" s="1">
        <f>IF($A18="",0,IF(E18="ja",1,IF(E18="Pauschale",2,0)))</f>
      </c>
      <c r="W18" s="1">
        <f>IF($A18="",0,IF(AU18&gt;0,1,0))</f>
      </c>
      <c r="X18" s="1">
        <f>IF(AND(T18=1,W18=0),1,0)</f>
      </c>
      <c r="Y18" s="1">
        <f>IF(AND(AS18=1,AT18=0,AU18=0),1,0)</f>
      </c>
      <c r="Z18" s="1">
        <f>IF(AND(Y18=1,T18=0,U18=1,V18=0),1,0)</f>
      </c>
      <c r="AA18" s="1">
        <f>IF(AND(X18=1,U18=0,V18=0,AN18=0,AO18=1,AP18=0),1,0)</f>
      </c>
      <c r="AB18" s="1">
        <f>IF(OR(W18=1,Z18=1),0,IF(T18=1,C18,0))</f>
      </c>
      <c r="AC18" s="1">
        <f>IF(OR(V18&gt;0,AA18=1),1,IF(U18=1,D18,1))</f>
      </c>
      <c r="AD18" s="1">
        <f>IF($A18="",0,IF(OR(T18=1,U18=1,V18&gt;0,W18=1),1,0))</f>
      </c>
      <c r="AE18" s="1">
        <f>IF(AD18=0,0,ROUND((AC18-AB18)*1440,0))</f>
      </c>
      <c r="AF18" s="1">
        <f>IF(AD18=0,"",IF(AND(F18&lt;&gt;"",ISNA(MATCH(F18,PauschLand,0))),"Land nicht in der Liste; ","")&amp;IF(AND(T18=0,W18=0,Z18=0),"Beginn fehlt; ","")&amp;IF(AND(V18=0,U18=0,AA18=0),"Ende fehlt; ","")&amp;IF(AND(X18=1,U18=1,V18=0,N(D18)&lt;N(C18)),"Ende vor Beginn (über Mitternacht: Ende in die Zeile des Folgetags); ",""))</f>
      </c>
      <c r="AG18" s="1">
        <f>IF(AD18=0,0,IFERROR(VLOOKUP(IF(F18="","Deutschland",F18),PauschTab,2,FALSE),0))</f>
      </c>
      <c r="AH18" s="1">
        <f>IF(AD18=0,0,IFERROR(VLOOKUP(IF(F18="","Deutschland",F18),PauschTab,3,FALSE),0))</f>
      </c>
      <c r="AI18" s="1">
        <f>IF(AD18=0,0,IFERROR(VLOOKUP(IF(F18="","Deutschland",F18),PauschTab,4,FALSE),0))</f>
      </c>
      <c r="AJ18" s="1">
        <f>IF(OR(AD18=0,AF18&lt;&gt;""),0,IF(AND(W18=1,V18&gt;0),IF(OR(T18=1,U18=1),AH18,AG18),IF(OR(W18=1,V18&gt;0),AH18,IF(AA18=1,IF(AND(AE18+AQ18&gt;480,AE18&gt;=AQ18),AH18,0),IF(Z18=1,IF(AND(AR18+AE18&gt;480,AE18&gt;AR18),AH18,0),IF(AE18&gt;480,AH18,0))))))</f>
      </c>
      <c r="AK18" s="1">
        <f>MIN(AJ18,AM18)</f>
      </c>
      <c r="AL18" s="1">
        <f>IF(OR(AD18=0,AF18&lt;&gt;""),"",IF(AND(W18=0,V18=0,AA18=0,Z18=0,AE18&lt;=480),"nicht mehr als 8 Std.; ","")&amp;IF(AA18=1,IF(AJ18&gt;0,"über Mitternacht, zusammen "&amp;TEXT((AE18+AQ18)/1440,"[h]:mm")&amp;" Std.; ",IF(AE18+AQ18&gt;480,"über Mitternacht: Pauschale am Folgetag; ","über Mitternacht, zusammen nicht mehr als 8 Std.; ")),"")&amp;IF(Z18=1,IF(AJ18&gt;0,"über Mitternacht, zusammen "&amp;TEXT((AR18+AE18)/1440,"[h]:mm")&amp;" Std.; ",IF(AR18+AE18&gt;480,"über Mitternacht: Pauschale am Vortag; ","über Mitternacht, zusammen nicht mehr als 8 Std.; ")),"")&amp;IF(AND(W18=1,V18&gt;0,OR(T18=1,U18=1)),"zwischendurch zu Hause: An- und Abreisetag; ","")&amp;IF(AND(W18=1,V18=0,T18=1),"Beginn leer lassen: unterwegs seit dem Vortag; ","")&amp;IF(AND(W18=0,V18&gt;0,U18=1),"Ende leer lassen: Übernachtung; ","")&amp;IF(AND(AJ18&gt;0,AM18&gt;AJ18),"Kürzung auf die Pauschale begrenzt; ",""))</f>
      </c>
      <c r="AM18" s="1">
        <f>ROUND(AG18*(IF(H18&lt;&gt;"",0.2,0)+IF(I18&lt;&gt;"",0.4,0)+IF(J18&lt;&gt;"",0.4,0)),2)</f>
      </c>
      <c r="AN18" s="1">
        <f>IF($A19="",'März'!$T$5,T19)</f>
      </c>
      <c r="AO18" s="1">
        <f>IF($A19="",'März'!$U$5,U19)</f>
      </c>
      <c r="AP18" s="1">
        <f>IF($A19="",'März'!$V$5,V19)</f>
      </c>
      <c r="AQ18" s="1">
        <f>IF($A19="",'März'!$AE$5,AE19)</f>
      </c>
      <c r="AR18" s="1">
        <f>AE17</f>
      </c>
      <c r="AS18" s="1">
        <f>X17</f>
      </c>
      <c r="AT18" s="1">
        <f>U17</f>
      </c>
      <c r="AU18" s="1">
        <f>V17</f>
      </c>
    </row>
    <row r="19" spans="1:47" x14ac:dyDescent="0.25">
      <c r="A19" s="17">
        <f>IF(MONTH(DATE(Jahr,2,15))=2,DATE(Jahr,2,15),"")</f>
      </c>
      <c r="B19" s="13">
        <f>IF(A19="","",CHOOSE(WEEKDAY(A19,2),"Mo","Di","Mi","Do","Fr","Sa","So"))</f>
      </c>
      <c r="C19" s="18"/>
      <c r="D19" s="18"/>
      <c r="E19" s="7"/>
      <c r="F19" s="7"/>
      <c r="G19" s="7"/>
      <c r="H19" s="19"/>
      <c r="I19" s="19"/>
      <c r="J19" s="19"/>
      <c r="K19" s="9"/>
      <c r="L19" s="20">
        <f>IF(OR(AD19=0,AF19&lt;&gt;"",AND(W19=1,V19&gt;0,OR(T19=1,U19=1))),"",AE19/1440)</f>
      </c>
      <c r="M19" s="21">
        <f>IF(OR(AD19=0,AF19&lt;&gt;""),"",AJ19)</f>
      </c>
      <c r="N19" s="21">
        <f>IF(AK19=0,"",AK19)</f>
      </c>
      <c r="O19" s="21">
        <f>IF(OR(AD19=0,AF19&lt;&gt;""),"",AJ19-AK19)</f>
      </c>
      <c r="P19" s="21">
        <f>IF(AND(AD19=1,AF19="",V19=2),AI19,"")</f>
      </c>
      <c r="Q19" s="21">
        <f>IF(OR($A19="",N(K19)=0),"",ROUND(K19*KmSatz,2))</f>
      </c>
      <c r="R19" s="22">
        <f>IF(AF19&amp;AL19="","",LEFT(AF19&amp;AL19,LEN(AF19&amp;AL19)-2))</f>
      </c>
      <c r="S19" s="1"/>
      <c r="T19" s="1">
        <f>IF(AND($A19&lt;&gt;"",ISNUMBER(C19)),1,0)</f>
      </c>
      <c r="U19" s="1">
        <f>IF(AND($A19&lt;&gt;"",ISNUMBER(D19)),1,0)</f>
      </c>
      <c r="V19" s="1">
        <f>IF($A19="",0,IF(E19="ja",1,IF(E19="Pauschale",2,0)))</f>
      </c>
      <c r="W19" s="1">
        <f>IF($A19="",0,IF(AU19&gt;0,1,0))</f>
      </c>
      <c r="X19" s="1">
        <f>IF(AND(T19=1,W19=0),1,0)</f>
      </c>
      <c r="Y19" s="1">
        <f>IF(AND(AS19=1,AT19=0,AU19=0),1,0)</f>
      </c>
      <c r="Z19" s="1">
        <f>IF(AND(Y19=1,T19=0,U19=1,V19=0),1,0)</f>
      </c>
      <c r="AA19" s="1">
        <f>IF(AND(X19=1,U19=0,V19=0,AN19=0,AO19=1,AP19=0),1,0)</f>
      </c>
      <c r="AB19" s="1">
        <f>IF(OR(W19=1,Z19=1),0,IF(T19=1,C19,0))</f>
      </c>
      <c r="AC19" s="1">
        <f>IF(OR(V19&gt;0,AA19=1),1,IF(U19=1,D19,1))</f>
      </c>
      <c r="AD19" s="1">
        <f>IF($A19="",0,IF(OR(T19=1,U19=1,V19&gt;0,W19=1),1,0))</f>
      </c>
      <c r="AE19" s="1">
        <f>IF(AD19=0,0,ROUND((AC19-AB19)*1440,0))</f>
      </c>
      <c r="AF19" s="1">
        <f>IF(AD19=0,"",IF(AND(F19&lt;&gt;"",ISNA(MATCH(F19,PauschLand,0))),"Land nicht in der Liste; ","")&amp;IF(AND(T19=0,W19=0,Z19=0),"Beginn fehlt; ","")&amp;IF(AND(V19=0,U19=0,AA19=0),"Ende fehlt; ","")&amp;IF(AND(X19=1,U19=1,V19=0,N(D19)&lt;N(C19)),"Ende vor Beginn (über Mitternacht: Ende in die Zeile des Folgetags); ",""))</f>
      </c>
      <c r="AG19" s="1">
        <f>IF(AD19=0,0,IFERROR(VLOOKUP(IF(F19="","Deutschland",F19),PauschTab,2,FALSE),0))</f>
      </c>
      <c r="AH19" s="1">
        <f>IF(AD19=0,0,IFERROR(VLOOKUP(IF(F19="","Deutschland",F19),PauschTab,3,FALSE),0))</f>
      </c>
      <c r="AI19" s="1">
        <f>IF(AD19=0,0,IFERROR(VLOOKUP(IF(F19="","Deutschland",F19),PauschTab,4,FALSE),0))</f>
      </c>
      <c r="AJ19" s="1">
        <f>IF(OR(AD19=0,AF19&lt;&gt;""),0,IF(AND(W19=1,V19&gt;0),IF(OR(T19=1,U19=1),AH19,AG19),IF(OR(W19=1,V19&gt;0),AH19,IF(AA19=1,IF(AND(AE19+AQ19&gt;480,AE19&gt;=AQ19),AH19,0),IF(Z19=1,IF(AND(AR19+AE19&gt;480,AE19&gt;AR19),AH19,0),IF(AE19&gt;480,AH19,0))))))</f>
      </c>
      <c r="AK19" s="1">
        <f>MIN(AJ19,AM19)</f>
      </c>
      <c r="AL19" s="1">
        <f>IF(OR(AD19=0,AF19&lt;&gt;""),"",IF(AND(W19=0,V19=0,AA19=0,Z19=0,AE19&lt;=480),"nicht mehr als 8 Std.; ","")&amp;IF(AA19=1,IF(AJ19&gt;0,"über Mitternacht, zusammen "&amp;TEXT((AE19+AQ19)/1440,"[h]:mm")&amp;" Std.; ",IF(AE19+AQ19&gt;480,"über Mitternacht: Pauschale am Folgetag; ","über Mitternacht, zusammen nicht mehr als 8 Std.; ")),"")&amp;IF(Z19=1,IF(AJ19&gt;0,"über Mitternacht, zusammen "&amp;TEXT((AR19+AE19)/1440,"[h]:mm")&amp;" Std.; ",IF(AR19+AE19&gt;480,"über Mitternacht: Pauschale am Vortag; ","über Mitternacht, zusammen nicht mehr als 8 Std.; ")),"")&amp;IF(AND(W19=1,V19&gt;0,OR(T19=1,U19=1)),"zwischendurch zu Hause: An- und Abreisetag; ","")&amp;IF(AND(W19=1,V19=0,T19=1),"Beginn leer lassen: unterwegs seit dem Vortag; ","")&amp;IF(AND(W19=0,V19&gt;0,U19=1),"Ende leer lassen: Übernachtung; ","")&amp;IF(AND(AJ19&gt;0,AM19&gt;AJ19),"Kürzung auf die Pauschale begrenzt; ",""))</f>
      </c>
      <c r="AM19" s="1">
        <f>ROUND(AG19*(IF(H19&lt;&gt;"",0.2,0)+IF(I19&lt;&gt;"",0.4,0)+IF(J19&lt;&gt;"",0.4,0)),2)</f>
      </c>
      <c r="AN19" s="1">
        <f>IF($A20="",'März'!$T$5,T20)</f>
      </c>
      <c r="AO19" s="1">
        <f>IF($A20="",'März'!$U$5,U20)</f>
      </c>
      <c r="AP19" s="1">
        <f>IF($A20="",'März'!$V$5,V20)</f>
      </c>
      <c r="AQ19" s="1">
        <f>IF($A20="",'März'!$AE$5,AE20)</f>
      </c>
      <c r="AR19" s="1">
        <f>AE18</f>
      </c>
      <c r="AS19" s="1">
        <f>X18</f>
      </c>
      <c r="AT19" s="1">
        <f>U18</f>
      </c>
      <c r="AU19" s="1">
        <f>V18</f>
      </c>
    </row>
    <row r="20" spans="1:47" x14ac:dyDescent="0.25">
      <c r="A20" s="17">
        <f>IF(MONTH(DATE(Jahr,2,16))=2,DATE(Jahr,2,16),"")</f>
      </c>
      <c r="B20" s="13">
        <f>IF(A20="","",CHOOSE(WEEKDAY(A20,2),"Mo","Di","Mi","Do","Fr","Sa","So"))</f>
      </c>
      <c r="C20" s="18"/>
      <c r="D20" s="18"/>
      <c r="E20" s="7"/>
      <c r="F20" s="7"/>
      <c r="G20" s="7"/>
      <c r="H20" s="19"/>
      <c r="I20" s="19"/>
      <c r="J20" s="19"/>
      <c r="K20" s="9"/>
      <c r="L20" s="20">
        <f>IF(OR(AD20=0,AF20&lt;&gt;"",AND(W20=1,V20&gt;0,OR(T20=1,U20=1))),"",AE20/1440)</f>
      </c>
      <c r="M20" s="21">
        <f>IF(OR(AD20=0,AF20&lt;&gt;""),"",AJ20)</f>
      </c>
      <c r="N20" s="21">
        <f>IF(AK20=0,"",AK20)</f>
      </c>
      <c r="O20" s="21">
        <f>IF(OR(AD20=0,AF20&lt;&gt;""),"",AJ20-AK20)</f>
      </c>
      <c r="P20" s="21">
        <f>IF(AND(AD20=1,AF20="",V20=2),AI20,"")</f>
      </c>
      <c r="Q20" s="21">
        <f>IF(OR($A20="",N(K20)=0),"",ROUND(K20*KmSatz,2))</f>
      </c>
      <c r="R20" s="22">
        <f>IF(AF20&amp;AL20="","",LEFT(AF20&amp;AL20,LEN(AF20&amp;AL20)-2))</f>
      </c>
      <c r="S20" s="1"/>
      <c r="T20" s="1">
        <f>IF(AND($A20&lt;&gt;"",ISNUMBER(C20)),1,0)</f>
      </c>
      <c r="U20" s="1">
        <f>IF(AND($A20&lt;&gt;"",ISNUMBER(D20)),1,0)</f>
      </c>
      <c r="V20" s="1">
        <f>IF($A20="",0,IF(E20="ja",1,IF(E20="Pauschale",2,0)))</f>
      </c>
      <c r="W20" s="1">
        <f>IF($A20="",0,IF(AU20&gt;0,1,0))</f>
      </c>
      <c r="X20" s="1">
        <f>IF(AND(T20=1,W20=0),1,0)</f>
      </c>
      <c r="Y20" s="1">
        <f>IF(AND(AS20=1,AT20=0,AU20=0),1,0)</f>
      </c>
      <c r="Z20" s="1">
        <f>IF(AND(Y20=1,T20=0,U20=1,V20=0),1,0)</f>
      </c>
      <c r="AA20" s="1">
        <f>IF(AND(X20=1,U20=0,V20=0,AN20=0,AO20=1,AP20=0),1,0)</f>
      </c>
      <c r="AB20" s="1">
        <f>IF(OR(W20=1,Z20=1),0,IF(T20=1,C20,0))</f>
      </c>
      <c r="AC20" s="1">
        <f>IF(OR(V20&gt;0,AA20=1),1,IF(U20=1,D20,1))</f>
      </c>
      <c r="AD20" s="1">
        <f>IF($A20="",0,IF(OR(T20=1,U20=1,V20&gt;0,W20=1),1,0))</f>
      </c>
      <c r="AE20" s="1">
        <f>IF(AD20=0,0,ROUND((AC20-AB20)*1440,0))</f>
      </c>
      <c r="AF20" s="1">
        <f>IF(AD20=0,"",IF(AND(F20&lt;&gt;"",ISNA(MATCH(F20,PauschLand,0))),"Land nicht in der Liste; ","")&amp;IF(AND(T20=0,W20=0,Z20=0),"Beginn fehlt; ","")&amp;IF(AND(V20=0,U20=0,AA20=0),"Ende fehlt; ","")&amp;IF(AND(X20=1,U20=1,V20=0,N(D20)&lt;N(C20)),"Ende vor Beginn (über Mitternacht: Ende in die Zeile des Folgetags); ",""))</f>
      </c>
      <c r="AG20" s="1">
        <f>IF(AD20=0,0,IFERROR(VLOOKUP(IF(F20="","Deutschland",F20),PauschTab,2,FALSE),0))</f>
      </c>
      <c r="AH20" s="1">
        <f>IF(AD20=0,0,IFERROR(VLOOKUP(IF(F20="","Deutschland",F20),PauschTab,3,FALSE),0))</f>
      </c>
      <c r="AI20" s="1">
        <f>IF(AD20=0,0,IFERROR(VLOOKUP(IF(F20="","Deutschland",F20),PauschTab,4,FALSE),0))</f>
      </c>
      <c r="AJ20" s="1">
        <f>IF(OR(AD20=0,AF20&lt;&gt;""),0,IF(AND(W20=1,V20&gt;0),IF(OR(T20=1,U20=1),AH20,AG20),IF(OR(W20=1,V20&gt;0),AH20,IF(AA20=1,IF(AND(AE20+AQ20&gt;480,AE20&gt;=AQ20),AH20,0),IF(Z20=1,IF(AND(AR20+AE20&gt;480,AE20&gt;AR20),AH20,0),IF(AE20&gt;480,AH20,0))))))</f>
      </c>
      <c r="AK20" s="1">
        <f>MIN(AJ20,AM20)</f>
      </c>
      <c r="AL20" s="1">
        <f>IF(OR(AD20=0,AF20&lt;&gt;""),"",IF(AND(W20=0,V20=0,AA20=0,Z20=0,AE20&lt;=480),"nicht mehr als 8 Std.; ","")&amp;IF(AA20=1,IF(AJ20&gt;0,"über Mitternacht, zusammen "&amp;TEXT((AE20+AQ20)/1440,"[h]:mm")&amp;" Std.; ",IF(AE20+AQ20&gt;480,"über Mitternacht: Pauschale am Folgetag; ","über Mitternacht, zusammen nicht mehr als 8 Std.; ")),"")&amp;IF(Z20=1,IF(AJ20&gt;0,"über Mitternacht, zusammen "&amp;TEXT((AR20+AE20)/1440,"[h]:mm")&amp;" Std.; ",IF(AR20+AE20&gt;480,"über Mitternacht: Pauschale am Vortag; ","über Mitternacht, zusammen nicht mehr als 8 Std.; ")),"")&amp;IF(AND(W20=1,V20&gt;0,OR(T20=1,U20=1)),"zwischendurch zu Hause: An- und Abreisetag; ","")&amp;IF(AND(W20=1,V20=0,T20=1),"Beginn leer lassen: unterwegs seit dem Vortag; ","")&amp;IF(AND(W20=0,V20&gt;0,U20=1),"Ende leer lassen: Übernachtung; ","")&amp;IF(AND(AJ20&gt;0,AM20&gt;AJ20),"Kürzung auf die Pauschale begrenzt; ",""))</f>
      </c>
      <c r="AM20" s="1">
        <f>ROUND(AG20*(IF(H20&lt;&gt;"",0.2,0)+IF(I20&lt;&gt;"",0.4,0)+IF(J20&lt;&gt;"",0.4,0)),2)</f>
      </c>
      <c r="AN20" s="1">
        <f>IF($A21="",'März'!$T$5,T21)</f>
      </c>
      <c r="AO20" s="1">
        <f>IF($A21="",'März'!$U$5,U21)</f>
      </c>
      <c r="AP20" s="1">
        <f>IF($A21="",'März'!$V$5,V21)</f>
      </c>
      <c r="AQ20" s="1">
        <f>IF($A21="",'März'!$AE$5,AE21)</f>
      </c>
      <c r="AR20" s="1">
        <f>AE19</f>
      </c>
      <c r="AS20" s="1">
        <f>X19</f>
      </c>
      <c r="AT20" s="1">
        <f>U19</f>
      </c>
      <c r="AU20" s="1">
        <f>V19</f>
      </c>
    </row>
    <row r="21" spans="1:47" x14ac:dyDescent="0.25">
      <c r="A21" s="17">
        <f>IF(MONTH(DATE(Jahr,2,17))=2,DATE(Jahr,2,17),"")</f>
      </c>
      <c r="B21" s="13">
        <f>IF(A21="","",CHOOSE(WEEKDAY(A21,2),"Mo","Di","Mi","Do","Fr","Sa","So"))</f>
      </c>
      <c r="C21" s="18"/>
      <c r="D21" s="18"/>
      <c r="E21" s="7"/>
      <c r="F21" s="7"/>
      <c r="G21" s="7"/>
      <c r="H21" s="19"/>
      <c r="I21" s="19"/>
      <c r="J21" s="19"/>
      <c r="K21" s="9"/>
      <c r="L21" s="20">
        <f>IF(OR(AD21=0,AF21&lt;&gt;"",AND(W21=1,V21&gt;0,OR(T21=1,U21=1))),"",AE21/1440)</f>
      </c>
      <c r="M21" s="21">
        <f>IF(OR(AD21=0,AF21&lt;&gt;""),"",AJ21)</f>
      </c>
      <c r="N21" s="21">
        <f>IF(AK21=0,"",AK21)</f>
      </c>
      <c r="O21" s="21">
        <f>IF(OR(AD21=0,AF21&lt;&gt;""),"",AJ21-AK21)</f>
      </c>
      <c r="P21" s="21">
        <f>IF(AND(AD21=1,AF21="",V21=2),AI21,"")</f>
      </c>
      <c r="Q21" s="21">
        <f>IF(OR($A21="",N(K21)=0),"",ROUND(K21*KmSatz,2))</f>
      </c>
      <c r="R21" s="22">
        <f>IF(AF21&amp;AL21="","",LEFT(AF21&amp;AL21,LEN(AF21&amp;AL21)-2))</f>
      </c>
      <c r="S21" s="1"/>
      <c r="T21" s="1">
        <f>IF(AND($A21&lt;&gt;"",ISNUMBER(C21)),1,0)</f>
      </c>
      <c r="U21" s="1">
        <f>IF(AND($A21&lt;&gt;"",ISNUMBER(D21)),1,0)</f>
      </c>
      <c r="V21" s="1">
        <f>IF($A21="",0,IF(E21="ja",1,IF(E21="Pauschale",2,0)))</f>
      </c>
      <c r="W21" s="1">
        <f>IF($A21="",0,IF(AU21&gt;0,1,0))</f>
      </c>
      <c r="X21" s="1">
        <f>IF(AND(T21=1,W21=0),1,0)</f>
      </c>
      <c r="Y21" s="1">
        <f>IF(AND(AS21=1,AT21=0,AU21=0),1,0)</f>
      </c>
      <c r="Z21" s="1">
        <f>IF(AND(Y21=1,T21=0,U21=1,V21=0),1,0)</f>
      </c>
      <c r="AA21" s="1">
        <f>IF(AND(X21=1,U21=0,V21=0,AN21=0,AO21=1,AP21=0),1,0)</f>
      </c>
      <c r="AB21" s="1">
        <f>IF(OR(W21=1,Z21=1),0,IF(T21=1,C21,0))</f>
      </c>
      <c r="AC21" s="1">
        <f>IF(OR(V21&gt;0,AA21=1),1,IF(U21=1,D21,1))</f>
      </c>
      <c r="AD21" s="1">
        <f>IF($A21="",0,IF(OR(T21=1,U21=1,V21&gt;0,W21=1),1,0))</f>
      </c>
      <c r="AE21" s="1">
        <f>IF(AD21=0,0,ROUND((AC21-AB21)*1440,0))</f>
      </c>
      <c r="AF21" s="1">
        <f>IF(AD21=0,"",IF(AND(F21&lt;&gt;"",ISNA(MATCH(F21,PauschLand,0))),"Land nicht in der Liste; ","")&amp;IF(AND(T21=0,W21=0,Z21=0),"Beginn fehlt; ","")&amp;IF(AND(V21=0,U21=0,AA21=0),"Ende fehlt; ","")&amp;IF(AND(X21=1,U21=1,V21=0,N(D21)&lt;N(C21)),"Ende vor Beginn (über Mitternacht: Ende in die Zeile des Folgetags); ",""))</f>
      </c>
      <c r="AG21" s="1">
        <f>IF(AD21=0,0,IFERROR(VLOOKUP(IF(F21="","Deutschland",F21),PauschTab,2,FALSE),0))</f>
      </c>
      <c r="AH21" s="1">
        <f>IF(AD21=0,0,IFERROR(VLOOKUP(IF(F21="","Deutschland",F21),PauschTab,3,FALSE),0))</f>
      </c>
      <c r="AI21" s="1">
        <f>IF(AD21=0,0,IFERROR(VLOOKUP(IF(F21="","Deutschland",F21),PauschTab,4,FALSE),0))</f>
      </c>
      <c r="AJ21" s="1">
        <f>IF(OR(AD21=0,AF21&lt;&gt;""),0,IF(AND(W21=1,V21&gt;0),IF(OR(T21=1,U21=1),AH21,AG21),IF(OR(W21=1,V21&gt;0),AH21,IF(AA21=1,IF(AND(AE21+AQ21&gt;480,AE21&gt;=AQ21),AH21,0),IF(Z21=1,IF(AND(AR21+AE21&gt;480,AE21&gt;AR21),AH21,0),IF(AE21&gt;480,AH21,0))))))</f>
      </c>
      <c r="AK21" s="1">
        <f>MIN(AJ21,AM21)</f>
      </c>
      <c r="AL21" s="1">
        <f>IF(OR(AD21=0,AF21&lt;&gt;""),"",IF(AND(W21=0,V21=0,AA21=0,Z21=0,AE21&lt;=480),"nicht mehr als 8 Std.; ","")&amp;IF(AA21=1,IF(AJ21&gt;0,"über Mitternacht, zusammen "&amp;TEXT((AE21+AQ21)/1440,"[h]:mm")&amp;" Std.; ",IF(AE21+AQ21&gt;480,"über Mitternacht: Pauschale am Folgetag; ","über Mitternacht, zusammen nicht mehr als 8 Std.; ")),"")&amp;IF(Z21=1,IF(AJ21&gt;0,"über Mitternacht, zusammen "&amp;TEXT((AR21+AE21)/1440,"[h]:mm")&amp;" Std.; ",IF(AR21+AE21&gt;480,"über Mitternacht: Pauschale am Vortag; ","über Mitternacht, zusammen nicht mehr als 8 Std.; ")),"")&amp;IF(AND(W21=1,V21&gt;0,OR(T21=1,U21=1)),"zwischendurch zu Hause: An- und Abreisetag; ","")&amp;IF(AND(W21=1,V21=0,T21=1),"Beginn leer lassen: unterwegs seit dem Vortag; ","")&amp;IF(AND(W21=0,V21&gt;0,U21=1),"Ende leer lassen: Übernachtung; ","")&amp;IF(AND(AJ21&gt;0,AM21&gt;AJ21),"Kürzung auf die Pauschale begrenzt; ",""))</f>
      </c>
      <c r="AM21" s="1">
        <f>ROUND(AG21*(IF(H21&lt;&gt;"",0.2,0)+IF(I21&lt;&gt;"",0.4,0)+IF(J21&lt;&gt;"",0.4,0)),2)</f>
      </c>
      <c r="AN21" s="1">
        <f>IF($A22="",'März'!$T$5,T22)</f>
      </c>
      <c r="AO21" s="1">
        <f>IF($A22="",'März'!$U$5,U22)</f>
      </c>
      <c r="AP21" s="1">
        <f>IF($A22="",'März'!$V$5,V22)</f>
      </c>
      <c r="AQ21" s="1">
        <f>IF($A22="",'März'!$AE$5,AE22)</f>
      </c>
      <c r="AR21" s="1">
        <f>AE20</f>
      </c>
      <c r="AS21" s="1">
        <f>X20</f>
      </c>
      <c r="AT21" s="1">
        <f>U20</f>
      </c>
      <c r="AU21" s="1">
        <f>V20</f>
      </c>
    </row>
    <row r="22" spans="1:47" x14ac:dyDescent="0.25">
      <c r="A22" s="17">
        <f>IF(MONTH(DATE(Jahr,2,18))=2,DATE(Jahr,2,18),"")</f>
      </c>
      <c r="B22" s="13">
        <f>IF(A22="","",CHOOSE(WEEKDAY(A22,2),"Mo","Di","Mi","Do","Fr","Sa","So"))</f>
      </c>
      <c r="C22" s="18"/>
      <c r="D22" s="18"/>
      <c r="E22" s="7"/>
      <c r="F22" s="7"/>
      <c r="G22" s="7"/>
      <c r="H22" s="19"/>
      <c r="I22" s="19"/>
      <c r="J22" s="19"/>
      <c r="K22" s="9"/>
      <c r="L22" s="20">
        <f>IF(OR(AD22=0,AF22&lt;&gt;"",AND(W22=1,V22&gt;0,OR(T22=1,U22=1))),"",AE22/1440)</f>
      </c>
      <c r="M22" s="21">
        <f>IF(OR(AD22=0,AF22&lt;&gt;""),"",AJ22)</f>
      </c>
      <c r="N22" s="21">
        <f>IF(AK22=0,"",AK22)</f>
      </c>
      <c r="O22" s="21">
        <f>IF(OR(AD22=0,AF22&lt;&gt;""),"",AJ22-AK22)</f>
      </c>
      <c r="P22" s="21">
        <f>IF(AND(AD22=1,AF22="",V22=2),AI22,"")</f>
      </c>
      <c r="Q22" s="21">
        <f>IF(OR($A22="",N(K22)=0),"",ROUND(K22*KmSatz,2))</f>
      </c>
      <c r="R22" s="22">
        <f>IF(AF22&amp;AL22="","",LEFT(AF22&amp;AL22,LEN(AF22&amp;AL22)-2))</f>
      </c>
      <c r="S22" s="1"/>
      <c r="T22" s="1">
        <f>IF(AND($A22&lt;&gt;"",ISNUMBER(C22)),1,0)</f>
      </c>
      <c r="U22" s="1">
        <f>IF(AND($A22&lt;&gt;"",ISNUMBER(D22)),1,0)</f>
      </c>
      <c r="V22" s="1">
        <f>IF($A22="",0,IF(E22="ja",1,IF(E22="Pauschale",2,0)))</f>
      </c>
      <c r="W22" s="1">
        <f>IF($A22="",0,IF(AU22&gt;0,1,0))</f>
      </c>
      <c r="X22" s="1">
        <f>IF(AND(T22=1,W22=0),1,0)</f>
      </c>
      <c r="Y22" s="1">
        <f>IF(AND(AS22=1,AT22=0,AU22=0),1,0)</f>
      </c>
      <c r="Z22" s="1">
        <f>IF(AND(Y22=1,T22=0,U22=1,V22=0),1,0)</f>
      </c>
      <c r="AA22" s="1">
        <f>IF(AND(X22=1,U22=0,V22=0,AN22=0,AO22=1,AP22=0),1,0)</f>
      </c>
      <c r="AB22" s="1">
        <f>IF(OR(W22=1,Z22=1),0,IF(T22=1,C22,0))</f>
      </c>
      <c r="AC22" s="1">
        <f>IF(OR(V22&gt;0,AA22=1),1,IF(U22=1,D22,1))</f>
      </c>
      <c r="AD22" s="1">
        <f>IF($A22="",0,IF(OR(T22=1,U22=1,V22&gt;0,W22=1),1,0))</f>
      </c>
      <c r="AE22" s="1">
        <f>IF(AD22=0,0,ROUND((AC22-AB22)*1440,0))</f>
      </c>
      <c r="AF22" s="1">
        <f>IF(AD22=0,"",IF(AND(F22&lt;&gt;"",ISNA(MATCH(F22,PauschLand,0))),"Land nicht in der Liste; ","")&amp;IF(AND(T22=0,W22=0,Z22=0),"Beginn fehlt; ","")&amp;IF(AND(V22=0,U22=0,AA22=0),"Ende fehlt; ","")&amp;IF(AND(X22=1,U22=1,V22=0,N(D22)&lt;N(C22)),"Ende vor Beginn (über Mitternacht: Ende in die Zeile des Folgetags); ",""))</f>
      </c>
      <c r="AG22" s="1">
        <f>IF(AD22=0,0,IFERROR(VLOOKUP(IF(F22="","Deutschland",F22),PauschTab,2,FALSE),0))</f>
      </c>
      <c r="AH22" s="1">
        <f>IF(AD22=0,0,IFERROR(VLOOKUP(IF(F22="","Deutschland",F22),PauschTab,3,FALSE),0))</f>
      </c>
      <c r="AI22" s="1">
        <f>IF(AD22=0,0,IFERROR(VLOOKUP(IF(F22="","Deutschland",F22),PauschTab,4,FALSE),0))</f>
      </c>
      <c r="AJ22" s="1">
        <f>IF(OR(AD22=0,AF22&lt;&gt;""),0,IF(AND(W22=1,V22&gt;0),IF(OR(T22=1,U22=1),AH22,AG22),IF(OR(W22=1,V22&gt;0),AH22,IF(AA22=1,IF(AND(AE22+AQ22&gt;480,AE22&gt;=AQ22),AH22,0),IF(Z22=1,IF(AND(AR22+AE22&gt;480,AE22&gt;AR22),AH22,0),IF(AE22&gt;480,AH22,0))))))</f>
      </c>
      <c r="AK22" s="1">
        <f>MIN(AJ22,AM22)</f>
      </c>
      <c r="AL22" s="1">
        <f>IF(OR(AD22=0,AF22&lt;&gt;""),"",IF(AND(W22=0,V22=0,AA22=0,Z22=0,AE22&lt;=480),"nicht mehr als 8 Std.; ","")&amp;IF(AA22=1,IF(AJ22&gt;0,"über Mitternacht, zusammen "&amp;TEXT((AE22+AQ22)/1440,"[h]:mm")&amp;" Std.; ",IF(AE22+AQ22&gt;480,"über Mitternacht: Pauschale am Folgetag; ","über Mitternacht, zusammen nicht mehr als 8 Std.; ")),"")&amp;IF(Z22=1,IF(AJ22&gt;0,"über Mitternacht, zusammen "&amp;TEXT((AR22+AE22)/1440,"[h]:mm")&amp;" Std.; ",IF(AR22+AE22&gt;480,"über Mitternacht: Pauschale am Vortag; ","über Mitternacht, zusammen nicht mehr als 8 Std.; ")),"")&amp;IF(AND(W22=1,V22&gt;0,OR(T22=1,U22=1)),"zwischendurch zu Hause: An- und Abreisetag; ","")&amp;IF(AND(W22=1,V22=0,T22=1),"Beginn leer lassen: unterwegs seit dem Vortag; ","")&amp;IF(AND(W22=0,V22&gt;0,U22=1),"Ende leer lassen: Übernachtung; ","")&amp;IF(AND(AJ22&gt;0,AM22&gt;AJ22),"Kürzung auf die Pauschale begrenzt; ",""))</f>
      </c>
      <c r="AM22" s="1">
        <f>ROUND(AG22*(IF(H22&lt;&gt;"",0.2,0)+IF(I22&lt;&gt;"",0.4,0)+IF(J22&lt;&gt;"",0.4,0)),2)</f>
      </c>
      <c r="AN22" s="1">
        <f>IF($A23="",'März'!$T$5,T23)</f>
      </c>
      <c r="AO22" s="1">
        <f>IF($A23="",'März'!$U$5,U23)</f>
      </c>
      <c r="AP22" s="1">
        <f>IF($A23="",'März'!$V$5,V23)</f>
      </c>
      <c r="AQ22" s="1">
        <f>IF($A23="",'März'!$AE$5,AE23)</f>
      </c>
      <c r="AR22" s="1">
        <f>AE21</f>
      </c>
      <c r="AS22" s="1">
        <f>X21</f>
      </c>
      <c r="AT22" s="1">
        <f>U21</f>
      </c>
      <c r="AU22" s="1">
        <f>V21</f>
      </c>
    </row>
    <row r="23" spans="1:47" x14ac:dyDescent="0.25">
      <c r="A23" s="17">
        <f>IF(MONTH(DATE(Jahr,2,19))=2,DATE(Jahr,2,19),"")</f>
      </c>
      <c r="B23" s="13">
        <f>IF(A23="","",CHOOSE(WEEKDAY(A23,2),"Mo","Di","Mi","Do","Fr","Sa","So"))</f>
      </c>
      <c r="C23" s="18"/>
      <c r="D23" s="18"/>
      <c r="E23" s="7"/>
      <c r="F23" s="7"/>
      <c r="G23" s="7"/>
      <c r="H23" s="19"/>
      <c r="I23" s="19"/>
      <c r="J23" s="19"/>
      <c r="K23" s="9"/>
      <c r="L23" s="20">
        <f>IF(OR(AD23=0,AF23&lt;&gt;"",AND(W23=1,V23&gt;0,OR(T23=1,U23=1))),"",AE23/1440)</f>
      </c>
      <c r="M23" s="21">
        <f>IF(OR(AD23=0,AF23&lt;&gt;""),"",AJ23)</f>
      </c>
      <c r="N23" s="21">
        <f>IF(AK23=0,"",AK23)</f>
      </c>
      <c r="O23" s="21">
        <f>IF(OR(AD23=0,AF23&lt;&gt;""),"",AJ23-AK23)</f>
      </c>
      <c r="P23" s="21">
        <f>IF(AND(AD23=1,AF23="",V23=2),AI23,"")</f>
      </c>
      <c r="Q23" s="21">
        <f>IF(OR($A23="",N(K23)=0),"",ROUND(K23*KmSatz,2))</f>
      </c>
      <c r="R23" s="22">
        <f>IF(AF23&amp;AL23="","",LEFT(AF23&amp;AL23,LEN(AF23&amp;AL23)-2))</f>
      </c>
      <c r="S23" s="1"/>
      <c r="T23" s="1">
        <f>IF(AND($A23&lt;&gt;"",ISNUMBER(C23)),1,0)</f>
      </c>
      <c r="U23" s="1">
        <f>IF(AND($A23&lt;&gt;"",ISNUMBER(D23)),1,0)</f>
      </c>
      <c r="V23" s="1">
        <f>IF($A23="",0,IF(E23="ja",1,IF(E23="Pauschale",2,0)))</f>
      </c>
      <c r="W23" s="1">
        <f>IF($A23="",0,IF(AU23&gt;0,1,0))</f>
      </c>
      <c r="X23" s="1">
        <f>IF(AND(T23=1,W23=0),1,0)</f>
      </c>
      <c r="Y23" s="1">
        <f>IF(AND(AS23=1,AT23=0,AU23=0),1,0)</f>
      </c>
      <c r="Z23" s="1">
        <f>IF(AND(Y23=1,T23=0,U23=1,V23=0),1,0)</f>
      </c>
      <c r="AA23" s="1">
        <f>IF(AND(X23=1,U23=0,V23=0,AN23=0,AO23=1,AP23=0),1,0)</f>
      </c>
      <c r="AB23" s="1">
        <f>IF(OR(W23=1,Z23=1),0,IF(T23=1,C23,0))</f>
      </c>
      <c r="AC23" s="1">
        <f>IF(OR(V23&gt;0,AA23=1),1,IF(U23=1,D23,1))</f>
      </c>
      <c r="AD23" s="1">
        <f>IF($A23="",0,IF(OR(T23=1,U23=1,V23&gt;0,W23=1),1,0))</f>
      </c>
      <c r="AE23" s="1">
        <f>IF(AD23=0,0,ROUND((AC23-AB23)*1440,0))</f>
      </c>
      <c r="AF23" s="1">
        <f>IF(AD23=0,"",IF(AND(F23&lt;&gt;"",ISNA(MATCH(F23,PauschLand,0))),"Land nicht in der Liste; ","")&amp;IF(AND(T23=0,W23=0,Z23=0),"Beginn fehlt; ","")&amp;IF(AND(V23=0,U23=0,AA23=0),"Ende fehlt; ","")&amp;IF(AND(X23=1,U23=1,V23=0,N(D23)&lt;N(C23)),"Ende vor Beginn (über Mitternacht: Ende in die Zeile des Folgetags); ",""))</f>
      </c>
      <c r="AG23" s="1">
        <f>IF(AD23=0,0,IFERROR(VLOOKUP(IF(F23="","Deutschland",F23),PauschTab,2,FALSE),0))</f>
      </c>
      <c r="AH23" s="1">
        <f>IF(AD23=0,0,IFERROR(VLOOKUP(IF(F23="","Deutschland",F23),PauschTab,3,FALSE),0))</f>
      </c>
      <c r="AI23" s="1">
        <f>IF(AD23=0,0,IFERROR(VLOOKUP(IF(F23="","Deutschland",F23),PauschTab,4,FALSE),0))</f>
      </c>
      <c r="AJ23" s="1">
        <f>IF(OR(AD23=0,AF23&lt;&gt;""),0,IF(AND(W23=1,V23&gt;0),IF(OR(T23=1,U23=1),AH23,AG23),IF(OR(W23=1,V23&gt;0),AH23,IF(AA23=1,IF(AND(AE23+AQ23&gt;480,AE23&gt;=AQ23),AH23,0),IF(Z23=1,IF(AND(AR23+AE23&gt;480,AE23&gt;AR23),AH23,0),IF(AE23&gt;480,AH23,0))))))</f>
      </c>
      <c r="AK23" s="1">
        <f>MIN(AJ23,AM23)</f>
      </c>
      <c r="AL23" s="1">
        <f>IF(OR(AD23=0,AF23&lt;&gt;""),"",IF(AND(W23=0,V23=0,AA23=0,Z23=0,AE23&lt;=480),"nicht mehr als 8 Std.; ","")&amp;IF(AA23=1,IF(AJ23&gt;0,"über Mitternacht, zusammen "&amp;TEXT((AE23+AQ23)/1440,"[h]:mm")&amp;" Std.; ",IF(AE23+AQ23&gt;480,"über Mitternacht: Pauschale am Folgetag; ","über Mitternacht, zusammen nicht mehr als 8 Std.; ")),"")&amp;IF(Z23=1,IF(AJ23&gt;0,"über Mitternacht, zusammen "&amp;TEXT((AR23+AE23)/1440,"[h]:mm")&amp;" Std.; ",IF(AR23+AE23&gt;480,"über Mitternacht: Pauschale am Vortag; ","über Mitternacht, zusammen nicht mehr als 8 Std.; ")),"")&amp;IF(AND(W23=1,V23&gt;0,OR(T23=1,U23=1)),"zwischendurch zu Hause: An- und Abreisetag; ","")&amp;IF(AND(W23=1,V23=0,T23=1),"Beginn leer lassen: unterwegs seit dem Vortag; ","")&amp;IF(AND(W23=0,V23&gt;0,U23=1),"Ende leer lassen: Übernachtung; ","")&amp;IF(AND(AJ23&gt;0,AM23&gt;AJ23),"Kürzung auf die Pauschale begrenzt; ",""))</f>
      </c>
      <c r="AM23" s="1">
        <f>ROUND(AG23*(IF(H23&lt;&gt;"",0.2,0)+IF(I23&lt;&gt;"",0.4,0)+IF(J23&lt;&gt;"",0.4,0)),2)</f>
      </c>
      <c r="AN23" s="1">
        <f>IF($A24="",'März'!$T$5,T24)</f>
      </c>
      <c r="AO23" s="1">
        <f>IF($A24="",'März'!$U$5,U24)</f>
      </c>
      <c r="AP23" s="1">
        <f>IF($A24="",'März'!$V$5,V24)</f>
      </c>
      <c r="AQ23" s="1">
        <f>IF($A24="",'März'!$AE$5,AE24)</f>
      </c>
      <c r="AR23" s="1">
        <f>AE22</f>
      </c>
      <c r="AS23" s="1">
        <f>X22</f>
      </c>
      <c r="AT23" s="1">
        <f>U22</f>
      </c>
      <c r="AU23" s="1">
        <f>V22</f>
      </c>
    </row>
    <row r="24" spans="1:47" x14ac:dyDescent="0.25">
      <c r="A24" s="17">
        <f>IF(MONTH(DATE(Jahr,2,20))=2,DATE(Jahr,2,20),"")</f>
      </c>
      <c r="B24" s="13">
        <f>IF(A24="","",CHOOSE(WEEKDAY(A24,2),"Mo","Di","Mi","Do","Fr","Sa","So"))</f>
      </c>
      <c r="C24" s="18"/>
      <c r="D24" s="18"/>
      <c r="E24" s="7"/>
      <c r="F24" s="7"/>
      <c r="G24" s="7"/>
      <c r="H24" s="19"/>
      <c r="I24" s="19"/>
      <c r="J24" s="19"/>
      <c r="K24" s="9"/>
      <c r="L24" s="20">
        <f>IF(OR(AD24=0,AF24&lt;&gt;"",AND(W24=1,V24&gt;0,OR(T24=1,U24=1))),"",AE24/1440)</f>
      </c>
      <c r="M24" s="21">
        <f>IF(OR(AD24=0,AF24&lt;&gt;""),"",AJ24)</f>
      </c>
      <c r="N24" s="21">
        <f>IF(AK24=0,"",AK24)</f>
      </c>
      <c r="O24" s="21">
        <f>IF(OR(AD24=0,AF24&lt;&gt;""),"",AJ24-AK24)</f>
      </c>
      <c r="P24" s="21">
        <f>IF(AND(AD24=1,AF24="",V24=2),AI24,"")</f>
      </c>
      <c r="Q24" s="21">
        <f>IF(OR($A24="",N(K24)=0),"",ROUND(K24*KmSatz,2))</f>
      </c>
      <c r="R24" s="22">
        <f>IF(AF24&amp;AL24="","",LEFT(AF24&amp;AL24,LEN(AF24&amp;AL24)-2))</f>
      </c>
      <c r="S24" s="1"/>
      <c r="T24" s="1">
        <f>IF(AND($A24&lt;&gt;"",ISNUMBER(C24)),1,0)</f>
      </c>
      <c r="U24" s="1">
        <f>IF(AND($A24&lt;&gt;"",ISNUMBER(D24)),1,0)</f>
      </c>
      <c r="V24" s="1">
        <f>IF($A24="",0,IF(E24="ja",1,IF(E24="Pauschale",2,0)))</f>
      </c>
      <c r="W24" s="1">
        <f>IF($A24="",0,IF(AU24&gt;0,1,0))</f>
      </c>
      <c r="X24" s="1">
        <f>IF(AND(T24=1,W24=0),1,0)</f>
      </c>
      <c r="Y24" s="1">
        <f>IF(AND(AS24=1,AT24=0,AU24=0),1,0)</f>
      </c>
      <c r="Z24" s="1">
        <f>IF(AND(Y24=1,T24=0,U24=1,V24=0),1,0)</f>
      </c>
      <c r="AA24" s="1">
        <f>IF(AND(X24=1,U24=0,V24=0,AN24=0,AO24=1,AP24=0),1,0)</f>
      </c>
      <c r="AB24" s="1">
        <f>IF(OR(W24=1,Z24=1),0,IF(T24=1,C24,0))</f>
      </c>
      <c r="AC24" s="1">
        <f>IF(OR(V24&gt;0,AA24=1),1,IF(U24=1,D24,1))</f>
      </c>
      <c r="AD24" s="1">
        <f>IF($A24="",0,IF(OR(T24=1,U24=1,V24&gt;0,W24=1),1,0))</f>
      </c>
      <c r="AE24" s="1">
        <f>IF(AD24=0,0,ROUND((AC24-AB24)*1440,0))</f>
      </c>
      <c r="AF24" s="1">
        <f>IF(AD24=0,"",IF(AND(F24&lt;&gt;"",ISNA(MATCH(F24,PauschLand,0))),"Land nicht in der Liste; ","")&amp;IF(AND(T24=0,W24=0,Z24=0),"Beginn fehlt; ","")&amp;IF(AND(V24=0,U24=0,AA24=0),"Ende fehlt; ","")&amp;IF(AND(X24=1,U24=1,V24=0,N(D24)&lt;N(C24)),"Ende vor Beginn (über Mitternacht: Ende in die Zeile des Folgetags); ",""))</f>
      </c>
      <c r="AG24" s="1">
        <f>IF(AD24=0,0,IFERROR(VLOOKUP(IF(F24="","Deutschland",F24),PauschTab,2,FALSE),0))</f>
      </c>
      <c r="AH24" s="1">
        <f>IF(AD24=0,0,IFERROR(VLOOKUP(IF(F24="","Deutschland",F24),PauschTab,3,FALSE),0))</f>
      </c>
      <c r="AI24" s="1">
        <f>IF(AD24=0,0,IFERROR(VLOOKUP(IF(F24="","Deutschland",F24),PauschTab,4,FALSE),0))</f>
      </c>
      <c r="AJ24" s="1">
        <f>IF(OR(AD24=0,AF24&lt;&gt;""),0,IF(AND(W24=1,V24&gt;0),IF(OR(T24=1,U24=1),AH24,AG24),IF(OR(W24=1,V24&gt;0),AH24,IF(AA24=1,IF(AND(AE24+AQ24&gt;480,AE24&gt;=AQ24),AH24,0),IF(Z24=1,IF(AND(AR24+AE24&gt;480,AE24&gt;AR24),AH24,0),IF(AE24&gt;480,AH24,0))))))</f>
      </c>
      <c r="AK24" s="1">
        <f>MIN(AJ24,AM24)</f>
      </c>
      <c r="AL24" s="1">
        <f>IF(OR(AD24=0,AF24&lt;&gt;""),"",IF(AND(W24=0,V24=0,AA24=0,Z24=0,AE24&lt;=480),"nicht mehr als 8 Std.; ","")&amp;IF(AA24=1,IF(AJ24&gt;0,"über Mitternacht, zusammen "&amp;TEXT((AE24+AQ24)/1440,"[h]:mm")&amp;" Std.; ",IF(AE24+AQ24&gt;480,"über Mitternacht: Pauschale am Folgetag; ","über Mitternacht, zusammen nicht mehr als 8 Std.; ")),"")&amp;IF(Z24=1,IF(AJ24&gt;0,"über Mitternacht, zusammen "&amp;TEXT((AR24+AE24)/1440,"[h]:mm")&amp;" Std.; ",IF(AR24+AE24&gt;480,"über Mitternacht: Pauschale am Vortag; ","über Mitternacht, zusammen nicht mehr als 8 Std.; ")),"")&amp;IF(AND(W24=1,V24&gt;0,OR(T24=1,U24=1)),"zwischendurch zu Hause: An- und Abreisetag; ","")&amp;IF(AND(W24=1,V24=0,T24=1),"Beginn leer lassen: unterwegs seit dem Vortag; ","")&amp;IF(AND(W24=0,V24&gt;0,U24=1),"Ende leer lassen: Übernachtung; ","")&amp;IF(AND(AJ24&gt;0,AM24&gt;AJ24),"Kürzung auf die Pauschale begrenzt; ",""))</f>
      </c>
      <c r="AM24" s="1">
        <f>ROUND(AG24*(IF(H24&lt;&gt;"",0.2,0)+IF(I24&lt;&gt;"",0.4,0)+IF(J24&lt;&gt;"",0.4,0)),2)</f>
      </c>
      <c r="AN24" s="1">
        <f>IF($A25="",'März'!$T$5,T25)</f>
      </c>
      <c r="AO24" s="1">
        <f>IF($A25="",'März'!$U$5,U25)</f>
      </c>
      <c r="AP24" s="1">
        <f>IF($A25="",'März'!$V$5,V25)</f>
      </c>
      <c r="AQ24" s="1">
        <f>IF($A25="",'März'!$AE$5,AE25)</f>
      </c>
      <c r="AR24" s="1">
        <f>AE23</f>
      </c>
      <c r="AS24" s="1">
        <f>X23</f>
      </c>
      <c r="AT24" s="1">
        <f>U23</f>
      </c>
      <c r="AU24" s="1">
        <f>V23</f>
      </c>
    </row>
    <row r="25" spans="1:47" x14ac:dyDescent="0.25">
      <c r="A25" s="17">
        <f>IF(MONTH(DATE(Jahr,2,21))=2,DATE(Jahr,2,21),"")</f>
      </c>
      <c r="B25" s="13">
        <f>IF(A25="","",CHOOSE(WEEKDAY(A25,2),"Mo","Di","Mi","Do","Fr","Sa","So"))</f>
      </c>
      <c r="C25" s="18"/>
      <c r="D25" s="18"/>
      <c r="E25" s="7"/>
      <c r="F25" s="7"/>
      <c r="G25" s="7"/>
      <c r="H25" s="19"/>
      <c r="I25" s="19"/>
      <c r="J25" s="19"/>
      <c r="K25" s="9"/>
      <c r="L25" s="20">
        <f>IF(OR(AD25=0,AF25&lt;&gt;"",AND(W25=1,V25&gt;0,OR(T25=1,U25=1))),"",AE25/1440)</f>
      </c>
      <c r="M25" s="21">
        <f>IF(OR(AD25=0,AF25&lt;&gt;""),"",AJ25)</f>
      </c>
      <c r="N25" s="21">
        <f>IF(AK25=0,"",AK25)</f>
      </c>
      <c r="O25" s="21">
        <f>IF(OR(AD25=0,AF25&lt;&gt;""),"",AJ25-AK25)</f>
      </c>
      <c r="P25" s="21">
        <f>IF(AND(AD25=1,AF25="",V25=2),AI25,"")</f>
      </c>
      <c r="Q25" s="21">
        <f>IF(OR($A25="",N(K25)=0),"",ROUND(K25*KmSatz,2))</f>
      </c>
      <c r="R25" s="22">
        <f>IF(AF25&amp;AL25="","",LEFT(AF25&amp;AL25,LEN(AF25&amp;AL25)-2))</f>
      </c>
      <c r="S25" s="1"/>
      <c r="T25" s="1">
        <f>IF(AND($A25&lt;&gt;"",ISNUMBER(C25)),1,0)</f>
      </c>
      <c r="U25" s="1">
        <f>IF(AND($A25&lt;&gt;"",ISNUMBER(D25)),1,0)</f>
      </c>
      <c r="V25" s="1">
        <f>IF($A25="",0,IF(E25="ja",1,IF(E25="Pauschale",2,0)))</f>
      </c>
      <c r="W25" s="1">
        <f>IF($A25="",0,IF(AU25&gt;0,1,0))</f>
      </c>
      <c r="X25" s="1">
        <f>IF(AND(T25=1,W25=0),1,0)</f>
      </c>
      <c r="Y25" s="1">
        <f>IF(AND(AS25=1,AT25=0,AU25=0),1,0)</f>
      </c>
      <c r="Z25" s="1">
        <f>IF(AND(Y25=1,T25=0,U25=1,V25=0),1,0)</f>
      </c>
      <c r="AA25" s="1">
        <f>IF(AND(X25=1,U25=0,V25=0,AN25=0,AO25=1,AP25=0),1,0)</f>
      </c>
      <c r="AB25" s="1">
        <f>IF(OR(W25=1,Z25=1),0,IF(T25=1,C25,0))</f>
      </c>
      <c r="AC25" s="1">
        <f>IF(OR(V25&gt;0,AA25=1),1,IF(U25=1,D25,1))</f>
      </c>
      <c r="AD25" s="1">
        <f>IF($A25="",0,IF(OR(T25=1,U25=1,V25&gt;0,W25=1),1,0))</f>
      </c>
      <c r="AE25" s="1">
        <f>IF(AD25=0,0,ROUND((AC25-AB25)*1440,0))</f>
      </c>
      <c r="AF25" s="1">
        <f>IF(AD25=0,"",IF(AND(F25&lt;&gt;"",ISNA(MATCH(F25,PauschLand,0))),"Land nicht in der Liste; ","")&amp;IF(AND(T25=0,W25=0,Z25=0),"Beginn fehlt; ","")&amp;IF(AND(V25=0,U25=0,AA25=0),"Ende fehlt; ","")&amp;IF(AND(X25=1,U25=1,V25=0,N(D25)&lt;N(C25)),"Ende vor Beginn (über Mitternacht: Ende in die Zeile des Folgetags); ",""))</f>
      </c>
      <c r="AG25" s="1">
        <f>IF(AD25=0,0,IFERROR(VLOOKUP(IF(F25="","Deutschland",F25),PauschTab,2,FALSE),0))</f>
      </c>
      <c r="AH25" s="1">
        <f>IF(AD25=0,0,IFERROR(VLOOKUP(IF(F25="","Deutschland",F25),PauschTab,3,FALSE),0))</f>
      </c>
      <c r="AI25" s="1">
        <f>IF(AD25=0,0,IFERROR(VLOOKUP(IF(F25="","Deutschland",F25),PauschTab,4,FALSE),0))</f>
      </c>
      <c r="AJ25" s="1">
        <f>IF(OR(AD25=0,AF25&lt;&gt;""),0,IF(AND(W25=1,V25&gt;0),IF(OR(T25=1,U25=1),AH25,AG25),IF(OR(W25=1,V25&gt;0),AH25,IF(AA25=1,IF(AND(AE25+AQ25&gt;480,AE25&gt;=AQ25),AH25,0),IF(Z25=1,IF(AND(AR25+AE25&gt;480,AE25&gt;AR25),AH25,0),IF(AE25&gt;480,AH25,0))))))</f>
      </c>
      <c r="AK25" s="1">
        <f>MIN(AJ25,AM25)</f>
      </c>
      <c r="AL25" s="1">
        <f>IF(OR(AD25=0,AF25&lt;&gt;""),"",IF(AND(W25=0,V25=0,AA25=0,Z25=0,AE25&lt;=480),"nicht mehr als 8 Std.; ","")&amp;IF(AA25=1,IF(AJ25&gt;0,"über Mitternacht, zusammen "&amp;TEXT((AE25+AQ25)/1440,"[h]:mm")&amp;" Std.; ",IF(AE25+AQ25&gt;480,"über Mitternacht: Pauschale am Folgetag; ","über Mitternacht, zusammen nicht mehr als 8 Std.; ")),"")&amp;IF(Z25=1,IF(AJ25&gt;0,"über Mitternacht, zusammen "&amp;TEXT((AR25+AE25)/1440,"[h]:mm")&amp;" Std.; ",IF(AR25+AE25&gt;480,"über Mitternacht: Pauschale am Vortag; ","über Mitternacht, zusammen nicht mehr als 8 Std.; ")),"")&amp;IF(AND(W25=1,V25&gt;0,OR(T25=1,U25=1)),"zwischendurch zu Hause: An- und Abreisetag; ","")&amp;IF(AND(W25=1,V25=0,T25=1),"Beginn leer lassen: unterwegs seit dem Vortag; ","")&amp;IF(AND(W25=0,V25&gt;0,U25=1),"Ende leer lassen: Übernachtung; ","")&amp;IF(AND(AJ25&gt;0,AM25&gt;AJ25),"Kürzung auf die Pauschale begrenzt; ",""))</f>
      </c>
      <c r="AM25" s="1">
        <f>ROUND(AG25*(IF(H25&lt;&gt;"",0.2,0)+IF(I25&lt;&gt;"",0.4,0)+IF(J25&lt;&gt;"",0.4,0)),2)</f>
      </c>
      <c r="AN25" s="1">
        <f>IF($A26="",'März'!$T$5,T26)</f>
      </c>
      <c r="AO25" s="1">
        <f>IF($A26="",'März'!$U$5,U26)</f>
      </c>
      <c r="AP25" s="1">
        <f>IF($A26="",'März'!$V$5,V26)</f>
      </c>
      <c r="AQ25" s="1">
        <f>IF($A26="",'März'!$AE$5,AE26)</f>
      </c>
      <c r="AR25" s="1">
        <f>AE24</f>
      </c>
      <c r="AS25" s="1">
        <f>X24</f>
      </c>
      <c r="AT25" s="1">
        <f>U24</f>
      </c>
      <c r="AU25" s="1">
        <f>V24</f>
      </c>
    </row>
    <row r="26" spans="1:47" x14ac:dyDescent="0.25">
      <c r="A26" s="17">
        <f>IF(MONTH(DATE(Jahr,2,22))=2,DATE(Jahr,2,22),"")</f>
      </c>
      <c r="B26" s="13">
        <f>IF(A26="","",CHOOSE(WEEKDAY(A26,2),"Mo","Di","Mi","Do","Fr","Sa","So"))</f>
      </c>
      <c r="C26" s="18"/>
      <c r="D26" s="18"/>
      <c r="E26" s="7"/>
      <c r="F26" s="7"/>
      <c r="G26" s="7"/>
      <c r="H26" s="19"/>
      <c r="I26" s="19"/>
      <c r="J26" s="19"/>
      <c r="K26" s="9"/>
      <c r="L26" s="20">
        <f>IF(OR(AD26=0,AF26&lt;&gt;"",AND(W26=1,V26&gt;0,OR(T26=1,U26=1))),"",AE26/1440)</f>
      </c>
      <c r="M26" s="21">
        <f>IF(OR(AD26=0,AF26&lt;&gt;""),"",AJ26)</f>
      </c>
      <c r="N26" s="21">
        <f>IF(AK26=0,"",AK26)</f>
      </c>
      <c r="O26" s="21">
        <f>IF(OR(AD26=0,AF26&lt;&gt;""),"",AJ26-AK26)</f>
      </c>
      <c r="P26" s="21">
        <f>IF(AND(AD26=1,AF26="",V26=2),AI26,"")</f>
      </c>
      <c r="Q26" s="21">
        <f>IF(OR($A26="",N(K26)=0),"",ROUND(K26*KmSatz,2))</f>
      </c>
      <c r="R26" s="22">
        <f>IF(AF26&amp;AL26="","",LEFT(AF26&amp;AL26,LEN(AF26&amp;AL26)-2))</f>
      </c>
      <c r="S26" s="1"/>
      <c r="T26" s="1">
        <f>IF(AND($A26&lt;&gt;"",ISNUMBER(C26)),1,0)</f>
      </c>
      <c r="U26" s="1">
        <f>IF(AND($A26&lt;&gt;"",ISNUMBER(D26)),1,0)</f>
      </c>
      <c r="V26" s="1">
        <f>IF($A26="",0,IF(E26="ja",1,IF(E26="Pauschale",2,0)))</f>
      </c>
      <c r="W26" s="1">
        <f>IF($A26="",0,IF(AU26&gt;0,1,0))</f>
      </c>
      <c r="X26" s="1">
        <f>IF(AND(T26=1,W26=0),1,0)</f>
      </c>
      <c r="Y26" s="1">
        <f>IF(AND(AS26=1,AT26=0,AU26=0),1,0)</f>
      </c>
      <c r="Z26" s="1">
        <f>IF(AND(Y26=1,T26=0,U26=1,V26=0),1,0)</f>
      </c>
      <c r="AA26" s="1">
        <f>IF(AND(X26=1,U26=0,V26=0,AN26=0,AO26=1,AP26=0),1,0)</f>
      </c>
      <c r="AB26" s="1">
        <f>IF(OR(W26=1,Z26=1),0,IF(T26=1,C26,0))</f>
      </c>
      <c r="AC26" s="1">
        <f>IF(OR(V26&gt;0,AA26=1),1,IF(U26=1,D26,1))</f>
      </c>
      <c r="AD26" s="1">
        <f>IF($A26="",0,IF(OR(T26=1,U26=1,V26&gt;0,W26=1),1,0))</f>
      </c>
      <c r="AE26" s="1">
        <f>IF(AD26=0,0,ROUND((AC26-AB26)*1440,0))</f>
      </c>
      <c r="AF26" s="1">
        <f>IF(AD26=0,"",IF(AND(F26&lt;&gt;"",ISNA(MATCH(F26,PauschLand,0))),"Land nicht in der Liste; ","")&amp;IF(AND(T26=0,W26=0,Z26=0),"Beginn fehlt; ","")&amp;IF(AND(V26=0,U26=0,AA26=0),"Ende fehlt; ","")&amp;IF(AND(X26=1,U26=1,V26=0,N(D26)&lt;N(C26)),"Ende vor Beginn (über Mitternacht: Ende in die Zeile des Folgetags); ",""))</f>
      </c>
      <c r="AG26" s="1">
        <f>IF(AD26=0,0,IFERROR(VLOOKUP(IF(F26="","Deutschland",F26),PauschTab,2,FALSE),0))</f>
      </c>
      <c r="AH26" s="1">
        <f>IF(AD26=0,0,IFERROR(VLOOKUP(IF(F26="","Deutschland",F26),PauschTab,3,FALSE),0))</f>
      </c>
      <c r="AI26" s="1">
        <f>IF(AD26=0,0,IFERROR(VLOOKUP(IF(F26="","Deutschland",F26),PauschTab,4,FALSE),0))</f>
      </c>
      <c r="AJ26" s="1">
        <f>IF(OR(AD26=0,AF26&lt;&gt;""),0,IF(AND(W26=1,V26&gt;0),IF(OR(T26=1,U26=1),AH26,AG26),IF(OR(W26=1,V26&gt;0),AH26,IF(AA26=1,IF(AND(AE26+AQ26&gt;480,AE26&gt;=AQ26),AH26,0),IF(Z26=1,IF(AND(AR26+AE26&gt;480,AE26&gt;AR26),AH26,0),IF(AE26&gt;480,AH26,0))))))</f>
      </c>
      <c r="AK26" s="1">
        <f>MIN(AJ26,AM26)</f>
      </c>
      <c r="AL26" s="1">
        <f>IF(OR(AD26=0,AF26&lt;&gt;""),"",IF(AND(W26=0,V26=0,AA26=0,Z26=0,AE26&lt;=480),"nicht mehr als 8 Std.; ","")&amp;IF(AA26=1,IF(AJ26&gt;0,"über Mitternacht, zusammen "&amp;TEXT((AE26+AQ26)/1440,"[h]:mm")&amp;" Std.; ",IF(AE26+AQ26&gt;480,"über Mitternacht: Pauschale am Folgetag; ","über Mitternacht, zusammen nicht mehr als 8 Std.; ")),"")&amp;IF(Z26=1,IF(AJ26&gt;0,"über Mitternacht, zusammen "&amp;TEXT((AR26+AE26)/1440,"[h]:mm")&amp;" Std.; ",IF(AR26+AE26&gt;480,"über Mitternacht: Pauschale am Vortag; ","über Mitternacht, zusammen nicht mehr als 8 Std.; ")),"")&amp;IF(AND(W26=1,V26&gt;0,OR(T26=1,U26=1)),"zwischendurch zu Hause: An- und Abreisetag; ","")&amp;IF(AND(W26=1,V26=0,T26=1),"Beginn leer lassen: unterwegs seit dem Vortag; ","")&amp;IF(AND(W26=0,V26&gt;0,U26=1),"Ende leer lassen: Übernachtung; ","")&amp;IF(AND(AJ26&gt;0,AM26&gt;AJ26),"Kürzung auf die Pauschale begrenzt; ",""))</f>
      </c>
      <c r="AM26" s="1">
        <f>ROUND(AG26*(IF(H26&lt;&gt;"",0.2,0)+IF(I26&lt;&gt;"",0.4,0)+IF(J26&lt;&gt;"",0.4,0)),2)</f>
      </c>
      <c r="AN26" s="1">
        <f>IF($A27="",'März'!$T$5,T27)</f>
      </c>
      <c r="AO26" s="1">
        <f>IF($A27="",'März'!$U$5,U27)</f>
      </c>
      <c r="AP26" s="1">
        <f>IF($A27="",'März'!$V$5,V27)</f>
      </c>
      <c r="AQ26" s="1">
        <f>IF($A27="",'März'!$AE$5,AE27)</f>
      </c>
      <c r="AR26" s="1">
        <f>AE25</f>
      </c>
      <c r="AS26" s="1">
        <f>X25</f>
      </c>
      <c r="AT26" s="1">
        <f>U25</f>
      </c>
      <c r="AU26" s="1">
        <f>V25</f>
      </c>
    </row>
    <row r="27" spans="1:47" x14ac:dyDescent="0.25">
      <c r="A27" s="17">
        <f>IF(MONTH(DATE(Jahr,2,23))=2,DATE(Jahr,2,23),"")</f>
      </c>
      <c r="B27" s="13">
        <f>IF(A27="","",CHOOSE(WEEKDAY(A27,2),"Mo","Di","Mi","Do","Fr","Sa","So"))</f>
      </c>
      <c r="C27" s="18"/>
      <c r="D27" s="18"/>
      <c r="E27" s="7"/>
      <c r="F27" s="7"/>
      <c r="G27" s="7"/>
      <c r="H27" s="19"/>
      <c r="I27" s="19"/>
      <c r="J27" s="19"/>
      <c r="K27" s="9"/>
      <c r="L27" s="20">
        <f>IF(OR(AD27=0,AF27&lt;&gt;"",AND(W27=1,V27&gt;0,OR(T27=1,U27=1))),"",AE27/1440)</f>
      </c>
      <c r="M27" s="21">
        <f>IF(OR(AD27=0,AF27&lt;&gt;""),"",AJ27)</f>
      </c>
      <c r="N27" s="21">
        <f>IF(AK27=0,"",AK27)</f>
      </c>
      <c r="O27" s="21">
        <f>IF(OR(AD27=0,AF27&lt;&gt;""),"",AJ27-AK27)</f>
      </c>
      <c r="P27" s="21">
        <f>IF(AND(AD27=1,AF27="",V27=2),AI27,"")</f>
      </c>
      <c r="Q27" s="21">
        <f>IF(OR($A27="",N(K27)=0),"",ROUND(K27*KmSatz,2))</f>
      </c>
      <c r="R27" s="22">
        <f>IF(AF27&amp;AL27="","",LEFT(AF27&amp;AL27,LEN(AF27&amp;AL27)-2))</f>
      </c>
      <c r="S27" s="1"/>
      <c r="T27" s="1">
        <f>IF(AND($A27&lt;&gt;"",ISNUMBER(C27)),1,0)</f>
      </c>
      <c r="U27" s="1">
        <f>IF(AND($A27&lt;&gt;"",ISNUMBER(D27)),1,0)</f>
      </c>
      <c r="V27" s="1">
        <f>IF($A27="",0,IF(E27="ja",1,IF(E27="Pauschale",2,0)))</f>
      </c>
      <c r="W27" s="1">
        <f>IF($A27="",0,IF(AU27&gt;0,1,0))</f>
      </c>
      <c r="X27" s="1">
        <f>IF(AND(T27=1,W27=0),1,0)</f>
      </c>
      <c r="Y27" s="1">
        <f>IF(AND(AS27=1,AT27=0,AU27=0),1,0)</f>
      </c>
      <c r="Z27" s="1">
        <f>IF(AND(Y27=1,T27=0,U27=1,V27=0),1,0)</f>
      </c>
      <c r="AA27" s="1">
        <f>IF(AND(X27=1,U27=0,V27=0,AN27=0,AO27=1,AP27=0),1,0)</f>
      </c>
      <c r="AB27" s="1">
        <f>IF(OR(W27=1,Z27=1),0,IF(T27=1,C27,0))</f>
      </c>
      <c r="AC27" s="1">
        <f>IF(OR(V27&gt;0,AA27=1),1,IF(U27=1,D27,1))</f>
      </c>
      <c r="AD27" s="1">
        <f>IF($A27="",0,IF(OR(T27=1,U27=1,V27&gt;0,W27=1),1,0))</f>
      </c>
      <c r="AE27" s="1">
        <f>IF(AD27=0,0,ROUND((AC27-AB27)*1440,0))</f>
      </c>
      <c r="AF27" s="1">
        <f>IF(AD27=0,"",IF(AND(F27&lt;&gt;"",ISNA(MATCH(F27,PauschLand,0))),"Land nicht in der Liste; ","")&amp;IF(AND(T27=0,W27=0,Z27=0),"Beginn fehlt; ","")&amp;IF(AND(V27=0,U27=0,AA27=0),"Ende fehlt; ","")&amp;IF(AND(X27=1,U27=1,V27=0,N(D27)&lt;N(C27)),"Ende vor Beginn (über Mitternacht: Ende in die Zeile des Folgetags); ",""))</f>
      </c>
      <c r="AG27" s="1">
        <f>IF(AD27=0,0,IFERROR(VLOOKUP(IF(F27="","Deutschland",F27),PauschTab,2,FALSE),0))</f>
      </c>
      <c r="AH27" s="1">
        <f>IF(AD27=0,0,IFERROR(VLOOKUP(IF(F27="","Deutschland",F27),PauschTab,3,FALSE),0))</f>
      </c>
      <c r="AI27" s="1">
        <f>IF(AD27=0,0,IFERROR(VLOOKUP(IF(F27="","Deutschland",F27),PauschTab,4,FALSE),0))</f>
      </c>
      <c r="AJ27" s="1">
        <f>IF(OR(AD27=0,AF27&lt;&gt;""),0,IF(AND(W27=1,V27&gt;0),IF(OR(T27=1,U27=1),AH27,AG27),IF(OR(W27=1,V27&gt;0),AH27,IF(AA27=1,IF(AND(AE27+AQ27&gt;480,AE27&gt;=AQ27),AH27,0),IF(Z27=1,IF(AND(AR27+AE27&gt;480,AE27&gt;AR27),AH27,0),IF(AE27&gt;480,AH27,0))))))</f>
      </c>
      <c r="AK27" s="1">
        <f>MIN(AJ27,AM27)</f>
      </c>
      <c r="AL27" s="1">
        <f>IF(OR(AD27=0,AF27&lt;&gt;""),"",IF(AND(W27=0,V27=0,AA27=0,Z27=0,AE27&lt;=480),"nicht mehr als 8 Std.; ","")&amp;IF(AA27=1,IF(AJ27&gt;0,"über Mitternacht, zusammen "&amp;TEXT((AE27+AQ27)/1440,"[h]:mm")&amp;" Std.; ",IF(AE27+AQ27&gt;480,"über Mitternacht: Pauschale am Folgetag; ","über Mitternacht, zusammen nicht mehr als 8 Std.; ")),"")&amp;IF(Z27=1,IF(AJ27&gt;0,"über Mitternacht, zusammen "&amp;TEXT((AR27+AE27)/1440,"[h]:mm")&amp;" Std.; ",IF(AR27+AE27&gt;480,"über Mitternacht: Pauschale am Vortag; ","über Mitternacht, zusammen nicht mehr als 8 Std.; ")),"")&amp;IF(AND(W27=1,V27&gt;0,OR(T27=1,U27=1)),"zwischendurch zu Hause: An- und Abreisetag; ","")&amp;IF(AND(W27=1,V27=0,T27=1),"Beginn leer lassen: unterwegs seit dem Vortag; ","")&amp;IF(AND(W27=0,V27&gt;0,U27=1),"Ende leer lassen: Übernachtung; ","")&amp;IF(AND(AJ27&gt;0,AM27&gt;AJ27),"Kürzung auf die Pauschale begrenzt; ",""))</f>
      </c>
      <c r="AM27" s="1">
        <f>ROUND(AG27*(IF(H27&lt;&gt;"",0.2,0)+IF(I27&lt;&gt;"",0.4,0)+IF(J27&lt;&gt;"",0.4,0)),2)</f>
      </c>
      <c r="AN27" s="1">
        <f>IF($A28="",'März'!$T$5,T28)</f>
      </c>
      <c r="AO27" s="1">
        <f>IF($A28="",'März'!$U$5,U28)</f>
      </c>
      <c r="AP27" s="1">
        <f>IF($A28="",'März'!$V$5,V28)</f>
      </c>
      <c r="AQ27" s="1">
        <f>IF($A28="",'März'!$AE$5,AE28)</f>
      </c>
      <c r="AR27" s="1">
        <f>AE26</f>
      </c>
      <c r="AS27" s="1">
        <f>X26</f>
      </c>
      <c r="AT27" s="1">
        <f>U26</f>
      </c>
      <c r="AU27" s="1">
        <f>V26</f>
      </c>
    </row>
    <row r="28" spans="1:47" x14ac:dyDescent="0.25">
      <c r="A28" s="17">
        <f>IF(MONTH(DATE(Jahr,2,24))=2,DATE(Jahr,2,24),"")</f>
      </c>
      <c r="B28" s="13">
        <f>IF(A28="","",CHOOSE(WEEKDAY(A28,2),"Mo","Di","Mi","Do","Fr","Sa","So"))</f>
      </c>
      <c r="C28" s="18"/>
      <c r="D28" s="18"/>
      <c r="E28" s="7"/>
      <c r="F28" s="7"/>
      <c r="G28" s="7"/>
      <c r="H28" s="19"/>
      <c r="I28" s="19"/>
      <c r="J28" s="19"/>
      <c r="K28" s="9"/>
      <c r="L28" s="20">
        <f>IF(OR(AD28=0,AF28&lt;&gt;"",AND(W28=1,V28&gt;0,OR(T28=1,U28=1))),"",AE28/1440)</f>
      </c>
      <c r="M28" s="21">
        <f>IF(OR(AD28=0,AF28&lt;&gt;""),"",AJ28)</f>
      </c>
      <c r="N28" s="21">
        <f>IF(AK28=0,"",AK28)</f>
      </c>
      <c r="O28" s="21">
        <f>IF(OR(AD28=0,AF28&lt;&gt;""),"",AJ28-AK28)</f>
      </c>
      <c r="P28" s="21">
        <f>IF(AND(AD28=1,AF28="",V28=2),AI28,"")</f>
      </c>
      <c r="Q28" s="21">
        <f>IF(OR($A28="",N(K28)=0),"",ROUND(K28*KmSatz,2))</f>
      </c>
      <c r="R28" s="22">
        <f>IF(AF28&amp;AL28="","",LEFT(AF28&amp;AL28,LEN(AF28&amp;AL28)-2))</f>
      </c>
      <c r="S28" s="1"/>
      <c r="T28" s="1">
        <f>IF(AND($A28&lt;&gt;"",ISNUMBER(C28)),1,0)</f>
      </c>
      <c r="U28" s="1">
        <f>IF(AND($A28&lt;&gt;"",ISNUMBER(D28)),1,0)</f>
      </c>
      <c r="V28" s="1">
        <f>IF($A28="",0,IF(E28="ja",1,IF(E28="Pauschale",2,0)))</f>
      </c>
      <c r="W28" s="1">
        <f>IF($A28="",0,IF(AU28&gt;0,1,0))</f>
      </c>
      <c r="X28" s="1">
        <f>IF(AND(T28=1,W28=0),1,0)</f>
      </c>
      <c r="Y28" s="1">
        <f>IF(AND(AS28=1,AT28=0,AU28=0),1,0)</f>
      </c>
      <c r="Z28" s="1">
        <f>IF(AND(Y28=1,T28=0,U28=1,V28=0),1,0)</f>
      </c>
      <c r="AA28" s="1">
        <f>IF(AND(X28=1,U28=0,V28=0,AN28=0,AO28=1,AP28=0),1,0)</f>
      </c>
      <c r="AB28" s="1">
        <f>IF(OR(W28=1,Z28=1),0,IF(T28=1,C28,0))</f>
      </c>
      <c r="AC28" s="1">
        <f>IF(OR(V28&gt;0,AA28=1),1,IF(U28=1,D28,1))</f>
      </c>
      <c r="AD28" s="1">
        <f>IF($A28="",0,IF(OR(T28=1,U28=1,V28&gt;0,W28=1),1,0))</f>
      </c>
      <c r="AE28" s="1">
        <f>IF(AD28=0,0,ROUND((AC28-AB28)*1440,0))</f>
      </c>
      <c r="AF28" s="1">
        <f>IF(AD28=0,"",IF(AND(F28&lt;&gt;"",ISNA(MATCH(F28,PauschLand,0))),"Land nicht in der Liste; ","")&amp;IF(AND(T28=0,W28=0,Z28=0),"Beginn fehlt; ","")&amp;IF(AND(V28=0,U28=0,AA28=0),"Ende fehlt; ","")&amp;IF(AND(X28=1,U28=1,V28=0,N(D28)&lt;N(C28)),"Ende vor Beginn (über Mitternacht: Ende in die Zeile des Folgetags); ",""))</f>
      </c>
      <c r="AG28" s="1">
        <f>IF(AD28=0,0,IFERROR(VLOOKUP(IF(F28="","Deutschland",F28),PauschTab,2,FALSE),0))</f>
      </c>
      <c r="AH28" s="1">
        <f>IF(AD28=0,0,IFERROR(VLOOKUP(IF(F28="","Deutschland",F28),PauschTab,3,FALSE),0))</f>
      </c>
      <c r="AI28" s="1">
        <f>IF(AD28=0,0,IFERROR(VLOOKUP(IF(F28="","Deutschland",F28),PauschTab,4,FALSE),0))</f>
      </c>
      <c r="AJ28" s="1">
        <f>IF(OR(AD28=0,AF28&lt;&gt;""),0,IF(AND(W28=1,V28&gt;0),IF(OR(T28=1,U28=1),AH28,AG28),IF(OR(W28=1,V28&gt;0),AH28,IF(AA28=1,IF(AND(AE28+AQ28&gt;480,AE28&gt;=AQ28),AH28,0),IF(Z28=1,IF(AND(AR28+AE28&gt;480,AE28&gt;AR28),AH28,0),IF(AE28&gt;480,AH28,0))))))</f>
      </c>
      <c r="AK28" s="1">
        <f>MIN(AJ28,AM28)</f>
      </c>
      <c r="AL28" s="1">
        <f>IF(OR(AD28=0,AF28&lt;&gt;""),"",IF(AND(W28=0,V28=0,AA28=0,Z28=0,AE28&lt;=480),"nicht mehr als 8 Std.; ","")&amp;IF(AA28=1,IF(AJ28&gt;0,"über Mitternacht, zusammen "&amp;TEXT((AE28+AQ28)/1440,"[h]:mm")&amp;" Std.; ",IF(AE28+AQ28&gt;480,"über Mitternacht: Pauschale am Folgetag; ","über Mitternacht, zusammen nicht mehr als 8 Std.; ")),"")&amp;IF(Z28=1,IF(AJ28&gt;0,"über Mitternacht, zusammen "&amp;TEXT((AR28+AE28)/1440,"[h]:mm")&amp;" Std.; ",IF(AR28+AE28&gt;480,"über Mitternacht: Pauschale am Vortag; ","über Mitternacht, zusammen nicht mehr als 8 Std.; ")),"")&amp;IF(AND(W28=1,V28&gt;0,OR(T28=1,U28=1)),"zwischendurch zu Hause: An- und Abreisetag; ","")&amp;IF(AND(W28=1,V28=0,T28=1),"Beginn leer lassen: unterwegs seit dem Vortag; ","")&amp;IF(AND(W28=0,V28&gt;0,U28=1),"Ende leer lassen: Übernachtung; ","")&amp;IF(AND(AJ28&gt;0,AM28&gt;AJ28),"Kürzung auf die Pauschale begrenzt; ",""))</f>
      </c>
      <c r="AM28" s="1">
        <f>ROUND(AG28*(IF(H28&lt;&gt;"",0.2,0)+IF(I28&lt;&gt;"",0.4,0)+IF(J28&lt;&gt;"",0.4,0)),2)</f>
      </c>
      <c r="AN28" s="1">
        <f>IF($A29="",'März'!$T$5,T29)</f>
      </c>
      <c r="AO28" s="1">
        <f>IF($A29="",'März'!$U$5,U29)</f>
      </c>
      <c r="AP28" s="1">
        <f>IF($A29="",'März'!$V$5,V29)</f>
      </c>
      <c r="AQ28" s="1">
        <f>IF($A29="",'März'!$AE$5,AE29)</f>
      </c>
      <c r="AR28" s="1">
        <f>AE27</f>
      </c>
      <c r="AS28" s="1">
        <f>X27</f>
      </c>
      <c r="AT28" s="1">
        <f>U27</f>
      </c>
      <c r="AU28" s="1">
        <f>V27</f>
      </c>
    </row>
    <row r="29" spans="1:47" x14ac:dyDescent="0.25">
      <c r="A29" s="17">
        <f>IF(MONTH(DATE(Jahr,2,25))=2,DATE(Jahr,2,25),"")</f>
      </c>
      <c r="B29" s="13">
        <f>IF(A29="","",CHOOSE(WEEKDAY(A29,2),"Mo","Di","Mi","Do","Fr","Sa","So"))</f>
      </c>
      <c r="C29" s="18"/>
      <c r="D29" s="18"/>
      <c r="E29" s="7"/>
      <c r="F29" s="7"/>
      <c r="G29" s="7"/>
      <c r="H29" s="19"/>
      <c r="I29" s="19"/>
      <c r="J29" s="19"/>
      <c r="K29" s="9"/>
      <c r="L29" s="20">
        <f>IF(OR(AD29=0,AF29&lt;&gt;"",AND(W29=1,V29&gt;0,OR(T29=1,U29=1))),"",AE29/1440)</f>
      </c>
      <c r="M29" s="21">
        <f>IF(OR(AD29=0,AF29&lt;&gt;""),"",AJ29)</f>
      </c>
      <c r="N29" s="21">
        <f>IF(AK29=0,"",AK29)</f>
      </c>
      <c r="O29" s="21">
        <f>IF(OR(AD29=0,AF29&lt;&gt;""),"",AJ29-AK29)</f>
      </c>
      <c r="P29" s="21">
        <f>IF(AND(AD29=1,AF29="",V29=2),AI29,"")</f>
      </c>
      <c r="Q29" s="21">
        <f>IF(OR($A29="",N(K29)=0),"",ROUND(K29*KmSatz,2))</f>
      </c>
      <c r="R29" s="22">
        <f>IF(AF29&amp;AL29="","",LEFT(AF29&amp;AL29,LEN(AF29&amp;AL29)-2))</f>
      </c>
      <c r="S29" s="1"/>
      <c r="T29" s="1">
        <f>IF(AND($A29&lt;&gt;"",ISNUMBER(C29)),1,0)</f>
      </c>
      <c r="U29" s="1">
        <f>IF(AND($A29&lt;&gt;"",ISNUMBER(D29)),1,0)</f>
      </c>
      <c r="V29" s="1">
        <f>IF($A29="",0,IF(E29="ja",1,IF(E29="Pauschale",2,0)))</f>
      </c>
      <c r="W29" s="1">
        <f>IF($A29="",0,IF(AU29&gt;0,1,0))</f>
      </c>
      <c r="X29" s="1">
        <f>IF(AND(T29=1,W29=0),1,0)</f>
      </c>
      <c r="Y29" s="1">
        <f>IF(AND(AS29=1,AT29=0,AU29=0),1,0)</f>
      </c>
      <c r="Z29" s="1">
        <f>IF(AND(Y29=1,T29=0,U29=1,V29=0),1,0)</f>
      </c>
      <c r="AA29" s="1">
        <f>IF(AND(X29=1,U29=0,V29=0,AN29=0,AO29=1,AP29=0),1,0)</f>
      </c>
      <c r="AB29" s="1">
        <f>IF(OR(W29=1,Z29=1),0,IF(T29=1,C29,0))</f>
      </c>
      <c r="AC29" s="1">
        <f>IF(OR(V29&gt;0,AA29=1),1,IF(U29=1,D29,1))</f>
      </c>
      <c r="AD29" s="1">
        <f>IF($A29="",0,IF(OR(T29=1,U29=1,V29&gt;0,W29=1),1,0))</f>
      </c>
      <c r="AE29" s="1">
        <f>IF(AD29=0,0,ROUND((AC29-AB29)*1440,0))</f>
      </c>
      <c r="AF29" s="1">
        <f>IF(AD29=0,"",IF(AND(F29&lt;&gt;"",ISNA(MATCH(F29,PauschLand,0))),"Land nicht in der Liste; ","")&amp;IF(AND(T29=0,W29=0,Z29=0),"Beginn fehlt; ","")&amp;IF(AND(V29=0,U29=0,AA29=0),"Ende fehlt; ","")&amp;IF(AND(X29=1,U29=1,V29=0,N(D29)&lt;N(C29)),"Ende vor Beginn (über Mitternacht: Ende in die Zeile des Folgetags); ",""))</f>
      </c>
      <c r="AG29" s="1">
        <f>IF(AD29=0,0,IFERROR(VLOOKUP(IF(F29="","Deutschland",F29),PauschTab,2,FALSE),0))</f>
      </c>
      <c r="AH29" s="1">
        <f>IF(AD29=0,0,IFERROR(VLOOKUP(IF(F29="","Deutschland",F29),PauschTab,3,FALSE),0))</f>
      </c>
      <c r="AI29" s="1">
        <f>IF(AD29=0,0,IFERROR(VLOOKUP(IF(F29="","Deutschland",F29),PauschTab,4,FALSE),0))</f>
      </c>
      <c r="AJ29" s="1">
        <f>IF(OR(AD29=0,AF29&lt;&gt;""),0,IF(AND(W29=1,V29&gt;0),IF(OR(T29=1,U29=1),AH29,AG29),IF(OR(W29=1,V29&gt;0),AH29,IF(AA29=1,IF(AND(AE29+AQ29&gt;480,AE29&gt;=AQ29),AH29,0),IF(Z29=1,IF(AND(AR29+AE29&gt;480,AE29&gt;AR29),AH29,0),IF(AE29&gt;480,AH29,0))))))</f>
      </c>
      <c r="AK29" s="1">
        <f>MIN(AJ29,AM29)</f>
      </c>
      <c r="AL29" s="1">
        <f>IF(OR(AD29=0,AF29&lt;&gt;""),"",IF(AND(W29=0,V29=0,AA29=0,Z29=0,AE29&lt;=480),"nicht mehr als 8 Std.; ","")&amp;IF(AA29=1,IF(AJ29&gt;0,"über Mitternacht, zusammen "&amp;TEXT((AE29+AQ29)/1440,"[h]:mm")&amp;" Std.; ",IF(AE29+AQ29&gt;480,"über Mitternacht: Pauschale am Folgetag; ","über Mitternacht, zusammen nicht mehr als 8 Std.; ")),"")&amp;IF(Z29=1,IF(AJ29&gt;0,"über Mitternacht, zusammen "&amp;TEXT((AR29+AE29)/1440,"[h]:mm")&amp;" Std.; ",IF(AR29+AE29&gt;480,"über Mitternacht: Pauschale am Vortag; ","über Mitternacht, zusammen nicht mehr als 8 Std.; ")),"")&amp;IF(AND(W29=1,V29&gt;0,OR(T29=1,U29=1)),"zwischendurch zu Hause: An- und Abreisetag; ","")&amp;IF(AND(W29=1,V29=0,T29=1),"Beginn leer lassen: unterwegs seit dem Vortag; ","")&amp;IF(AND(W29=0,V29&gt;0,U29=1),"Ende leer lassen: Übernachtung; ","")&amp;IF(AND(AJ29&gt;0,AM29&gt;AJ29),"Kürzung auf die Pauschale begrenzt; ",""))</f>
      </c>
      <c r="AM29" s="1">
        <f>ROUND(AG29*(IF(H29&lt;&gt;"",0.2,0)+IF(I29&lt;&gt;"",0.4,0)+IF(J29&lt;&gt;"",0.4,0)),2)</f>
      </c>
      <c r="AN29" s="1">
        <f>IF($A30="",'März'!$T$5,T30)</f>
      </c>
      <c r="AO29" s="1">
        <f>IF($A30="",'März'!$U$5,U30)</f>
      </c>
      <c r="AP29" s="1">
        <f>IF($A30="",'März'!$V$5,V30)</f>
      </c>
      <c r="AQ29" s="1">
        <f>IF($A30="",'März'!$AE$5,AE30)</f>
      </c>
      <c r="AR29" s="1">
        <f>AE28</f>
      </c>
      <c r="AS29" s="1">
        <f>X28</f>
      </c>
      <c r="AT29" s="1">
        <f>U28</f>
      </c>
      <c r="AU29" s="1">
        <f>V28</f>
      </c>
    </row>
    <row r="30" spans="1:47" x14ac:dyDescent="0.25">
      <c r="A30" s="17">
        <f>IF(MONTH(DATE(Jahr,2,26))=2,DATE(Jahr,2,26),"")</f>
      </c>
      <c r="B30" s="13">
        <f>IF(A30="","",CHOOSE(WEEKDAY(A30,2),"Mo","Di","Mi","Do","Fr","Sa","So"))</f>
      </c>
      <c r="C30" s="18"/>
      <c r="D30" s="18"/>
      <c r="E30" s="7"/>
      <c r="F30" s="7"/>
      <c r="G30" s="7"/>
      <c r="H30" s="19"/>
      <c r="I30" s="19"/>
      <c r="J30" s="19"/>
      <c r="K30" s="9"/>
      <c r="L30" s="20">
        <f>IF(OR(AD30=0,AF30&lt;&gt;"",AND(W30=1,V30&gt;0,OR(T30=1,U30=1))),"",AE30/1440)</f>
      </c>
      <c r="M30" s="21">
        <f>IF(OR(AD30=0,AF30&lt;&gt;""),"",AJ30)</f>
      </c>
      <c r="N30" s="21">
        <f>IF(AK30=0,"",AK30)</f>
      </c>
      <c r="O30" s="21">
        <f>IF(OR(AD30=0,AF30&lt;&gt;""),"",AJ30-AK30)</f>
      </c>
      <c r="P30" s="21">
        <f>IF(AND(AD30=1,AF30="",V30=2),AI30,"")</f>
      </c>
      <c r="Q30" s="21">
        <f>IF(OR($A30="",N(K30)=0),"",ROUND(K30*KmSatz,2))</f>
      </c>
      <c r="R30" s="22">
        <f>IF(AF30&amp;AL30="","",LEFT(AF30&amp;AL30,LEN(AF30&amp;AL30)-2))</f>
      </c>
      <c r="S30" s="1"/>
      <c r="T30" s="1">
        <f>IF(AND($A30&lt;&gt;"",ISNUMBER(C30)),1,0)</f>
      </c>
      <c r="U30" s="1">
        <f>IF(AND($A30&lt;&gt;"",ISNUMBER(D30)),1,0)</f>
      </c>
      <c r="V30" s="1">
        <f>IF($A30="",0,IF(E30="ja",1,IF(E30="Pauschale",2,0)))</f>
      </c>
      <c r="W30" s="1">
        <f>IF($A30="",0,IF(AU30&gt;0,1,0))</f>
      </c>
      <c r="X30" s="1">
        <f>IF(AND(T30=1,W30=0),1,0)</f>
      </c>
      <c r="Y30" s="1">
        <f>IF(AND(AS30=1,AT30=0,AU30=0),1,0)</f>
      </c>
      <c r="Z30" s="1">
        <f>IF(AND(Y30=1,T30=0,U30=1,V30=0),1,0)</f>
      </c>
      <c r="AA30" s="1">
        <f>IF(AND(X30=1,U30=0,V30=0,AN30=0,AO30=1,AP30=0),1,0)</f>
      </c>
      <c r="AB30" s="1">
        <f>IF(OR(W30=1,Z30=1),0,IF(T30=1,C30,0))</f>
      </c>
      <c r="AC30" s="1">
        <f>IF(OR(V30&gt;0,AA30=1),1,IF(U30=1,D30,1))</f>
      </c>
      <c r="AD30" s="1">
        <f>IF($A30="",0,IF(OR(T30=1,U30=1,V30&gt;0,W30=1),1,0))</f>
      </c>
      <c r="AE30" s="1">
        <f>IF(AD30=0,0,ROUND((AC30-AB30)*1440,0))</f>
      </c>
      <c r="AF30" s="1">
        <f>IF(AD30=0,"",IF(AND(F30&lt;&gt;"",ISNA(MATCH(F30,PauschLand,0))),"Land nicht in der Liste; ","")&amp;IF(AND(T30=0,W30=0,Z30=0),"Beginn fehlt; ","")&amp;IF(AND(V30=0,U30=0,AA30=0),"Ende fehlt; ","")&amp;IF(AND(X30=1,U30=1,V30=0,N(D30)&lt;N(C30)),"Ende vor Beginn (über Mitternacht: Ende in die Zeile des Folgetags); ",""))</f>
      </c>
      <c r="AG30" s="1">
        <f>IF(AD30=0,0,IFERROR(VLOOKUP(IF(F30="","Deutschland",F30),PauschTab,2,FALSE),0))</f>
      </c>
      <c r="AH30" s="1">
        <f>IF(AD30=0,0,IFERROR(VLOOKUP(IF(F30="","Deutschland",F30),PauschTab,3,FALSE),0))</f>
      </c>
      <c r="AI30" s="1">
        <f>IF(AD30=0,0,IFERROR(VLOOKUP(IF(F30="","Deutschland",F30),PauschTab,4,FALSE),0))</f>
      </c>
      <c r="AJ30" s="1">
        <f>IF(OR(AD30=0,AF30&lt;&gt;""),0,IF(AND(W30=1,V30&gt;0),IF(OR(T30=1,U30=1),AH30,AG30),IF(OR(W30=1,V30&gt;0),AH30,IF(AA30=1,IF(AND(AE30+AQ30&gt;480,AE30&gt;=AQ30),AH30,0),IF(Z30=1,IF(AND(AR30+AE30&gt;480,AE30&gt;AR30),AH30,0),IF(AE30&gt;480,AH30,0))))))</f>
      </c>
      <c r="AK30" s="1">
        <f>MIN(AJ30,AM30)</f>
      </c>
      <c r="AL30" s="1">
        <f>IF(OR(AD30=0,AF30&lt;&gt;""),"",IF(AND(W30=0,V30=0,AA30=0,Z30=0,AE30&lt;=480),"nicht mehr als 8 Std.; ","")&amp;IF(AA30=1,IF(AJ30&gt;0,"über Mitternacht, zusammen "&amp;TEXT((AE30+AQ30)/1440,"[h]:mm")&amp;" Std.; ",IF(AE30+AQ30&gt;480,"über Mitternacht: Pauschale am Folgetag; ","über Mitternacht, zusammen nicht mehr als 8 Std.; ")),"")&amp;IF(Z30=1,IF(AJ30&gt;0,"über Mitternacht, zusammen "&amp;TEXT((AR30+AE30)/1440,"[h]:mm")&amp;" Std.; ",IF(AR30+AE30&gt;480,"über Mitternacht: Pauschale am Vortag; ","über Mitternacht, zusammen nicht mehr als 8 Std.; ")),"")&amp;IF(AND(W30=1,V30&gt;0,OR(T30=1,U30=1)),"zwischendurch zu Hause: An- und Abreisetag; ","")&amp;IF(AND(W30=1,V30=0,T30=1),"Beginn leer lassen: unterwegs seit dem Vortag; ","")&amp;IF(AND(W30=0,V30&gt;0,U30=1),"Ende leer lassen: Übernachtung; ","")&amp;IF(AND(AJ30&gt;0,AM30&gt;AJ30),"Kürzung auf die Pauschale begrenzt; ",""))</f>
      </c>
      <c r="AM30" s="1">
        <f>ROUND(AG30*(IF(H30&lt;&gt;"",0.2,0)+IF(I30&lt;&gt;"",0.4,0)+IF(J30&lt;&gt;"",0.4,0)),2)</f>
      </c>
      <c r="AN30" s="1">
        <f>IF($A31="",'März'!$T$5,T31)</f>
      </c>
      <c r="AO30" s="1">
        <f>IF($A31="",'März'!$U$5,U31)</f>
      </c>
      <c r="AP30" s="1">
        <f>IF($A31="",'März'!$V$5,V31)</f>
      </c>
      <c r="AQ30" s="1">
        <f>IF($A31="",'März'!$AE$5,AE31)</f>
      </c>
      <c r="AR30" s="1">
        <f>AE29</f>
      </c>
      <c r="AS30" s="1">
        <f>X29</f>
      </c>
      <c r="AT30" s="1">
        <f>U29</f>
      </c>
      <c r="AU30" s="1">
        <f>V29</f>
      </c>
    </row>
    <row r="31" spans="1:47" x14ac:dyDescent="0.25">
      <c r="A31" s="17">
        <f>IF(MONTH(DATE(Jahr,2,27))=2,DATE(Jahr,2,27),"")</f>
      </c>
      <c r="B31" s="13">
        <f>IF(A31="","",CHOOSE(WEEKDAY(A31,2),"Mo","Di","Mi","Do","Fr","Sa","So"))</f>
      </c>
      <c r="C31" s="18"/>
      <c r="D31" s="18"/>
      <c r="E31" s="7"/>
      <c r="F31" s="7"/>
      <c r="G31" s="7"/>
      <c r="H31" s="19"/>
      <c r="I31" s="19"/>
      <c r="J31" s="19"/>
      <c r="K31" s="9"/>
      <c r="L31" s="20">
        <f>IF(OR(AD31=0,AF31&lt;&gt;"",AND(W31=1,V31&gt;0,OR(T31=1,U31=1))),"",AE31/1440)</f>
      </c>
      <c r="M31" s="21">
        <f>IF(OR(AD31=0,AF31&lt;&gt;""),"",AJ31)</f>
      </c>
      <c r="N31" s="21">
        <f>IF(AK31=0,"",AK31)</f>
      </c>
      <c r="O31" s="21">
        <f>IF(OR(AD31=0,AF31&lt;&gt;""),"",AJ31-AK31)</f>
      </c>
      <c r="P31" s="21">
        <f>IF(AND(AD31=1,AF31="",V31=2),AI31,"")</f>
      </c>
      <c r="Q31" s="21">
        <f>IF(OR($A31="",N(K31)=0),"",ROUND(K31*KmSatz,2))</f>
      </c>
      <c r="R31" s="22">
        <f>IF(AF31&amp;AL31="","",LEFT(AF31&amp;AL31,LEN(AF31&amp;AL31)-2))</f>
      </c>
      <c r="S31" s="1"/>
      <c r="T31" s="1">
        <f>IF(AND($A31&lt;&gt;"",ISNUMBER(C31)),1,0)</f>
      </c>
      <c r="U31" s="1">
        <f>IF(AND($A31&lt;&gt;"",ISNUMBER(D31)),1,0)</f>
      </c>
      <c r="V31" s="1">
        <f>IF($A31="",0,IF(E31="ja",1,IF(E31="Pauschale",2,0)))</f>
      </c>
      <c r="W31" s="1">
        <f>IF($A31="",0,IF(AU31&gt;0,1,0))</f>
      </c>
      <c r="X31" s="1">
        <f>IF(AND(T31=1,W31=0),1,0)</f>
      </c>
      <c r="Y31" s="1">
        <f>IF(AND(AS31=1,AT31=0,AU31=0),1,0)</f>
      </c>
      <c r="Z31" s="1">
        <f>IF(AND(Y31=1,T31=0,U31=1,V31=0),1,0)</f>
      </c>
      <c r="AA31" s="1">
        <f>IF(AND(X31=1,U31=0,V31=0,AN31=0,AO31=1,AP31=0),1,0)</f>
      </c>
      <c r="AB31" s="1">
        <f>IF(OR(W31=1,Z31=1),0,IF(T31=1,C31,0))</f>
      </c>
      <c r="AC31" s="1">
        <f>IF(OR(V31&gt;0,AA31=1),1,IF(U31=1,D31,1))</f>
      </c>
      <c r="AD31" s="1">
        <f>IF($A31="",0,IF(OR(T31=1,U31=1,V31&gt;0,W31=1),1,0))</f>
      </c>
      <c r="AE31" s="1">
        <f>IF(AD31=0,0,ROUND((AC31-AB31)*1440,0))</f>
      </c>
      <c r="AF31" s="1">
        <f>IF(AD31=0,"",IF(AND(F31&lt;&gt;"",ISNA(MATCH(F31,PauschLand,0))),"Land nicht in der Liste; ","")&amp;IF(AND(T31=0,W31=0,Z31=0),"Beginn fehlt; ","")&amp;IF(AND(V31=0,U31=0,AA31=0),"Ende fehlt; ","")&amp;IF(AND(X31=1,U31=1,V31=0,N(D31)&lt;N(C31)),"Ende vor Beginn (über Mitternacht: Ende in die Zeile des Folgetags); ",""))</f>
      </c>
      <c r="AG31" s="1">
        <f>IF(AD31=0,0,IFERROR(VLOOKUP(IF(F31="","Deutschland",F31),PauschTab,2,FALSE),0))</f>
      </c>
      <c r="AH31" s="1">
        <f>IF(AD31=0,0,IFERROR(VLOOKUP(IF(F31="","Deutschland",F31),PauschTab,3,FALSE),0))</f>
      </c>
      <c r="AI31" s="1">
        <f>IF(AD31=0,0,IFERROR(VLOOKUP(IF(F31="","Deutschland",F31),PauschTab,4,FALSE),0))</f>
      </c>
      <c r="AJ31" s="1">
        <f>IF(OR(AD31=0,AF31&lt;&gt;""),0,IF(AND(W31=1,V31&gt;0),IF(OR(T31=1,U31=1),AH31,AG31),IF(OR(W31=1,V31&gt;0),AH31,IF(AA31=1,IF(AND(AE31+AQ31&gt;480,AE31&gt;=AQ31),AH31,0),IF(Z31=1,IF(AND(AR31+AE31&gt;480,AE31&gt;AR31),AH31,0),IF(AE31&gt;480,AH31,0))))))</f>
      </c>
      <c r="AK31" s="1">
        <f>MIN(AJ31,AM31)</f>
      </c>
      <c r="AL31" s="1">
        <f>IF(OR(AD31=0,AF31&lt;&gt;""),"",IF(AND(W31=0,V31=0,AA31=0,Z31=0,AE31&lt;=480),"nicht mehr als 8 Std.; ","")&amp;IF(AA31=1,IF(AJ31&gt;0,"über Mitternacht, zusammen "&amp;TEXT((AE31+AQ31)/1440,"[h]:mm")&amp;" Std.; ",IF(AE31+AQ31&gt;480,"über Mitternacht: Pauschale am Folgetag; ","über Mitternacht, zusammen nicht mehr als 8 Std.; ")),"")&amp;IF(Z31=1,IF(AJ31&gt;0,"über Mitternacht, zusammen "&amp;TEXT((AR31+AE31)/1440,"[h]:mm")&amp;" Std.; ",IF(AR31+AE31&gt;480,"über Mitternacht: Pauschale am Vortag; ","über Mitternacht, zusammen nicht mehr als 8 Std.; ")),"")&amp;IF(AND(W31=1,V31&gt;0,OR(T31=1,U31=1)),"zwischendurch zu Hause: An- und Abreisetag; ","")&amp;IF(AND(W31=1,V31=0,T31=1),"Beginn leer lassen: unterwegs seit dem Vortag; ","")&amp;IF(AND(W31=0,V31&gt;0,U31=1),"Ende leer lassen: Übernachtung; ","")&amp;IF(AND(AJ31&gt;0,AM31&gt;AJ31),"Kürzung auf die Pauschale begrenzt; ",""))</f>
      </c>
      <c r="AM31" s="1">
        <f>ROUND(AG31*(IF(H31&lt;&gt;"",0.2,0)+IF(I31&lt;&gt;"",0.4,0)+IF(J31&lt;&gt;"",0.4,0)),2)</f>
      </c>
      <c r="AN31" s="1">
        <f>IF($A32="",'März'!$T$5,T32)</f>
      </c>
      <c r="AO31" s="1">
        <f>IF($A32="",'März'!$U$5,U32)</f>
      </c>
      <c r="AP31" s="1">
        <f>IF($A32="",'März'!$V$5,V32)</f>
      </c>
      <c r="AQ31" s="1">
        <f>IF($A32="",'März'!$AE$5,AE32)</f>
      </c>
      <c r="AR31" s="1">
        <f>AE30</f>
      </c>
      <c r="AS31" s="1">
        <f>X30</f>
      </c>
      <c r="AT31" s="1">
        <f>U30</f>
      </c>
      <c r="AU31" s="1">
        <f>V30</f>
      </c>
    </row>
    <row r="32" spans="1:47" x14ac:dyDescent="0.25">
      <c r="A32" s="17">
        <f>IF(MONTH(DATE(Jahr,2,28))=2,DATE(Jahr,2,28),"")</f>
      </c>
      <c r="B32" s="13">
        <f>IF(A32="","",CHOOSE(WEEKDAY(A32,2),"Mo","Di","Mi","Do","Fr","Sa","So"))</f>
      </c>
      <c r="C32" s="18"/>
      <c r="D32" s="18"/>
      <c r="E32" s="7"/>
      <c r="F32" s="7"/>
      <c r="G32" s="7"/>
      <c r="H32" s="19"/>
      <c r="I32" s="19"/>
      <c r="J32" s="19"/>
      <c r="K32" s="9"/>
      <c r="L32" s="20">
        <f>IF(OR(AD32=0,AF32&lt;&gt;"",AND(W32=1,V32&gt;0,OR(T32=1,U32=1))),"",AE32/1440)</f>
      </c>
      <c r="M32" s="21">
        <f>IF(OR(AD32=0,AF32&lt;&gt;""),"",AJ32)</f>
      </c>
      <c r="N32" s="21">
        <f>IF(AK32=0,"",AK32)</f>
      </c>
      <c r="O32" s="21">
        <f>IF(OR(AD32=0,AF32&lt;&gt;""),"",AJ32-AK32)</f>
      </c>
      <c r="P32" s="21">
        <f>IF(AND(AD32=1,AF32="",V32=2),AI32,"")</f>
      </c>
      <c r="Q32" s="21">
        <f>IF(OR($A32="",N(K32)=0),"",ROUND(K32*KmSatz,2))</f>
      </c>
      <c r="R32" s="22">
        <f>IF(AF32&amp;AL32="","",LEFT(AF32&amp;AL32,LEN(AF32&amp;AL32)-2))</f>
      </c>
      <c r="S32" s="1"/>
      <c r="T32" s="1">
        <f>IF(AND($A32&lt;&gt;"",ISNUMBER(C32)),1,0)</f>
      </c>
      <c r="U32" s="1">
        <f>IF(AND($A32&lt;&gt;"",ISNUMBER(D32)),1,0)</f>
      </c>
      <c r="V32" s="1">
        <f>IF($A32="",0,IF(E32="ja",1,IF(E32="Pauschale",2,0)))</f>
      </c>
      <c r="W32" s="1">
        <f>IF($A32="",0,IF(AU32&gt;0,1,0))</f>
      </c>
      <c r="X32" s="1">
        <f>IF(AND(T32=1,W32=0),1,0)</f>
      </c>
      <c r="Y32" s="1">
        <f>IF(AND(AS32=1,AT32=0,AU32=0),1,0)</f>
      </c>
      <c r="Z32" s="1">
        <f>IF(AND(Y32=1,T32=0,U32=1,V32=0),1,0)</f>
      </c>
      <c r="AA32" s="1">
        <f>IF(AND(X32=1,U32=0,V32=0,AN32=0,AO32=1,AP32=0),1,0)</f>
      </c>
      <c r="AB32" s="1">
        <f>IF(OR(W32=1,Z32=1),0,IF(T32=1,C32,0))</f>
      </c>
      <c r="AC32" s="1">
        <f>IF(OR(V32&gt;0,AA32=1),1,IF(U32=1,D32,1))</f>
      </c>
      <c r="AD32" s="1">
        <f>IF($A32="",0,IF(OR(T32=1,U32=1,V32&gt;0,W32=1),1,0))</f>
      </c>
      <c r="AE32" s="1">
        <f>IF(AD32=0,0,ROUND((AC32-AB32)*1440,0))</f>
      </c>
      <c r="AF32" s="1">
        <f>IF(AD32=0,"",IF(AND(F32&lt;&gt;"",ISNA(MATCH(F32,PauschLand,0))),"Land nicht in der Liste; ","")&amp;IF(AND(T32=0,W32=0,Z32=0),"Beginn fehlt; ","")&amp;IF(AND(V32=0,U32=0,AA32=0),"Ende fehlt; ","")&amp;IF(AND(X32=1,U32=1,V32=0,N(D32)&lt;N(C32)),"Ende vor Beginn (über Mitternacht: Ende in die Zeile des Folgetags); ",""))</f>
      </c>
      <c r="AG32" s="1">
        <f>IF(AD32=0,0,IFERROR(VLOOKUP(IF(F32="","Deutschland",F32),PauschTab,2,FALSE),0))</f>
      </c>
      <c r="AH32" s="1">
        <f>IF(AD32=0,0,IFERROR(VLOOKUP(IF(F32="","Deutschland",F32),PauschTab,3,FALSE),0))</f>
      </c>
      <c r="AI32" s="1">
        <f>IF(AD32=0,0,IFERROR(VLOOKUP(IF(F32="","Deutschland",F32),PauschTab,4,FALSE),0))</f>
      </c>
      <c r="AJ32" s="1">
        <f>IF(OR(AD32=0,AF32&lt;&gt;""),0,IF(AND(W32=1,V32&gt;0),IF(OR(T32=1,U32=1),AH32,AG32),IF(OR(W32=1,V32&gt;0),AH32,IF(AA32=1,IF(AND(AE32+AQ32&gt;480,AE32&gt;=AQ32),AH32,0),IF(Z32=1,IF(AND(AR32+AE32&gt;480,AE32&gt;AR32),AH32,0),IF(AE32&gt;480,AH32,0))))))</f>
      </c>
      <c r="AK32" s="1">
        <f>MIN(AJ32,AM32)</f>
      </c>
      <c r="AL32" s="1">
        <f>IF(OR(AD32=0,AF32&lt;&gt;""),"",IF(AND(W32=0,V32=0,AA32=0,Z32=0,AE32&lt;=480),"nicht mehr als 8 Std.; ","")&amp;IF(AA32=1,IF(AJ32&gt;0,"über Mitternacht, zusammen "&amp;TEXT((AE32+AQ32)/1440,"[h]:mm")&amp;" Std.; ",IF(AE32+AQ32&gt;480,"über Mitternacht: Pauschale am Folgetag; ","über Mitternacht, zusammen nicht mehr als 8 Std.; ")),"")&amp;IF(Z32=1,IF(AJ32&gt;0,"über Mitternacht, zusammen "&amp;TEXT((AR32+AE32)/1440,"[h]:mm")&amp;" Std.; ",IF(AR32+AE32&gt;480,"über Mitternacht: Pauschale am Vortag; ","über Mitternacht, zusammen nicht mehr als 8 Std.; ")),"")&amp;IF(AND(W32=1,V32&gt;0,OR(T32=1,U32=1)),"zwischendurch zu Hause: An- und Abreisetag; ","")&amp;IF(AND(W32=1,V32=0,T32=1),"Beginn leer lassen: unterwegs seit dem Vortag; ","")&amp;IF(AND(W32=0,V32&gt;0,U32=1),"Ende leer lassen: Übernachtung; ","")&amp;IF(AND(AJ32&gt;0,AM32&gt;AJ32),"Kürzung auf die Pauschale begrenzt; ",""))</f>
      </c>
      <c r="AM32" s="1">
        <f>ROUND(AG32*(IF(H32&lt;&gt;"",0.2,0)+IF(I32&lt;&gt;"",0.4,0)+IF(J32&lt;&gt;"",0.4,0)),2)</f>
      </c>
      <c r="AN32" s="1">
        <f>IF($A33="",'März'!$T$5,T33)</f>
      </c>
      <c r="AO32" s="1">
        <f>IF($A33="",'März'!$U$5,U33)</f>
      </c>
      <c r="AP32" s="1">
        <f>IF($A33="",'März'!$V$5,V33)</f>
      </c>
      <c r="AQ32" s="1">
        <f>IF($A33="",'März'!$AE$5,AE33)</f>
      </c>
      <c r="AR32" s="1">
        <f>AE31</f>
      </c>
      <c r="AS32" s="1">
        <f>X31</f>
      </c>
      <c r="AT32" s="1">
        <f>U31</f>
      </c>
      <c r="AU32" s="1">
        <f>V31</f>
      </c>
    </row>
    <row r="33" spans="1:47" x14ac:dyDescent="0.25">
      <c r="A33" s="17">
        <f>IF(MONTH(DATE(Jahr,2,29))=2,DATE(Jahr,2,29),"")</f>
      </c>
      <c r="B33" s="13">
        <f>IF(A33="","",CHOOSE(WEEKDAY(A33,2),"Mo","Di","Mi","Do","Fr","Sa","So"))</f>
      </c>
      <c r="C33" s="18"/>
      <c r="D33" s="18"/>
      <c r="E33" s="7"/>
      <c r="F33" s="7"/>
      <c r="G33" s="7"/>
      <c r="H33" s="19"/>
      <c r="I33" s="19"/>
      <c r="J33" s="19"/>
      <c r="K33" s="9"/>
      <c r="L33" s="20">
        <f>IF(OR(AD33=0,AF33&lt;&gt;"",AND(W33=1,V33&gt;0,OR(T33=1,U33=1))),"",AE33/1440)</f>
      </c>
      <c r="M33" s="21">
        <f>IF(OR(AD33=0,AF33&lt;&gt;""),"",AJ33)</f>
      </c>
      <c r="N33" s="21">
        <f>IF(AK33=0,"",AK33)</f>
      </c>
      <c r="O33" s="21">
        <f>IF(OR(AD33=0,AF33&lt;&gt;""),"",AJ33-AK33)</f>
      </c>
      <c r="P33" s="21">
        <f>IF(AND(AD33=1,AF33="",V33=2),AI33,"")</f>
      </c>
      <c r="Q33" s="21">
        <f>IF(OR($A33="",N(K33)=0),"",ROUND(K33*KmSatz,2))</f>
      </c>
      <c r="R33" s="22">
        <f>IF(AF33&amp;AL33="","",LEFT(AF33&amp;AL33,LEN(AF33&amp;AL33)-2))</f>
      </c>
      <c r="S33" s="1"/>
      <c r="T33" s="1">
        <f>IF(AND($A33&lt;&gt;"",ISNUMBER(C33)),1,0)</f>
      </c>
      <c r="U33" s="1">
        <f>IF(AND($A33&lt;&gt;"",ISNUMBER(D33)),1,0)</f>
      </c>
      <c r="V33" s="1">
        <f>IF($A33="",0,IF(E33="ja",1,IF(E33="Pauschale",2,0)))</f>
      </c>
      <c r="W33" s="1">
        <f>IF($A33="",0,IF(AU33&gt;0,1,0))</f>
      </c>
      <c r="X33" s="1">
        <f>IF(AND(T33=1,W33=0),1,0)</f>
      </c>
      <c r="Y33" s="1">
        <f>IF(AND(AS33=1,AT33=0,AU33=0),1,0)</f>
      </c>
      <c r="Z33" s="1">
        <f>IF(AND(Y33=1,T33=0,U33=1,V33=0),1,0)</f>
      </c>
      <c r="AA33" s="1">
        <f>IF(AND(X33=1,U33=0,V33=0,AN33=0,AO33=1,AP33=0),1,0)</f>
      </c>
      <c r="AB33" s="1">
        <f>IF(OR(W33=1,Z33=1),0,IF(T33=1,C33,0))</f>
      </c>
      <c r="AC33" s="1">
        <f>IF(OR(V33&gt;0,AA33=1),1,IF(U33=1,D33,1))</f>
      </c>
      <c r="AD33" s="1">
        <f>IF($A33="",0,IF(OR(T33=1,U33=1,V33&gt;0,W33=1),1,0))</f>
      </c>
      <c r="AE33" s="1">
        <f>IF(AD33=0,0,ROUND((AC33-AB33)*1440,0))</f>
      </c>
      <c r="AF33" s="1">
        <f>IF(AD33=0,"",IF(AND(F33&lt;&gt;"",ISNA(MATCH(F33,PauschLand,0))),"Land nicht in der Liste; ","")&amp;IF(AND(T33=0,W33=0,Z33=0),"Beginn fehlt; ","")&amp;IF(AND(V33=0,U33=0,AA33=0),"Ende fehlt; ","")&amp;IF(AND(X33=1,U33=1,V33=0,N(D33)&lt;N(C33)),"Ende vor Beginn (über Mitternacht: Ende in die Zeile des Folgetags); ",""))</f>
      </c>
      <c r="AG33" s="1">
        <f>IF(AD33=0,0,IFERROR(VLOOKUP(IF(F33="","Deutschland",F33),PauschTab,2,FALSE),0))</f>
      </c>
      <c r="AH33" s="1">
        <f>IF(AD33=0,0,IFERROR(VLOOKUP(IF(F33="","Deutschland",F33),PauschTab,3,FALSE),0))</f>
      </c>
      <c r="AI33" s="1">
        <f>IF(AD33=0,0,IFERROR(VLOOKUP(IF(F33="","Deutschland",F33),PauschTab,4,FALSE),0))</f>
      </c>
      <c r="AJ33" s="1">
        <f>IF(OR(AD33=0,AF33&lt;&gt;""),0,IF(AND(W33=1,V33&gt;0),IF(OR(T33=1,U33=1),AH33,AG33),IF(OR(W33=1,V33&gt;0),AH33,IF(AA33=1,IF(AND(AE33+AQ33&gt;480,AE33&gt;=AQ33),AH33,0),IF(Z33=1,IF(AND(AR33+AE33&gt;480,AE33&gt;AR33),AH33,0),IF(AE33&gt;480,AH33,0))))))</f>
      </c>
      <c r="AK33" s="1">
        <f>MIN(AJ33,AM33)</f>
      </c>
      <c r="AL33" s="1">
        <f>IF(OR(AD33=0,AF33&lt;&gt;""),"",IF(AND(W33=0,V33=0,AA33=0,Z33=0,AE33&lt;=480),"nicht mehr als 8 Std.; ","")&amp;IF(AA33=1,IF(AJ33&gt;0,"über Mitternacht, zusammen "&amp;TEXT((AE33+AQ33)/1440,"[h]:mm")&amp;" Std.; ",IF(AE33+AQ33&gt;480,"über Mitternacht: Pauschale am Folgetag; ","über Mitternacht, zusammen nicht mehr als 8 Std.; ")),"")&amp;IF(Z33=1,IF(AJ33&gt;0,"über Mitternacht, zusammen "&amp;TEXT((AR33+AE33)/1440,"[h]:mm")&amp;" Std.; ",IF(AR33+AE33&gt;480,"über Mitternacht: Pauschale am Vortag; ","über Mitternacht, zusammen nicht mehr als 8 Std.; ")),"")&amp;IF(AND(W33=1,V33&gt;0,OR(T33=1,U33=1)),"zwischendurch zu Hause: An- und Abreisetag; ","")&amp;IF(AND(W33=1,V33=0,T33=1),"Beginn leer lassen: unterwegs seit dem Vortag; ","")&amp;IF(AND(W33=0,V33&gt;0,U33=1),"Ende leer lassen: Übernachtung; ","")&amp;IF(AND(AJ33&gt;0,AM33&gt;AJ33),"Kürzung auf die Pauschale begrenzt; ",""))</f>
      </c>
      <c r="AM33" s="1">
        <f>ROUND(AG33*(IF(H33&lt;&gt;"",0.2,0)+IF(I33&lt;&gt;"",0.4,0)+IF(J33&lt;&gt;"",0.4,0)),2)</f>
      </c>
      <c r="AN33" s="1">
        <f>IF($A34="",'März'!$T$5,T34)</f>
      </c>
      <c r="AO33" s="1">
        <f>IF($A34="",'März'!$U$5,U34)</f>
      </c>
      <c r="AP33" s="1">
        <f>IF($A34="",'März'!$V$5,V34)</f>
      </c>
      <c r="AQ33" s="1">
        <f>IF($A34="",'März'!$AE$5,AE34)</f>
      </c>
      <c r="AR33" s="1">
        <f>AE32</f>
      </c>
      <c r="AS33" s="1">
        <f>X32</f>
      </c>
      <c r="AT33" s="1">
        <f>U32</f>
      </c>
      <c r="AU33" s="1">
        <f>V32</f>
      </c>
    </row>
    <row r="34" spans="1:47" x14ac:dyDescent="0.25">
      <c r="A34" s="17">
        <f>IF(MONTH(DATE(Jahr,2,30))=2,DATE(Jahr,2,30),"")</f>
      </c>
      <c r="B34" s="13">
        <f>IF(A34="","",CHOOSE(WEEKDAY(A34,2),"Mo","Di","Mi","Do","Fr","Sa","So"))</f>
      </c>
      <c r="C34" s="18"/>
      <c r="D34" s="18"/>
      <c r="E34" s="7"/>
      <c r="F34" s="7"/>
      <c r="G34" s="7"/>
      <c r="H34" s="19"/>
      <c r="I34" s="19"/>
      <c r="J34" s="19"/>
      <c r="K34" s="9"/>
      <c r="L34" s="20">
        <f>IF(OR(AD34=0,AF34&lt;&gt;"",AND(W34=1,V34&gt;0,OR(T34=1,U34=1))),"",AE34/1440)</f>
      </c>
      <c r="M34" s="21">
        <f>IF(OR(AD34=0,AF34&lt;&gt;""),"",AJ34)</f>
      </c>
      <c r="N34" s="21">
        <f>IF(AK34=0,"",AK34)</f>
      </c>
      <c r="O34" s="21">
        <f>IF(OR(AD34=0,AF34&lt;&gt;""),"",AJ34-AK34)</f>
      </c>
      <c r="P34" s="21">
        <f>IF(AND(AD34=1,AF34="",V34=2),AI34,"")</f>
      </c>
      <c r="Q34" s="21">
        <f>IF(OR($A34="",N(K34)=0),"",ROUND(K34*KmSatz,2))</f>
      </c>
      <c r="R34" s="22">
        <f>IF(AF34&amp;AL34="","",LEFT(AF34&amp;AL34,LEN(AF34&amp;AL34)-2))</f>
      </c>
      <c r="S34" s="1"/>
      <c r="T34" s="1">
        <f>IF(AND($A34&lt;&gt;"",ISNUMBER(C34)),1,0)</f>
      </c>
      <c r="U34" s="1">
        <f>IF(AND($A34&lt;&gt;"",ISNUMBER(D34)),1,0)</f>
      </c>
      <c r="V34" s="1">
        <f>IF($A34="",0,IF(E34="ja",1,IF(E34="Pauschale",2,0)))</f>
      </c>
      <c r="W34" s="1">
        <f>IF($A34="",0,IF(AU34&gt;0,1,0))</f>
      </c>
      <c r="X34" s="1">
        <f>IF(AND(T34=1,W34=0),1,0)</f>
      </c>
      <c r="Y34" s="1">
        <f>IF(AND(AS34=1,AT34=0,AU34=0),1,0)</f>
      </c>
      <c r="Z34" s="1">
        <f>IF(AND(Y34=1,T34=0,U34=1,V34=0),1,0)</f>
      </c>
      <c r="AA34" s="1">
        <f>IF(AND(X34=1,U34=0,V34=0,AN34=0,AO34=1,AP34=0),1,0)</f>
      </c>
      <c r="AB34" s="1">
        <f>IF(OR(W34=1,Z34=1),0,IF(T34=1,C34,0))</f>
      </c>
      <c r="AC34" s="1">
        <f>IF(OR(V34&gt;0,AA34=1),1,IF(U34=1,D34,1))</f>
      </c>
      <c r="AD34" s="1">
        <f>IF($A34="",0,IF(OR(T34=1,U34=1,V34&gt;0,W34=1),1,0))</f>
      </c>
      <c r="AE34" s="1">
        <f>IF(AD34=0,0,ROUND((AC34-AB34)*1440,0))</f>
      </c>
      <c r="AF34" s="1">
        <f>IF(AD34=0,"",IF(AND(F34&lt;&gt;"",ISNA(MATCH(F34,PauschLand,0))),"Land nicht in der Liste; ","")&amp;IF(AND(T34=0,W34=0,Z34=0),"Beginn fehlt; ","")&amp;IF(AND(V34=0,U34=0,AA34=0),"Ende fehlt; ","")&amp;IF(AND(X34=1,U34=1,V34=0,N(D34)&lt;N(C34)),"Ende vor Beginn (über Mitternacht: Ende in die Zeile des Folgetags); ",""))</f>
      </c>
      <c r="AG34" s="1">
        <f>IF(AD34=0,0,IFERROR(VLOOKUP(IF(F34="","Deutschland",F34),PauschTab,2,FALSE),0))</f>
      </c>
      <c r="AH34" s="1">
        <f>IF(AD34=0,0,IFERROR(VLOOKUP(IF(F34="","Deutschland",F34),PauschTab,3,FALSE),0))</f>
      </c>
      <c r="AI34" s="1">
        <f>IF(AD34=0,0,IFERROR(VLOOKUP(IF(F34="","Deutschland",F34),PauschTab,4,FALSE),0))</f>
      </c>
      <c r="AJ34" s="1">
        <f>IF(OR(AD34=0,AF34&lt;&gt;""),0,IF(AND(W34=1,V34&gt;0),IF(OR(T34=1,U34=1),AH34,AG34),IF(OR(W34=1,V34&gt;0),AH34,IF(AA34=1,IF(AND(AE34+AQ34&gt;480,AE34&gt;=AQ34),AH34,0),IF(Z34=1,IF(AND(AR34+AE34&gt;480,AE34&gt;AR34),AH34,0),IF(AE34&gt;480,AH34,0))))))</f>
      </c>
      <c r="AK34" s="1">
        <f>MIN(AJ34,AM34)</f>
      </c>
      <c r="AL34" s="1">
        <f>IF(OR(AD34=0,AF34&lt;&gt;""),"",IF(AND(W34=0,V34=0,AA34=0,Z34=0,AE34&lt;=480),"nicht mehr als 8 Std.; ","")&amp;IF(AA34=1,IF(AJ34&gt;0,"über Mitternacht, zusammen "&amp;TEXT((AE34+AQ34)/1440,"[h]:mm")&amp;" Std.; ",IF(AE34+AQ34&gt;480,"über Mitternacht: Pauschale am Folgetag; ","über Mitternacht, zusammen nicht mehr als 8 Std.; ")),"")&amp;IF(Z34=1,IF(AJ34&gt;0,"über Mitternacht, zusammen "&amp;TEXT((AR34+AE34)/1440,"[h]:mm")&amp;" Std.; ",IF(AR34+AE34&gt;480,"über Mitternacht: Pauschale am Vortag; ","über Mitternacht, zusammen nicht mehr als 8 Std.; ")),"")&amp;IF(AND(W34=1,V34&gt;0,OR(T34=1,U34=1)),"zwischendurch zu Hause: An- und Abreisetag; ","")&amp;IF(AND(W34=1,V34=0,T34=1),"Beginn leer lassen: unterwegs seit dem Vortag; ","")&amp;IF(AND(W34=0,V34&gt;0,U34=1),"Ende leer lassen: Übernachtung; ","")&amp;IF(AND(AJ34&gt;0,AM34&gt;AJ34),"Kürzung auf die Pauschale begrenzt; ",""))</f>
      </c>
      <c r="AM34" s="1">
        <f>ROUND(AG34*(IF(H34&lt;&gt;"",0.2,0)+IF(I34&lt;&gt;"",0.4,0)+IF(J34&lt;&gt;"",0.4,0)),2)</f>
      </c>
      <c r="AN34" s="1">
        <f>IF($A35="",'März'!$T$5,T35)</f>
      </c>
      <c r="AO34" s="1">
        <f>IF($A35="",'März'!$U$5,U35)</f>
      </c>
      <c r="AP34" s="1">
        <f>IF($A35="",'März'!$V$5,V35)</f>
      </c>
      <c r="AQ34" s="1">
        <f>IF($A35="",'März'!$AE$5,AE35)</f>
      </c>
      <c r="AR34" s="1">
        <f>AE33</f>
      </c>
      <c r="AS34" s="1">
        <f>X33</f>
      </c>
      <c r="AT34" s="1">
        <f>U33</f>
      </c>
      <c r="AU34" s="1">
        <f>V33</f>
      </c>
    </row>
    <row r="35" spans="1:47" x14ac:dyDescent="0.25">
      <c r="A35" s="17">
        <f>IF(MONTH(DATE(Jahr,2,31))=2,DATE(Jahr,2,31),"")</f>
      </c>
      <c r="B35" s="13">
        <f>IF(A35="","",CHOOSE(WEEKDAY(A35,2),"Mo","Di","Mi","Do","Fr","Sa","So"))</f>
      </c>
      <c r="C35" s="18"/>
      <c r="D35" s="18"/>
      <c r="E35" s="7"/>
      <c r="F35" s="7"/>
      <c r="G35" s="7"/>
      <c r="H35" s="19"/>
      <c r="I35" s="19"/>
      <c r="J35" s="19"/>
      <c r="K35" s="9"/>
      <c r="L35" s="20">
        <f>IF(OR(AD35=0,AF35&lt;&gt;"",AND(W35=1,V35&gt;0,OR(T35=1,U35=1))),"",AE35/1440)</f>
      </c>
      <c r="M35" s="21">
        <f>IF(OR(AD35=0,AF35&lt;&gt;""),"",AJ35)</f>
      </c>
      <c r="N35" s="21">
        <f>IF(AK35=0,"",AK35)</f>
      </c>
      <c r="O35" s="21">
        <f>IF(OR(AD35=0,AF35&lt;&gt;""),"",AJ35-AK35)</f>
      </c>
      <c r="P35" s="21">
        <f>IF(AND(AD35=1,AF35="",V35=2),AI35,"")</f>
      </c>
      <c r="Q35" s="21">
        <f>IF(OR($A35="",N(K35)=0),"",ROUND(K35*KmSatz,2))</f>
      </c>
      <c r="R35" s="22">
        <f>IF(AF35&amp;AL35="","",LEFT(AF35&amp;AL35,LEN(AF35&amp;AL35)-2))</f>
      </c>
      <c r="S35" s="1"/>
      <c r="T35" s="1">
        <f>IF(AND($A35&lt;&gt;"",ISNUMBER(C35)),1,0)</f>
      </c>
      <c r="U35" s="1">
        <f>IF(AND($A35&lt;&gt;"",ISNUMBER(D35)),1,0)</f>
      </c>
      <c r="V35" s="1">
        <f>IF($A35="",0,IF(E35="ja",1,IF(E35="Pauschale",2,0)))</f>
      </c>
      <c r="W35" s="1">
        <f>IF($A35="",0,IF(AU35&gt;0,1,0))</f>
      </c>
      <c r="X35" s="1">
        <f>IF(AND(T35=1,W35=0),1,0)</f>
      </c>
      <c r="Y35" s="1">
        <f>IF(AND(AS35=1,AT35=0,AU35=0),1,0)</f>
      </c>
      <c r="Z35" s="1">
        <f>IF(AND(Y35=1,T35=0,U35=1,V35=0),1,0)</f>
      </c>
      <c r="AA35" s="1">
        <f>IF(AND(X35=1,U35=0,V35=0,AN35=0,AO35=1,AP35=0),1,0)</f>
      </c>
      <c r="AB35" s="1">
        <f>IF(OR(W35=1,Z35=1),0,IF(T35=1,C35,0))</f>
      </c>
      <c r="AC35" s="1">
        <f>IF(OR(V35&gt;0,AA35=1),1,IF(U35=1,D35,1))</f>
      </c>
      <c r="AD35" s="1">
        <f>IF($A35="",0,IF(OR(T35=1,U35=1,V35&gt;0,W35=1),1,0))</f>
      </c>
      <c r="AE35" s="1">
        <f>IF(AD35=0,0,ROUND((AC35-AB35)*1440,0))</f>
      </c>
      <c r="AF35" s="1">
        <f>IF(AD35=0,"",IF(AND(F35&lt;&gt;"",ISNA(MATCH(F35,PauschLand,0))),"Land nicht in der Liste; ","")&amp;IF(AND(T35=0,W35=0,Z35=0),"Beginn fehlt; ","")&amp;IF(AND(V35=0,U35=0,AA35=0),"Ende fehlt; ","")&amp;IF(AND(X35=1,U35=1,V35=0,N(D35)&lt;N(C35)),"Ende vor Beginn (über Mitternacht: Ende in die Zeile des Folgetags); ",""))</f>
      </c>
      <c r="AG35" s="1">
        <f>IF(AD35=0,0,IFERROR(VLOOKUP(IF(F35="","Deutschland",F35),PauschTab,2,FALSE),0))</f>
      </c>
      <c r="AH35" s="1">
        <f>IF(AD35=0,0,IFERROR(VLOOKUP(IF(F35="","Deutschland",F35),PauschTab,3,FALSE),0))</f>
      </c>
      <c r="AI35" s="1">
        <f>IF(AD35=0,0,IFERROR(VLOOKUP(IF(F35="","Deutschland",F35),PauschTab,4,FALSE),0))</f>
      </c>
      <c r="AJ35" s="1">
        <f>IF(OR(AD35=0,AF35&lt;&gt;""),0,IF(AND(W35=1,V35&gt;0),IF(OR(T35=1,U35=1),AH35,AG35),IF(OR(W35=1,V35&gt;0),AH35,IF(AA35=1,IF(AND(AE35+AQ35&gt;480,AE35&gt;=AQ35),AH35,0),IF(Z35=1,IF(AND(AR35+AE35&gt;480,AE35&gt;AR35),AH35,0),IF(AE35&gt;480,AH35,0))))))</f>
      </c>
      <c r="AK35" s="1">
        <f>MIN(AJ35,AM35)</f>
      </c>
      <c r="AL35" s="1">
        <f>IF(OR(AD35=0,AF35&lt;&gt;""),"",IF(AND(W35=0,V35=0,AA35=0,Z35=0,AE35&lt;=480),"nicht mehr als 8 Std.; ","")&amp;IF(AA35=1,IF(AJ35&gt;0,"über Mitternacht, zusammen "&amp;TEXT((AE35+AQ35)/1440,"[h]:mm")&amp;" Std.; ",IF(AE35+AQ35&gt;480,"über Mitternacht: Pauschale am Folgetag; ","über Mitternacht, zusammen nicht mehr als 8 Std.; ")),"")&amp;IF(Z35=1,IF(AJ35&gt;0,"über Mitternacht, zusammen "&amp;TEXT((AR35+AE35)/1440,"[h]:mm")&amp;" Std.; ",IF(AR35+AE35&gt;480,"über Mitternacht: Pauschale am Vortag; ","über Mitternacht, zusammen nicht mehr als 8 Std.; ")),"")&amp;IF(AND(W35=1,V35&gt;0,OR(T35=1,U35=1)),"zwischendurch zu Hause: An- und Abreisetag; ","")&amp;IF(AND(W35=1,V35=0,T35=1),"Beginn leer lassen: unterwegs seit dem Vortag; ","")&amp;IF(AND(W35=0,V35&gt;0,U35=1),"Ende leer lassen: Übernachtung; ","")&amp;IF(AND(AJ35&gt;0,AM35&gt;AJ35),"Kürzung auf die Pauschale begrenzt; ",""))</f>
      </c>
      <c r="AM35" s="1">
        <f>ROUND(AG35*(IF(H35&lt;&gt;"",0.2,0)+IF(I35&lt;&gt;"",0.4,0)+IF(J35&lt;&gt;"",0.4,0)),2)</f>
      </c>
      <c r="AN35" s="1">
        <f>'März'!$T$5</f>
      </c>
      <c r="AO35" s="1">
        <f>'März'!$U$5</f>
      </c>
      <c r="AP35" s="1">
        <f>'März'!$V$5</f>
      </c>
      <c r="AQ35" s="1">
        <f>'März'!$AE$5</f>
      </c>
      <c r="AR35" s="1">
        <f>AE34</f>
      </c>
      <c r="AS35" s="1">
        <f>X34</f>
      </c>
      <c r="AT35" s="1">
        <f>U34</f>
      </c>
      <c r="AU35" s="1">
        <f>V34</f>
      </c>
    </row>
    <row r="37" spans="1:21" x14ac:dyDescent="0.25">
      <c r="A37" s="23">
        <f>"Abrechnung Februar "&amp;Jahr</f>
      </c>
      <c r="B37" s="1"/>
      <c r="C37" s="1"/>
      <c r="D37" s="1"/>
      <c r="E37" s="1"/>
      <c r="F37" s="1"/>
      <c r="G37" s="1"/>
      <c r="H37" s="1"/>
      <c r="I37" s="1"/>
      <c r="J37" s="1"/>
      <c r="K37" s="23">
        <f>"Buchung ("&amp;Kontenrahmen&amp;IF(Vorsteuerabzug="nein",", ohne Vorsteuer","")&amp;")"</f>
      </c>
      <c r="L37" s="1"/>
      <c r="M37" s="1"/>
      <c r="N37" s="1"/>
      <c r="O37" s="1"/>
      <c r="P37" s="1"/>
      <c r="Q37" s="1"/>
      <c r="R37" s="1"/>
      <c r="S37" s="1"/>
      <c r="T37" s="1">
        <f>COUNTIF(AD5:AD35,1)</f>
      </c>
      <c r="U37" s="1">
        <f>SUM(K5:K35)</f>
      </c>
    </row>
    <row r="38" spans="1:19" x14ac:dyDescent="0.25">
      <c r="A38" s="6" t="s">
        <v>49</v>
      </c>
      <c r="B38" s="6"/>
      <c r="C38" s="6"/>
      <c r="D38" s="6"/>
      <c r="E38" s="6"/>
      <c r="F38" s="6"/>
      <c r="G38" s="24">
        <f>SUM(O5:O35)</f>
      </c>
      <c r="H38" s="1"/>
      <c r="I38" s="1"/>
      <c r="J38" s="1"/>
      <c r="K38" s="25">
        <f>KtoVerpflegung</f>
      </c>
      <c r="L38" s="1" t="s">
        <v>49</v>
      </c>
      <c r="M38" s="1"/>
      <c r="N38" s="1"/>
      <c r="O38" s="1"/>
      <c r="P38" s="1"/>
      <c r="Q38" s="1"/>
      <c r="R38" s="26">
        <f>S38</f>
      </c>
      <c r="S38" s="1">
        <f>G38</f>
      </c>
    </row>
    <row r="39" spans="1:19" x14ac:dyDescent="0.25">
      <c r="A39" s="6" t="s">
        <v>75</v>
      </c>
      <c r="B39" s="6"/>
      <c r="C39" s="6"/>
      <c r="D39" s="6"/>
      <c r="E39" s="6"/>
      <c r="F39" s="6"/>
      <c r="G39" s="24">
        <f>SUMIFS(Belege!$O$5:$O$304,Belege!$L$5:$L$304,2,Belege!$C$5:$C$304,"Übernachtung")+SUM(P5:P35)</f>
      </c>
      <c r="H39" s="1"/>
      <c r="I39" s="1"/>
      <c r="J39" s="1"/>
      <c r="K39" s="25">
        <f>KtoUebernachtung</f>
      </c>
      <c r="L39" s="1" t="s">
        <v>50</v>
      </c>
      <c r="M39" s="1"/>
      <c r="N39" s="1"/>
      <c r="O39" s="1"/>
      <c r="P39" s="1"/>
      <c r="Q39" s="1"/>
      <c r="R39" s="26">
        <f>S39</f>
      </c>
      <c r="S39" s="1">
        <f>IF(Vorsteuerabzug="nein",SUMIFS(Belege!$O$5:$O$304,Belege!$L$5:$L$304,2,Belege!$C$5:$C$304,"Übernachtung"),SUMIFS(Belege!$P$5:$P$304,Belege!$L$5:$L$304,2,Belege!$C$5:$C$304,"Übernachtung"))+SUM(P5:P35)</f>
      </c>
    </row>
    <row r="40" spans="1:19" x14ac:dyDescent="0.25">
      <c r="A40" s="6" t="s">
        <v>76</v>
      </c>
      <c r="B40" s="6"/>
      <c r="C40" s="6"/>
      <c r="D40" s="6"/>
      <c r="E40" s="6"/>
      <c r="F40" s="6"/>
      <c r="G40" s="24">
        <f>SUMIFS(Belege!$O$5:$O$304,Belege!$L$5:$L$304,2,Belege!$C$5:$C$304,"Fahrtkosten")</f>
      </c>
      <c r="H40" s="1"/>
      <c r="I40" s="1"/>
      <c r="J40" s="1"/>
      <c r="K40" s="25">
        <f>KtoFahrtkosten</f>
      </c>
      <c r="L40" s="1" t="s">
        <v>51</v>
      </c>
      <c r="M40" s="1"/>
      <c r="N40" s="1"/>
      <c r="O40" s="1"/>
      <c r="P40" s="1"/>
      <c r="Q40" s="1"/>
      <c r="R40" s="26">
        <f>S40</f>
      </c>
      <c r="S40" s="1">
        <f>IF(Vorsteuerabzug="nein",SUMIFS(Belege!$O$5:$O$304,Belege!$L$5:$L$304,2,Belege!$C$5:$C$304,"Fahrtkosten"),SUMIFS(Belege!$P$5:$P$304,Belege!$L$5:$L$304,2,Belege!$C$5:$C$304,"Fahrtkosten"))</f>
      </c>
    </row>
    <row r="41" spans="1:19" x14ac:dyDescent="0.25">
      <c r="A41" s="6">
        <f>"Kilometergeld ("&amp;SUM(K5:K35)&amp;" km zu "&amp;IF(KmSatz=0.2,"0,20","0,30")&amp;" €)"</f>
      </c>
      <c r="B41" s="6"/>
      <c r="C41" s="6"/>
      <c r="D41" s="6"/>
      <c r="E41" s="6"/>
      <c r="F41" s="6"/>
      <c r="G41" s="24">
        <f>SUM(Q5:Q35)</f>
      </c>
      <c r="H41" s="1"/>
      <c r="I41" s="1"/>
      <c r="J41" s="1"/>
      <c r="K41" s="25">
        <f>KtoKilometergeld</f>
      </c>
      <c r="L41" s="1" t="s">
        <v>52</v>
      </c>
      <c r="M41" s="1"/>
      <c r="N41" s="1"/>
      <c r="O41" s="1"/>
      <c r="P41" s="1"/>
      <c r="Q41" s="1"/>
      <c r="R41" s="26">
        <f>S41</f>
      </c>
      <c r="S41" s="1">
        <f>G41</f>
      </c>
    </row>
    <row r="42" spans="1:19" x14ac:dyDescent="0.25">
      <c r="A42" s="6" t="s">
        <v>77</v>
      </c>
      <c r="B42" s="6"/>
      <c r="C42" s="6"/>
      <c r="D42" s="6"/>
      <c r="E42" s="6"/>
      <c r="F42" s="6"/>
      <c r="G42" s="24">
        <f>SUMIFS(Belege!$O$5:$O$304,Belege!$L$5:$L$304,2,Belege!$C$5:$C$304,"Nebenkosten")</f>
      </c>
      <c r="H42" s="1"/>
      <c r="I42" s="1"/>
      <c r="J42" s="1"/>
      <c r="K42" s="25">
        <f>KtoNebenkosten</f>
      </c>
      <c r="L42" s="1" t="s">
        <v>53</v>
      </c>
      <c r="M42" s="1"/>
      <c r="N42" s="1"/>
      <c r="O42" s="1"/>
      <c r="P42" s="1"/>
      <c r="Q42" s="1"/>
      <c r="R42" s="26">
        <f>S42</f>
      </c>
      <c r="S42" s="1">
        <f>IF(Vorsteuerabzug="nein",SUMIFS(Belege!$O$5:$O$304,Belege!$L$5:$L$304,2,Belege!$C$5:$C$304,"Nebenkosten"),SUMIFS(Belege!$P$5:$P$304,Belege!$L$5:$L$304,2,Belege!$C$5:$C$304,"Nebenkosten"))</f>
      </c>
    </row>
    <row r="43" spans="1:19" x14ac:dyDescent="0.25">
      <c r="A43" s="11" t="s">
        <v>78</v>
      </c>
      <c r="B43" s="11"/>
      <c r="C43" s="11"/>
      <c r="D43" s="11"/>
      <c r="E43" s="11"/>
      <c r="F43" s="11"/>
      <c r="G43" s="27">
        <f>SUM(G38:G42)</f>
      </c>
      <c r="H43" s="1"/>
      <c r="I43" s="1"/>
      <c r="J43" s="1"/>
      <c r="K43" s="25">
        <f>KtoVSt7</f>
      </c>
      <c r="L43" s="1" t="s">
        <v>54</v>
      </c>
      <c r="M43" s="1"/>
      <c r="N43" s="1"/>
      <c r="O43" s="1"/>
      <c r="P43" s="1"/>
      <c r="Q43" s="1"/>
      <c r="R43" s="26">
        <f>IF(Vorsteuerabzug="nein","",S43)</f>
      </c>
      <c r="S43" s="1">
        <f>IF(Vorsteuerabzug="nein",0,SUMIFS(Belege!$Q$5:$Q$304,Belege!$L$5:$L$304,2,Belege!$M$5:$M$304,0.07))</f>
      </c>
    </row>
    <row r="44" spans="1:19" x14ac:dyDescent="0.25">
      <c r="A44" s="6" t="s">
        <v>79</v>
      </c>
      <c r="B44" s="6"/>
      <c r="C44" s="6"/>
      <c r="D44" s="6"/>
      <c r="E44" s="6"/>
      <c r="F44" s="6"/>
      <c r="G44" s="28"/>
      <c r="H44" s="1"/>
      <c r="I44" s="1"/>
      <c r="J44" s="1"/>
      <c r="K44" s="25">
        <f>KtoVSt19</f>
      </c>
      <c r="L44" s="1" t="s">
        <v>55</v>
      </c>
      <c r="M44" s="1"/>
      <c r="N44" s="1"/>
      <c r="O44" s="1"/>
      <c r="P44" s="1"/>
      <c r="Q44" s="1"/>
      <c r="R44" s="26">
        <f>IF(Vorsteuerabzug="nein","",S44)</f>
      </c>
      <c r="S44" s="1">
        <f>IF(Vorsteuerabzug="nein",0,SUMIFS(Belege!$Q$5:$Q$304,Belege!$L$5:$L$304,2,Belege!$M$5:$M$304,0.19))</f>
      </c>
    </row>
    <row r="45" spans="1:18" x14ac:dyDescent="0.25">
      <c r="A45" s="11" t="s">
        <v>80</v>
      </c>
      <c r="B45" s="11"/>
      <c r="C45" s="11"/>
      <c r="D45" s="11"/>
      <c r="E45" s="11"/>
      <c r="F45" s="11"/>
      <c r="G45" s="27">
        <f>G43-N(G44)</f>
      </c>
      <c r="H45" s="1"/>
      <c r="I45" s="1"/>
      <c r="J45" s="1"/>
      <c r="K45" s="11" t="s">
        <v>81</v>
      </c>
      <c r="L45" s="11"/>
      <c r="M45" s="11"/>
      <c r="N45" s="11"/>
      <c r="O45" s="11"/>
      <c r="P45" s="11"/>
      <c r="Q45" s="11"/>
      <c r="R45" s="27">
        <f>SUM(S38:S44)</f>
      </c>
    </row>
    <row r="46" spans="1:7" x14ac:dyDescent="0.25">
      <c r="A46" s="29" t="s">
        <v>82</v>
      </c>
      <c r="B46" s="29"/>
      <c r="C46" s="29"/>
      <c r="D46" s="29"/>
      <c r="E46" s="29"/>
      <c r="F46" s="29"/>
      <c r="G46" s="30">
        <f>SUMIFS(Belege!$E$5:$E$304,Belege!$L$5:$L$304,2,Belege!$N$5:$N$304,0)</f>
      </c>
    </row>
    <row r="49" spans="1:18" x14ac:dyDescent="0.25">
      <c r="A49" s="31"/>
      <c r="B49" s="31"/>
      <c r="C49" s="31"/>
      <c r="D49" s="31"/>
      <c r="E49" s="31"/>
      <c r="F49" s="31"/>
      <c r="G49" s="31"/>
      <c r="H49" s="31"/>
      <c r="I49" s="31"/>
      <c r="J49" s="31"/>
      <c r="K49" s="31"/>
      <c r="M49" s="31"/>
      <c r="N49" s="31"/>
      <c r="O49" s="31"/>
      <c r="P49" s="31"/>
      <c r="Q49" s="31"/>
      <c r="R49" s="31"/>
    </row>
    <row r="50" spans="1:13" x14ac:dyDescent="0.25">
      <c r="A50" s="32" t="s">
        <v>83</v>
      </c>
      <c r="B50" s="1"/>
      <c r="C50" s="1"/>
      <c r="D50" s="1"/>
      <c r="E50" s="1"/>
      <c r="F50" s="1"/>
      <c r="G50" s="32" t="s">
        <v>84</v>
      </c>
      <c r="H50" s="1"/>
      <c r="I50" s="1"/>
      <c r="J50" s="1"/>
      <c r="K50" s="1"/>
      <c r="L50" s="1"/>
      <c r="M50" s="32" t="s">
        <v>85</v>
      </c>
    </row>
  </sheetData>
  <sheetProtection sheet="1" formatCells="0" formatColumns="0" formatRows="0"/>
  <mergeCells count="17">
    <mergeCell ref="A38:F38"/>
    <mergeCell ref="L38:Q38"/>
    <mergeCell ref="A39:F39"/>
    <mergeCell ref="L39:Q39"/>
    <mergeCell ref="A40:F40"/>
    <mergeCell ref="L40:Q40"/>
    <mergeCell ref="A41:F41"/>
    <mergeCell ref="L41:Q41"/>
    <mergeCell ref="A42:F42"/>
    <mergeCell ref="L42:Q42"/>
    <mergeCell ref="A43:F43"/>
    <mergeCell ref="L43:Q43"/>
    <mergeCell ref="A44:F44"/>
    <mergeCell ref="L44:Q44"/>
    <mergeCell ref="A45:F45"/>
    <mergeCell ref="K45:Q45"/>
    <mergeCell ref="A46:F46"/>
  </mergeCells>
  <conditionalFormatting sqref="A5:Q35">
    <cfRule type="expression" dxfId="6" priority="1">
      <formula>$A5=""</formula>
    </cfRule>
    <cfRule type="expression" dxfId="7" priority="2">
      <formula>WEEKDAY($A5,2)&gt;5</formula>
    </cfRule>
  </conditionalFormatting>
  <conditionalFormatting sqref="R5:R35">
    <cfRule type="expression" dxfId="8" priority="3">
      <formula>$A5=""</formula>
    </cfRule>
    <cfRule type="expression" dxfId="9" priority="4">
      <formula>AND($AF5&lt;&gt;"",WEEKDAY($A5,2)&gt;5)</formula>
    </cfRule>
    <cfRule type="expression" dxfId="10" priority="5">
      <formula>$AF5&lt;&gt;""</formula>
    </cfRule>
    <cfRule type="expression" dxfId="11" priority="6">
      <formula>WEEKDAY($A5,2)&gt;5</formula>
    </cfRule>
  </conditionalFormatting>
  <dataValidations count="11">
    <dataValidation type="decimal" allowBlank="1" showErrorMessage="1" errorTitle="Uhrzeit" error="Bitte als Uhrzeit hh:mm eingeben, z. B. 7:30 oder 16:45." sqref="C10:D35">
      <formula1>0</formula1>
      <formula2>0.99999</formula2>
    </dataValidation>
    <dataValidation type="decimal" allowBlank="1" showErrorMessage="1" errorTitle="Uhrzeit" error="Bitte als Uhrzeit hh:mm eingeben, z. B. 7:30 oder 16:45." sqref="C5:D35">
      <formula1>0</formula1>
      <formula2>0.99999</formula2>
    </dataValidation>
    <dataValidation type="list" allowBlank="1" showErrorMessage="1" errorTitle="Übernachtung" error="Bitte aus der Liste wählen." sqref="E10:E35">
      <formula1>"ja,Pauschale"</formula1>
    </dataValidation>
    <dataValidation type="list" allowBlank="1" showErrorMessage="1" errorTitle="Übernachtung" error="Bitte aus der Liste wählen." sqref="E5:E35">
      <formula1>"ja,Pauschale"</formula1>
    </dataValidation>
    <dataValidation type="list" allowBlank="1" showErrorMessage="1" errorTitle="Land / Ort" error="Bitte aus der Liste wählen; nicht aufgeführte Länder: Luxemburg." sqref="F10:F35">
      <formula1>Pauschalen!$A$4:$A$218</formula1>
    </dataValidation>
    <dataValidation type="list" allowBlank="1" showErrorMessage="1" errorTitle="Land / Ort" error="Bitte aus der Liste wählen; nicht aufgeführte Länder: Luxemburg." sqref="F5:F35">
      <formula1>Pauschalen!$A$4:$A$218</formula1>
    </dataValidation>
    <dataValidation type="decimal" allowBlank="1" showErrorMessage="1" errorTitle="Vorschuss" error="Bitte einen Betrag in Euro eintragen." sqref="G44">
      <formula1>0</formula1>
      <formula2>99999</formula2>
    </dataValidation>
    <dataValidation type="list" allowBlank="1" showErrorMessage="1" errorTitle="Mahlzeit" error="Bitte aus der Liste wählen." sqref="H10:J35">
      <formula1>"x"</formula1>
    </dataValidation>
    <dataValidation type="list" allowBlank="1" showErrorMessage="1" errorTitle="Mahlzeit" error="Bitte aus der Liste wählen." sqref="H5:J35">
      <formula1>"x"</formula1>
    </dataValidation>
    <dataValidation type="whole" allowBlank="1" showErrorMessage="1" errorTitle="Kilometer" error="Bitte die gefahrenen Kilometer als ganze Zahl eintragen." sqref="K10:K35">
      <formula1>0</formula1>
      <formula2>5000</formula2>
    </dataValidation>
    <dataValidation type="whole" allowBlank="1" showErrorMessage="1" errorTitle="Kilometer" error="Bitte die gefahrenen Kilometer als ganze Zahl eintragen." sqref="K5:K35">
      <formula1>0</formula1>
      <formula2>5000</formula2>
    </dataValidation>
  </dataValidations>
  <pageMargins left="0.4" right="0.4" top="0.5" bottom="0.5" header="0.2" footer="0.2"/>
  <pageSetup paperSize="9" orientation="landscape"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0"/>
  <sheetViews>
    <sheetView workbookViewId="0" showGridLines="0">
      <pane xSplit="2" ySplit="4" topLeftCell="C5" activePane="bottomRight" state="frozen"/>
      <selection pane="bottomRight"/>
    </sheetView>
  </sheetViews>
  <sheetFormatPr defaultRowHeight="15" outlineLevelRow="0" outlineLevelCol="0" x14ac:dyDescent="55"/>
  <cols>
    <col min="1" max="1" width="7" customWidth="1"/>
    <col min="2" max="2" width="4" customWidth="1"/>
    <col min="3" max="4" width="6.5" customWidth="1"/>
    <col min="5" max="5" width="10" customWidth="1"/>
    <col min="6" max="6" width="18" customWidth="1"/>
    <col min="7" max="7" width="24" customWidth="1"/>
    <col min="8" max="10" width="5.5" customWidth="1"/>
    <col min="11" max="11" width="8" customWidth="1"/>
    <col min="14" max="14" width="8.5" customWidth="1"/>
    <col min="15" max="15" width="10.5" customWidth="1"/>
    <col min="16" max="16" width="12" customWidth="1"/>
    <col min="17" max="17" width="10" customWidth="1"/>
    <col min="18" max="18" width="36" customWidth="1"/>
    <col min="19" max="19" width="9" hidden="1" customWidth="1"/>
    <col min="20" max="20" width="9" hidden="1" customWidth="1"/>
    <col min="21" max="21" width="9" hidden="1" customWidth="1"/>
    <col min="22" max="22" width="9" hidden="1" customWidth="1"/>
    <col min="23" max="23" width="9" hidden="1" customWidth="1"/>
    <col min="24" max="24" width="9" hidden="1" customWidth="1"/>
    <col min="25" max="25" width="9" hidden="1" customWidth="1"/>
    <col min="26" max="26" width="9" hidden="1" customWidth="1"/>
    <col min="27" max="27" width="9" hidden="1" customWidth="1"/>
    <col min="28" max="28" width="9" hidden="1" customWidth="1"/>
    <col min="29" max="29" width="9" hidden="1" customWidth="1"/>
    <col min="30" max="30" width="9" hidden="1" customWidth="1"/>
    <col min="31" max="31" width="9" hidden="1" customWidth="1"/>
    <col min="32" max="32" width="9" hidden="1" customWidth="1"/>
    <col min="33" max="33" width="9" hidden="1" customWidth="1"/>
    <col min="34" max="34" width="9" hidden="1" customWidth="1"/>
    <col min="35" max="35" width="9" hidden="1" customWidth="1"/>
    <col min="36" max="36" width="9" hidden="1" customWidth="1"/>
    <col min="37" max="37" width="9" hidden="1" customWidth="1"/>
    <col min="38" max="38" width="9" hidden="1" customWidth="1"/>
    <col min="39" max="39" width="9" hidden="1" customWidth="1"/>
    <col min="40" max="40" width="9" hidden="1" customWidth="1"/>
    <col min="41" max="41" width="9" hidden="1" customWidth="1"/>
    <col min="42" max="42" width="9" hidden="1" customWidth="1"/>
    <col min="43" max="43" width="9" hidden="1" customWidth="1"/>
    <col min="44" max="44" width="9" hidden="1" customWidth="1"/>
    <col min="45" max="45" width="9" hidden="1" customWidth="1"/>
    <col min="46" max="46" width="9" hidden="1" customWidth="1"/>
    <col min="47" max="47" width="9" hidden="1" customWidth="1"/>
  </cols>
  <sheetData>
    <row r="1" spans="1:1" x14ac:dyDescent="0.25">
      <c r="A1" s="5">
        <f>"Reisekostenabrechnung März "&amp;Jahr</f>
      </c>
    </row>
    <row r="2" spans="1:1" x14ac:dyDescent="0.25">
      <c r="A2" s="6">
        <f>"Name: "&amp;IF(MitarbeiterName="","…",MitarbeiterName)&amp;IF(Personalnummer="",""," · Personalnr. "&amp;Personalnummer)&amp;IF(Kostenstelle="",""," · "&amp;Kostenstelle)&amp;IF(Firma="",""," · "&amp;Firma)</f>
      </c>
    </row>
    <row r="3" spans="1:1" x14ac:dyDescent="0.25">
      <c r="A3" s="16">
        <f>IF(Jahr&lt;&gt;2026,"Die Pauschalen in dieser Datei gelten für 2026. ","")&amp;IF(MitarbeiterName="","Bitte in den Einstellungen den Namen eintragen.","")</f>
      </c>
    </row>
    <row r="4" ht="40" customHeight="1" spans="1:18" x14ac:dyDescent="0.25">
      <c r="A4" s="12" t="s">
        <v>57</v>
      </c>
      <c r="B4" s="12" t="s">
        <v>58</v>
      </c>
      <c r="C4" s="12" t="s">
        <v>59</v>
      </c>
      <c r="D4" s="12" t="s">
        <v>60</v>
      </c>
      <c r="E4" s="12" t="s">
        <v>61</v>
      </c>
      <c r="F4" s="12" t="s">
        <v>62</v>
      </c>
      <c r="G4" s="12" t="s">
        <v>63</v>
      </c>
      <c r="H4" s="12" t="s">
        <v>64</v>
      </c>
      <c r="I4" s="12" t="s">
        <v>65</v>
      </c>
      <c r="J4" s="12" t="s">
        <v>66</v>
      </c>
      <c r="K4" s="12" t="s">
        <v>67</v>
      </c>
      <c r="L4" s="12" t="s">
        <v>68</v>
      </c>
      <c r="M4" s="12" t="s">
        <v>69</v>
      </c>
      <c r="N4" s="12" t="s">
        <v>70</v>
      </c>
      <c r="O4" s="12" t="s">
        <v>71</v>
      </c>
      <c r="P4" s="12" t="s">
        <v>72</v>
      </c>
      <c r="Q4" s="12" t="s">
        <v>73</v>
      </c>
      <c r="R4" s="12" t="s">
        <v>74</v>
      </c>
    </row>
    <row r="5" spans="1:47" x14ac:dyDescent="0.25">
      <c r="A5" s="17">
        <f>IF(MONTH(DATE(Jahr,3,1))=3,DATE(Jahr,3,1),"")</f>
      </c>
      <c r="B5" s="13">
        <f>IF(A5="","",CHOOSE(WEEKDAY(A5,2),"Mo","Di","Mi","Do","Fr","Sa","So"))</f>
      </c>
      <c r="C5" s="18"/>
      <c r="D5" s="18"/>
      <c r="E5" s="7"/>
      <c r="F5" s="7"/>
      <c r="G5" s="7"/>
      <c r="H5" s="19"/>
      <c r="I5" s="19"/>
      <c r="J5" s="19"/>
      <c r="K5" s="9"/>
      <c r="L5" s="20">
        <f>IF(OR(AD5=0,AF5&lt;&gt;"",AND(W5=1,V5&gt;0,OR(T5=1,U5=1))),"",AE5/1440)</f>
      </c>
      <c r="M5" s="21">
        <f>IF(OR(AD5=0,AF5&lt;&gt;""),"",AJ5)</f>
      </c>
      <c r="N5" s="21">
        <f>IF(AK5=0,"",AK5)</f>
      </c>
      <c r="O5" s="21">
        <f>IF(OR(AD5=0,AF5&lt;&gt;""),"",AJ5-AK5)</f>
      </c>
      <c r="P5" s="21">
        <f>IF(AND(AD5=1,AF5="",V5=2),AI5,"")</f>
      </c>
      <c r="Q5" s="21">
        <f>IF(OR($A5="",N(K5)=0),"",ROUND(K5*KmSatz,2))</f>
      </c>
      <c r="R5" s="22">
        <f>IF(AF5&amp;AL5="","",LEFT(AF5&amp;AL5,LEN(AF5&amp;AL5)-2))</f>
      </c>
      <c r="S5" s="1"/>
      <c r="T5" s="1">
        <f>IF(AND($A5&lt;&gt;"",ISNUMBER(C5)),1,0)</f>
      </c>
      <c r="U5" s="1">
        <f>IF(AND($A5&lt;&gt;"",ISNUMBER(D5)),1,0)</f>
      </c>
      <c r="V5" s="1">
        <f>IF($A5="",0,IF(E5="ja",1,IF(E5="Pauschale",2,0)))</f>
      </c>
      <c r="W5" s="1">
        <f>IF($A5="",0,IF(AU5&gt;0,1,0))</f>
      </c>
      <c r="X5" s="1">
        <f>IF(AND(T5=1,W5=0),1,0)</f>
      </c>
      <c r="Y5" s="1">
        <f>IF(AND(AS5=1,AT5=0,AU5=0),1,0)</f>
      </c>
      <c r="Z5" s="1">
        <f>IF(AND(Y5=1,T5=0,U5=1,V5=0),1,0)</f>
      </c>
      <c r="AA5" s="1">
        <f>IF(AND(X5=1,U5=0,V5=0,AN5=0,AO5=1,AP5=0),1,0)</f>
      </c>
      <c r="AB5" s="1">
        <f>IF(OR(W5=1,Z5=1),0,IF(T5=1,C5,0))</f>
      </c>
      <c r="AC5" s="1">
        <f>IF(OR(V5&gt;0,AA5=1),1,IF(U5=1,D5,1))</f>
      </c>
      <c r="AD5" s="1">
        <f>IF($A5="",0,IF(OR(T5=1,U5=1,V5&gt;0,W5=1),1,0))</f>
      </c>
      <c r="AE5" s="1">
        <f>IF(AD5=0,0,ROUND((AC5-AB5)*1440,0))</f>
      </c>
      <c r="AF5" s="1">
        <f>IF(AD5=0,"",IF(AND(F5&lt;&gt;"",ISNA(MATCH(F5,PauschLand,0))),"Land nicht in der Liste; ","")&amp;IF(AND(T5=0,W5=0,Z5=0),"Beginn fehlt; ","")&amp;IF(AND(V5=0,U5=0,AA5=0),"Ende fehlt; ","")&amp;IF(AND(X5=1,U5=1,V5=0,N(D5)&lt;N(C5)),"Ende vor Beginn (über Mitternacht: Ende in die Zeile des Folgetags); ",""))</f>
      </c>
      <c r="AG5" s="1">
        <f>IF(AD5=0,0,IFERROR(VLOOKUP(IF(F5="","Deutschland",F5),PauschTab,2,FALSE),0))</f>
      </c>
      <c r="AH5" s="1">
        <f>IF(AD5=0,0,IFERROR(VLOOKUP(IF(F5="","Deutschland",F5),PauschTab,3,FALSE),0))</f>
      </c>
      <c r="AI5" s="1">
        <f>IF(AD5=0,0,IFERROR(VLOOKUP(IF(F5="","Deutschland",F5),PauschTab,4,FALSE),0))</f>
      </c>
      <c r="AJ5" s="1">
        <f>IF(OR(AD5=0,AF5&lt;&gt;""),0,IF(AND(W5=1,V5&gt;0),IF(OR(T5=1,U5=1),AH5,AG5),IF(OR(W5=1,V5&gt;0),AH5,IF(AA5=1,IF(AND(AE5+AQ5&gt;480,AE5&gt;=AQ5),AH5,0),IF(Z5=1,IF(AND(AR5+AE5&gt;480,AE5&gt;AR5),AH5,0),IF(AE5&gt;480,AH5,0))))))</f>
      </c>
      <c r="AK5" s="1">
        <f>MIN(AJ5,AM5)</f>
      </c>
      <c r="AL5" s="1">
        <f>IF(OR(AD5=0,AF5&lt;&gt;""),"",IF(AND(W5=0,V5=0,AA5=0,Z5=0,AE5&lt;=480),"nicht mehr als 8 Std.; ","")&amp;IF(AA5=1,IF(AJ5&gt;0,"über Mitternacht, zusammen "&amp;TEXT((AE5+AQ5)/1440,"[h]:mm")&amp;" Std.; ",IF(AE5+AQ5&gt;480,"über Mitternacht: Pauschale am Folgetag; ","über Mitternacht, zusammen nicht mehr als 8 Std.; ")),"")&amp;IF(Z5=1,IF(AJ5&gt;0,"über Mitternacht, zusammen "&amp;TEXT((AR5+AE5)/1440,"[h]:mm")&amp;" Std.; ",IF(AR5+AE5&gt;480,"über Mitternacht: Pauschale am Vortag; ","über Mitternacht, zusammen nicht mehr als 8 Std.; ")),"")&amp;IF(AND(W5=1,V5&gt;0,OR(T5=1,U5=1)),"zwischendurch zu Hause: An- und Abreisetag; ","")&amp;IF(AND(W5=1,V5=0,T5=1),"Beginn leer lassen: unterwegs seit dem Vortag; ","")&amp;IF(AND(W5=0,V5&gt;0,U5=1),"Ende leer lassen: Übernachtung; ","")&amp;IF(AND(AJ5&gt;0,AM5&gt;AJ5),"Kürzung auf die Pauschale begrenzt; ",""))</f>
      </c>
      <c r="AM5" s="1">
        <f>ROUND(AG5*(IF(H5&lt;&gt;"",0.2,0)+IF(I5&lt;&gt;"",0.4,0)+IF(J5&lt;&gt;"",0.4,0)),2)</f>
      </c>
      <c r="AN5" s="1">
        <f>IF($A6="",'April'!$T$5,T6)</f>
      </c>
      <c r="AO5" s="1">
        <f>IF($A6="",'April'!$U$5,U6)</f>
      </c>
      <c r="AP5" s="1">
        <f>IF($A6="",'April'!$V$5,V6)</f>
      </c>
      <c r="AQ5" s="1">
        <f>IF($A6="",'April'!$AE$5,AE6)</f>
      </c>
      <c r="AR5" s="1">
        <f>INDEX('Februar'!$AE$5:$AE$35,DAY(DATE(Jahr,3,0)))</f>
      </c>
      <c r="AS5" s="1">
        <f>INDEX('Februar'!$X$5:$X$35,DAY(DATE(Jahr,3,0)))</f>
      </c>
      <c r="AT5" s="1">
        <f>INDEX('Februar'!$U$5:$U$35,DAY(DATE(Jahr,3,0)))</f>
      </c>
      <c r="AU5" s="1">
        <f>INDEX('Februar'!$V$5:$V$35,DAY(DATE(Jahr,3,0)))</f>
      </c>
    </row>
    <row r="6" spans="1:47" x14ac:dyDescent="0.25">
      <c r="A6" s="17">
        <f>IF(MONTH(DATE(Jahr,3,2))=3,DATE(Jahr,3,2),"")</f>
      </c>
      <c r="B6" s="13">
        <f>IF(A6="","",CHOOSE(WEEKDAY(A6,2),"Mo","Di","Mi","Do","Fr","Sa","So"))</f>
      </c>
      <c r="C6" s="18"/>
      <c r="D6" s="18"/>
      <c r="E6" s="7"/>
      <c r="F6" s="7"/>
      <c r="G6" s="7"/>
      <c r="H6" s="19"/>
      <c r="I6" s="19"/>
      <c r="J6" s="19"/>
      <c r="K6" s="9"/>
      <c r="L6" s="20">
        <f>IF(OR(AD6=0,AF6&lt;&gt;"",AND(W6=1,V6&gt;0,OR(T6=1,U6=1))),"",AE6/1440)</f>
      </c>
      <c r="M6" s="21">
        <f>IF(OR(AD6=0,AF6&lt;&gt;""),"",AJ6)</f>
      </c>
      <c r="N6" s="21">
        <f>IF(AK6=0,"",AK6)</f>
      </c>
      <c r="O6" s="21">
        <f>IF(OR(AD6=0,AF6&lt;&gt;""),"",AJ6-AK6)</f>
      </c>
      <c r="P6" s="21">
        <f>IF(AND(AD6=1,AF6="",V6=2),AI6,"")</f>
      </c>
      <c r="Q6" s="21">
        <f>IF(OR($A6="",N(K6)=0),"",ROUND(K6*KmSatz,2))</f>
      </c>
      <c r="R6" s="22">
        <f>IF(AF6&amp;AL6="","",LEFT(AF6&amp;AL6,LEN(AF6&amp;AL6)-2))</f>
      </c>
      <c r="S6" s="1"/>
      <c r="T6" s="1">
        <f>IF(AND($A6&lt;&gt;"",ISNUMBER(C6)),1,0)</f>
      </c>
      <c r="U6" s="1">
        <f>IF(AND($A6&lt;&gt;"",ISNUMBER(D6)),1,0)</f>
      </c>
      <c r="V6" s="1">
        <f>IF($A6="",0,IF(E6="ja",1,IF(E6="Pauschale",2,0)))</f>
      </c>
      <c r="W6" s="1">
        <f>IF($A6="",0,IF(AU6&gt;0,1,0))</f>
      </c>
      <c r="X6" s="1">
        <f>IF(AND(T6=1,W6=0),1,0)</f>
      </c>
      <c r="Y6" s="1">
        <f>IF(AND(AS6=1,AT6=0,AU6=0),1,0)</f>
      </c>
      <c r="Z6" s="1">
        <f>IF(AND(Y6=1,T6=0,U6=1,V6=0),1,0)</f>
      </c>
      <c r="AA6" s="1">
        <f>IF(AND(X6=1,U6=0,V6=0,AN6=0,AO6=1,AP6=0),1,0)</f>
      </c>
      <c r="AB6" s="1">
        <f>IF(OR(W6=1,Z6=1),0,IF(T6=1,C6,0))</f>
      </c>
      <c r="AC6" s="1">
        <f>IF(OR(V6&gt;0,AA6=1),1,IF(U6=1,D6,1))</f>
      </c>
      <c r="AD6" s="1">
        <f>IF($A6="",0,IF(OR(T6=1,U6=1,V6&gt;0,W6=1),1,0))</f>
      </c>
      <c r="AE6" s="1">
        <f>IF(AD6=0,0,ROUND((AC6-AB6)*1440,0))</f>
      </c>
      <c r="AF6" s="1">
        <f>IF(AD6=0,"",IF(AND(F6&lt;&gt;"",ISNA(MATCH(F6,PauschLand,0))),"Land nicht in der Liste; ","")&amp;IF(AND(T6=0,W6=0,Z6=0),"Beginn fehlt; ","")&amp;IF(AND(V6=0,U6=0,AA6=0),"Ende fehlt; ","")&amp;IF(AND(X6=1,U6=1,V6=0,N(D6)&lt;N(C6)),"Ende vor Beginn (über Mitternacht: Ende in die Zeile des Folgetags); ",""))</f>
      </c>
      <c r="AG6" s="1">
        <f>IF(AD6=0,0,IFERROR(VLOOKUP(IF(F6="","Deutschland",F6),PauschTab,2,FALSE),0))</f>
      </c>
      <c r="AH6" s="1">
        <f>IF(AD6=0,0,IFERROR(VLOOKUP(IF(F6="","Deutschland",F6),PauschTab,3,FALSE),0))</f>
      </c>
      <c r="AI6" s="1">
        <f>IF(AD6=0,0,IFERROR(VLOOKUP(IF(F6="","Deutschland",F6),PauschTab,4,FALSE),0))</f>
      </c>
      <c r="AJ6" s="1">
        <f>IF(OR(AD6=0,AF6&lt;&gt;""),0,IF(AND(W6=1,V6&gt;0),IF(OR(T6=1,U6=1),AH6,AG6),IF(OR(W6=1,V6&gt;0),AH6,IF(AA6=1,IF(AND(AE6+AQ6&gt;480,AE6&gt;=AQ6),AH6,0),IF(Z6=1,IF(AND(AR6+AE6&gt;480,AE6&gt;AR6),AH6,0),IF(AE6&gt;480,AH6,0))))))</f>
      </c>
      <c r="AK6" s="1">
        <f>MIN(AJ6,AM6)</f>
      </c>
      <c r="AL6" s="1">
        <f>IF(OR(AD6=0,AF6&lt;&gt;""),"",IF(AND(W6=0,V6=0,AA6=0,Z6=0,AE6&lt;=480),"nicht mehr als 8 Std.; ","")&amp;IF(AA6=1,IF(AJ6&gt;0,"über Mitternacht, zusammen "&amp;TEXT((AE6+AQ6)/1440,"[h]:mm")&amp;" Std.; ",IF(AE6+AQ6&gt;480,"über Mitternacht: Pauschale am Folgetag; ","über Mitternacht, zusammen nicht mehr als 8 Std.; ")),"")&amp;IF(Z6=1,IF(AJ6&gt;0,"über Mitternacht, zusammen "&amp;TEXT((AR6+AE6)/1440,"[h]:mm")&amp;" Std.; ",IF(AR6+AE6&gt;480,"über Mitternacht: Pauschale am Vortag; ","über Mitternacht, zusammen nicht mehr als 8 Std.; ")),"")&amp;IF(AND(W6=1,V6&gt;0,OR(T6=1,U6=1)),"zwischendurch zu Hause: An- und Abreisetag; ","")&amp;IF(AND(W6=1,V6=0,T6=1),"Beginn leer lassen: unterwegs seit dem Vortag; ","")&amp;IF(AND(W6=0,V6&gt;0,U6=1),"Ende leer lassen: Übernachtung; ","")&amp;IF(AND(AJ6&gt;0,AM6&gt;AJ6),"Kürzung auf die Pauschale begrenzt; ",""))</f>
      </c>
      <c r="AM6" s="1">
        <f>ROUND(AG6*(IF(H6&lt;&gt;"",0.2,0)+IF(I6&lt;&gt;"",0.4,0)+IF(J6&lt;&gt;"",0.4,0)),2)</f>
      </c>
      <c r="AN6" s="1">
        <f>IF($A7="",'April'!$T$5,T7)</f>
      </c>
      <c r="AO6" s="1">
        <f>IF($A7="",'April'!$U$5,U7)</f>
      </c>
      <c r="AP6" s="1">
        <f>IF($A7="",'April'!$V$5,V7)</f>
      </c>
      <c r="AQ6" s="1">
        <f>IF($A7="",'April'!$AE$5,AE7)</f>
      </c>
      <c r="AR6" s="1">
        <f>AE5</f>
      </c>
      <c r="AS6" s="1">
        <f>X5</f>
      </c>
      <c r="AT6" s="1">
        <f>U5</f>
      </c>
      <c r="AU6" s="1">
        <f>V5</f>
      </c>
    </row>
    <row r="7" spans="1:47" x14ac:dyDescent="0.25">
      <c r="A7" s="17">
        <f>IF(MONTH(DATE(Jahr,3,3))=3,DATE(Jahr,3,3),"")</f>
      </c>
      <c r="B7" s="13">
        <f>IF(A7="","",CHOOSE(WEEKDAY(A7,2),"Mo","Di","Mi","Do","Fr","Sa","So"))</f>
      </c>
      <c r="C7" s="18"/>
      <c r="D7" s="18"/>
      <c r="E7" s="7"/>
      <c r="F7" s="7"/>
      <c r="G7" s="7"/>
      <c r="H7" s="19"/>
      <c r="I7" s="19"/>
      <c r="J7" s="19"/>
      <c r="K7" s="9"/>
      <c r="L7" s="20">
        <f>IF(OR(AD7=0,AF7&lt;&gt;"",AND(W7=1,V7&gt;0,OR(T7=1,U7=1))),"",AE7/1440)</f>
      </c>
      <c r="M7" s="21">
        <f>IF(OR(AD7=0,AF7&lt;&gt;""),"",AJ7)</f>
      </c>
      <c r="N7" s="21">
        <f>IF(AK7=0,"",AK7)</f>
      </c>
      <c r="O7" s="21">
        <f>IF(OR(AD7=0,AF7&lt;&gt;""),"",AJ7-AK7)</f>
      </c>
      <c r="P7" s="21">
        <f>IF(AND(AD7=1,AF7="",V7=2),AI7,"")</f>
      </c>
      <c r="Q7" s="21">
        <f>IF(OR($A7="",N(K7)=0),"",ROUND(K7*KmSatz,2))</f>
      </c>
      <c r="R7" s="22">
        <f>IF(AF7&amp;AL7="","",LEFT(AF7&amp;AL7,LEN(AF7&amp;AL7)-2))</f>
      </c>
      <c r="S7" s="1"/>
      <c r="T7" s="1">
        <f>IF(AND($A7&lt;&gt;"",ISNUMBER(C7)),1,0)</f>
      </c>
      <c r="U7" s="1">
        <f>IF(AND($A7&lt;&gt;"",ISNUMBER(D7)),1,0)</f>
      </c>
      <c r="V7" s="1">
        <f>IF($A7="",0,IF(E7="ja",1,IF(E7="Pauschale",2,0)))</f>
      </c>
      <c r="W7" s="1">
        <f>IF($A7="",0,IF(AU7&gt;0,1,0))</f>
      </c>
      <c r="X7" s="1">
        <f>IF(AND(T7=1,W7=0),1,0)</f>
      </c>
      <c r="Y7" s="1">
        <f>IF(AND(AS7=1,AT7=0,AU7=0),1,0)</f>
      </c>
      <c r="Z7" s="1">
        <f>IF(AND(Y7=1,T7=0,U7=1,V7=0),1,0)</f>
      </c>
      <c r="AA7" s="1">
        <f>IF(AND(X7=1,U7=0,V7=0,AN7=0,AO7=1,AP7=0),1,0)</f>
      </c>
      <c r="AB7" s="1">
        <f>IF(OR(W7=1,Z7=1),0,IF(T7=1,C7,0))</f>
      </c>
      <c r="AC7" s="1">
        <f>IF(OR(V7&gt;0,AA7=1),1,IF(U7=1,D7,1))</f>
      </c>
      <c r="AD7" s="1">
        <f>IF($A7="",0,IF(OR(T7=1,U7=1,V7&gt;0,W7=1),1,0))</f>
      </c>
      <c r="AE7" s="1">
        <f>IF(AD7=0,0,ROUND((AC7-AB7)*1440,0))</f>
      </c>
      <c r="AF7" s="1">
        <f>IF(AD7=0,"",IF(AND(F7&lt;&gt;"",ISNA(MATCH(F7,PauschLand,0))),"Land nicht in der Liste; ","")&amp;IF(AND(T7=0,W7=0,Z7=0),"Beginn fehlt; ","")&amp;IF(AND(V7=0,U7=0,AA7=0),"Ende fehlt; ","")&amp;IF(AND(X7=1,U7=1,V7=0,N(D7)&lt;N(C7)),"Ende vor Beginn (über Mitternacht: Ende in die Zeile des Folgetags); ",""))</f>
      </c>
      <c r="AG7" s="1">
        <f>IF(AD7=0,0,IFERROR(VLOOKUP(IF(F7="","Deutschland",F7),PauschTab,2,FALSE),0))</f>
      </c>
      <c r="AH7" s="1">
        <f>IF(AD7=0,0,IFERROR(VLOOKUP(IF(F7="","Deutschland",F7),PauschTab,3,FALSE),0))</f>
      </c>
      <c r="AI7" s="1">
        <f>IF(AD7=0,0,IFERROR(VLOOKUP(IF(F7="","Deutschland",F7),PauschTab,4,FALSE),0))</f>
      </c>
      <c r="AJ7" s="1">
        <f>IF(OR(AD7=0,AF7&lt;&gt;""),0,IF(AND(W7=1,V7&gt;0),IF(OR(T7=1,U7=1),AH7,AG7),IF(OR(W7=1,V7&gt;0),AH7,IF(AA7=1,IF(AND(AE7+AQ7&gt;480,AE7&gt;=AQ7),AH7,0),IF(Z7=1,IF(AND(AR7+AE7&gt;480,AE7&gt;AR7),AH7,0),IF(AE7&gt;480,AH7,0))))))</f>
      </c>
      <c r="AK7" s="1">
        <f>MIN(AJ7,AM7)</f>
      </c>
      <c r="AL7" s="1">
        <f>IF(OR(AD7=0,AF7&lt;&gt;""),"",IF(AND(W7=0,V7=0,AA7=0,Z7=0,AE7&lt;=480),"nicht mehr als 8 Std.; ","")&amp;IF(AA7=1,IF(AJ7&gt;0,"über Mitternacht, zusammen "&amp;TEXT((AE7+AQ7)/1440,"[h]:mm")&amp;" Std.; ",IF(AE7+AQ7&gt;480,"über Mitternacht: Pauschale am Folgetag; ","über Mitternacht, zusammen nicht mehr als 8 Std.; ")),"")&amp;IF(Z7=1,IF(AJ7&gt;0,"über Mitternacht, zusammen "&amp;TEXT((AR7+AE7)/1440,"[h]:mm")&amp;" Std.; ",IF(AR7+AE7&gt;480,"über Mitternacht: Pauschale am Vortag; ","über Mitternacht, zusammen nicht mehr als 8 Std.; ")),"")&amp;IF(AND(W7=1,V7&gt;0,OR(T7=1,U7=1)),"zwischendurch zu Hause: An- und Abreisetag; ","")&amp;IF(AND(W7=1,V7=0,T7=1),"Beginn leer lassen: unterwegs seit dem Vortag; ","")&amp;IF(AND(W7=0,V7&gt;0,U7=1),"Ende leer lassen: Übernachtung; ","")&amp;IF(AND(AJ7&gt;0,AM7&gt;AJ7),"Kürzung auf die Pauschale begrenzt; ",""))</f>
      </c>
      <c r="AM7" s="1">
        <f>ROUND(AG7*(IF(H7&lt;&gt;"",0.2,0)+IF(I7&lt;&gt;"",0.4,0)+IF(J7&lt;&gt;"",0.4,0)),2)</f>
      </c>
      <c r="AN7" s="1">
        <f>IF($A8="",'April'!$T$5,T8)</f>
      </c>
      <c r="AO7" s="1">
        <f>IF($A8="",'April'!$U$5,U8)</f>
      </c>
      <c r="AP7" s="1">
        <f>IF($A8="",'April'!$V$5,V8)</f>
      </c>
      <c r="AQ7" s="1">
        <f>IF($A8="",'April'!$AE$5,AE8)</f>
      </c>
      <c r="AR7" s="1">
        <f>AE6</f>
      </c>
      <c r="AS7" s="1">
        <f>X6</f>
      </c>
      <c r="AT7" s="1">
        <f>U6</f>
      </c>
      <c r="AU7" s="1">
        <f>V6</f>
      </c>
    </row>
    <row r="8" spans="1:47" x14ac:dyDescent="0.25">
      <c r="A8" s="17">
        <f>IF(MONTH(DATE(Jahr,3,4))=3,DATE(Jahr,3,4),"")</f>
      </c>
      <c r="B8" s="13">
        <f>IF(A8="","",CHOOSE(WEEKDAY(A8,2),"Mo","Di","Mi","Do","Fr","Sa","So"))</f>
      </c>
      <c r="C8" s="18"/>
      <c r="D8" s="18"/>
      <c r="E8" s="7"/>
      <c r="F8" s="7"/>
      <c r="G8" s="7"/>
      <c r="H8" s="19"/>
      <c r="I8" s="19"/>
      <c r="J8" s="19"/>
      <c r="K8" s="9"/>
      <c r="L8" s="20">
        <f>IF(OR(AD8=0,AF8&lt;&gt;"",AND(W8=1,V8&gt;0,OR(T8=1,U8=1))),"",AE8/1440)</f>
      </c>
      <c r="M8" s="21">
        <f>IF(OR(AD8=0,AF8&lt;&gt;""),"",AJ8)</f>
      </c>
      <c r="N8" s="21">
        <f>IF(AK8=0,"",AK8)</f>
      </c>
      <c r="O8" s="21">
        <f>IF(OR(AD8=0,AF8&lt;&gt;""),"",AJ8-AK8)</f>
      </c>
      <c r="P8" s="21">
        <f>IF(AND(AD8=1,AF8="",V8=2),AI8,"")</f>
      </c>
      <c r="Q8" s="21">
        <f>IF(OR($A8="",N(K8)=0),"",ROUND(K8*KmSatz,2))</f>
      </c>
      <c r="R8" s="22">
        <f>IF(AF8&amp;AL8="","",LEFT(AF8&amp;AL8,LEN(AF8&amp;AL8)-2))</f>
      </c>
      <c r="S8" s="1"/>
      <c r="T8" s="1">
        <f>IF(AND($A8&lt;&gt;"",ISNUMBER(C8)),1,0)</f>
      </c>
      <c r="U8" s="1">
        <f>IF(AND($A8&lt;&gt;"",ISNUMBER(D8)),1,0)</f>
      </c>
      <c r="V8" s="1">
        <f>IF($A8="",0,IF(E8="ja",1,IF(E8="Pauschale",2,0)))</f>
      </c>
      <c r="W8" s="1">
        <f>IF($A8="",0,IF(AU8&gt;0,1,0))</f>
      </c>
      <c r="X8" s="1">
        <f>IF(AND(T8=1,W8=0),1,0)</f>
      </c>
      <c r="Y8" s="1">
        <f>IF(AND(AS8=1,AT8=0,AU8=0),1,0)</f>
      </c>
      <c r="Z8" s="1">
        <f>IF(AND(Y8=1,T8=0,U8=1,V8=0),1,0)</f>
      </c>
      <c r="AA8" s="1">
        <f>IF(AND(X8=1,U8=0,V8=0,AN8=0,AO8=1,AP8=0),1,0)</f>
      </c>
      <c r="AB8" s="1">
        <f>IF(OR(W8=1,Z8=1),0,IF(T8=1,C8,0))</f>
      </c>
      <c r="AC8" s="1">
        <f>IF(OR(V8&gt;0,AA8=1),1,IF(U8=1,D8,1))</f>
      </c>
      <c r="AD8" s="1">
        <f>IF($A8="",0,IF(OR(T8=1,U8=1,V8&gt;0,W8=1),1,0))</f>
      </c>
      <c r="AE8" s="1">
        <f>IF(AD8=0,0,ROUND((AC8-AB8)*1440,0))</f>
      </c>
      <c r="AF8" s="1">
        <f>IF(AD8=0,"",IF(AND(F8&lt;&gt;"",ISNA(MATCH(F8,PauschLand,0))),"Land nicht in der Liste; ","")&amp;IF(AND(T8=0,W8=0,Z8=0),"Beginn fehlt; ","")&amp;IF(AND(V8=0,U8=0,AA8=0),"Ende fehlt; ","")&amp;IF(AND(X8=1,U8=1,V8=0,N(D8)&lt;N(C8)),"Ende vor Beginn (über Mitternacht: Ende in die Zeile des Folgetags); ",""))</f>
      </c>
      <c r="AG8" s="1">
        <f>IF(AD8=0,0,IFERROR(VLOOKUP(IF(F8="","Deutschland",F8),PauschTab,2,FALSE),0))</f>
      </c>
      <c r="AH8" s="1">
        <f>IF(AD8=0,0,IFERROR(VLOOKUP(IF(F8="","Deutschland",F8),PauschTab,3,FALSE),0))</f>
      </c>
      <c r="AI8" s="1">
        <f>IF(AD8=0,0,IFERROR(VLOOKUP(IF(F8="","Deutschland",F8),PauschTab,4,FALSE),0))</f>
      </c>
      <c r="AJ8" s="1">
        <f>IF(OR(AD8=0,AF8&lt;&gt;""),0,IF(AND(W8=1,V8&gt;0),IF(OR(T8=1,U8=1),AH8,AG8),IF(OR(W8=1,V8&gt;0),AH8,IF(AA8=1,IF(AND(AE8+AQ8&gt;480,AE8&gt;=AQ8),AH8,0),IF(Z8=1,IF(AND(AR8+AE8&gt;480,AE8&gt;AR8),AH8,0),IF(AE8&gt;480,AH8,0))))))</f>
      </c>
      <c r="AK8" s="1">
        <f>MIN(AJ8,AM8)</f>
      </c>
      <c r="AL8" s="1">
        <f>IF(OR(AD8=0,AF8&lt;&gt;""),"",IF(AND(W8=0,V8=0,AA8=0,Z8=0,AE8&lt;=480),"nicht mehr als 8 Std.; ","")&amp;IF(AA8=1,IF(AJ8&gt;0,"über Mitternacht, zusammen "&amp;TEXT((AE8+AQ8)/1440,"[h]:mm")&amp;" Std.; ",IF(AE8+AQ8&gt;480,"über Mitternacht: Pauschale am Folgetag; ","über Mitternacht, zusammen nicht mehr als 8 Std.; ")),"")&amp;IF(Z8=1,IF(AJ8&gt;0,"über Mitternacht, zusammen "&amp;TEXT((AR8+AE8)/1440,"[h]:mm")&amp;" Std.; ",IF(AR8+AE8&gt;480,"über Mitternacht: Pauschale am Vortag; ","über Mitternacht, zusammen nicht mehr als 8 Std.; ")),"")&amp;IF(AND(W8=1,V8&gt;0,OR(T8=1,U8=1)),"zwischendurch zu Hause: An- und Abreisetag; ","")&amp;IF(AND(W8=1,V8=0,T8=1),"Beginn leer lassen: unterwegs seit dem Vortag; ","")&amp;IF(AND(W8=0,V8&gt;0,U8=1),"Ende leer lassen: Übernachtung; ","")&amp;IF(AND(AJ8&gt;0,AM8&gt;AJ8),"Kürzung auf die Pauschale begrenzt; ",""))</f>
      </c>
      <c r="AM8" s="1">
        <f>ROUND(AG8*(IF(H8&lt;&gt;"",0.2,0)+IF(I8&lt;&gt;"",0.4,0)+IF(J8&lt;&gt;"",0.4,0)),2)</f>
      </c>
      <c r="AN8" s="1">
        <f>IF($A9="",'April'!$T$5,T9)</f>
      </c>
      <c r="AO8" s="1">
        <f>IF($A9="",'April'!$U$5,U9)</f>
      </c>
      <c r="AP8" s="1">
        <f>IF($A9="",'April'!$V$5,V9)</f>
      </c>
      <c r="AQ8" s="1">
        <f>IF($A9="",'April'!$AE$5,AE9)</f>
      </c>
      <c r="AR8" s="1">
        <f>AE7</f>
      </c>
      <c r="AS8" s="1">
        <f>X7</f>
      </c>
      <c r="AT8" s="1">
        <f>U7</f>
      </c>
      <c r="AU8" s="1">
        <f>V7</f>
      </c>
    </row>
    <row r="9" spans="1:47" x14ac:dyDescent="0.25">
      <c r="A9" s="17">
        <f>IF(MONTH(DATE(Jahr,3,5))=3,DATE(Jahr,3,5),"")</f>
      </c>
      <c r="B9" s="13">
        <f>IF(A9="","",CHOOSE(WEEKDAY(A9,2),"Mo","Di","Mi","Do","Fr","Sa","So"))</f>
      </c>
      <c r="C9" s="18"/>
      <c r="D9" s="18"/>
      <c r="E9" s="7"/>
      <c r="F9" s="7"/>
      <c r="G9" s="7"/>
      <c r="H9" s="19"/>
      <c r="I9" s="19"/>
      <c r="J9" s="19"/>
      <c r="K9" s="9"/>
      <c r="L9" s="20">
        <f>IF(OR(AD9=0,AF9&lt;&gt;"",AND(W9=1,V9&gt;0,OR(T9=1,U9=1))),"",AE9/1440)</f>
      </c>
      <c r="M9" s="21">
        <f>IF(OR(AD9=0,AF9&lt;&gt;""),"",AJ9)</f>
      </c>
      <c r="N9" s="21">
        <f>IF(AK9=0,"",AK9)</f>
      </c>
      <c r="O9" s="21">
        <f>IF(OR(AD9=0,AF9&lt;&gt;""),"",AJ9-AK9)</f>
      </c>
      <c r="P9" s="21">
        <f>IF(AND(AD9=1,AF9="",V9=2),AI9,"")</f>
      </c>
      <c r="Q9" s="21">
        <f>IF(OR($A9="",N(K9)=0),"",ROUND(K9*KmSatz,2))</f>
      </c>
      <c r="R9" s="22">
        <f>IF(AF9&amp;AL9="","",LEFT(AF9&amp;AL9,LEN(AF9&amp;AL9)-2))</f>
      </c>
      <c r="S9" s="1"/>
      <c r="T9" s="1">
        <f>IF(AND($A9&lt;&gt;"",ISNUMBER(C9)),1,0)</f>
      </c>
      <c r="U9" s="1">
        <f>IF(AND($A9&lt;&gt;"",ISNUMBER(D9)),1,0)</f>
      </c>
      <c r="V9" s="1">
        <f>IF($A9="",0,IF(E9="ja",1,IF(E9="Pauschale",2,0)))</f>
      </c>
      <c r="W9" s="1">
        <f>IF($A9="",0,IF(AU9&gt;0,1,0))</f>
      </c>
      <c r="X9" s="1">
        <f>IF(AND(T9=1,W9=0),1,0)</f>
      </c>
      <c r="Y9" s="1">
        <f>IF(AND(AS9=1,AT9=0,AU9=0),1,0)</f>
      </c>
      <c r="Z9" s="1">
        <f>IF(AND(Y9=1,T9=0,U9=1,V9=0),1,0)</f>
      </c>
      <c r="AA9" s="1">
        <f>IF(AND(X9=1,U9=0,V9=0,AN9=0,AO9=1,AP9=0),1,0)</f>
      </c>
      <c r="AB9" s="1">
        <f>IF(OR(W9=1,Z9=1),0,IF(T9=1,C9,0))</f>
      </c>
      <c r="AC9" s="1">
        <f>IF(OR(V9&gt;0,AA9=1),1,IF(U9=1,D9,1))</f>
      </c>
      <c r="AD9" s="1">
        <f>IF($A9="",0,IF(OR(T9=1,U9=1,V9&gt;0,W9=1),1,0))</f>
      </c>
      <c r="AE9" s="1">
        <f>IF(AD9=0,0,ROUND((AC9-AB9)*1440,0))</f>
      </c>
      <c r="AF9" s="1">
        <f>IF(AD9=0,"",IF(AND(F9&lt;&gt;"",ISNA(MATCH(F9,PauschLand,0))),"Land nicht in der Liste; ","")&amp;IF(AND(T9=0,W9=0,Z9=0),"Beginn fehlt; ","")&amp;IF(AND(V9=0,U9=0,AA9=0),"Ende fehlt; ","")&amp;IF(AND(X9=1,U9=1,V9=0,N(D9)&lt;N(C9)),"Ende vor Beginn (über Mitternacht: Ende in die Zeile des Folgetags); ",""))</f>
      </c>
      <c r="AG9" s="1">
        <f>IF(AD9=0,0,IFERROR(VLOOKUP(IF(F9="","Deutschland",F9),PauschTab,2,FALSE),0))</f>
      </c>
      <c r="AH9" s="1">
        <f>IF(AD9=0,0,IFERROR(VLOOKUP(IF(F9="","Deutschland",F9),PauschTab,3,FALSE),0))</f>
      </c>
      <c r="AI9" s="1">
        <f>IF(AD9=0,0,IFERROR(VLOOKUP(IF(F9="","Deutschland",F9),PauschTab,4,FALSE),0))</f>
      </c>
      <c r="AJ9" s="1">
        <f>IF(OR(AD9=0,AF9&lt;&gt;""),0,IF(AND(W9=1,V9&gt;0),IF(OR(T9=1,U9=1),AH9,AG9),IF(OR(W9=1,V9&gt;0),AH9,IF(AA9=1,IF(AND(AE9+AQ9&gt;480,AE9&gt;=AQ9),AH9,0),IF(Z9=1,IF(AND(AR9+AE9&gt;480,AE9&gt;AR9),AH9,0),IF(AE9&gt;480,AH9,0))))))</f>
      </c>
      <c r="AK9" s="1">
        <f>MIN(AJ9,AM9)</f>
      </c>
      <c r="AL9" s="1">
        <f>IF(OR(AD9=0,AF9&lt;&gt;""),"",IF(AND(W9=0,V9=0,AA9=0,Z9=0,AE9&lt;=480),"nicht mehr als 8 Std.; ","")&amp;IF(AA9=1,IF(AJ9&gt;0,"über Mitternacht, zusammen "&amp;TEXT((AE9+AQ9)/1440,"[h]:mm")&amp;" Std.; ",IF(AE9+AQ9&gt;480,"über Mitternacht: Pauschale am Folgetag; ","über Mitternacht, zusammen nicht mehr als 8 Std.; ")),"")&amp;IF(Z9=1,IF(AJ9&gt;0,"über Mitternacht, zusammen "&amp;TEXT((AR9+AE9)/1440,"[h]:mm")&amp;" Std.; ",IF(AR9+AE9&gt;480,"über Mitternacht: Pauschale am Vortag; ","über Mitternacht, zusammen nicht mehr als 8 Std.; ")),"")&amp;IF(AND(W9=1,V9&gt;0,OR(T9=1,U9=1)),"zwischendurch zu Hause: An- und Abreisetag; ","")&amp;IF(AND(W9=1,V9=0,T9=1),"Beginn leer lassen: unterwegs seit dem Vortag; ","")&amp;IF(AND(W9=0,V9&gt;0,U9=1),"Ende leer lassen: Übernachtung; ","")&amp;IF(AND(AJ9&gt;0,AM9&gt;AJ9),"Kürzung auf die Pauschale begrenzt; ",""))</f>
      </c>
      <c r="AM9" s="1">
        <f>ROUND(AG9*(IF(H9&lt;&gt;"",0.2,0)+IF(I9&lt;&gt;"",0.4,0)+IF(J9&lt;&gt;"",0.4,0)),2)</f>
      </c>
      <c r="AN9" s="1">
        <f>IF($A10="",'April'!$T$5,T10)</f>
      </c>
      <c r="AO9" s="1">
        <f>IF($A10="",'April'!$U$5,U10)</f>
      </c>
      <c r="AP9" s="1">
        <f>IF($A10="",'April'!$V$5,V10)</f>
      </c>
      <c r="AQ9" s="1">
        <f>IF($A10="",'April'!$AE$5,AE10)</f>
      </c>
      <c r="AR9" s="1">
        <f>AE8</f>
      </c>
      <c r="AS9" s="1">
        <f>X8</f>
      </c>
      <c r="AT9" s="1">
        <f>U8</f>
      </c>
      <c r="AU9" s="1">
        <f>V8</f>
      </c>
    </row>
    <row r="10" spans="1:47" x14ac:dyDescent="0.25">
      <c r="A10" s="17">
        <f>IF(MONTH(DATE(Jahr,3,6))=3,DATE(Jahr,3,6),"")</f>
      </c>
      <c r="B10" s="13">
        <f>IF(A10="","",CHOOSE(WEEKDAY(A10,2),"Mo","Di","Mi","Do","Fr","Sa","So"))</f>
      </c>
      <c r="C10" s="18"/>
      <c r="D10" s="18"/>
      <c r="E10" s="7"/>
      <c r="F10" s="7"/>
      <c r="G10" s="7"/>
      <c r="H10" s="19"/>
      <c r="I10" s="19"/>
      <c r="J10" s="19"/>
      <c r="K10" s="9"/>
      <c r="L10" s="20">
        <f>IF(OR(AD10=0,AF10&lt;&gt;"",AND(W10=1,V10&gt;0,OR(T10=1,U10=1))),"",AE10/1440)</f>
      </c>
      <c r="M10" s="21">
        <f>IF(OR(AD10=0,AF10&lt;&gt;""),"",AJ10)</f>
      </c>
      <c r="N10" s="21">
        <f>IF(AK10=0,"",AK10)</f>
      </c>
      <c r="O10" s="21">
        <f>IF(OR(AD10=0,AF10&lt;&gt;""),"",AJ10-AK10)</f>
      </c>
      <c r="P10" s="21">
        <f>IF(AND(AD10=1,AF10="",V10=2),AI10,"")</f>
      </c>
      <c r="Q10" s="21">
        <f>IF(OR($A10="",N(K10)=0),"",ROUND(K10*KmSatz,2))</f>
      </c>
      <c r="R10" s="22">
        <f>IF(AF10&amp;AL10="","",LEFT(AF10&amp;AL10,LEN(AF10&amp;AL10)-2))</f>
      </c>
      <c r="S10" s="1"/>
      <c r="T10" s="1">
        <f>IF(AND($A10&lt;&gt;"",ISNUMBER(C10)),1,0)</f>
      </c>
      <c r="U10" s="1">
        <f>IF(AND($A10&lt;&gt;"",ISNUMBER(D10)),1,0)</f>
      </c>
      <c r="V10" s="1">
        <f>IF($A10="",0,IF(E10="ja",1,IF(E10="Pauschale",2,0)))</f>
      </c>
      <c r="W10" s="1">
        <f>IF($A10="",0,IF(AU10&gt;0,1,0))</f>
      </c>
      <c r="X10" s="1">
        <f>IF(AND(T10=1,W10=0),1,0)</f>
      </c>
      <c r="Y10" s="1">
        <f>IF(AND(AS10=1,AT10=0,AU10=0),1,0)</f>
      </c>
      <c r="Z10" s="1">
        <f>IF(AND(Y10=1,T10=0,U10=1,V10=0),1,0)</f>
      </c>
      <c r="AA10" s="1">
        <f>IF(AND(X10=1,U10=0,V10=0,AN10=0,AO10=1,AP10=0),1,0)</f>
      </c>
      <c r="AB10" s="1">
        <f>IF(OR(W10=1,Z10=1),0,IF(T10=1,C10,0))</f>
      </c>
      <c r="AC10" s="1">
        <f>IF(OR(V10&gt;0,AA10=1),1,IF(U10=1,D10,1))</f>
      </c>
      <c r="AD10" s="1">
        <f>IF($A10="",0,IF(OR(T10=1,U10=1,V10&gt;0,W10=1),1,0))</f>
      </c>
      <c r="AE10" s="1">
        <f>IF(AD10=0,0,ROUND((AC10-AB10)*1440,0))</f>
      </c>
      <c r="AF10" s="1">
        <f>IF(AD10=0,"",IF(AND(F10&lt;&gt;"",ISNA(MATCH(F10,PauschLand,0))),"Land nicht in der Liste; ","")&amp;IF(AND(T10=0,W10=0,Z10=0),"Beginn fehlt; ","")&amp;IF(AND(V10=0,U10=0,AA10=0),"Ende fehlt; ","")&amp;IF(AND(X10=1,U10=1,V10=0,N(D10)&lt;N(C10)),"Ende vor Beginn (über Mitternacht: Ende in die Zeile des Folgetags); ",""))</f>
      </c>
      <c r="AG10" s="1">
        <f>IF(AD10=0,0,IFERROR(VLOOKUP(IF(F10="","Deutschland",F10),PauschTab,2,FALSE),0))</f>
      </c>
      <c r="AH10" s="1">
        <f>IF(AD10=0,0,IFERROR(VLOOKUP(IF(F10="","Deutschland",F10),PauschTab,3,FALSE),0))</f>
      </c>
      <c r="AI10" s="1">
        <f>IF(AD10=0,0,IFERROR(VLOOKUP(IF(F10="","Deutschland",F10),PauschTab,4,FALSE),0))</f>
      </c>
      <c r="AJ10" s="1">
        <f>IF(OR(AD10=0,AF10&lt;&gt;""),0,IF(AND(W10=1,V10&gt;0),IF(OR(T10=1,U10=1),AH10,AG10),IF(OR(W10=1,V10&gt;0),AH10,IF(AA10=1,IF(AND(AE10+AQ10&gt;480,AE10&gt;=AQ10),AH10,0),IF(Z10=1,IF(AND(AR10+AE10&gt;480,AE10&gt;AR10),AH10,0),IF(AE10&gt;480,AH10,0))))))</f>
      </c>
      <c r="AK10" s="1">
        <f>MIN(AJ10,AM10)</f>
      </c>
      <c r="AL10" s="1">
        <f>IF(OR(AD10=0,AF10&lt;&gt;""),"",IF(AND(W10=0,V10=0,AA10=0,Z10=0,AE10&lt;=480),"nicht mehr als 8 Std.; ","")&amp;IF(AA10=1,IF(AJ10&gt;0,"über Mitternacht, zusammen "&amp;TEXT((AE10+AQ10)/1440,"[h]:mm")&amp;" Std.; ",IF(AE10+AQ10&gt;480,"über Mitternacht: Pauschale am Folgetag; ","über Mitternacht, zusammen nicht mehr als 8 Std.; ")),"")&amp;IF(Z10=1,IF(AJ10&gt;0,"über Mitternacht, zusammen "&amp;TEXT((AR10+AE10)/1440,"[h]:mm")&amp;" Std.; ",IF(AR10+AE10&gt;480,"über Mitternacht: Pauschale am Vortag; ","über Mitternacht, zusammen nicht mehr als 8 Std.; ")),"")&amp;IF(AND(W10=1,V10&gt;0,OR(T10=1,U10=1)),"zwischendurch zu Hause: An- und Abreisetag; ","")&amp;IF(AND(W10=1,V10=0,T10=1),"Beginn leer lassen: unterwegs seit dem Vortag; ","")&amp;IF(AND(W10=0,V10&gt;0,U10=1),"Ende leer lassen: Übernachtung; ","")&amp;IF(AND(AJ10&gt;0,AM10&gt;AJ10),"Kürzung auf die Pauschale begrenzt; ",""))</f>
      </c>
      <c r="AM10" s="1">
        <f>ROUND(AG10*(IF(H10&lt;&gt;"",0.2,0)+IF(I10&lt;&gt;"",0.4,0)+IF(J10&lt;&gt;"",0.4,0)),2)</f>
      </c>
      <c r="AN10" s="1">
        <f>IF($A11="",'April'!$T$5,T11)</f>
      </c>
      <c r="AO10" s="1">
        <f>IF($A11="",'April'!$U$5,U11)</f>
      </c>
      <c r="AP10" s="1">
        <f>IF($A11="",'April'!$V$5,V11)</f>
      </c>
      <c r="AQ10" s="1">
        <f>IF($A11="",'April'!$AE$5,AE11)</f>
      </c>
      <c r="AR10" s="1">
        <f>AE9</f>
      </c>
      <c r="AS10" s="1">
        <f>X9</f>
      </c>
      <c r="AT10" s="1">
        <f>U9</f>
      </c>
      <c r="AU10" s="1">
        <f>V9</f>
      </c>
    </row>
    <row r="11" spans="1:47" x14ac:dyDescent="0.25">
      <c r="A11" s="17">
        <f>IF(MONTH(DATE(Jahr,3,7))=3,DATE(Jahr,3,7),"")</f>
      </c>
      <c r="B11" s="13">
        <f>IF(A11="","",CHOOSE(WEEKDAY(A11,2),"Mo","Di","Mi","Do","Fr","Sa","So"))</f>
      </c>
      <c r="C11" s="18"/>
      <c r="D11" s="18"/>
      <c r="E11" s="7"/>
      <c r="F11" s="7"/>
      <c r="G11" s="7"/>
      <c r="H11" s="19"/>
      <c r="I11" s="19"/>
      <c r="J11" s="19"/>
      <c r="K11" s="9"/>
      <c r="L11" s="20">
        <f>IF(OR(AD11=0,AF11&lt;&gt;"",AND(W11=1,V11&gt;0,OR(T11=1,U11=1))),"",AE11/1440)</f>
      </c>
      <c r="M11" s="21">
        <f>IF(OR(AD11=0,AF11&lt;&gt;""),"",AJ11)</f>
      </c>
      <c r="N11" s="21">
        <f>IF(AK11=0,"",AK11)</f>
      </c>
      <c r="O11" s="21">
        <f>IF(OR(AD11=0,AF11&lt;&gt;""),"",AJ11-AK11)</f>
      </c>
      <c r="P11" s="21">
        <f>IF(AND(AD11=1,AF11="",V11=2),AI11,"")</f>
      </c>
      <c r="Q11" s="21">
        <f>IF(OR($A11="",N(K11)=0),"",ROUND(K11*KmSatz,2))</f>
      </c>
      <c r="R11" s="22">
        <f>IF(AF11&amp;AL11="","",LEFT(AF11&amp;AL11,LEN(AF11&amp;AL11)-2))</f>
      </c>
      <c r="S11" s="1"/>
      <c r="T11" s="1">
        <f>IF(AND($A11&lt;&gt;"",ISNUMBER(C11)),1,0)</f>
      </c>
      <c r="U11" s="1">
        <f>IF(AND($A11&lt;&gt;"",ISNUMBER(D11)),1,0)</f>
      </c>
      <c r="V11" s="1">
        <f>IF($A11="",0,IF(E11="ja",1,IF(E11="Pauschale",2,0)))</f>
      </c>
      <c r="W11" s="1">
        <f>IF($A11="",0,IF(AU11&gt;0,1,0))</f>
      </c>
      <c r="X11" s="1">
        <f>IF(AND(T11=1,W11=0),1,0)</f>
      </c>
      <c r="Y11" s="1">
        <f>IF(AND(AS11=1,AT11=0,AU11=0),1,0)</f>
      </c>
      <c r="Z11" s="1">
        <f>IF(AND(Y11=1,T11=0,U11=1,V11=0),1,0)</f>
      </c>
      <c r="AA11" s="1">
        <f>IF(AND(X11=1,U11=0,V11=0,AN11=0,AO11=1,AP11=0),1,0)</f>
      </c>
      <c r="AB11" s="1">
        <f>IF(OR(W11=1,Z11=1),0,IF(T11=1,C11,0))</f>
      </c>
      <c r="AC11" s="1">
        <f>IF(OR(V11&gt;0,AA11=1),1,IF(U11=1,D11,1))</f>
      </c>
      <c r="AD11" s="1">
        <f>IF($A11="",0,IF(OR(T11=1,U11=1,V11&gt;0,W11=1),1,0))</f>
      </c>
      <c r="AE11" s="1">
        <f>IF(AD11=0,0,ROUND((AC11-AB11)*1440,0))</f>
      </c>
      <c r="AF11" s="1">
        <f>IF(AD11=0,"",IF(AND(F11&lt;&gt;"",ISNA(MATCH(F11,PauschLand,0))),"Land nicht in der Liste; ","")&amp;IF(AND(T11=0,W11=0,Z11=0),"Beginn fehlt; ","")&amp;IF(AND(V11=0,U11=0,AA11=0),"Ende fehlt; ","")&amp;IF(AND(X11=1,U11=1,V11=0,N(D11)&lt;N(C11)),"Ende vor Beginn (über Mitternacht: Ende in die Zeile des Folgetags); ",""))</f>
      </c>
      <c r="AG11" s="1">
        <f>IF(AD11=0,0,IFERROR(VLOOKUP(IF(F11="","Deutschland",F11),PauschTab,2,FALSE),0))</f>
      </c>
      <c r="AH11" s="1">
        <f>IF(AD11=0,0,IFERROR(VLOOKUP(IF(F11="","Deutschland",F11),PauschTab,3,FALSE),0))</f>
      </c>
      <c r="AI11" s="1">
        <f>IF(AD11=0,0,IFERROR(VLOOKUP(IF(F11="","Deutschland",F11),PauschTab,4,FALSE),0))</f>
      </c>
      <c r="AJ11" s="1">
        <f>IF(OR(AD11=0,AF11&lt;&gt;""),0,IF(AND(W11=1,V11&gt;0),IF(OR(T11=1,U11=1),AH11,AG11),IF(OR(W11=1,V11&gt;0),AH11,IF(AA11=1,IF(AND(AE11+AQ11&gt;480,AE11&gt;=AQ11),AH11,0),IF(Z11=1,IF(AND(AR11+AE11&gt;480,AE11&gt;AR11),AH11,0),IF(AE11&gt;480,AH11,0))))))</f>
      </c>
      <c r="AK11" s="1">
        <f>MIN(AJ11,AM11)</f>
      </c>
      <c r="AL11" s="1">
        <f>IF(OR(AD11=0,AF11&lt;&gt;""),"",IF(AND(W11=0,V11=0,AA11=0,Z11=0,AE11&lt;=480),"nicht mehr als 8 Std.; ","")&amp;IF(AA11=1,IF(AJ11&gt;0,"über Mitternacht, zusammen "&amp;TEXT((AE11+AQ11)/1440,"[h]:mm")&amp;" Std.; ",IF(AE11+AQ11&gt;480,"über Mitternacht: Pauschale am Folgetag; ","über Mitternacht, zusammen nicht mehr als 8 Std.; ")),"")&amp;IF(Z11=1,IF(AJ11&gt;0,"über Mitternacht, zusammen "&amp;TEXT((AR11+AE11)/1440,"[h]:mm")&amp;" Std.; ",IF(AR11+AE11&gt;480,"über Mitternacht: Pauschale am Vortag; ","über Mitternacht, zusammen nicht mehr als 8 Std.; ")),"")&amp;IF(AND(W11=1,V11&gt;0,OR(T11=1,U11=1)),"zwischendurch zu Hause: An- und Abreisetag; ","")&amp;IF(AND(W11=1,V11=0,T11=1),"Beginn leer lassen: unterwegs seit dem Vortag; ","")&amp;IF(AND(W11=0,V11&gt;0,U11=1),"Ende leer lassen: Übernachtung; ","")&amp;IF(AND(AJ11&gt;0,AM11&gt;AJ11),"Kürzung auf die Pauschale begrenzt; ",""))</f>
      </c>
      <c r="AM11" s="1">
        <f>ROUND(AG11*(IF(H11&lt;&gt;"",0.2,0)+IF(I11&lt;&gt;"",0.4,0)+IF(J11&lt;&gt;"",0.4,0)),2)</f>
      </c>
      <c r="AN11" s="1">
        <f>IF($A12="",'April'!$T$5,T12)</f>
      </c>
      <c r="AO11" s="1">
        <f>IF($A12="",'April'!$U$5,U12)</f>
      </c>
      <c r="AP11" s="1">
        <f>IF($A12="",'April'!$V$5,V12)</f>
      </c>
      <c r="AQ11" s="1">
        <f>IF($A12="",'April'!$AE$5,AE12)</f>
      </c>
      <c r="AR11" s="1">
        <f>AE10</f>
      </c>
      <c r="AS11" s="1">
        <f>X10</f>
      </c>
      <c r="AT11" s="1">
        <f>U10</f>
      </c>
      <c r="AU11" s="1">
        <f>V10</f>
      </c>
    </row>
    <row r="12" spans="1:47" x14ac:dyDescent="0.25">
      <c r="A12" s="17">
        <f>IF(MONTH(DATE(Jahr,3,8))=3,DATE(Jahr,3,8),"")</f>
      </c>
      <c r="B12" s="13">
        <f>IF(A12="","",CHOOSE(WEEKDAY(A12,2),"Mo","Di","Mi","Do","Fr","Sa","So"))</f>
      </c>
      <c r="C12" s="18"/>
      <c r="D12" s="18"/>
      <c r="E12" s="7"/>
      <c r="F12" s="7"/>
      <c r="G12" s="7"/>
      <c r="H12" s="19"/>
      <c r="I12" s="19"/>
      <c r="J12" s="19"/>
      <c r="K12" s="9"/>
      <c r="L12" s="20">
        <f>IF(OR(AD12=0,AF12&lt;&gt;"",AND(W12=1,V12&gt;0,OR(T12=1,U12=1))),"",AE12/1440)</f>
      </c>
      <c r="M12" s="21">
        <f>IF(OR(AD12=0,AF12&lt;&gt;""),"",AJ12)</f>
      </c>
      <c r="N12" s="21">
        <f>IF(AK12=0,"",AK12)</f>
      </c>
      <c r="O12" s="21">
        <f>IF(OR(AD12=0,AF12&lt;&gt;""),"",AJ12-AK12)</f>
      </c>
      <c r="P12" s="21">
        <f>IF(AND(AD12=1,AF12="",V12=2),AI12,"")</f>
      </c>
      <c r="Q12" s="21">
        <f>IF(OR($A12="",N(K12)=0),"",ROUND(K12*KmSatz,2))</f>
      </c>
      <c r="R12" s="22">
        <f>IF(AF12&amp;AL12="","",LEFT(AF12&amp;AL12,LEN(AF12&amp;AL12)-2))</f>
      </c>
      <c r="S12" s="1"/>
      <c r="T12" s="1">
        <f>IF(AND($A12&lt;&gt;"",ISNUMBER(C12)),1,0)</f>
      </c>
      <c r="U12" s="1">
        <f>IF(AND($A12&lt;&gt;"",ISNUMBER(D12)),1,0)</f>
      </c>
      <c r="V12" s="1">
        <f>IF($A12="",0,IF(E12="ja",1,IF(E12="Pauschale",2,0)))</f>
      </c>
      <c r="W12" s="1">
        <f>IF($A12="",0,IF(AU12&gt;0,1,0))</f>
      </c>
      <c r="X12" s="1">
        <f>IF(AND(T12=1,W12=0),1,0)</f>
      </c>
      <c r="Y12" s="1">
        <f>IF(AND(AS12=1,AT12=0,AU12=0),1,0)</f>
      </c>
      <c r="Z12" s="1">
        <f>IF(AND(Y12=1,T12=0,U12=1,V12=0),1,0)</f>
      </c>
      <c r="AA12" s="1">
        <f>IF(AND(X12=1,U12=0,V12=0,AN12=0,AO12=1,AP12=0),1,0)</f>
      </c>
      <c r="AB12" s="1">
        <f>IF(OR(W12=1,Z12=1),0,IF(T12=1,C12,0))</f>
      </c>
      <c r="AC12" s="1">
        <f>IF(OR(V12&gt;0,AA12=1),1,IF(U12=1,D12,1))</f>
      </c>
      <c r="AD12" s="1">
        <f>IF($A12="",0,IF(OR(T12=1,U12=1,V12&gt;0,W12=1),1,0))</f>
      </c>
      <c r="AE12" s="1">
        <f>IF(AD12=0,0,ROUND((AC12-AB12)*1440,0))</f>
      </c>
      <c r="AF12" s="1">
        <f>IF(AD12=0,"",IF(AND(F12&lt;&gt;"",ISNA(MATCH(F12,PauschLand,0))),"Land nicht in der Liste; ","")&amp;IF(AND(T12=0,W12=0,Z12=0),"Beginn fehlt; ","")&amp;IF(AND(V12=0,U12=0,AA12=0),"Ende fehlt; ","")&amp;IF(AND(X12=1,U12=1,V12=0,N(D12)&lt;N(C12)),"Ende vor Beginn (über Mitternacht: Ende in die Zeile des Folgetags); ",""))</f>
      </c>
      <c r="AG12" s="1">
        <f>IF(AD12=0,0,IFERROR(VLOOKUP(IF(F12="","Deutschland",F12),PauschTab,2,FALSE),0))</f>
      </c>
      <c r="AH12" s="1">
        <f>IF(AD12=0,0,IFERROR(VLOOKUP(IF(F12="","Deutschland",F12),PauschTab,3,FALSE),0))</f>
      </c>
      <c r="AI12" s="1">
        <f>IF(AD12=0,0,IFERROR(VLOOKUP(IF(F12="","Deutschland",F12),PauschTab,4,FALSE),0))</f>
      </c>
      <c r="AJ12" s="1">
        <f>IF(OR(AD12=0,AF12&lt;&gt;""),0,IF(AND(W12=1,V12&gt;0),IF(OR(T12=1,U12=1),AH12,AG12),IF(OR(W12=1,V12&gt;0),AH12,IF(AA12=1,IF(AND(AE12+AQ12&gt;480,AE12&gt;=AQ12),AH12,0),IF(Z12=1,IF(AND(AR12+AE12&gt;480,AE12&gt;AR12),AH12,0),IF(AE12&gt;480,AH12,0))))))</f>
      </c>
      <c r="AK12" s="1">
        <f>MIN(AJ12,AM12)</f>
      </c>
      <c r="AL12" s="1">
        <f>IF(OR(AD12=0,AF12&lt;&gt;""),"",IF(AND(W12=0,V12=0,AA12=0,Z12=0,AE12&lt;=480),"nicht mehr als 8 Std.; ","")&amp;IF(AA12=1,IF(AJ12&gt;0,"über Mitternacht, zusammen "&amp;TEXT((AE12+AQ12)/1440,"[h]:mm")&amp;" Std.; ",IF(AE12+AQ12&gt;480,"über Mitternacht: Pauschale am Folgetag; ","über Mitternacht, zusammen nicht mehr als 8 Std.; ")),"")&amp;IF(Z12=1,IF(AJ12&gt;0,"über Mitternacht, zusammen "&amp;TEXT((AR12+AE12)/1440,"[h]:mm")&amp;" Std.; ",IF(AR12+AE12&gt;480,"über Mitternacht: Pauschale am Vortag; ","über Mitternacht, zusammen nicht mehr als 8 Std.; ")),"")&amp;IF(AND(W12=1,V12&gt;0,OR(T12=1,U12=1)),"zwischendurch zu Hause: An- und Abreisetag; ","")&amp;IF(AND(W12=1,V12=0,T12=1),"Beginn leer lassen: unterwegs seit dem Vortag; ","")&amp;IF(AND(W12=0,V12&gt;0,U12=1),"Ende leer lassen: Übernachtung; ","")&amp;IF(AND(AJ12&gt;0,AM12&gt;AJ12),"Kürzung auf die Pauschale begrenzt; ",""))</f>
      </c>
      <c r="AM12" s="1">
        <f>ROUND(AG12*(IF(H12&lt;&gt;"",0.2,0)+IF(I12&lt;&gt;"",0.4,0)+IF(J12&lt;&gt;"",0.4,0)),2)</f>
      </c>
      <c r="AN12" s="1">
        <f>IF($A13="",'April'!$T$5,T13)</f>
      </c>
      <c r="AO12" s="1">
        <f>IF($A13="",'April'!$U$5,U13)</f>
      </c>
      <c r="AP12" s="1">
        <f>IF($A13="",'April'!$V$5,V13)</f>
      </c>
      <c r="AQ12" s="1">
        <f>IF($A13="",'April'!$AE$5,AE13)</f>
      </c>
      <c r="AR12" s="1">
        <f>AE11</f>
      </c>
      <c r="AS12" s="1">
        <f>X11</f>
      </c>
      <c r="AT12" s="1">
        <f>U11</f>
      </c>
      <c r="AU12" s="1">
        <f>V11</f>
      </c>
    </row>
    <row r="13" spans="1:47" x14ac:dyDescent="0.25">
      <c r="A13" s="17">
        <f>IF(MONTH(DATE(Jahr,3,9))=3,DATE(Jahr,3,9),"")</f>
      </c>
      <c r="B13" s="13">
        <f>IF(A13="","",CHOOSE(WEEKDAY(A13,2),"Mo","Di","Mi","Do","Fr","Sa","So"))</f>
      </c>
      <c r="C13" s="18"/>
      <c r="D13" s="18"/>
      <c r="E13" s="7"/>
      <c r="F13" s="7"/>
      <c r="G13" s="7"/>
      <c r="H13" s="19"/>
      <c r="I13" s="19"/>
      <c r="J13" s="19"/>
      <c r="K13" s="9"/>
      <c r="L13" s="20">
        <f>IF(OR(AD13=0,AF13&lt;&gt;"",AND(W13=1,V13&gt;0,OR(T13=1,U13=1))),"",AE13/1440)</f>
      </c>
      <c r="M13" s="21">
        <f>IF(OR(AD13=0,AF13&lt;&gt;""),"",AJ13)</f>
      </c>
      <c r="N13" s="21">
        <f>IF(AK13=0,"",AK13)</f>
      </c>
      <c r="O13" s="21">
        <f>IF(OR(AD13=0,AF13&lt;&gt;""),"",AJ13-AK13)</f>
      </c>
      <c r="P13" s="21">
        <f>IF(AND(AD13=1,AF13="",V13=2),AI13,"")</f>
      </c>
      <c r="Q13" s="21">
        <f>IF(OR($A13="",N(K13)=0),"",ROUND(K13*KmSatz,2))</f>
      </c>
      <c r="R13" s="22">
        <f>IF(AF13&amp;AL13="","",LEFT(AF13&amp;AL13,LEN(AF13&amp;AL13)-2))</f>
      </c>
      <c r="S13" s="1"/>
      <c r="T13" s="1">
        <f>IF(AND($A13&lt;&gt;"",ISNUMBER(C13)),1,0)</f>
      </c>
      <c r="U13" s="1">
        <f>IF(AND($A13&lt;&gt;"",ISNUMBER(D13)),1,0)</f>
      </c>
      <c r="V13" s="1">
        <f>IF($A13="",0,IF(E13="ja",1,IF(E13="Pauschale",2,0)))</f>
      </c>
      <c r="W13" s="1">
        <f>IF($A13="",0,IF(AU13&gt;0,1,0))</f>
      </c>
      <c r="X13" s="1">
        <f>IF(AND(T13=1,W13=0),1,0)</f>
      </c>
      <c r="Y13" s="1">
        <f>IF(AND(AS13=1,AT13=0,AU13=0),1,0)</f>
      </c>
      <c r="Z13" s="1">
        <f>IF(AND(Y13=1,T13=0,U13=1,V13=0),1,0)</f>
      </c>
      <c r="AA13" s="1">
        <f>IF(AND(X13=1,U13=0,V13=0,AN13=0,AO13=1,AP13=0),1,0)</f>
      </c>
      <c r="AB13" s="1">
        <f>IF(OR(W13=1,Z13=1),0,IF(T13=1,C13,0))</f>
      </c>
      <c r="AC13" s="1">
        <f>IF(OR(V13&gt;0,AA13=1),1,IF(U13=1,D13,1))</f>
      </c>
      <c r="AD13" s="1">
        <f>IF($A13="",0,IF(OR(T13=1,U13=1,V13&gt;0,W13=1),1,0))</f>
      </c>
      <c r="AE13" s="1">
        <f>IF(AD13=0,0,ROUND((AC13-AB13)*1440,0))</f>
      </c>
      <c r="AF13" s="1">
        <f>IF(AD13=0,"",IF(AND(F13&lt;&gt;"",ISNA(MATCH(F13,PauschLand,0))),"Land nicht in der Liste; ","")&amp;IF(AND(T13=0,W13=0,Z13=0),"Beginn fehlt; ","")&amp;IF(AND(V13=0,U13=0,AA13=0),"Ende fehlt; ","")&amp;IF(AND(X13=1,U13=1,V13=0,N(D13)&lt;N(C13)),"Ende vor Beginn (über Mitternacht: Ende in die Zeile des Folgetags); ",""))</f>
      </c>
      <c r="AG13" s="1">
        <f>IF(AD13=0,0,IFERROR(VLOOKUP(IF(F13="","Deutschland",F13),PauschTab,2,FALSE),0))</f>
      </c>
      <c r="AH13" s="1">
        <f>IF(AD13=0,0,IFERROR(VLOOKUP(IF(F13="","Deutschland",F13),PauschTab,3,FALSE),0))</f>
      </c>
      <c r="AI13" s="1">
        <f>IF(AD13=0,0,IFERROR(VLOOKUP(IF(F13="","Deutschland",F13),PauschTab,4,FALSE),0))</f>
      </c>
      <c r="AJ13" s="1">
        <f>IF(OR(AD13=0,AF13&lt;&gt;""),0,IF(AND(W13=1,V13&gt;0),IF(OR(T13=1,U13=1),AH13,AG13),IF(OR(W13=1,V13&gt;0),AH13,IF(AA13=1,IF(AND(AE13+AQ13&gt;480,AE13&gt;=AQ13),AH13,0),IF(Z13=1,IF(AND(AR13+AE13&gt;480,AE13&gt;AR13),AH13,0),IF(AE13&gt;480,AH13,0))))))</f>
      </c>
      <c r="AK13" s="1">
        <f>MIN(AJ13,AM13)</f>
      </c>
      <c r="AL13" s="1">
        <f>IF(OR(AD13=0,AF13&lt;&gt;""),"",IF(AND(W13=0,V13=0,AA13=0,Z13=0,AE13&lt;=480),"nicht mehr als 8 Std.; ","")&amp;IF(AA13=1,IF(AJ13&gt;0,"über Mitternacht, zusammen "&amp;TEXT((AE13+AQ13)/1440,"[h]:mm")&amp;" Std.; ",IF(AE13+AQ13&gt;480,"über Mitternacht: Pauschale am Folgetag; ","über Mitternacht, zusammen nicht mehr als 8 Std.; ")),"")&amp;IF(Z13=1,IF(AJ13&gt;0,"über Mitternacht, zusammen "&amp;TEXT((AR13+AE13)/1440,"[h]:mm")&amp;" Std.; ",IF(AR13+AE13&gt;480,"über Mitternacht: Pauschale am Vortag; ","über Mitternacht, zusammen nicht mehr als 8 Std.; ")),"")&amp;IF(AND(W13=1,V13&gt;0,OR(T13=1,U13=1)),"zwischendurch zu Hause: An- und Abreisetag; ","")&amp;IF(AND(W13=1,V13=0,T13=1),"Beginn leer lassen: unterwegs seit dem Vortag; ","")&amp;IF(AND(W13=0,V13&gt;0,U13=1),"Ende leer lassen: Übernachtung; ","")&amp;IF(AND(AJ13&gt;0,AM13&gt;AJ13),"Kürzung auf die Pauschale begrenzt; ",""))</f>
      </c>
      <c r="AM13" s="1">
        <f>ROUND(AG13*(IF(H13&lt;&gt;"",0.2,0)+IF(I13&lt;&gt;"",0.4,0)+IF(J13&lt;&gt;"",0.4,0)),2)</f>
      </c>
      <c r="AN13" s="1">
        <f>IF($A14="",'April'!$T$5,T14)</f>
      </c>
      <c r="AO13" s="1">
        <f>IF($A14="",'April'!$U$5,U14)</f>
      </c>
      <c r="AP13" s="1">
        <f>IF($A14="",'April'!$V$5,V14)</f>
      </c>
      <c r="AQ13" s="1">
        <f>IF($A14="",'April'!$AE$5,AE14)</f>
      </c>
      <c r="AR13" s="1">
        <f>AE12</f>
      </c>
      <c r="AS13" s="1">
        <f>X12</f>
      </c>
      <c r="AT13" s="1">
        <f>U12</f>
      </c>
      <c r="AU13" s="1">
        <f>V12</f>
      </c>
    </row>
    <row r="14" spans="1:47" x14ac:dyDescent="0.25">
      <c r="A14" s="17">
        <f>IF(MONTH(DATE(Jahr,3,10))=3,DATE(Jahr,3,10),"")</f>
      </c>
      <c r="B14" s="13">
        <f>IF(A14="","",CHOOSE(WEEKDAY(A14,2),"Mo","Di","Mi","Do","Fr","Sa","So"))</f>
      </c>
      <c r="C14" s="18"/>
      <c r="D14" s="18"/>
      <c r="E14" s="7"/>
      <c r="F14" s="7"/>
      <c r="G14" s="7"/>
      <c r="H14" s="19"/>
      <c r="I14" s="19"/>
      <c r="J14" s="19"/>
      <c r="K14" s="9"/>
      <c r="L14" s="20">
        <f>IF(OR(AD14=0,AF14&lt;&gt;"",AND(W14=1,V14&gt;0,OR(T14=1,U14=1))),"",AE14/1440)</f>
      </c>
      <c r="M14" s="21">
        <f>IF(OR(AD14=0,AF14&lt;&gt;""),"",AJ14)</f>
      </c>
      <c r="N14" s="21">
        <f>IF(AK14=0,"",AK14)</f>
      </c>
      <c r="O14" s="21">
        <f>IF(OR(AD14=0,AF14&lt;&gt;""),"",AJ14-AK14)</f>
      </c>
      <c r="P14" s="21">
        <f>IF(AND(AD14=1,AF14="",V14=2),AI14,"")</f>
      </c>
      <c r="Q14" s="21">
        <f>IF(OR($A14="",N(K14)=0),"",ROUND(K14*KmSatz,2))</f>
      </c>
      <c r="R14" s="22">
        <f>IF(AF14&amp;AL14="","",LEFT(AF14&amp;AL14,LEN(AF14&amp;AL14)-2))</f>
      </c>
      <c r="S14" s="1"/>
      <c r="T14" s="1">
        <f>IF(AND($A14&lt;&gt;"",ISNUMBER(C14)),1,0)</f>
      </c>
      <c r="U14" s="1">
        <f>IF(AND($A14&lt;&gt;"",ISNUMBER(D14)),1,0)</f>
      </c>
      <c r="V14" s="1">
        <f>IF($A14="",0,IF(E14="ja",1,IF(E14="Pauschale",2,0)))</f>
      </c>
      <c r="W14" s="1">
        <f>IF($A14="",0,IF(AU14&gt;0,1,0))</f>
      </c>
      <c r="X14" s="1">
        <f>IF(AND(T14=1,W14=0),1,0)</f>
      </c>
      <c r="Y14" s="1">
        <f>IF(AND(AS14=1,AT14=0,AU14=0),1,0)</f>
      </c>
      <c r="Z14" s="1">
        <f>IF(AND(Y14=1,T14=0,U14=1,V14=0),1,0)</f>
      </c>
      <c r="AA14" s="1">
        <f>IF(AND(X14=1,U14=0,V14=0,AN14=0,AO14=1,AP14=0),1,0)</f>
      </c>
      <c r="AB14" s="1">
        <f>IF(OR(W14=1,Z14=1),0,IF(T14=1,C14,0))</f>
      </c>
      <c r="AC14" s="1">
        <f>IF(OR(V14&gt;0,AA14=1),1,IF(U14=1,D14,1))</f>
      </c>
      <c r="AD14" s="1">
        <f>IF($A14="",0,IF(OR(T14=1,U14=1,V14&gt;0,W14=1),1,0))</f>
      </c>
      <c r="AE14" s="1">
        <f>IF(AD14=0,0,ROUND((AC14-AB14)*1440,0))</f>
      </c>
      <c r="AF14" s="1">
        <f>IF(AD14=0,"",IF(AND(F14&lt;&gt;"",ISNA(MATCH(F14,PauschLand,0))),"Land nicht in der Liste; ","")&amp;IF(AND(T14=0,W14=0,Z14=0),"Beginn fehlt; ","")&amp;IF(AND(V14=0,U14=0,AA14=0),"Ende fehlt; ","")&amp;IF(AND(X14=1,U14=1,V14=0,N(D14)&lt;N(C14)),"Ende vor Beginn (über Mitternacht: Ende in die Zeile des Folgetags); ",""))</f>
      </c>
      <c r="AG14" s="1">
        <f>IF(AD14=0,0,IFERROR(VLOOKUP(IF(F14="","Deutschland",F14),PauschTab,2,FALSE),0))</f>
      </c>
      <c r="AH14" s="1">
        <f>IF(AD14=0,0,IFERROR(VLOOKUP(IF(F14="","Deutschland",F14),PauschTab,3,FALSE),0))</f>
      </c>
      <c r="AI14" s="1">
        <f>IF(AD14=0,0,IFERROR(VLOOKUP(IF(F14="","Deutschland",F14),PauschTab,4,FALSE),0))</f>
      </c>
      <c r="AJ14" s="1">
        <f>IF(OR(AD14=0,AF14&lt;&gt;""),0,IF(AND(W14=1,V14&gt;0),IF(OR(T14=1,U14=1),AH14,AG14),IF(OR(W14=1,V14&gt;0),AH14,IF(AA14=1,IF(AND(AE14+AQ14&gt;480,AE14&gt;=AQ14),AH14,0),IF(Z14=1,IF(AND(AR14+AE14&gt;480,AE14&gt;AR14),AH14,0),IF(AE14&gt;480,AH14,0))))))</f>
      </c>
      <c r="AK14" s="1">
        <f>MIN(AJ14,AM14)</f>
      </c>
      <c r="AL14" s="1">
        <f>IF(OR(AD14=0,AF14&lt;&gt;""),"",IF(AND(W14=0,V14=0,AA14=0,Z14=0,AE14&lt;=480),"nicht mehr als 8 Std.; ","")&amp;IF(AA14=1,IF(AJ14&gt;0,"über Mitternacht, zusammen "&amp;TEXT((AE14+AQ14)/1440,"[h]:mm")&amp;" Std.; ",IF(AE14+AQ14&gt;480,"über Mitternacht: Pauschale am Folgetag; ","über Mitternacht, zusammen nicht mehr als 8 Std.; ")),"")&amp;IF(Z14=1,IF(AJ14&gt;0,"über Mitternacht, zusammen "&amp;TEXT((AR14+AE14)/1440,"[h]:mm")&amp;" Std.; ",IF(AR14+AE14&gt;480,"über Mitternacht: Pauschale am Vortag; ","über Mitternacht, zusammen nicht mehr als 8 Std.; ")),"")&amp;IF(AND(W14=1,V14&gt;0,OR(T14=1,U14=1)),"zwischendurch zu Hause: An- und Abreisetag; ","")&amp;IF(AND(W14=1,V14=0,T14=1),"Beginn leer lassen: unterwegs seit dem Vortag; ","")&amp;IF(AND(W14=0,V14&gt;0,U14=1),"Ende leer lassen: Übernachtung; ","")&amp;IF(AND(AJ14&gt;0,AM14&gt;AJ14),"Kürzung auf die Pauschale begrenzt; ",""))</f>
      </c>
      <c r="AM14" s="1">
        <f>ROUND(AG14*(IF(H14&lt;&gt;"",0.2,0)+IF(I14&lt;&gt;"",0.4,0)+IF(J14&lt;&gt;"",0.4,0)),2)</f>
      </c>
      <c r="AN14" s="1">
        <f>IF($A15="",'April'!$T$5,T15)</f>
      </c>
      <c r="AO14" s="1">
        <f>IF($A15="",'April'!$U$5,U15)</f>
      </c>
      <c r="AP14" s="1">
        <f>IF($A15="",'April'!$V$5,V15)</f>
      </c>
      <c r="AQ14" s="1">
        <f>IF($A15="",'April'!$AE$5,AE15)</f>
      </c>
      <c r="AR14" s="1">
        <f>AE13</f>
      </c>
      <c r="AS14" s="1">
        <f>X13</f>
      </c>
      <c r="AT14" s="1">
        <f>U13</f>
      </c>
      <c r="AU14" s="1">
        <f>V13</f>
      </c>
    </row>
    <row r="15" spans="1:47" x14ac:dyDescent="0.25">
      <c r="A15" s="17">
        <f>IF(MONTH(DATE(Jahr,3,11))=3,DATE(Jahr,3,11),"")</f>
      </c>
      <c r="B15" s="13">
        <f>IF(A15="","",CHOOSE(WEEKDAY(A15,2),"Mo","Di","Mi","Do","Fr","Sa","So"))</f>
      </c>
      <c r="C15" s="18"/>
      <c r="D15" s="18"/>
      <c r="E15" s="7"/>
      <c r="F15" s="7"/>
      <c r="G15" s="7"/>
      <c r="H15" s="19"/>
      <c r="I15" s="19"/>
      <c r="J15" s="19"/>
      <c r="K15" s="9"/>
      <c r="L15" s="20">
        <f>IF(OR(AD15=0,AF15&lt;&gt;"",AND(W15=1,V15&gt;0,OR(T15=1,U15=1))),"",AE15/1440)</f>
      </c>
      <c r="M15" s="21">
        <f>IF(OR(AD15=0,AF15&lt;&gt;""),"",AJ15)</f>
      </c>
      <c r="N15" s="21">
        <f>IF(AK15=0,"",AK15)</f>
      </c>
      <c r="O15" s="21">
        <f>IF(OR(AD15=0,AF15&lt;&gt;""),"",AJ15-AK15)</f>
      </c>
      <c r="P15" s="21">
        <f>IF(AND(AD15=1,AF15="",V15=2),AI15,"")</f>
      </c>
      <c r="Q15" s="21">
        <f>IF(OR($A15="",N(K15)=0),"",ROUND(K15*KmSatz,2))</f>
      </c>
      <c r="R15" s="22">
        <f>IF(AF15&amp;AL15="","",LEFT(AF15&amp;AL15,LEN(AF15&amp;AL15)-2))</f>
      </c>
      <c r="S15" s="1"/>
      <c r="T15" s="1">
        <f>IF(AND($A15&lt;&gt;"",ISNUMBER(C15)),1,0)</f>
      </c>
      <c r="U15" s="1">
        <f>IF(AND($A15&lt;&gt;"",ISNUMBER(D15)),1,0)</f>
      </c>
      <c r="V15" s="1">
        <f>IF($A15="",0,IF(E15="ja",1,IF(E15="Pauschale",2,0)))</f>
      </c>
      <c r="W15" s="1">
        <f>IF($A15="",0,IF(AU15&gt;0,1,0))</f>
      </c>
      <c r="X15" s="1">
        <f>IF(AND(T15=1,W15=0),1,0)</f>
      </c>
      <c r="Y15" s="1">
        <f>IF(AND(AS15=1,AT15=0,AU15=0),1,0)</f>
      </c>
      <c r="Z15" s="1">
        <f>IF(AND(Y15=1,T15=0,U15=1,V15=0),1,0)</f>
      </c>
      <c r="AA15" s="1">
        <f>IF(AND(X15=1,U15=0,V15=0,AN15=0,AO15=1,AP15=0),1,0)</f>
      </c>
      <c r="AB15" s="1">
        <f>IF(OR(W15=1,Z15=1),0,IF(T15=1,C15,0))</f>
      </c>
      <c r="AC15" s="1">
        <f>IF(OR(V15&gt;0,AA15=1),1,IF(U15=1,D15,1))</f>
      </c>
      <c r="AD15" s="1">
        <f>IF($A15="",0,IF(OR(T15=1,U15=1,V15&gt;0,W15=1),1,0))</f>
      </c>
      <c r="AE15" s="1">
        <f>IF(AD15=0,0,ROUND((AC15-AB15)*1440,0))</f>
      </c>
      <c r="AF15" s="1">
        <f>IF(AD15=0,"",IF(AND(F15&lt;&gt;"",ISNA(MATCH(F15,PauschLand,0))),"Land nicht in der Liste; ","")&amp;IF(AND(T15=0,W15=0,Z15=0),"Beginn fehlt; ","")&amp;IF(AND(V15=0,U15=0,AA15=0),"Ende fehlt; ","")&amp;IF(AND(X15=1,U15=1,V15=0,N(D15)&lt;N(C15)),"Ende vor Beginn (über Mitternacht: Ende in die Zeile des Folgetags); ",""))</f>
      </c>
      <c r="AG15" s="1">
        <f>IF(AD15=0,0,IFERROR(VLOOKUP(IF(F15="","Deutschland",F15),PauschTab,2,FALSE),0))</f>
      </c>
      <c r="AH15" s="1">
        <f>IF(AD15=0,0,IFERROR(VLOOKUP(IF(F15="","Deutschland",F15),PauschTab,3,FALSE),0))</f>
      </c>
      <c r="AI15" s="1">
        <f>IF(AD15=0,0,IFERROR(VLOOKUP(IF(F15="","Deutschland",F15),PauschTab,4,FALSE),0))</f>
      </c>
      <c r="AJ15" s="1">
        <f>IF(OR(AD15=0,AF15&lt;&gt;""),0,IF(AND(W15=1,V15&gt;0),IF(OR(T15=1,U15=1),AH15,AG15),IF(OR(W15=1,V15&gt;0),AH15,IF(AA15=1,IF(AND(AE15+AQ15&gt;480,AE15&gt;=AQ15),AH15,0),IF(Z15=1,IF(AND(AR15+AE15&gt;480,AE15&gt;AR15),AH15,0),IF(AE15&gt;480,AH15,0))))))</f>
      </c>
      <c r="AK15" s="1">
        <f>MIN(AJ15,AM15)</f>
      </c>
      <c r="AL15" s="1">
        <f>IF(OR(AD15=0,AF15&lt;&gt;""),"",IF(AND(W15=0,V15=0,AA15=0,Z15=0,AE15&lt;=480),"nicht mehr als 8 Std.; ","")&amp;IF(AA15=1,IF(AJ15&gt;0,"über Mitternacht, zusammen "&amp;TEXT((AE15+AQ15)/1440,"[h]:mm")&amp;" Std.; ",IF(AE15+AQ15&gt;480,"über Mitternacht: Pauschale am Folgetag; ","über Mitternacht, zusammen nicht mehr als 8 Std.; ")),"")&amp;IF(Z15=1,IF(AJ15&gt;0,"über Mitternacht, zusammen "&amp;TEXT((AR15+AE15)/1440,"[h]:mm")&amp;" Std.; ",IF(AR15+AE15&gt;480,"über Mitternacht: Pauschale am Vortag; ","über Mitternacht, zusammen nicht mehr als 8 Std.; ")),"")&amp;IF(AND(W15=1,V15&gt;0,OR(T15=1,U15=1)),"zwischendurch zu Hause: An- und Abreisetag; ","")&amp;IF(AND(W15=1,V15=0,T15=1),"Beginn leer lassen: unterwegs seit dem Vortag; ","")&amp;IF(AND(W15=0,V15&gt;0,U15=1),"Ende leer lassen: Übernachtung; ","")&amp;IF(AND(AJ15&gt;0,AM15&gt;AJ15),"Kürzung auf die Pauschale begrenzt; ",""))</f>
      </c>
      <c r="AM15" s="1">
        <f>ROUND(AG15*(IF(H15&lt;&gt;"",0.2,0)+IF(I15&lt;&gt;"",0.4,0)+IF(J15&lt;&gt;"",0.4,0)),2)</f>
      </c>
      <c r="AN15" s="1">
        <f>IF($A16="",'April'!$T$5,T16)</f>
      </c>
      <c r="AO15" s="1">
        <f>IF($A16="",'April'!$U$5,U16)</f>
      </c>
      <c r="AP15" s="1">
        <f>IF($A16="",'April'!$V$5,V16)</f>
      </c>
      <c r="AQ15" s="1">
        <f>IF($A16="",'April'!$AE$5,AE16)</f>
      </c>
      <c r="AR15" s="1">
        <f>AE14</f>
      </c>
      <c r="AS15" s="1">
        <f>X14</f>
      </c>
      <c r="AT15" s="1">
        <f>U14</f>
      </c>
      <c r="AU15" s="1">
        <f>V14</f>
      </c>
    </row>
    <row r="16" spans="1:47" x14ac:dyDescent="0.25">
      <c r="A16" s="17">
        <f>IF(MONTH(DATE(Jahr,3,12))=3,DATE(Jahr,3,12),"")</f>
      </c>
      <c r="B16" s="13">
        <f>IF(A16="","",CHOOSE(WEEKDAY(A16,2),"Mo","Di","Mi","Do","Fr","Sa","So"))</f>
      </c>
      <c r="C16" s="18"/>
      <c r="D16" s="18"/>
      <c r="E16" s="7"/>
      <c r="F16" s="7"/>
      <c r="G16" s="7"/>
      <c r="H16" s="19"/>
      <c r="I16" s="19"/>
      <c r="J16" s="19"/>
      <c r="K16" s="9"/>
      <c r="L16" s="20">
        <f>IF(OR(AD16=0,AF16&lt;&gt;"",AND(W16=1,V16&gt;0,OR(T16=1,U16=1))),"",AE16/1440)</f>
      </c>
      <c r="M16" s="21">
        <f>IF(OR(AD16=0,AF16&lt;&gt;""),"",AJ16)</f>
      </c>
      <c r="N16" s="21">
        <f>IF(AK16=0,"",AK16)</f>
      </c>
      <c r="O16" s="21">
        <f>IF(OR(AD16=0,AF16&lt;&gt;""),"",AJ16-AK16)</f>
      </c>
      <c r="P16" s="21">
        <f>IF(AND(AD16=1,AF16="",V16=2),AI16,"")</f>
      </c>
      <c r="Q16" s="21">
        <f>IF(OR($A16="",N(K16)=0),"",ROUND(K16*KmSatz,2))</f>
      </c>
      <c r="R16" s="22">
        <f>IF(AF16&amp;AL16="","",LEFT(AF16&amp;AL16,LEN(AF16&amp;AL16)-2))</f>
      </c>
      <c r="S16" s="1"/>
      <c r="T16" s="1">
        <f>IF(AND($A16&lt;&gt;"",ISNUMBER(C16)),1,0)</f>
      </c>
      <c r="U16" s="1">
        <f>IF(AND($A16&lt;&gt;"",ISNUMBER(D16)),1,0)</f>
      </c>
      <c r="V16" s="1">
        <f>IF($A16="",0,IF(E16="ja",1,IF(E16="Pauschale",2,0)))</f>
      </c>
      <c r="W16" s="1">
        <f>IF($A16="",0,IF(AU16&gt;0,1,0))</f>
      </c>
      <c r="X16" s="1">
        <f>IF(AND(T16=1,W16=0),1,0)</f>
      </c>
      <c r="Y16" s="1">
        <f>IF(AND(AS16=1,AT16=0,AU16=0),1,0)</f>
      </c>
      <c r="Z16" s="1">
        <f>IF(AND(Y16=1,T16=0,U16=1,V16=0),1,0)</f>
      </c>
      <c r="AA16" s="1">
        <f>IF(AND(X16=1,U16=0,V16=0,AN16=0,AO16=1,AP16=0),1,0)</f>
      </c>
      <c r="AB16" s="1">
        <f>IF(OR(W16=1,Z16=1),0,IF(T16=1,C16,0))</f>
      </c>
      <c r="AC16" s="1">
        <f>IF(OR(V16&gt;0,AA16=1),1,IF(U16=1,D16,1))</f>
      </c>
      <c r="AD16" s="1">
        <f>IF($A16="",0,IF(OR(T16=1,U16=1,V16&gt;0,W16=1),1,0))</f>
      </c>
      <c r="AE16" s="1">
        <f>IF(AD16=0,0,ROUND((AC16-AB16)*1440,0))</f>
      </c>
      <c r="AF16" s="1">
        <f>IF(AD16=0,"",IF(AND(F16&lt;&gt;"",ISNA(MATCH(F16,PauschLand,0))),"Land nicht in der Liste; ","")&amp;IF(AND(T16=0,W16=0,Z16=0),"Beginn fehlt; ","")&amp;IF(AND(V16=0,U16=0,AA16=0),"Ende fehlt; ","")&amp;IF(AND(X16=1,U16=1,V16=0,N(D16)&lt;N(C16)),"Ende vor Beginn (über Mitternacht: Ende in die Zeile des Folgetags); ",""))</f>
      </c>
      <c r="AG16" s="1">
        <f>IF(AD16=0,0,IFERROR(VLOOKUP(IF(F16="","Deutschland",F16),PauschTab,2,FALSE),0))</f>
      </c>
      <c r="AH16" s="1">
        <f>IF(AD16=0,0,IFERROR(VLOOKUP(IF(F16="","Deutschland",F16),PauschTab,3,FALSE),0))</f>
      </c>
      <c r="AI16" s="1">
        <f>IF(AD16=0,0,IFERROR(VLOOKUP(IF(F16="","Deutschland",F16),PauschTab,4,FALSE),0))</f>
      </c>
      <c r="AJ16" s="1">
        <f>IF(OR(AD16=0,AF16&lt;&gt;""),0,IF(AND(W16=1,V16&gt;0),IF(OR(T16=1,U16=1),AH16,AG16),IF(OR(W16=1,V16&gt;0),AH16,IF(AA16=1,IF(AND(AE16+AQ16&gt;480,AE16&gt;=AQ16),AH16,0),IF(Z16=1,IF(AND(AR16+AE16&gt;480,AE16&gt;AR16),AH16,0),IF(AE16&gt;480,AH16,0))))))</f>
      </c>
      <c r="AK16" s="1">
        <f>MIN(AJ16,AM16)</f>
      </c>
      <c r="AL16" s="1">
        <f>IF(OR(AD16=0,AF16&lt;&gt;""),"",IF(AND(W16=0,V16=0,AA16=0,Z16=0,AE16&lt;=480),"nicht mehr als 8 Std.; ","")&amp;IF(AA16=1,IF(AJ16&gt;0,"über Mitternacht, zusammen "&amp;TEXT((AE16+AQ16)/1440,"[h]:mm")&amp;" Std.; ",IF(AE16+AQ16&gt;480,"über Mitternacht: Pauschale am Folgetag; ","über Mitternacht, zusammen nicht mehr als 8 Std.; ")),"")&amp;IF(Z16=1,IF(AJ16&gt;0,"über Mitternacht, zusammen "&amp;TEXT((AR16+AE16)/1440,"[h]:mm")&amp;" Std.; ",IF(AR16+AE16&gt;480,"über Mitternacht: Pauschale am Vortag; ","über Mitternacht, zusammen nicht mehr als 8 Std.; ")),"")&amp;IF(AND(W16=1,V16&gt;0,OR(T16=1,U16=1)),"zwischendurch zu Hause: An- und Abreisetag; ","")&amp;IF(AND(W16=1,V16=0,T16=1),"Beginn leer lassen: unterwegs seit dem Vortag; ","")&amp;IF(AND(W16=0,V16&gt;0,U16=1),"Ende leer lassen: Übernachtung; ","")&amp;IF(AND(AJ16&gt;0,AM16&gt;AJ16),"Kürzung auf die Pauschale begrenzt; ",""))</f>
      </c>
      <c r="AM16" s="1">
        <f>ROUND(AG16*(IF(H16&lt;&gt;"",0.2,0)+IF(I16&lt;&gt;"",0.4,0)+IF(J16&lt;&gt;"",0.4,0)),2)</f>
      </c>
      <c r="AN16" s="1">
        <f>IF($A17="",'April'!$T$5,T17)</f>
      </c>
      <c r="AO16" s="1">
        <f>IF($A17="",'April'!$U$5,U17)</f>
      </c>
      <c r="AP16" s="1">
        <f>IF($A17="",'April'!$V$5,V17)</f>
      </c>
      <c r="AQ16" s="1">
        <f>IF($A17="",'April'!$AE$5,AE17)</f>
      </c>
      <c r="AR16" s="1">
        <f>AE15</f>
      </c>
      <c r="AS16" s="1">
        <f>X15</f>
      </c>
      <c r="AT16" s="1">
        <f>U15</f>
      </c>
      <c r="AU16" s="1">
        <f>V15</f>
      </c>
    </row>
    <row r="17" spans="1:47" x14ac:dyDescent="0.25">
      <c r="A17" s="17">
        <f>IF(MONTH(DATE(Jahr,3,13))=3,DATE(Jahr,3,13),"")</f>
      </c>
      <c r="B17" s="13">
        <f>IF(A17="","",CHOOSE(WEEKDAY(A17,2),"Mo","Di","Mi","Do","Fr","Sa","So"))</f>
      </c>
      <c r="C17" s="18"/>
      <c r="D17" s="18"/>
      <c r="E17" s="7"/>
      <c r="F17" s="7"/>
      <c r="G17" s="7"/>
      <c r="H17" s="19"/>
      <c r="I17" s="19"/>
      <c r="J17" s="19"/>
      <c r="K17" s="9"/>
      <c r="L17" s="20">
        <f>IF(OR(AD17=0,AF17&lt;&gt;"",AND(W17=1,V17&gt;0,OR(T17=1,U17=1))),"",AE17/1440)</f>
      </c>
      <c r="M17" s="21">
        <f>IF(OR(AD17=0,AF17&lt;&gt;""),"",AJ17)</f>
      </c>
      <c r="N17" s="21">
        <f>IF(AK17=0,"",AK17)</f>
      </c>
      <c r="O17" s="21">
        <f>IF(OR(AD17=0,AF17&lt;&gt;""),"",AJ17-AK17)</f>
      </c>
      <c r="P17" s="21">
        <f>IF(AND(AD17=1,AF17="",V17=2),AI17,"")</f>
      </c>
      <c r="Q17" s="21">
        <f>IF(OR($A17="",N(K17)=0),"",ROUND(K17*KmSatz,2))</f>
      </c>
      <c r="R17" s="22">
        <f>IF(AF17&amp;AL17="","",LEFT(AF17&amp;AL17,LEN(AF17&amp;AL17)-2))</f>
      </c>
      <c r="S17" s="1"/>
      <c r="T17" s="1">
        <f>IF(AND($A17&lt;&gt;"",ISNUMBER(C17)),1,0)</f>
      </c>
      <c r="U17" s="1">
        <f>IF(AND($A17&lt;&gt;"",ISNUMBER(D17)),1,0)</f>
      </c>
      <c r="V17" s="1">
        <f>IF($A17="",0,IF(E17="ja",1,IF(E17="Pauschale",2,0)))</f>
      </c>
      <c r="W17" s="1">
        <f>IF($A17="",0,IF(AU17&gt;0,1,0))</f>
      </c>
      <c r="X17" s="1">
        <f>IF(AND(T17=1,W17=0),1,0)</f>
      </c>
      <c r="Y17" s="1">
        <f>IF(AND(AS17=1,AT17=0,AU17=0),1,0)</f>
      </c>
      <c r="Z17" s="1">
        <f>IF(AND(Y17=1,T17=0,U17=1,V17=0),1,0)</f>
      </c>
      <c r="AA17" s="1">
        <f>IF(AND(X17=1,U17=0,V17=0,AN17=0,AO17=1,AP17=0),1,0)</f>
      </c>
      <c r="AB17" s="1">
        <f>IF(OR(W17=1,Z17=1),0,IF(T17=1,C17,0))</f>
      </c>
      <c r="AC17" s="1">
        <f>IF(OR(V17&gt;0,AA17=1),1,IF(U17=1,D17,1))</f>
      </c>
      <c r="AD17" s="1">
        <f>IF($A17="",0,IF(OR(T17=1,U17=1,V17&gt;0,W17=1),1,0))</f>
      </c>
      <c r="AE17" s="1">
        <f>IF(AD17=0,0,ROUND((AC17-AB17)*1440,0))</f>
      </c>
      <c r="AF17" s="1">
        <f>IF(AD17=0,"",IF(AND(F17&lt;&gt;"",ISNA(MATCH(F17,PauschLand,0))),"Land nicht in der Liste; ","")&amp;IF(AND(T17=0,W17=0,Z17=0),"Beginn fehlt; ","")&amp;IF(AND(V17=0,U17=0,AA17=0),"Ende fehlt; ","")&amp;IF(AND(X17=1,U17=1,V17=0,N(D17)&lt;N(C17)),"Ende vor Beginn (über Mitternacht: Ende in die Zeile des Folgetags); ",""))</f>
      </c>
      <c r="AG17" s="1">
        <f>IF(AD17=0,0,IFERROR(VLOOKUP(IF(F17="","Deutschland",F17),PauschTab,2,FALSE),0))</f>
      </c>
      <c r="AH17" s="1">
        <f>IF(AD17=0,0,IFERROR(VLOOKUP(IF(F17="","Deutschland",F17),PauschTab,3,FALSE),0))</f>
      </c>
      <c r="AI17" s="1">
        <f>IF(AD17=0,0,IFERROR(VLOOKUP(IF(F17="","Deutschland",F17),PauschTab,4,FALSE),0))</f>
      </c>
      <c r="AJ17" s="1">
        <f>IF(OR(AD17=0,AF17&lt;&gt;""),0,IF(AND(W17=1,V17&gt;0),IF(OR(T17=1,U17=1),AH17,AG17),IF(OR(W17=1,V17&gt;0),AH17,IF(AA17=1,IF(AND(AE17+AQ17&gt;480,AE17&gt;=AQ17),AH17,0),IF(Z17=1,IF(AND(AR17+AE17&gt;480,AE17&gt;AR17),AH17,0),IF(AE17&gt;480,AH17,0))))))</f>
      </c>
      <c r="AK17" s="1">
        <f>MIN(AJ17,AM17)</f>
      </c>
      <c r="AL17" s="1">
        <f>IF(OR(AD17=0,AF17&lt;&gt;""),"",IF(AND(W17=0,V17=0,AA17=0,Z17=0,AE17&lt;=480),"nicht mehr als 8 Std.; ","")&amp;IF(AA17=1,IF(AJ17&gt;0,"über Mitternacht, zusammen "&amp;TEXT((AE17+AQ17)/1440,"[h]:mm")&amp;" Std.; ",IF(AE17+AQ17&gt;480,"über Mitternacht: Pauschale am Folgetag; ","über Mitternacht, zusammen nicht mehr als 8 Std.; ")),"")&amp;IF(Z17=1,IF(AJ17&gt;0,"über Mitternacht, zusammen "&amp;TEXT((AR17+AE17)/1440,"[h]:mm")&amp;" Std.; ",IF(AR17+AE17&gt;480,"über Mitternacht: Pauschale am Vortag; ","über Mitternacht, zusammen nicht mehr als 8 Std.; ")),"")&amp;IF(AND(W17=1,V17&gt;0,OR(T17=1,U17=1)),"zwischendurch zu Hause: An- und Abreisetag; ","")&amp;IF(AND(W17=1,V17=0,T17=1),"Beginn leer lassen: unterwegs seit dem Vortag; ","")&amp;IF(AND(W17=0,V17&gt;0,U17=1),"Ende leer lassen: Übernachtung; ","")&amp;IF(AND(AJ17&gt;0,AM17&gt;AJ17),"Kürzung auf die Pauschale begrenzt; ",""))</f>
      </c>
      <c r="AM17" s="1">
        <f>ROUND(AG17*(IF(H17&lt;&gt;"",0.2,0)+IF(I17&lt;&gt;"",0.4,0)+IF(J17&lt;&gt;"",0.4,0)),2)</f>
      </c>
      <c r="AN17" s="1">
        <f>IF($A18="",'April'!$T$5,T18)</f>
      </c>
      <c r="AO17" s="1">
        <f>IF($A18="",'April'!$U$5,U18)</f>
      </c>
      <c r="AP17" s="1">
        <f>IF($A18="",'April'!$V$5,V18)</f>
      </c>
      <c r="AQ17" s="1">
        <f>IF($A18="",'April'!$AE$5,AE18)</f>
      </c>
      <c r="AR17" s="1">
        <f>AE16</f>
      </c>
      <c r="AS17" s="1">
        <f>X16</f>
      </c>
      <c r="AT17" s="1">
        <f>U16</f>
      </c>
      <c r="AU17" s="1">
        <f>V16</f>
      </c>
    </row>
    <row r="18" spans="1:47" x14ac:dyDescent="0.25">
      <c r="A18" s="17">
        <f>IF(MONTH(DATE(Jahr,3,14))=3,DATE(Jahr,3,14),"")</f>
      </c>
      <c r="B18" s="13">
        <f>IF(A18="","",CHOOSE(WEEKDAY(A18,2),"Mo","Di","Mi","Do","Fr","Sa","So"))</f>
      </c>
      <c r="C18" s="18"/>
      <c r="D18" s="18"/>
      <c r="E18" s="7"/>
      <c r="F18" s="7"/>
      <c r="G18" s="7"/>
      <c r="H18" s="19"/>
      <c r="I18" s="19"/>
      <c r="J18" s="19"/>
      <c r="K18" s="9"/>
      <c r="L18" s="20">
        <f>IF(OR(AD18=0,AF18&lt;&gt;"",AND(W18=1,V18&gt;0,OR(T18=1,U18=1))),"",AE18/1440)</f>
      </c>
      <c r="M18" s="21">
        <f>IF(OR(AD18=0,AF18&lt;&gt;""),"",AJ18)</f>
      </c>
      <c r="N18" s="21">
        <f>IF(AK18=0,"",AK18)</f>
      </c>
      <c r="O18" s="21">
        <f>IF(OR(AD18=0,AF18&lt;&gt;""),"",AJ18-AK18)</f>
      </c>
      <c r="P18" s="21">
        <f>IF(AND(AD18=1,AF18="",V18=2),AI18,"")</f>
      </c>
      <c r="Q18" s="21">
        <f>IF(OR($A18="",N(K18)=0),"",ROUND(K18*KmSatz,2))</f>
      </c>
      <c r="R18" s="22">
        <f>IF(AF18&amp;AL18="","",LEFT(AF18&amp;AL18,LEN(AF18&amp;AL18)-2))</f>
      </c>
      <c r="S18" s="1"/>
      <c r="T18" s="1">
        <f>IF(AND($A18&lt;&gt;"",ISNUMBER(C18)),1,0)</f>
      </c>
      <c r="U18" s="1">
        <f>IF(AND($A18&lt;&gt;"",ISNUMBER(D18)),1,0)</f>
      </c>
      <c r="V18" s="1">
        <f>IF($A18="",0,IF(E18="ja",1,IF(E18="Pauschale",2,0)))</f>
      </c>
      <c r="W18" s="1">
        <f>IF($A18="",0,IF(AU18&gt;0,1,0))</f>
      </c>
      <c r="X18" s="1">
        <f>IF(AND(T18=1,W18=0),1,0)</f>
      </c>
      <c r="Y18" s="1">
        <f>IF(AND(AS18=1,AT18=0,AU18=0),1,0)</f>
      </c>
      <c r="Z18" s="1">
        <f>IF(AND(Y18=1,T18=0,U18=1,V18=0),1,0)</f>
      </c>
      <c r="AA18" s="1">
        <f>IF(AND(X18=1,U18=0,V18=0,AN18=0,AO18=1,AP18=0),1,0)</f>
      </c>
      <c r="AB18" s="1">
        <f>IF(OR(W18=1,Z18=1),0,IF(T18=1,C18,0))</f>
      </c>
      <c r="AC18" s="1">
        <f>IF(OR(V18&gt;0,AA18=1),1,IF(U18=1,D18,1))</f>
      </c>
      <c r="AD18" s="1">
        <f>IF($A18="",0,IF(OR(T18=1,U18=1,V18&gt;0,W18=1),1,0))</f>
      </c>
      <c r="AE18" s="1">
        <f>IF(AD18=0,0,ROUND((AC18-AB18)*1440,0))</f>
      </c>
      <c r="AF18" s="1">
        <f>IF(AD18=0,"",IF(AND(F18&lt;&gt;"",ISNA(MATCH(F18,PauschLand,0))),"Land nicht in der Liste; ","")&amp;IF(AND(T18=0,W18=0,Z18=0),"Beginn fehlt; ","")&amp;IF(AND(V18=0,U18=0,AA18=0),"Ende fehlt; ","")&amp;IF(AND(X18=1,U18=1,V18=0,N(D18)&lt;N(C18)),"Ende vor Beginn (über Mitternacht: Ende in die Zeile des Folgetags); ",""))</f>
      </c>
      <c r="AG18" s="1">
        <f>IF(AD18=0,0,IFERROR(VLOOKUP(IF(F18="","Deutschland",F18),PauschTab,2,FALSE),0))</f>
      </c>
      <c r="AH18" s="1">
        <f>IF(AD18=0,0,IFERROR(VLOOKUP(IF(F18="","Deutschland",F18),PauschTab,3,FALSE),0))</f>
      </c>
      <c r="AI18" s="1">
        <f>IF(AD18=0,0,IFERROR(VLOOKUP(IF(F18="","Deutschland",F18),PauschTab,4,FALSE),0))</f>
      </c>
      <c r="AJ18" s="1">
        <f>IF(OR(AD18=0,AF18&lt;&gt;""),0,IF(AND(W18=1,V18&gt;0),IF(OR(T18=1,U18=1),AH18,AG18),IF(OR(W18=1,V18&gt;0),AH18,IF(AA18=1,IF(AND(AE18+AQ18&gt;480,AE18&gt;=AQ18),AH18,0),IF(Z18=1,IF(AND(AR18+AE18&gt;480,AE18&gt;AR18),AH18,0),IF(AE18&gt;480,AH18,0))))))</f>
      </c>
      <c r="AK18" s="1">
        <f>MIN(AJ18,AM18)</f>
      </c>
      <c r="AL18" s="1">
        <f>IF(OR(AD18=0,AF18&lt;&gt;""),"",IF(AND(W18=0,V18=0,AA18=0,Z18=0,AE18&lt;=480),"nicht mehr als 8 Std.; ","")&amp;IF(AA18=1,IF(AJ18&gt;0,"über Mitternacht, zusammen "&amp;TEXT((AE18+AQ18)/1440,"[h]:mm")&amp;" Std.; ",IF(AE18+AQ18&gt;480,"über Mitternacht: Pauschale am Folgetag; ","über Mitternacht, zusammen nicht mehr als 8 Std.; ")),"")&amp;IF(Z18=1,IF(AJ18&gt;0,"über Mitternacht, zusammen "&amp;TEXT((AR18+AE18)/1440,"[h]:mm")&amp;" Std.; ",IF(AR18+AE18&gt;480,"über Mitternacht: Pauschale am Vortag; ","über Mitternacht, zusammen nicht mehr als 8 Std.; ")),"")&amp;IF(AND(W18=1,V18&gt;0,OR(T18=1,U18=1)),"zwischendurch zu Hause: An- und Abreisetag; ","")&amp;IF(AND(W18=1,V18=0,T18=1),"Beginn leer lassen: unterwegs seit dem Vortag; ","")&amp;IF(AND(W18=0,V18&gt;0,U18=1),"Ende leer lassen: Übernachtung; ","")&amp;IF(AND(AJ18&gt;0,AM18&gt;AJ18),"Kürzung auf die Pauschale begrenzt; ",""))</f>
      </c>
      <c r="AM18" s="1">
        <f>ROUND(AG18*(IF(H18&lt;&gt;"",0.2,0)+IF(I18&lt;&gt;"",0.4,0)+IF(J18&lt;&gt;"",0.4,0)),2)</f>
      </c>
      <c r="AN18" s="1">
        <f>IF($A19="",'April'!$T$5,T19)</f>
      </c>
      <c r="AO18" s="1">
        <f>IF($A19="",'April'!$U$5,U19)</f>
      </c>
      <c r="AP18" s="1">
        <f>IF($A19="",'April'!$V$5,V19)</f>
      </c>
      <c r="AQ18" s="1">
        <f>IF($A19="",'April'!$AE$5,AE19)</f>
      </c>
      <c r="AR18" s="1">
        <f>AE17</f>
      </c>
      <c r="AS18" s="1">
        <f>X17</f>
      </c>
      <c r="AT18" s="1">
        <f>U17</f>
      </c>
      <c r="AU18" s="1">
        <f>V17</f>
      </c>
    </row>
    <row r="19" spans="1:47" x14ac:dyDescent="0.25">
      <c r="A19" s="17">
        <f>IF(MONTH(DATE(Jahr,3,15))=3,DATE(Jahr,3,15),"")</f>
      </c>
      <c r="B19" s="13">
        <f>IF(A19="","",CHOOSE(WEEKDAY(A19,2),"Mo","Di","Mi","Do","Fr","Sa","So"))</f>
      </c>
      <c r="C19" s="18"/>
      <c r="D19" s="18"/>
      <c r="E19" s="7"/>
      <c r="F19" s="7"/>
      <c r="G19" s="7"/>
      <c r="H19" s="19"/>
      <c r="I19" s="19"/>
      <c r="J19" s="19"/>
      <c r="K19" s="9"/>
      <c r="L19" s="20">
        <f>IF(OR(AD19=0,AF19&lt;&gt;"",AND(W19=1,V19&gt;0,OR(T19=1,U19=1))),"",AE19/1440)</f>
      </c>
      <c r="M19" s="21">
        <f>IF(OR(AD19=0,AF19&lt;&gt;""),"",AJ19)</f>
      </c>
      <c r="N19" s="21">
        <f>IF(AK19=0,"",AK19)</f>
      </c>
      <c r="O19" s="21">
        <f>IF(OR(AD19=0,AF19&lt;&gt;""),"",AJ19-AK19)</f>
      </c>
      <c r="P19" s="21">
        <f>IF(AND(AD19=1,AF19="",V19=2),AI19,"")</f>
      </c>
      <c r="Q19" s="21">
        <f>IF(OR($A19="",N(K19)=0),"",ROUND(K19*KmSatz,2))</f>
      </c>
      <c r="R19" s="22">
        <f>IF(AF19&amp;AL19="","",LEFT(AF19&amp;AL19,LEN(AF19&amp;AL19)-2))</f>
      </c>
      <c r="S19" s="1"/>
      <c r="T19" s="1">
        <f>IF(AND($A19&lt;&gt;"",ISNUMBER(C19)),1,0)</f>
      </c>
      <c r="U19" s="1">
        <f>IF(AND($A19&lt;&gt;"",ISNUMBER(D19)),1,0)</f>
      </c>
      <c r="V19" s="1">
        <f>IF($A19="",0,IF(E19="ja",1,IF(E19="Pauschale",2,0)))</f>
      </c>
      <c r="W19" s="1">
        <f>IF($A19="",0,IF(AU19&gt;0,1,0))</f>
      </c>
      <c r="X19" s="1">
        <f>IF(AND(T19=1,W19=0),1,0)</f>
      </c>
      <c r="Y19" s="1">
        <f>IF(AND(AS19=1,AT19=0,AU19=0),1,0)</f>
      </c>
      <c r="Z19" s="1">
        <f>IF(AND(Y19=1,T19=0,U19=1,V19=0),1,0)</f>
      </c>
      <c r="AA19" s="1">
        <f>IF(AND(X19=1,U19=0,V19=0,AN19=0,AO19=1,AP19=0),1,0)</f>
      </c>
      <c r="AB19" s="1">
        <f>IF(OR(W19=1,Z19=1),0,IF(T19=1,C19,0))</f>
      </c>
      <c r="AC19" s="1">
        <f>IF(OR(V19&gt;0,AA19=1),1,IF(U19=1,D19,1))</f>
      </c>
      <c r="AD19" s="1">
        <f>IF($A19="",0,IF(OR(T19=1,U19=1,V19&gt;0,W19=1),1,0))</f>
      </c>
      <c r="AE19" s="1">
        <f>IF(AD19=0,0,ROUND((AC19-AB19)*1440,0))</f>
      </c>
      <c r="AF19" s="1">
        <f>IF(AD19=0,"",IF(AND(F19&lt;&gt;"",ISNA(MATCH(F19,PauschLand,0))),"Land nicht in der Liste; ","")&amp;IF(AND(T19=0,W19=0,Z19=0),"Beginn fehlt; ","")&amp;IF(AND(V19=0,U19=0,AA19=0),"Ende fehlt; ","")&amp;IF(AND(X19=1,U19=1,V19=0,N(D19)&lt;N(C19)),"Ende vor Beginn (über Mitternacht: Ende in die Zeile des Folgetags); ",""))</f>
      </c>
      <c r="AG19" s="1">
        <f>IF(AD19=0,0,IFERROR(VLOOKUP(IF(F19="","Deutschland",F19),PauschTab,2,FALSE),0))</f>
      </c>
      <c r="AH19" s="1">
        <f>IF(AD19=0,0,IFERROR(VLOOKUP(IF(F19="","Deutschland",F19),PauschTab,3,FALSE),0))</f>
      </c>
      <c r="AI19" s="1">
        <f>IF(AD19=0,0,IFERROR(VLOOKUP(IF(F19="","Deutschland",F19),PauschTab,4,FALSE),0))</f>
      </c>
      <c r="AJ19" s="1">
        <f>IF(OR(AD19=0,AF19&lt;&gt;""),0,IF(AND(W19=1,V19&gt;0),IF(OR(T19=1,U19=1),AH19,AG19),IF(OR(W19=1,V19&gt;0),AH19,IF(AA19=1,IF(AND(AE19+AQ19&gt;480,AE19&gt;=AQ19),AH19,0),IF(Z19=1,IF(AND(AR19+AE19&gt;480,AE19&gt;AR19),AH19,0),IF(AE19&gt;480,AH19,0))))))</f>
      </c>
      <c r="AK19" s="1">
        <f>MIN(AJ19,AM19)</f>
      </c>
      <c r="AL19" s="1">
        <f>IF(OR(AD19=0,AF19&lt;&gt;""),"",IF(AND(W19=0,V19=0,AA19=0,Z19=0,AE19&lt;=480),"nicht mehr als 8 Std.; ","")&amp;IF(AA19=1,IF(AJ19&gt;0,"über Mitternacht, zusammen "&amp;TEXT((AE19+AQ19)/1440,"[h]:mm")&amp;" Std.; ",IF(AE19+AQ19&gt;480,"über Mitternacht: Pauschale am Folgetag; ","über Mitternacht, zusammen nicht mehr als 8 Std.; ")),"")&amp;IF(Z19=1,IF(AJ19&gt;0,"über Mitternacht, zusammen "&amp;TEXT((AR19+AE19)/1440,"[h]:mm")&amp;" Std.; ",IF(AR19+AE19&gt;480,"über Mitternacht: Pauschale am Vortag; ","über Mitternacht, zusammen nicht mehr als 8 Std.; ")),"")&amp;IF(AND(W19=1,V19&gt;0,OR(T19=1,U19=1)),"zwischendurch zu Hause: An- und Abreisetag; ","")&amp;IF(AND(W19=1,V19=0,T19=1),"Beginn leer lassen: unterwegs seit dem Vortag; ","")&amp;IF(AND(W19=0,V19&gt;0,U19=1),"Ende leer lassen: Übernachtung; ","")&amp;IF(AND(AJ19&gt;0,AM19&gt;AJ19),"Kürzung auf die Pauschale begrenzt; ",""))</f>
      </c>
      <c r="AM19" s="1">
        <f>ROUND(AG19*(IF(H19&lt;&gt;"",0.2,0)+IF(I19&lt;&gt;"",0.4,0)+IF(J19&lt;&gt;"",0.4,0)),2)</f>
      </c>
      <c r="AN19" s="1">
        <f>IF($A20="",'April'!$T$5,T20)</f>
      </c>
      <c r="AO19" s="1">
        <f>IF($A20="",'April'!$U$5,U20)</f>
      </c>
      <c r="AP19" s="1">
        <f>IF($A20="",'April'!$V$5,V20)</f>
      </c>
      <c r="AQ19" s="1">
        <f>IF($A20="",'April'!$AE$5,AE20)</f>
      </c>
      <c r="AR19" s="1">
        <f>AE18</f>
      </c>
      <c r="AS19" s="1">
        <f>X18</f>
      </c>
      <c r="AT19" s="1">
        <f>U18</f>
      </c>
      <c r="AU19" s="1">
        <f>V18</f>
      </c>
    </row>
    <row r="20" spans="1:47" x14ac:dyDescent="0.25">
      <c r="A20" s="17">
        <f>IF(MONTH(DATE(Jahr,3,16))=3,DATE(Jahr,3,16),"")</f>
      </c>
      <c r="B20" s="13">
        <f>IF(A20="","",CHOOSE(WEEKDAY(A20,2),"Mo","Di","Mi","Do","Fr","Sa","So"))</f>
      </c>
      <c r="C20" s="18"/>
      <c r="D20" s="18"/>
      <c r="E20" s="7"/>
      <c r="F20" s="7"/>
      <c r="G20" s="7"/>
      <c r="H20" s="19"/>
      <c r="I20" s="19"/>
      <c r="J20" s="19"/>
      <c r="K20" s="9"/>
      <c r="L20" s="20">
        <f>IF(OR(AD20=0,AF20&lt;&gt;"",AND(W20=1,V20&gt;0,OR(T20=1,U20=1))),"",AE20/1440)</f>
      </c>
      <c r="M20" s="21">
        <f>IF(OR(AD20=0,AF20&lt;&gt;""),"",AJ20)</f>
      </c>
      <c r="N20" s="21">
        <f>IF(AK20=0,"",AK20)</f>
      </c>
      <c r="O20" s="21">
        <f>IF(OR(AD20=0,AF20&lt;&gt;""),"",AJ20-AK20)</f>
      </c>
      <c r="P20" s="21">
        <f>IF(AND(AD20=1,AF20="",V20=2),AI20,"")</f>
      </c>
      <c r="Q20" s="21">
        <f>IF(OR($A20="",N(K20)=0),"",ROUND(K20*KmSatz,2))</f>
      </c>
      <c r="R20" s="22">
        <f>IF(AF20&amp;AL20="","",LEFT(AF20&amp;AL20,LEN(AF20&amp;AL20)-2))</f>
      </c>
      <c r="S20" s="1"/>
      <c r="T20" s="1">
        <f>IF(AND($A20&lt;&gt;"",ISNUMBER(C20)),1,0)</f>
      </c>
      <c r="U20" s="1">
        <f>IF(AND($A20&lt;&gt;"",ISNUMBER(D20)),1,0)</f>
      </c>
      <c r="V20" s="1">
        <f>IF($A20="",0,IF(E20="ja",1,IF(E20="Pauschale",2,0)))</f>
      </c>
      <c r="W20" s="1">
        <f>IF($A20="",0,IF(AU20&gt;0,1,0))</f>
      </c>
      <c r="X20" s="1">
        <f>IF(AND(T20=1,W20=0),1,0)</f>
      </c>
      <c r="Y20" s="1">
        <f>IF(AND(AS20=1,AT20=0,AU20=0),1,0)</f>
      </c>
      <c r="Z20" s="1">
        <f>IF(AND(Y20=1,T20=0,U20=1,V20=0),1,0)</f>
      </c>
      <c r="AA20" s="1">
        <f>IF(AND(X20=1,U20=0,V20=0,AN20=0,AO20=1,AP20=0),1,0)</f>
      </c>
      <c r="AB20" s="1">
        <f>IF(OR(W20=1,Z20=1),0,IF(T20=1,C20,0))</f>
      </c>
      <c r="AC20" s="1">
        <f>IF(OR(V20&gt;0,AA20=1),1,IF(U20=1,D20,1))</f>
      </c>
      <c r="AD20" s="1">
        <f>IF($A20="",0,IF(OR(T20=1,U20=1,V20&gt;0,W20=1),1,0))</f>
      </c>
      <c r="AE20" s="1">
        <f>IF(AD20=0,0,ROUND((AC20-AB20)*1440,0))</f>
      </c>
      <c r="AF20" s="1">
        <f>IF(AD20=0,"",IF(AND(F20&lt;&gt;"",ISNA(MATCH(F20,PauschLand,0))),"Land nicht in der Liste; ","")&amp;IF(AND(T20=0,W20=0,Z20=0),"Beginn fehlt; ","")&amp;IF(AND(V20=0,U20=0,AA20=0),"Ende fehlt; ","")&amp;IF(AND(X20=1,U20=1,V20=0,N(D20)&lt;N(C20)),"Ende vor Beginn (über Mitternacht: Ende in die Zeile des Folgetags); ",""))</f>
      </c>
      <c r="AG20" s="1">
        <f>IF(AD20=0,0,IFERROR(VLOOKUP(IF(F20="","Deutschland",F20),PauschTab,2,FALSE),0))</f>
      </c>
      <c r="AH20" s="1">
        <f>IF(AD20=0,0,IFERROR(VLOOKUP(IF(F20="","Deutschland",F20),PauschTab,3,FALSE),0))</f>
      </c>
      <c r="AI20" s="1">
        <f>IF(AD20=0,0,IFERROR(VLOOKUP(IF(F20="","Deutschland",F20),PauschTab,4,FALSE),0))</f>
      </c>
      <c r="AJ20" s="1">
        <f>IF(OR(AD20=0,AF20&lt;&gt;""),0,IF(AND(W20=1,V20&gt;0),IF(OR(T20=1,U20=1),AH20,AG20),IF(OR(W20=1,V20&gt;0),AH20,IF(AA20=1,IF(AND(AE20+AQ20&gt;480,AE20&gt;=AQ20),AH20,0),IF(Z20=1,IF(AND(AR20+AE20&gt;480,AE20&gt;AR20),AH20,0),IF(AE20&gt;480,AH20,0))))))</f>
      </c>
      <c r="AK20" s="1">
        <f>MIN(AJ20,AM20)</f>
      </c>
      <c r="AL20" s="1">
        <f>IF(OR(AD20=0,AF20&lt;&gt;""),"",IF(AND(W20=0,V20=0,AA20=0,Z20=0,AE20&lt;=480),"nicht mehr als 8 Std.; ","")&amp;IF(AA20=1,IF(AJ20&gt;0,"über Mitternacht, zusammen "&amp;TEXT((AE20+AQ20)/1440,"[h]:mm")&amp;" Std.; ",IF(AE20+AQ20&gt;480,"über Mitternacht: Pauschale am Folgetag; ","über Mitternacht, zusammen nicht mehr als 8 Std.; ")),"")&amp;IF(Z20=1,IF(AJ20&gt;0,"über Mitternacht, zusammen "&amp;TEXT((AR20+AE20)/1440,"[h]:mm")&amp;" Std.; ",IF(AR20+AE20&gt;480,"über Mitternacht: Pauschale am Vortag; ","über Mitternacht, zusammen nicht mehr als 8 Std.; ")),"")&amp;IF(AND(W20=1,V20&gt;0,OR(T20=1,U20=1)),"zwischendurch zu Hause: An- und Abreisetag; ","")&amp;IF(AND(W20=1,V20=0,T20=1),"Beginn leer lassen: unterwegs seit dem Vortag; ","")&amp;IF(AND(W20=0,V20&gt;0,U20=1),"Ende leer lassen: Übernachtung; ","")&amp;IF(AND(AJ20&gt;0,AM20&gt;AJ20),"Kürzung auf die Pauschale begrenzt; ",""))</f>
      </c>
      <c r="AM20" s="1">
        <f>ROUND(AG20*(IF(H20&lt;&gt;"",0.2,0)+IF(I20&lt;&gt;"",0.4,0)+IF(J20&lt;&gt;"",0.4,0)),2)</f>
      </c>
      <c r="AN20" s="1">
        <f>IF($A21="",'April'!$T$5,T21)</f>
      </c>
      <c r="AO20" s="1">
        <f>IF($A21="",'April'!$U$5,U21)</f>
      </c>
      <c r="AP20" s="1">
        <f>IF($A21="",'April'!$V$5,V21)</f>
      </c>
      <c r="AQ20" s="1">
        <f>IF($A21="",'April'!$AE$5,AE21)</f>
      </c>
      <c r="AR20" s="1">
        <f>AE19</f>
      </c>
      <c r="AS20" s="1">
        <f>X19</f>
      </c>
      <c r="AT20" s="1">
        <f>U19</f>
      </c>
      <c r="AU20" s="1">
        <f>V19</f>
      </c>
    </row>
    <row r="21" spans="1:47" x14ac:dyDescent="0.25">
      <c r="A21" s="17">
        <f>IF(MONTH(DATE(Jahr,3,17))=3,DATE(Jahr,3,17),"")</f>
      </c>
      <c r="B21" s="13">
        <f>IF(A21="","",CHOOSE(WEEKDAY(A21,2),"Mo","Di","Mi","Do","Fr","Sa","So"))</f>
      </c>
      <c r="C21" s="18"/>
      <c r="D21" s="18"/>
      <c r="E21" s="7"/>
      <c r="F21" s="7"/>
      <c r="G21" s="7"/>
      <c r="H21" s="19"/>
      <c r="I21" s="19"/>
      <c r="J21" s="19"/>
      <c r="K21" s="9"/>
      <c r="L21" s="20">
        <f>IF(OR(AD21=0,AF21&lt;&gt;"",AND(W21=1,V21&gt;0,OR(T21=1,U21=1))),"",AE21/1440)</f>
      </c>
      <c r="M21" s="21">
        <f>IF(OR(AD21=0,AF21&lt;&gt;""),"",AJ21)</f>
      </c>
      <c r="N21" s="21">
        <f>IF(AK21=0,"",AK21)</f>
      </c>
      <c r="O21" s="21">
        <f>IF(OR(AD21=0,AF21&lt;&gt;""),"",AJ21-AK21)</f>
      </c>
      <c r="P21" s="21">
        <f>IF(AND(AD21=1,AF21="",V21=2),AI21,"")</f>
      </c>
      <c r="Q21" s="21">
        <f>IF(OR($A21="",N(K21)=0),"",ROUND(K21*KmSatz,2))</f>
      </c>
      <c r="R21" s="22">
        <f>IF(AF21&amp;AL21="","",LEFT(AF21&amp;AL21,LEN(AF21&amp;AL21)-2))</f>
      </c>
      <c r="S21" s="1"/>
      <c r="T21" s="1">
        <f>IF(AND($A21&lt;&gt;"",ISNUMBER(C21)),1,0)</f>
      </c>
      <c r="U21" s="1">
        <f>IF(AND($A21&lt;&gt;"",ISNUMBER(D21)),1,0)</f>
      </c>
      <c r="V21" s="1">
        <f>IF($A21="",0,IF(E21="ja",1,IF(E21="Pauschale",2,0)))</f>
      </c>
      <c r="W21" s="1">
        <f>IF($A21="",0,IF(AU21&gt;0,1,0))</f>
      </c>
      <c r="X21" s="1">
        <f>IF(AND(T21=1,W21=0),1,0)</f>
      </c>
      <c r="Y21" s="1">
        <f>IF(AND(AS21=1,AT21=0,AU21=0),1,0)</f>
      </c>
      <c r="Z21" s="1">
        <f>IF(AND(Y21=1,T21=0,U21=1,V21=0),1,0)</f>
      </c>
      <c r="AA21" s="1">
        <f>IF(AND(X21=1,U21=0,V21=0,AN21=0,AO21=1,AP21=0),1,0)</f>
      </c>
      <c r="AB21" s="1">
        <f>IF(OR(W21=1,Z21=1),0,IF(T21=1,C21,0))</f>
      </c>
      <c r="AC21" s="1">
        <f>IF(OR(V21&gt;0,AA21=1),1,IF(U21=1,D21,1))</f>
      </c>
      <c r="AD21" s="1">
        <f>IF($A21="",0,IF(OR(T21=1,U21=1,V21&gt;0,W21=1),1,0))</f>
      </c>
      <c r="AE21" s="1">
        <f>IF(AD21=0,0,ROUND((AC21-AB21)*1440,0))</f>
      </c>
      <c r="AF21" s="1">
        <f>IF(AD21=0,"",IF(AND(F21&lt;&gt;"",ISNA(MATCH(F21,PauschLand,0))),"Land nicht in der Liste; ","")&amp;IF(AND(T21=0,W21=0,Z21=0),"Beginn fehlt; ","")&amp;IF(AND(V21=0,U21=0,AA21=0),"Ende fehlt; ","")&amp;IF(AND(X21=1,U21=1,V21=0,N(D21)&lt;N(C21)),"Ende vor Beginn (über Mitternacht: Ende in die Zeile des Folgetags); ",""))</f>
      </c>
      <c r="AG21" s="1">
        <f>IF(AD21=0,0,IFERROR(VLOOKUP(IF(F21="","Deutschland",F21),PauschTab,2,FALSE),0))</f>
      </c>
      <c r="AH21" s="1">
        <f>IF(AD21=0,0,IFERROR(VLOOKUP(IF(F21="","Deutschland",F21),PauschTab,3,FALSE),0))</f>
      </c>
      <c r="AI21" s="1">
        <f>IF(AD21=0,0,IFERROR(VLOOKUP(IF(F21="","Deutschland",F21),PauschTab,4,FALSE),0))</f>
      </c>
      <c r="AJ21" s="1">
        <f>IF(OR(AD21=0,AF21&lt;&gt;""),0,IF(AND(W21=1,V21&gt;0),IF(OR(T21=1,U21=1),AH21,AG21),IF(OR(W21=1,V21&gt;0),AH21,IF(AA21=1,IF(AND(AE21+AQ21&gt;480,AE21&gt;=AQ21),AH21,0),IF(Z21=1,IF(AND(AR21+AE21&gt;480,AE21&gt;AR21),AH21,0),IF(AE21&gt;480,AH21,0))))))</f>
      </c>
      <c r="AK21" s="1">
        <f>MIN(AJ21,AM21)</f>
      </c>
      <c r="AL21" s="1">
        <f>IF(OR(AD21=0,AF21&lt;&gt;""),"",IF(AND(W21=0,V21=0,AA21=0,Z21=0,AE21&lt;=480),"nicht mehr als 8 Std.; ","")&amp;IF(AA21=1,IF(AJ21&gt;0,"über Mitternacht, zusammen "&amp;TEXT((AE21+AQ21)/1440,"[h]:mm")&amp;" Std.; ",IF(AE21+AQ21&gt;480,"über Mitternacht: Pauschale am Folgetag; ","über Mitternacht, zusammen nicht mehr als 8 Std.; ")),"")&amp;IF(Z21=1,IF(AJ21&gt;0,"über Mitternacht, zusammen "&amp;TEXT((AR21+AE21)/1440,"[h]:mm")&amp;" Std.; ",IF(AR21+AE21&gt;480,"über Mitternacht: Pauschale am Vortag; ","über Mitternacht, zusammen nicht mehr als 8 Std.; ")),"")&amp;IF(AND(W21=1,V21&gt;0,OR(T21=1,U21=1)),"zwischendurch zu Hause: An- und Abreisetag; ","")&amp;IF(AND(W21=1,V21=0,T21=1),"Beginn leer lassen: unterwegs seit dem Vortag; ","")&amp;IF(AND(W21=0,V21&gt;0,U21=1),"Ende leer lassen: Übernachtung; ","")&amp;IF(AND(AJ21&gt;0,AM21&gt;AJ21),"Kürzung auf die Pauschale begrenzt; ",""))</f>
      </c>
      <c r="AM21" s="1">
        <f>ROUND(AG21*(IF(H21&lt;&gt;"",0.2,0)+IF(I21&lt;&gt;"",0.4,0)+IF(J21&lt;&gt;"",0.4,0)),2)</f>
      </c>
      <c r="AN21" s="1">
        <f>IF($A22="",'April'!$T$5,T22)</f>
      </c>
      <c r="AO21" s="1">
        <f>IF($A22="",'April'!$U$5,U22)</f>
      </c>
      <c r="AP21" s="1">
        <f>IF($A22="",'April'!$V$5,V22)</f>
      </c>
      <c r="AQ21" s="1">
        <f>IF($A22="",'April'!$AE$5,AE22)</f>
      </c>
      <c r="AR21" s="1">
        <f>AE20</f>
      </c>
      <c r="AS21" s="1">
        <f>X20</f>
      </c>
      <c r="AT21" s="1">
        <f>U20</f>
      </c>
      <c r="AU21" s="1">
        <f>V20</f>
      </c>
    </row>
    <row r="22" spans="1:47" x14ac:dyDescent="0.25">
      <c r="A22" s="17">
        <f>IF(MONTH(DATE(Jahr,3,18))=3,DATE(Jahr,3,18),"")</f>
      </c>
      <c r="B22" s="13">
        <f>IF(A22="","",CHOOSE(WEEKDAY(A22,2),"Mo","Di","Mi","Do","Fr","Sa","So"))</f>
      </c>
      <c r="C22" s="18"/>
      <c r="D22" s="18"/>
      <c r="E22" s="7"/>
      <c r="F22" s="7"/>
      <c r="G22" s="7"/>
      <c r="H22" s="19"/>
      <c r="I22" s="19"/>
      <c r="J22" s="19"/>
      <c r="K22" s="9"/>
      <c r="L22" s="20">
        <f>IF(OR(AD22=0,AF22&lt;&gt;"",AND(W22=1,V22&gt;0,OR(T22=1,U22=1))),"",AE22/1440)</f>
      </c>
      <c r="M22" s="21">
        <f>IF(OR(AD22=0,AF22&lt;&gt;""),"",AJ22)</f>
      </c>
      <c r="N22" s="21">
        <f>IF(AK22=0,"",AK22)</f>
      </c>
      <c r="O22" s="21">
        <f>IF(OR(AD22=0,AF22&lt;&gt;""),"",AJ22-AK22)</f>
      </c>
      <c r="P22" s="21">
        <f>IF(AND(AD22=1,AF22="",V22=2),AI22,"")</f>
      </c>
      <c r="Q22" s="21">
        <f>IF(OR($A22="",N(K22)=0),"",ROUND(K22*KmSatz,2))</f>
      </c>
      <c r="R22" s="22">
        <f>IF(AF22&amp;AL22="","",LEFT(AF22&amp;AL22,LEN(AF22&amp;AL22)-2))</f>
      </c>
      <c r="S22" s="1"/>
      <c r="T22" s="1">
        <f>IF(AND($A22&lt;&gt;"",ISNUMBER(C22)),1,0)</f>
      </c>
      <c r="U22" s="1">
        <f>IF(AND($A22&lt;&gt;"",ISNUMBER(D22)),1,0)</f>
      </c>
      <c r="V22" s="1">
        <f>IF($A22="",0,IF(E22="ja",1,IF(E22="Pauschale",2,0)))</f>
      </c>
      <c r="W22" s="1">
        <f>IF($A22="",0,IF(AU22&gt;0,1,0))</f>
      </c>
      <c r="X22" s="1">
        <f>IF(AND(T22=1,W22=0),1,0)</f>
      </c>
      <c r="Y22" s="1">
        <f>IF(AND(AS22=1,AT22=0,AU22=0),1,0)</f>
      </c>
      <c r="Z22" s="1">
        <f>IF(AND(Y22=1,T22=0,U22=1,V22=0),1,0)</f>
      </c>
      <c r="AA22" s="1">
        <f>IF(AND(X22=1,U22=0,V22=0,AN22=0,AO22=1,AP22=0),1,0)</f>
      </c>
      <c r="AB22" s="1">
        <f>IF(OR(W22=1,Z22=1),0,IF(T22=1,C22,0))</f>
      </c>
      <c r="AC22" s="1">
        <f>IF(OR(V22&gt;0,AA22=1),1,IF(U22=1,D22,1))</f>
      </c>
      <c r="AD22" s="1">
        <f>IF($A22="",0,IF(OR(T22=1,U22=1,V22&gt;0,W22=1),1,0))</f>
      </c>
      <c r="AE22" s="1">
        <f>IF(AD22=0,0,ROUND((AC22-AB22)*1440,0))</f>
      </c>
      <c r="AF22" s="1">
        <f>IF(AD22=0,"",IF(AND(F22&lt;&gt;"",ISNA(MATCH(F22,PauschLand,0))),"Land nicht in der Liste; ","")&amp;IF(AND(T22=0,W22=0,Z22=0),"Beginn fehlt; ","")&amp;IF(AND(V22=0,U22=0,AA22=0),"Ende fehlt; ","")&amp;IF(AND(X22=1,U22=1,V22=0,N(D22)&lt;N(C22)),"Ende vor Beginn (über Mitternacht: Ende in die Zeile des Folgetags); ",""))</f>
      </c>
      <c r="AG22" s="1">
        <f>IF(AD22=0,0,IFERROR(VLOOKUP(IF(F22="","Deutschland",F22),PauschTab,2,FALSE),0))</f>
      </c>
      <c r="AH22" s="1">
        <f>IF(AD22=0,0,IFERROR(VLOOKUP(IF(F22="","Deutschland",F22),PauschTab,3,FALSE),0))</f>
      </c>
      <c r="AI22" s="1">
        <f>IF(AD22=0,0,IFERROR(VLOOKUP(IF(F22="","Deutschland",F22),PauschTab,4,FALSE),0))</f>
      </c>
      <c r="AJ22" s="1">
        <f>IF(OR(AD22=0,AF22&lt;&gt;""),0,IF(AND(W22=1,V22&gt;0),IF(OR(T22=1,U22=1),AH22,AG22),IF(OR(W22=1,V22&gt;0),AH22,IF(AA22=1,IF(AND(AE22+AQ22&gt;480,AE22&gt;=AQ22),AH22,0),IF(Z22=1,IF(AND(AR22+AE22&gt;480,AE22&gt;AR22),AH22,0),IF(AE22&gt;480,AH22,0))))))</f>
      </c>
      <c r="AK22" s="1">
        <f>MIN(AJ22,AM22)</f>
      </c>
      <c r="AL22" s="1">
        <f>IF(OR(AD22=0,AF22&lt;&gt;""),"",IF(AND(W22=0,V22=0,AA22=0,Z22=0,AE22&lt;=480),"nicht mehr als 8 Std.; ","")&amp;IF(AA22=1,IF(AJ22&gt;0,"über Mitternacht, zusammen "&amp;TEXT((AE22+AQ22)/1440,"[h]:mm")&amp;" Std.; ",IF(AE22+AQ22&gt;480,"über Mitternacht: Pauschale am Folgetag; ","über Mitternacht, zusammen nicht mehr als 8 Std.; ")),"")&amp;IF(Z22=1,IF(AJ22&gt;0,"über Mitternacht, zusammen "&amp;TEXT((AR22+AE22)/1440,"[h]:mm")&amp;" Std.; ",IF(AR22+AE22&gt;480,"über Mitternacht: Pauschale am Vortag; ","über Mitternacht, zusammen nicht mehr als 8 Std.; ")),"")&amp;IF(AND(W22=1,V22&gt;0,OR(T22=1,U22=1)),"zwischendurch zu Hause: An- und Abreisetag; ","")&amp;IF(AND(W22=1,V22=0,T22=1),"Beginn leer lassen: unterwegs seit dem Vortag; ","")&amp;IF(AND(W22=0,V22&gt;0,U22=1),"Ende leer lassen: Übernachtung; ","")&amp;IF(AND(AJ22&gt;0,AM22&gt;AJ22),"Kürzung auf die Pauschale begrenzt; ",""))</f>
      </c>
      <c r="AM22" s="1">
        <f>ROUND(AG22*(IF(H22&lt;&gt;"",0.2,0)+IF(I22&lt;&gt;"",0.4,0)+IF(J22&lt;&gt;"",0.4,0)),2)</f>
      </c>
      <c r="AN22" s="1">
        <f>IF($A23="",'April'!$T$5,T23)</f>
      </c>
      <c r="AO22" s="1">
        <f>IF($A23="",'April'!$U$5,U23)</f>
      </c>
      <c r="AP22" s="1">
        <f>IF($A23="",'April'!$V$5,V23)</f>
      </c>
      <c r="AQ22" s="1">
        <f>IF($A23="",'April'!$AE$5,AE23)</f>
      </c>
      <c r="AR22" s="1">
        <f>AE21</f>
      </c>
      <c r="AS22" s="1">
        <f>X21</f>
      </c>
      <c r="AT22" s="1">
        <f>U21</f>
      </c>
      <c r="AU22" s="1">
        <f>V21</f>
      </c>
    </row>
    <row r="23" spans="1:47" x14ac:dyDescent="0.25">
      <c r="A23" s="17">
        <f>IF(MONTH(DATE(Jahr,3,19))=3,DATE(Jahr,3,19),"")</f>
      </c>
      <c r="B23" s="13">
        <f>IF(A23="","",CHOOSE(WEEKDAY(A23,2),"Mo","Di","Mi","Do","Fr","Sa","So"))</f>
      </c>
      <c r="C23" s="18"/>
      <c r="D23" s="18"/>
      <c r="E23" s="7"/>
      <c r="F23" s="7"/>
      <c r="G23" s="7"/>
      <c r="H23" s="19"/>
      <c r="I23" s="19"/>
      <c r="J23" s="19"/>
      <c r="K23" s="9"/>
      <c r="L23" s="20">
        <f>IF(OR(AD23=0,AF23&lt;&gt;"",AND(W23=1,V23&gt;0,OR(T23=1,U23=1))),"",AE23/1440)</f>
      </c>
      <c r="M23" s="21">
        <f>IF(OR(AD23=0,AF23&lt;&gt;""),"",AJ23)</f>
      </c>
      <c r="N23" s="21">
        <f>IF(AK23=0,"",AK23)</f>
      </c>
      <c r="O23" s="21">
        <f>IF(OR(AD23=0,AF23&lt;&gt;""),"",AJ23-AK23)</f>
      </c>
      <c r="P23" s="21">
        <f>IF(AND(AD23=1,AF23="",V23=2),AI23,"")</f>
      </c>
      <c r="Q23" s="21">
        <f>IF(OR($A23="",N(K23)=0),"",ROUND(K23*KmSatz,2))</f>
      </c>
      <c r="R23" s="22">
        <f>IF(AF23&amp;AL23="","",LEFT(AF23&amp;AL23,LEN(AF23&amp;AL23)-2))</f>
      </c>
      <c r="S23" s="1"/>
      <c r="T23" s="1">
        <f>IF(AND($A23&lt;&gt;"",ISNUMBER(C23)),1,0)</f>
      </c>
      <c r="U23" s="1">
        <f>IF(AND($A23&lt;&gt;"",ISNUMBER(D23)),1,0)</f>
      </c>
      <c r="V23" s="1">
        <f>IF($A23="",0,IF(E23="ja",1,IF(E23="Pauschale",2,0)))</f>
      </c>
      <c r="W23" s="1">
        <f>IF($A23="",0,IF(AU23&gt;0,1,0))</f>
      </c>
      <c r="X23" s="1">
        <f>IF(AND(T23=1,W23=0),1,0)</f>
      </c>
      <c r="Y23" s="1">
        <f>IF(AND(AS23=1,AT23=0,AU23=0),1,0)</f>
      </c>
      <c r="Z23" s="1">
        <f>IF(AND(Y23=1,T23=0,U23=1,V23=0),1,0)</f>
      </c>
      <c r="AA23" s="1">
        <f>IF(AND(X23=1,U23=0,V23=0,AN23=0,AO23=1,AP23=0),1,0)</f>
      </c>
      <c r="AB23" s="1">
        <f>IF(OR(W23=1,Z23=1),0,IF(T23=1,C23,0))</f>
      </c>
      <c r="AC23" s="1">
        <f>IF(OR(V23&gt;0,AA23=1),1,IF(U23=1,D23,1))</f>
      </c>
      <c r="AD23" s="1">
        <f>IF($A23="",0,IF(OR(T23=1,U23=1,V23&gt;0,W23=1),1,0))</f>
      </c>
      <c r="AE23" s="1">
        <f>IF(AD23=0,0,ROUND((AC23-AB23)*1440,0))</f>
      </c>
      <c r="AF23" s="1">
        <f>IF(AD23=0,"",IF(AND(F23&lt;&gt;"",ISNA(MATCH(F23,PauschLand,0))),"Land nicht in der Liste; ","")&amp;IF(AND(T23=0,W23=0,Z23=0),"Beginn fehlt; ","")&amp;IF(AND(V23=0,U23=0,AA23=0),"Ende fehlt; ","")&amp;IF(AND(X23=1,U23=1,V23=0,N(D23)&lt;N(C23)),"Ende vor Beginn (über Mitternacht: Ende in die Zeile des Folgetags); ",""))</f>
      </c>
      <c r="AG23" s="1">
        <f>IF(AD23=0,0,IFERROR(VLOOKUP(IF(F23="","Deutschland",F23),PauschTab,2,FALSE),0))</f>
      </c>
      <c r="AH23" s="1">
        <f>IF(AD23=0,0,IFERROR(VLOOKUP(IF(F23="","Deutschland",F23),PauschTab,3,FALSE),0))</f>
      </c>
      <c r="AI23" s="1">
        <f>IF(AD23=0,0,IFERROR(VLOOKUP(IF(F23="","Deutschland",F23),PauschTab,4,FALSE),0))</f>
      </c>
      <c r="AJ23" s="1">
        <f>IF(OR(AD23=0,AF23&lt;&gt;""),0,IF(AND(W23=1,V23&gt;0),IF(OR(T23=1,U23=1),AH23,AG23),IF(OR(W23=1,V23&gt;0),AH23,IF(AA23=1,IF(AND(AE23+AQ23&gt;480,AE23&gt;=AQ23),AH23,0),IF(Z23=1,IF(AND(AR23+AE23&gt;480,AE23&gt;AR23),AH23,0),IF(AE23&gt;480,AH23,0))))))</f>
      </c>
      <c r="AK23" s="1">
        <f>MIN(AJ23,AM23)</f>
      </c>
      <c r="AL23" s="1">
        <f>IF(OR(AD23=0,AF23&lt;&gt;""),"",IF(AND(W23=0,V23=0,AA23=0,Z23=0,AE23&lt;=480),"nicht mehr als 8 Std.; ","")&amp;IF(AA23=1,IF(AJ23&gt;0,"über Mitternacht, zusammen "&amp;TEXT((AE23+AQ23)/1440,"[h]:mm")&amp;" Std.; ",IF(AE23+AQ23&gt;480,"über Mitternacht: Pauschale am Folgetag; ","über Mitternacht, zusammen nicht mehr als 8 Std.; ")),"")&amp;IF(Z23=1,IF(AJ23&gt;0,"über Mitternacht, zusammen "&amp;TEXT((AR23+AE23)/1440,"[h]:mm")&amp;" Std.; ",IF(AR23+AE23&gt;480,"über Mitternacht: Pauschale am Vortag; ","über Mitternacht, zusammen nicht mehr als 8 Std.; ")),"")&amp;IF(AND(W23=1,V23&gt;0,OR(T23=1,U23=1)),"zwischendurch zu Hause: An- und Abreisetag; ","")&amp;IF(AND(W23=1,V23=0,T23=1),"Beginn leer lassen: unterwegs seit dem Vortag; ","")&amp;IF(AND(W23=0,V23&gt;0,U23=1),"Ende leer lassen: Übernachtung; ","")&amp;IF(AND(AJ23&gt;0,AM23&gt;AJ23),"Kürzung auf die Pauschale begrenzt; ",""))</f>
      </c>
      <c r="AM23" s="1">
        <f>ROUND(AG23*(IF(H23&lt;&gt;"",0.2,0)+IF(I23&lt;&gt;"",0.4,0)+IF(J23&lt;&gt;"",0.4,0)),2)</f>
      </c>
      <c r="AN23" s="1">
        <f>IF($A24="",'April'!$T$5,T24)</f>
      </c>
      <c r="AO23" s="1">
        <f>IF($A24="",'April'!$U$5,U24)</f>
      </c>
      <c r="AP23" s="1">
        <f>IF($A24="",'April'!$V$5,V24)</f>
      </c>
      <c r="AQ23" s="1">
        <f>IF($A24="",'April'!$AE$5,AE24)</f>
      </c>
      <c r="AR23" s="1">
        <f>AE22</f>
      </c>
      <c r="AS23" s="1">
        <f>X22</f>
      </c>
      <c r="AT23" s="1">
        <f>U22</f>
      </c>
      <c r="AU23" s="1">
        <f>V22</f>
      </c>
    </row>
    <row r="24" spans="1:47" x14ac:dyDescent="0.25">
      <c r="A24" s="17">
        <f>IF(MONTH(DATE(Jahr,3,20))=3,DATE(Jahr,3,20),"")</f>
      </c>
      <c r="B24" s="13">
        <f>IF(A24="","",CHOOSE(WEEKDAY(A24,2),"Mo","Di","Mi","Do","Fr","Sa","So"))</f>
      </c>
      <c r="C24" s="18"/>
      <c r="D24" s="18"/>
      <c r="E24" s="7"/>
      <c r="F24" s="7"/>
      <c r="G24" s="7"/>
      <c r="H24" s="19"/>
      <c r="I24" s="19"/>
      <c r="J24" s="19"/>
      <c r="K24" s="9"/>
      <c r="L24" s="20">
        <f>IF(OR(AD24=0,AF24&lt;&gt;"",AND(W24=1,V24&gt;0,OR(T24=1,U24=1))),"",AE24/1440)</f>
      </c>
      <c r="M24" s="21">
        <f>IF(OR(AD24=0,AF24&lt;&gt;""),"",AJ24)</f>
      </c>
      <c r="N24" s="21">
        <f>IF(AK24=0,"",AK24)</f>
      </c>
      <c r="O24" s="21">
        <f>IF(OR(AD24=0,AF24&lt;&gt;""),"",AJ24-AK24)</f>
      </c>
      <c r="P24" s="21">
        <f>IF(AND(AD24=1,AF24="",V24=2),AI24,"")</f>
      </c>
      <c r="Q24" s="21">
        <f>IF(OR($A24="",N(K24)=0),"",ROUND(K24*KmSatz,2))</f>
      </c>
      <c r="R24" s="22">
        <f>IF(AF24&amp;AL24="","",LEFT(AF24&amp;AL24,LEN(AF24&amp;AL24)-2))</f>
      </c>
      <c r="S24" s="1"/>
      <c r="T24" s="1">
        <f>IF(AND($A24&lt;&gt;"",ISNUMBER(C24)),1,0)</f>
      </c>
      <c r="U24" s="1">
        <f>IF(AND($A24&lt;&gt;"",ISNUMBER(D24)),1,0)</f>
      </c>
      <c r="V24" s="1">
        <f>IF($A24="",0,IF(E24="ja",1,IF(E24="Pauschale",2,0)))</f>
      </c>
      <c r="W24" s="1">
        <f>IF($A24="",0,IF(AU24&gt;0,1,0))</f>
      </c>
      <c r="X24" s="1">
        <f>IF(AND(T24=1,W24=0),1,0)</f>
      </c>
      <c r="Y24" s="1">
        <f>IF(AND(AS24=1,AT24=0,AU24=0),1,0)</f>
      </c>
      <c r="Z24" s="1">
        <f>IF(AND(Y24=1,T24=0,U24=1,V24=0),1,0)</f>
      </c>
      <c r="AA24" s="1">
        <f>IF(AND(X24=1,U24=0,V24=0,AN24=0,AO24=1,AP24=0),1,0)</f>
      </c>
      <c r="AB24" s="1">
        <f>IF(OR(W24=1,Z24=1),0,IF(T24=1,C24,0))</f>
      </c>
      <c r="AC24" s="1">
        <f>IF(OR(V24&gt;0,AA24=1),1,IF(U24=1,D24,1))</f>
      </c>
      <c r="AD24" s="1">
        <f>IF($A24="",0,IF(OR(T24=1,U24=1,V24&gt;0,W24=1),1,0))</f>
      </c>
      <c r="AE24" s="1">
        <f>IF(AD24=0,0,ROUND((AC24-AB24)*1440,0))</f>
      </c>
      <c r="AF24" s="1">
        <f>IF(AD24=0,"",IF(AND(F24&lt;&gt;"",ISNA(MATCH(F24,PauschLand,0))),"Land nicht in der Liste; ","")&amp;IF(AND(T24=0,W24=0,Z24=0),"Beginn fehlt; ","")&amp;IF(AND(V24=0,U24=0,AA24=0),"Ende fehlt; ","")&amp;IF(AND(X24=1,U24=1,V24=0,N(D24)&lt;N(C24)),"Ende vor Beginn (über Mitternacht: Ende in die Zeile des Folgetags); ",""))</f>
      </c>
      <c r="AG24" s="1">
        <f>IF(AD24=0,0,IFERROR(VLOOKUP(IF(F24="","Deutschland",F24),PauschTab,2,FALSE),0))</f>
      </c>
      <c r="AH24" s="1">
        <f>IF(AD24=0,0,IFERROR(VLOOKUP(IF(F24="","Deutschland",F24),PauschTab,3,FALSE),0))</f>
      </c>
      <c r="AI24" s="1">
        <f>IF(AD24=0,0,IFERROR(VLOOKUP(IF(F24="","Deutschland",F24),PauschTab,4,FALSE),0))</f>
      </c>
      <c r="AJ24" s="1">
        <f>IF(OR(AD24=0,AF24&lt;&gt;""),0,IF(AND(W24=1,V24&gt;0),IF(OR(T24=1,U24=1),AH24,AG24),IF(OR(W24=1,V24&gt;0),AH24,IF(AA24=1,IF(AND(AE24+AQ24&gt;480,AE24&gt;=AQ24),AH24,0),IF(Z24=1,IF(AND(AR24+AE24&gt;480,AE24&gt;AR24),AH24,0),IF(AE24&gt;480,AH24,0))))))</f>
      </c>
      <c r="AK24" s="1">
        <f>MIN(AJ24,AM24)</f>
      </c>
      <c r="AL24" s="1">
        <f>IF(OR(AD24=0,AF24&lt;&gt;""),"",IF(AND(W24=0,V24=0,AA24=0,Z24=0,AE24&lt;=480),"nicht mehr als 8 Std.; ","")&amp;IF(AA24=1,IF(AJ24&gt;0,"über Mitternacht, zusammen "&amp;TEXT((AE24+AQ24)/1440,"[h]:mm")&amp;" Std.; ",IF(AE24+AQ24&gt;480,"über Mitternacht: Pauschale am Folgetag; ","über Mitternacht, zusammen nicht mehr als 8 Std.; ")),"")&amp;IF(Z24=1,IF(AJ24&gt;0,"über Mitternacht, zusammen "&amp;TEXT((AR24+AE24)/1440,"[h]:mm")&amp;" Std.; ",IF(AR24+AE24&gt;480,"über Mitternacht: Pauschale am Vortag; ","über Mitternacht, zusammen nicht mehr als 8 Std.; ")),"")&amp;IF(AND(W24=1,V24&gt;0,OR(T24=1,U24=1)),"zwischendurch zu Hause: An- und Abreisetag; ","")&amp;IF(AND(W24=1,V24=0,T24=1),"Beginn leer lassen: unterwegs seit dem Vortag; ","")&amp;IF(AND(W24=0,V24&gt;0,U24=1),"Ende leer lassen: Übernachtung; ","")&amp;IF(AND(AJ24&gt;0,AM24&gt;AJ24),"Kürzung auf die Pauschale begrenzt; ",""))</f>
      </c>
      <c r="AM24" s="1">
        <f>ROUND(AG24*(IF(H24&lt;&gt;"",0.2,0)+IF(I24&lt;&gt;"",0.4,0)+IF(J24&lt;&gt;"",0.4,0)),2)</f>
      </c>
      <c r="AN24" s="1">
        <f>IF($A25="",'April'!$T$5,T25)</f>
      </c>
      <c r="AO24" s="1">
        <f>IF($A25="",'April'!$U$5,U25)</f>
      </c>
      <c r="AP24" s="1">
        <f>IF($A25="",'April'!$V$5,V25)</f>
      </c>
      <c r="AQ24" s="1">
        <f>IF($A25="",'April'!$AE$5,AE25)</f>
      </c>
      <c r="AR24" s="1">
        <f>AE23</f>
      </c>
      <c r="AS24" s="1">
        <f>X23</f>
      </c>
      <c r="AT24" s="1">
        <f>U23</f>
      </c>
      <c r="AU24" s="1">
        <f>V23</f>
      </c>
    </row>
    <row r="25" spans="1:47" x14ac:dyDescent="0.25">
      <c r="A25" s="17">
        <f>IF(MONTH(DATE(Jahr,3,21))=3,DATE(Jahr,3,21),"")</f>
      </c>
      <c r="B25" s="13">
        <f>IF(A25="","",CHOOSE(WEEKDAY(A25,2),"Mo","Di","Mi","Do","Fr","Sa","So"))</f>
      </c>
      <c r="C25" s="18"/>
      <c r="D25" s="18"/>
      <c r="E25" s="7"/>
      <c r="F25" s="7"/>
      <c r="G25" s="7"/>
      <c r="H25" s="19"/>
      <c r="I25" s="19"/>
      <c r="J25" s="19"/>
      <c r="K25" s="9"/>
      <c r="L25" s="20">
        <f>IF(OR(AD25=0,AF25&lt;&gt;"",AND(W25=1,V25&gt;0,OR(T25=1,U25=1))),"",AE25/1440)</f>
      </c>
      <c r="M25" s="21">
        <f>IF(OR(AD25=0,AF25&lt;&gt;""),"",AJ25)</f>
      </c>
      <c r="N25" s="21">
        <f>IF(AK25=0,"",AK25)</f>
      </c>
      <c r="O25" s="21">
        <f>IF(OR(AD25=0,AF25&lt;&gt;""),"",AJ25-AK25)</f>
      </c>
      <c r="P25" s="21">
        <f>IF(AND(AD25=1,AF25="",V25=2),AI25,"")</f>
      </c>
      <c r="Q25" s="21">
        <f>IF(OR($A25="",N(K25)=0),"",ROUND(K25*KmSatz,2))</f>
      </c>
      <c r="R25" s="22">
        <f>IF(AF25&amp;AL25="","",LEFT(AF25&amp;AL25,LEN(AF25&amp;AL25)-2))</f>
      </c>
      <c r="S25" s="1"/>
      <c r="T25" s="1">
        <f>IF(AND($A25&lt;&gt;"",ISNUMBER(C25)),1,0)</f>
      </c>
      <c r="U25" s="1">
        <f>IF(AND($A25&lt;&gt;"",ISNUMBER(D25)),1,0)</f>
      </c>
      <c r="V25" s="1">
        <f>IF($A25="",0,IF(E25="ja",1,IF(E25="Pauschale",2,0)))</f>
      </c>
      <c r="W25" s="1">
        <f>IF($A25="",0,IF(AU25&gt;0,1,0))</f>
      </c>
      <c r="X25" s="1">
        <f>IF(AND(T25=1,W25=0),1,0)</f>
      </c>
      <c r="Y25" s="1">
        <f>IF(AND(AS25=1,AT25=0,AU25=0),1,0)</f>
      </c>
      <c r="Z25" s="1">
        <f>IF(AND(Y25=1,T25=0,U25=1,V25=0),1,0)</f>
      </c>
      <c r="AA25" s="1">
        <f>IF(AND(X25=1,U25=0,V25=0,AN25=0,AO25=1,AP25=0),1,0)</f>
      </c>
      <c r="AB25" s="1">
        <f>IF(OR(W25=1,Z25=1),0,IF(T25=1,C25,0))</f>
      </c>
      <c r="AC25" s="1">
        <f>IF(OR(V25&gt;0,AA25=1),1,IF(U25=1,D25,1))</f>
      </c>
      <c r="AD25" s="1">
        <f>IF($A25="",0,IF(OR(T25=1,U25=1,V25&gt;0,W25=1),1,0))</f>
      </c>
      <c r="AE25" s="1">
        <f>IF(AD25=0,0,ROUND((AC25-AB25)*1440,0))</f>
      </c>
      <c r="AF25" s="1">
        <f>IF(AD25=0,"",IF(AND(F25&lt;&gt;"",ISNA(MATCH(F25,PauschLand,0))),"Land nicht in der Liste; ","")&amp;IF(AND(T25=0,W25=0,Z25=0),"Beginn fehlt; ","")&amp;IF(AND(V25=0,U25=0,AA25=0),"Ende fehlt; ","")&amp;IF(AND(X25=1,U25=1,V25=0,N(D25)&lt;N(C25)),"Ende vor Beginn (über Mitternacht: Ende in die Zeile des Folgetags); ",""))</f>
      </c>
      <c r="AG25" s="1">
        <f>IF(AD25=0,0,IFERROR(VLOOKUP(IF(F25="","Deutschland",F25),PauschTab,2,FALSE),0))</f>
      </c>
      <c r="AH25" s="1">
        <f>IF(AD25=0,0,IFERROR(VLOOKUP(IF(F25="","Deutschland",F25),PauschTab,3,FALSE),0))</f>
      </c>
      <c r="AI25" s="1">
        <f>IF(AD25=0,0,IFERROR(VLOOKUP(IF(F25="","Deutschland",F25),PauschTab,4,FALSE),0))</f>
      </c>
      <c r="AJ25" s="1">
        <f>IF(OR(AD25=0,AF25&lt;&gt;""),0,IF(AND(W25=1,V25&gt;0),IF(OR(T25=1,U25=1),AH25,AG25),IF(OR(W25=1,V25&gt;0),AH25,IF(AA25=1,IF(AND(AE25+AQ25&gt;480,AE25&gt;=AQ25),AH25,0),IF(Z25=1,IF(AND(AR25+AE25&gt;480,AE25&gt;AR25),AH25,0),IF(AE25&gt;480,AH25,0))))))</f>
      </c>
      <c r="AK25" s="1">
        <f>MIN(AJ25,AM25)</f>
      </c>
      <c r="AL25" s="1">
        <f>IF(OR(AD25=0,AF25&lt;&gt;""),"",IF(AND(W25=0,V25=0,AA25=0,Z25=0,AE25&lt;=480),"nicht mehr als 8 Std.; ","")&amp;IF(AA25=1,IF(AJ25&gt;0,"über Mitternacht, zusammen "&amp;TEXT((AE25+AQ25)/1440,"[h]:mm")&amp;" Std.; ",IF(AE25+AQ25&gt;480,"über Mitternacht: Pauschale am Folgetag; ","über Mitternacht, zusammen nicht mehr als 8 Std.; ")),"")&amp;IF(Z25=1,IF(AJ25&gt;0,"über Mitternacht, zusammen "&amp;TEXT((AR25+AE25)/1440,"[h]:mm")&amp;" Std.; ",IF(AR25+AE25&gt;480,"über Mitternacht: Pauschale am Vortag; ","über Mitternacht, zusammen nicht mehr als 8 Std.; ")),"")&amp;IF(AND(W25=1,V25&gt;0,OR(T25=1,U25=1)),"zwischendurch zu Hause: An- und Abreisetag; ","")&amp;IF(AND(W25=1,V25=0,T25=1),"Beginn leer lassen: unterwegs seit dem Vortag; ","")&amp;IF(AND(W25=0,V25&gt;0,U25=1),"Ende leer lassen: Übernachtung; ","")&amp;IF(AND(AJ25&gt;0,AM25&gt;AJ25),"Kürzung auf die Pauschale begrenzt; ",""))</f>
      </c>
      <c r="AM25" s="1">
        <f>ROUND(AG25*(IF(H25&lt;&gt;"",0.2,0)+IF(I25&lt;&gt;"",0.4,0)+IF(J25&lt;&gt;"",0.4,0)),2)</f>
      </c>
      <c r="AN25" s="1">
        <f>IF($A26="",'April'!$T$5,T26)</f>
      </c>
      <c r="AO25" s="1">
        <f>IF($A26="",'April'!$U$5,U26)</f>
      </c>
      <c r="AP25" s="1">
        <f>IF($A26="",'April'!$V$5,V26)</f>
      </c>
      <c r="AQ25" s="1">
        <f>IF($A26="",'April'!$AE$5,AE26)</f>
      </c>
      <c r="AR25" s="1">
        <f>AE24</f>
      </c>
      <c r="AS25" s="1">
        <f>X24</f>
      </c>
      <c r="AT25" s="1">
        <f>U24</f>
      </c>
      <c r="AU25" s="1">
        <f>V24</f>
      </c>
    </row>
    <row r="26" spans="1:47" x14ac:dyDescent="0.25">
      <c r="A26" s="17">
        <f>IF(MONTH(DATE(Jahr,3,22))=3,DATE(Jahr,3,22),"")</f>
      </c>
      <c r="B26" s="13">
        <f>IF(A26="","",CHOOSE(WEEKDAY(A26,2),"Mo","Di","Mi","Do","Fr","Sa","So"))</f>
      </c>
      <c r="C26" s="18"/>
      <c r="D26" s="18"/>
      <c r="E26" s="7"/>
      <c r="F26" s="7"/>
      <c r="G26" s="7"/>
      <c r="H26" s="19"/>
      <c r="I26" s="19"/>
      <c r="J26" s="19"/>
      <c r="K26" s="9"/>
      <c r="L26" s="20">
        <f>IF(OR(AD26=0,AF26&lt;&gt;"",AND(W26=1,V26&gt;0,OR(T26=1,U26=1))),"",AE26/1440)</f>
      </c>
      <c r="M26" s="21">
        <f>IF(OR(AD26=0,AF26&lt;&gt;""),"",AJ26)</f>
      </c>
      <c r="N26" s="21">
        <f>IF(AK26=0,"",AK26)</f>
      </c>
      <c r="O26" s="21">
        <f>IF(OR(AD26=0,AF26&lt;&gt;""),"",AJ26-AK26)</f>
      </c>
      <c r="P26" s="21">
        <f>IF(AND(AD26=1,AF26="",V26=2),AI26,"")</f>
      </c>
      <c r="Q26" s="21">
        <f>IF(OR($A26="",N(K26)=0),"",ROUND(K26*KmSatz,2))</f>
      </c>
      <c r="R26" s="22">
        <f>IF(AF26&amp;AL26="","",LEFT(AF26&amp;AL26,LEN(AF26&amp;AL26)-2))</f>
      </c>
      <c r="S26" s="1"/>
      <c r="T26" s="1">
        <f>IF(AND($A26&lt;&gt;"",ISNUMBER(C26)),1,0)</f>
      </c>
      <c r="U26" s="1">
        <f>IF(AND($A26&lt;&gt;"",ISNUMBER(D26)),1,0)</f>
      </c>
      <c r="V26" s="1">
        <f>IF($A26="",0,IF(E26="ja",1,IF(E26="Pauschale",2,0)))</f>
      </c>
      <c r="W26" s="1">
        <f>IF($A26="",0,IF(AU26&gt;0,1,0))</f>
      </c>
      <c r="X26" s="1">
        <f>IF(AND(T26=1,W26=0),1,0)</f>
      </c>
      <c r="Y26" s="1">
        <f>IF(AND(AS26=1,AT26=0,AU26=0),1,0)</f>
      </c>
      <c r="Z26" s="1">
        <f>IF(AND(Y26=1,T26=0,U26=1,V26=0),1,0)</f>
      </c>
      <c r="AA26" s="1">
        <f>IF(AND(X26=1,U26=0,V26=0,AN26=0,AO26=1,AP26=0),1,0)</f>
      </c>
      <c r="AB26" s="1">
        <f>IF(OR(W26=1,Z26=1),0,IF(T26=1,C26,0))</f>
      </c>
      <c r="AC26" s="1">
        <f>IF(OR(V26&gt;0,AA26=1),1,IF(U26=1,D26,1))</f>
      </c>
      <c r="AD26" s="1">
        <f>IF($A26="",0,IF(OR(T26=1,U26=1,V26&gt;0,W26=1),1,0))</f>
      </c>
      <c r="AE26" s="1">
        <f>IF(AD26=0,0,ROUND((AC26-AB26)*1440,0))</f>
      </c>
      <c r="AF26" s="1">
        <f>IF(AD26=0,"",IF(AND(F26&lt;&gt;"",ISNA(MATCH(F26,PauschLand,0))),"Land nicht in der Liste; ","")&amp;IF(AND(T26=0,W26=0,Z26=0),"Beginn fehlt; ","")&amp;IF(AND(V26=0,U26=0,AA26=0),"Ende fehlt; ","")&amp;IF(AND(X26=1,U26=1,V26=0,N(D26)&lt;N(C26)),"Ende vor Beginn (über Mitternacht: Ende in die Zeile des Folgetags); ",""))</f>
      </c>
      <c r="AG26" s="1">
        <f>IF(AD26=0,0,IFERROR(VLOOKUP(IF(F26="","Deutschland",F26),PauschTab,2,FALSE),0))</f>
      </c>
      <c r="AH26" s="1">
        <f>IF(AD26=0,0,IFERROR(VLOOKUP(IF(F26="","Deutschland",F26),PauschTab,3,FALSE),0))</f>
      </c>
      <c r="AI26" s="1">
        <f>IF(AD26=0,0,IFERROR(VLOOKUP(IF(F26="","Deutschland",F26),PauschTab,4,FALSE),0))</f>
      </c>
      <c r="AJ26" s="1">
        <f>IF(OR(AD26=0,AF26&lt;&gt;""),0,IF(AND(W26=1,V26&gt;0),IF(OR(T26=1,U26=1),AH26,AG26),IF(OR(W26=1,V26&gt;0),AH26,IF(AA26=1,IF(AND(AE26+AQ26&gt;480,AE26&gt;=AQ26),AH26,0),IF(Z26=1,IF(AND(AR26+AE26&gt;480,AE26&gt;AR26),AH26,0),IF(AE26&gt;480,AH26,0))))))</f>
      </c>
      <c r="AK26" s="1">
        <f>MIN(AJ26,AM26)</f>
      </c>
      <c r="AL26" s="1">
        <f>IF(OR(AD26=0,AF26&lt;&gt;""),"",IF(AND(W26=0,V26=0,AA26=0,Z26=0,AE26&lt;=480),"nicht mehr als 8 Std.; ","")&amp;IF(AA26=1,IF(AJ26&gt;0,"über Mitternacht, zusammen "&amp;TEXT((AE26+AQ26)/1440,"[h]:mm")&amp;" Std.; ",IF(AE26+AQ26&gt;480,"über Mitternacht: Pauschale am Folgetag; ","über Mitternacht, zusammen nicht mehr als 8 Std.; ")),"")&amp;IF(Z26=1,IF(AJ26&gt;0,"über Mitternacht, zusammen "&amp;TEXT((AR26+AE26)/1440,"[h]:mm")&amp;" Std.; ",IF(AR26+AE26&gt;480,"über Mitternacht: Pauschale am Vortag; ","über Mitternacht, zusammen nicht mehr als 8 Std.; ")),"")&amp;IF(AND(W26=1,V26&gt;0,OR(T26=1,U26=1)),"zwischendurch zu Hause: An- und Abreisetag; ","")&amp;IF(AND(W26=1,V26=0,T26=1),"Beginn leer lassen: unterwegs seit dem Vortag; ","")&amp;IF(AND(W26=0,V26&gt;0,U26=1),"Ende leer lassen: Übernachtung; ","")&amp;IF(AND(AJ26&gt;0,AM26&gt;AJ26),"Kürzung auf die Pauschale begrenzt; ",""))</f>
      </c>
      <c r="AM26" s="1">
        <f>ROUND(AG26*(IF(H26&lt;&gt;"",0.2,0)+IF(I26&lt;&gt;"",0.4,0)+IF(J26&lt;&gt;"",0.4,0)),2)</f>
      </c>
      <c r="AN26" s="1">
        <f>IF($A27="",'April'!$T$5,T27)</f>
      </c>
      <c r="AO26" s="1">
        <f>IF($A27="",'April'!$U$5,U27)</f>
      </c>
      <c r="AP26" s="1">
        <f>IF($A27="",'April'!$V$5,V27)</f>
      </c>
      <c r="AQ26" s="1">
        <f>IF($A27="",'April'!$AE$5,AE27)</f>
      </c>
      <c r="AR26" s="1">
        <f>AE25</f>
      </c>
      <c r="AS26" s="1">
        <f>X25</f>
      </c>
      <c r="AT26" s="1">
        <f>U25</f>
      </c>
      <c r="AU26" s="1">
        <f>V25</f>
      </c>
    </row>
    <row r="27" spans="1:47" x14ac:dyDescent="0.25">
      <c r="A27" s="17">
        <f>IF(MONTH(DATE(Jahr,3,23))=3,DATE(Jahr,3,23),"")</f>
      </c>
      <c r="B27" s="13">
        <f>IF(A27="","",CHOOSE(WEEKDAY(A27,2),"Mo","Di","Mi","Do","Fr","Sa","So"))</f>
      </c>
      <c r="C27" s="18"/>
      <c r="D27" s="18"/>
      <c r="E27" s="7"/>
      <c r="F27" s="7"/>
      <c r="G27" s="7"/>
      <c r="H27" s="19"/>
      <c r="I27" s="19"/>
      <c r="J27" s="19"/>
      <c r="K27" s="9"/>
      <c r="L27" s="20">
        <f>IF(OR(AD27=0,AF27&lt;&gt;"",AND(W27=1,V27&gt;0,OR(T27=1,U27=1))),"",AE27/1440)</f>
      </c>
      <c r="M27" s="21">
        <f>IF(OR(AD27=0,AF27&lt;&gt;""),"",AJ27)</f>
      </c>
      <c r="N27" s="21">
        <f>IF(AK27=0,"",AK27)</f>
      </c>
      <c r="O27" s="21">
        <f>IF(OR(AD27=0,AF27&lt;&gt;""),"",AJ27-AK27)</f>
      </c>
      <c r="P27" s="21">
        <f>IF(AND(AD27=1,AF27="",V27=2),AI27,"")</f>
      </c>
      <c r="Q27" s="21">
        <f>IF(OR($A27="",N(K27)=0),"",ROUND(K27*KmSatz,2))</f>
      </c>
      <c r="R27" s="22">
        <f>IF(AF27&amp;AL27="","",LEFT(AF27&amp;AL27,LEN(AF27&amp;AL27)-2))</f>
      </c>
      <c r="S27" s="1"/>
      <c r="T27" s="1">
        <f>IF(AND($A27&lt;&gt;"",ISNUMBER(C27)),1,0)</f>
      </c>
      <c r="U27" s="1">
        <f>IF(AND($A27&lt;&gt;"",ISNUMBER(D27)),1,0)</f>
      </c>
      <c r="V27" s="1">
        <f>IF($A27="",0,IF(E27="ja",1,IF(E27="Pauschale",2,0)))</f>
      </c>
      <c r="W27" s="1">
        <f>IF($A27="",0,IF(AU27&gt;0,1,0))</f>
      </c>
      <c r="X27" s="1">
        <f>IF(AND(T27=1,W27=0),1,0)</f>
      </c>
      <c r="Y27" s="1">
        <f>IF(AND(AS27=1,AT27=0,AU27=0),1,0)</f>
      </c>
      <c r="Z27" s="1">
        <f>IF(AND(Y27=1,T27=0,U27=1,V27=0),1,0)</f>
      </c>
      <c r="AA27" s="1">
        <f>IF(AND(X27=1,U27=0,V27=0,AN27=0,AO27=1,AP27=0),1,0)</f>
      </c>
      <c r="AB27" s="1">
        <f>IF(OR(W27=1,Z27=1),0,IF(T27=1,C27,0))</f>
      </c>
      <c r="AC27" s="1">
        <f>IF(OR(V27&gt;0,AA27=1),1,IF(U27=1,D27,1))</f>
      </c>
      <c r="AD27" s="1">
        <f>IF($A27="",0,IF(OR(T27=1,U27=1,V27&gt;0,W27=1),1,0))</f>
      </c>
      <c r="AE27" s="1">
        <f>IF(AD27=0,0,ROUND((AC27-AB27)*1440,0))</f>
      </c>
      <c r="AF27" s="1">
        <f>IF(AD27=0,"",IF(AND(F27&lt;&gt;"",ISNA(MATCH(F27,PauschLand,0))),"Land nicht in der Liste; ","")&amp;IF(AND(T27=0,W27=0,Z27=0),"Beginn fehlt; ","")&amp;IF(AND(V27=0,U27=0,AA27=0),"Ende fehlt; ","")&amp;IF(AND(X27=1,U27=1,V27=0,N(D27)&lt;N(C27)),"Ende vor Beginn (über Mitternacht: Ende in die Zeile des Folgetags); ",""))</f>
      </c>
      <c r="AG27" s="1">
        <f>IF(AD27=0,0,IFERROR(VLOOKUP(IF(F27="","Deutschland",F27),PauschTab,2,FALSE),0))</f>
      </c>
      <c r="AH27" s="1">
        <f>IF(AD27=0,0,IFERROR(VLOOKUP(IF(F27="","Deutschland",F27),PauschTab,3,FALSE),0))</f>
      </c>
      <c r="AI27" s="1">
        <f>IF(AD27=0,0,IFERROR(VLOOKUP(IF(F27="","Deutschland",F27),PauschTab,4,FALSE),0))</f>
      </c>
      <c r="AJ27" s="1">
        <f>IF(OR(AD27=0,AF27&lt;&gt;""),0,IF(AND(W27=1,V27&gt;0),IF(OR(T27=1,U27=1),AH27,AG27),IF(OR(W27=1,V27&gt;0),AH27,IF(AA27=1,IF(AND(AE27+AQ27&gt;480,AE27&gt;=AQ27),AH27,0),IF(Z27=1,IF(AND(AR27+AE27&gt;480,AE27&gt;AR27),AH27,0),IF(AE27&gt;480,AH27,0))))))</f>
      </c>
      <c r="AK27" s="1">
        <f>MIN(AJ27,AM27)</f>
      </c>
      <c r="AL27" s="1">
        <f>IF(OR(AD27=0,AF27&lt;&gt;""),"",IF(AND(W27=0,V27=0,AA27=0,Z27=0,AE27&lt;=480),"nicht mehr als 8 Std.; ","")&amp;IF(AA27=1,IF(AJ27&gt;0,"über Mitternacht, zusammen "&amp;TEXT((AE27+AQ27)/1440,"[h]:mm")&amp;" Std.; ",IF(AE27+AQ27&gt;480,"über Mitternacht: Pauschale am Folgetag; ","über Mitternacht, zusammen nicht mehr als 8 Std.; ")),"")&amp;IF(Z27=1,IF(AJ27&gt;0,"über Mitternacht, zusammen "&amp;TEXT((AR27+AE27)/1440,"[h]:mm")&amp;" Std.; ",IF(AR27+AE27&gt;480,"über Mitternacht: Pauschale am Vortag; ","über Mitternacht, zusammen nicht mehr als 8 Std.; ")),"")&amp;IF(AND(W27=1,V27&gt;0,OR(T27=1,U27=1)),"zwischendurch zu Hause: An- und Abreisetag; ","")&amp;IF(AND(W27=1,V27=0,T27=1),"Beginn leer lassen: unterwegs seit dem Vortag; ","")&amp;IF(AND(W27=0,V27&gt;0,U27=1),"Ende leer lassen: Übernachtung; ","")&amp;IF(AND(AJ27&gt;0,AM27&gt;AJ27),"Kürzung auf die Pauschale begrenzt; ",""))</f>
      </c>
      <c r="AM27" s="1">
        <f>ROUND(AG27*(IF(H27&lt;&gt;"",0.2,0)+IF(I27&lt;&gt;"",0.4,0)+IF(J27&lt;&gt;"",0.4,0)),2)</f>
      </c>
      <c r="AN27" s="1">
        <f>IF($A28="",'April'!$T$5,T28)</f>
      </c>
      <c r="AO27" s="1">
        <f>IF($A28="",'April'!$U$5,U28)</f>
      </c>
      <c r="AP27" s="1">
        <f>IF($A28="",'April'!$V$5,V28)</f>
      </c>
      <c r="AQ27" s="1">
        <f>IF($A28="",'April'!$AE$5,AE28)</f>
      </c>
      <c r="AR27" s="1">
        <f>AE26</f>
      </c>
      <c r="AS27" s="1">
        <f>X26</f>
      </c>
      <c r="AT27" s="1">
        <f>U26</f>
      </c>
      <c r="AU27" s="1">
        <f>V26</f>
      </c>
    </row>
    <row r="28" spans="1:47" x14ac:dyDescent="0.25">
      <c r="A28" s="17">
        <f>IF(MONTH(DATE(Jahr,3,24))=3,DATE(Jahr,3,24),"")</f>
      </c>
      <c r="B28" s="13">
        <f>IF(A28="","",CHOOSE(WEEKDAY(A28,2),"Mo","Di","Mi","Do","Fr","Sa","So"))</f>
      </c>
      <c r="C28" s="18"/>
      <c r="D28" s="18"/>
      <c r="E28" s="7"/>
      <c r="F28" s="7"/>
      <c r="G28" s="7"/>
      <c r="H28" s="19"/>
      <c r="I28" s="19"/>
      <c r="J28" s="19"/>
      <c r="K28" s="9"/>
      <c r="L28" s="20">
        <f>IF(OR(AD28=0,AF28&lt;&gt;"",AND(W28=1,V28&gt;0,OR(T28=1,U28=1))),"",AE28/1440)</f>
      </c>
      <c r="M28" s="21">
        <f>IF(OR(AD28=0,AF28&lt;&gt;""),"",AJ28)</f>
      </c>
      <c r="N28" s="21">
        <f>IF(AK28=0,"",AK28)</f>
      </c>
      <c r="O28" s="21">
        <f>IF(OR(AD28=0,AF28&lt;&gt;""),"",AJ28-AK28)</f>
      </c>
      <c r="P28" s="21">
        <f>IF(AND(AD28=1,AF28="",V28=2),AI28,"")</f>
      </c>
      <c r="Q28" s="21">
        <f>IF(OR($A28="",N(K28)=0),"",ROUND(K28*KmSatz,2))</f>
      </c>
      <c r="R28" s="22">
        <f>IF(AF28&amp;AL28="","",LEFT(AF28&amp;AL28,LEN(AF28&amp;AL28)-2))</f>
      </c>
      <c r="S28" s="1"/>
      <c r="T28" s="1">
        <f>IF(AND($A28&lt;&gt;"",ISNUMBER(C28)),1,0)</f>
      </c>
      <c r="U28" s="1">
        <f>IF(AND($A28&lt;&gt;"",ISNUMBER(D28)),1,0)</f>
      </c>
      <c r="V28" s="1">
        <f>IF($A28="",0,IF(E28="ja",1,IF(E28="Pauschale",2,0)))</f>
      </c>
      <c r="W28" s="1">
        <f>IF($A28="",0,IF(AU28&gt;0,1,0))</f>
      </c>
      <c r="X28" s="1">
        <f>IF(AND(T28=1,W28=0),1,0)</f>
      </c>
      <c r="Y28" s="1">
        <f>IF(AND(AS28=1,AT28=0,AU28=0),1,0)</f>
      </c>
      <c r="Z28" s="1">
        <f>IF(AND(Y28=1,T28=0,U28=1,V28=0),1,0)</f>
      </c>
      <c r="AA28" s="1">
        <f>IF(AND(X28=1,U28=0,V28=0,AN28=0,AO28=1,AP28=0),1,0)</f>
      </c>
      <c r="AB28" s="1">
        <f>IF(OR(W28=1,Z28=1),0,IF(T28=1,C28,0))</f>
      </c>
      <c r="AC28" s="1">
        <f>IF(OR(V28&gt;0,AA28=1),1,IF(U28=1,D28,1))</f>
      </c>
      <c r="AD28" s="1">
        <f>IF($A28="",0,IF(OR(T28=1,U28=1,V28&gt;0,W28=1),1,0))</f>
      </c>
      <c r="AE28" s="1">
        <f>IF(AD28=0,0,ROUND((AC28-AB28)*1440,0))</f>
      </c>
      <c r="AF28" s="1">
        <f>IF(AD28=0,"",IF(AND(F28&lt;&gt;"",ISNA(MATCH(F28,PauschLand,0))),"Land nicht in der Liste; ","")&amp;IF(AND(T28=0,W28=0,Z28=0),"Beginn fehlt; ","")&amp;IF(AND(V28=0,U28=0,AA28=0),"Ende fehlt; ","")&amp;IF(AND(X28=1,U28=1,V28=0,N(D28)&lt;N(C28)),"Ende vor Beginn (über Mitternacht: Ende in die Zeile des Folgetags); ",""))</f>
      </c>
      <c r="AG28" s="1">
        <f>IF(AD28=0,0,IFERROR(VLOOKUP(IF(F28="","Deutschland",F28),PauschTab,2,FALSE),0))</f>
      </c>
      <c r="AH28" s="1">
        <f>IF(AD28=0,0,IFERROR(VLOOKUP(IF(F28="","Deutschland",F28),PauschTab,3,FALSE),0))</f>
      </c>
      <c r="AI28" s="1">
        <f>IF(AD28=0,0,IFERROR(VLOOKUP(IF(F28="","Deutschland",F28),PauschTab,4,FALSE),0))</f>
      </c>
      <c r="AJ28" s="1">
        <f>IF(OR(AD28=0,AF28&lt;&gt;""),0,IF(AND(W28=1,V28&gt;0),IF(OR(T28=1,U28=1),AH28,AG28),IF(OR(W28=1,V28&gt;0),AH28,IF(AA28=1,IF(AND(AE28+AQ28&gt;480,AE28&gt;=AQ28),AH28,0),IF(Z28=1,IF(AND(AR28+AE28&gt;480,AE28&gt;AR28),AH28,0),IF(AE28&gt;480,AH28,0))))))</f>
      </c>
      <c r="AK28" s="1">
        <f>MIN(AJ28,AM28)</f>
      </c>
      <c r="AL28" s="1">
        <f>IF(OR(AD28=0,AF28&lt;&gt;""),"",IF(AND(W28=0,V28=0,AA28=0,Z28=0,AE28&lt;=480),"nicht mehr als 8 Std.; ","")&amp;IF(AA28=1,IF(AJ28&gt;0,"über Mitternacht, zusammen "&amp;TEXT((AE28+AQ28)/1440,"[h]:mm")&amp;" Std.; ",IF(AE28+AQ28&gt;480,"über Mitternacht: Pauschale am Folgetag; ","über Mitternacht, zusammen nicht mehr als 8 Std.; ")),"")&amp;IF(Z28=1,IF(AJ28&gt;0,"über Mitternacht, zusammen "&amp;TEXT((AR28+AE28)/1440,"[h]:mm")&amp;" Std.; ",IF(AR28+AE28&gt;480,"über Mitternacht: Pauschale am Vortag; ","über Mitternacht, zusammen nicht mehr als 8 Std.; ")),"")&amp;IF(AND(W28=1,V28&gt;0,OR(T28=1,U28=1)),"zwischendurch zu Hause: An- und Abreisetag; ","")&amp;IF(AND(W28=1,V28=0,T28=1),"Beginn leer lassen: unterwegs seit dem Vortag; ","")&amp;IF(AND(W28=0,V28&gt;0,U28=1),"Ende leer lassen: Übernachtung; ","")&amp;IF(AND(AJ28&gt;0,AM28&gt;AJ28),"Kürzung auf die Pauschale begrenzt; ",""))</f>
      </c>
      <c r="AM28" s="1">
        <f>ROUND(AG28*(IF(H28&lt;&gt;"",0.2,0)+IF(I28&lt;&gt;"",0.4,0)+IF(J28&lt;&gt;"",0.4,0)),2)</f>
      </c>
      <c r="AN28" s="1">
        <f>IF($A29="",'April'!$T$5,T29)</f>
      </c>
      <c r="AO28" s="1">
        <f>IF($A29="",'April'!$U$5,U29)</f>
      </c>
      <c r="AP28" s="1">
        <f>IF($A29="",'April'!$V$5,V29)</f>
      </c>
      <c r="AQ28" s="1">
        <f>IF($A29="",'April'!$AE$5,AE29)</f>
      </c>
      <c r="AR28" s="1">
        <f>AE27</f>
      </c>
      <c r="AS28" s="1">
        <f>X27</f>
      </c>
      <c r="AT28" s="1">
        <f>U27</f>
      </c>
      <c r="AU28" s="1">
        <f>V27</f>
      </c>
    </row>
    <row r="29" spans="1:47" x14ac:dyDescent="0.25">
      <c r="A29" s="17">
        <f>IF(MONTH(DATE(Jahr,3,25))=3,DATE(Jahr,3,25),"")</f>
      </c>
      <c r="B29" s="13">
        <f>IF(A29="","",CHOOSE(WEEKDAY(A29,2),"Mo","Di","Mi","Do","Fr","Sa","So"))</f>
      </c>
      <c r="C29" s="18"/>
      <c r="D29" s="18"/>
      <c r="E29" s="7"/>
      <c r="F29" s="7"/>
      <c r="G29" s="7"/>
      <c r="H29" s="19"/>
      <c r="I29" s="19"/>
      <c r="J29" s="19"/>
      <c r="K29" s="9"/>
      <c r="L29" s="20">
        <f>IF(OR(AD29=0,AF29&lt;&gt;"",AND(W29=1,V29&gt;0,OR(T29=1,U29=1))),"",AE29/1440)</f>
      </c>
      <c r="M29" s="21">
        <f>IF(OR(AD29=0,AF29&lt;&gt;""),"",AJ29)</f>
      </c>
      <c r="N29" s="21">
        <f>IF(AK29=0,"",AK29)</f>
      </c>
      <c r="O29" s="21">
        <f>IF(OR(AD29=0,AF29&lt;&gt;""),"",AJ29-AK29)</f>
      </c>
      <c r="P29" s="21">
        <f>IF(AND(AD29=1,AF29="",V29=2),AI29,"")</f>
      </c>
      <c r="Q29" s="21">
        <f>IF(OR($A29="",N(K29)=0),"",ROUND(K29*KmSatz,2))</f>
      </c>
      <c r="R29" s="22">
        <f>IF(AF29&amp;AL29="","",LEFT(AF29&amp;AL29,LEN(AF29&amp;AL29)-2))</f>
      </c>
      <c r="S29" s="1"/>
      <c r="T29" s="1">
        <f>IF(AND($A29&lt;&gt;"",ISNUMBER(C29)),1,0)</f>
      </c>
      <c r="U29" s="1">
        <f>IF(AND($A29&lt;&gt;"",ISNUMBER(D29)),1,0)</f>
      </c>
      <c r="V29" s="1">
        <f>IF($A29="",0,IF(E29="ja",1,IF(E29="Pauschale",2,0)))</f>
      </c>
      <c r="W29" s="1">
        <f>IF($A29="",0,IF(AU29&gt;0,1,0))</f>
      </c>
      <c r="X29" s="1">
        <f>IF(AND(T29=1,W29=0),1,0)</f>
      </c>
      <c r="Y29" s="1">
        <f>IF(AND(AS29=1,AT29=0,AU29=0),1,0)</f>
      </c>
      <c r="Z29" s="1">
        <f>IF(AND(Y29=1,T29=0,U29=1,V29=0),1,0)</f>
      </c>
      <c r="AA29" s="1">
        <f>IF(AND(X29=1,U29=0,V29=0,AN29=0,AO29=1,AP29=0),1,0)</f>
      </c>
      <c r="AB29" s="1">
        <f>IF(OR(W29=1,Z29=1),0,IF(T29=1,C29,0))</f>
      </c>
      <c r="AC29" s="1">
        <f>IF(OR(V29&gt;0,AA29=1),1,IF(U29=1,D29,1))</f>
      </c>
      <c r="AD29" s="1">
        <f>IF($A29="",0,IF(OR(T29=1,U29=1,V29&gt;0,W29=1),1,0))</f>
      </c>
      <c r="AE29" s="1">
        <f>IF(AD29=0,0,ROUND((AC29-AB29)*1440,0))</f>
      </c>
      <c r="AF29" s="1">
        <f>IF(AD29=0,"",IF(AND(F29&lt;&gt;"",ISNA(MATCH(F29,PauschLand,0))),"Land nicht in der Liste; ","")&amp;IF(AND(T29=0,W29=0,Z29=0),"Beginn fehlt; ","")&amp;IF(AND(V29=0,U29=0,AA29=0),"Ende fehlt; ","")&amp;IF(AND(X29=1,U29=1,V29=0,N(D29)&lt;N(C29)),"Ende vor Beginn (über Mitternacht: Ende in die Zeile des Folgetags); ",""))</f>
      </c>
      <c r="AG29" s="1">
        <f>IF(AD29=0,0,IFERROR(VLOOKUP(IF(F29="","Deutschland",F29),PauschTab,2,FALSE),0))</f>
      </c>
      <c r="AH29" s="1">
        <f>IF(AD29=0,0,IFERROR(VLOOKUP(IF(F29="","Deutschland",F29),PauschTab,3,FALSE),0))</f>
      </c>
      <c r="AI29" s="1">
        <f>IF(AD29=0,0,IFERROR(VLOOKUP(IF(F29="","Deutschland",F29),PauschTab,4,FALSE),0))</f>
      </c>
      <c r="AJ29" s="1">
        <f>IF(OR(AD29=0,AF29&lt;&gt;""),0,IF(AND(W29=1,V29&gt;0),IF(OR(T29=1,U29=1),AH29,AG29),IF(OR(W29=1,V29&gt;0),AH29,IF(AA29=1,IF(AND(AE29+AQ29&gt;480,AE29&gt;=AQ29),AH29,0),IF(Z29=1,IF(AND(AR29+AE29&gt;480,AE29&gt;AR29),AH29,0),IF(AE29&gt;480,AH29,0))))))</f>
      </c>
      <c r="AK29" s="1">
        <f>MIN(AJ29,AM29)</f>
      </c>
      <c r="AL29" s="1">
        <f>IF(OR(AD29=0,AF29&lt;&gt;""),"",IF(AND(W29=0,V29=0,AA29=0,Z29=0,AE29&lt;=480),"nicht mehr als 8 Std.; ","")&amp;IF(AA29=1,IF(AJ29&gt;0,"über Mitternacht, zusammen "&amp;TEXT((AE29+AQ29)/1440,"[h]:mm")&amp;" Std.; ",IF(AE29+AQ29&gt;480,"über Mitternacht: Pauschale am Folgetag; ","über Mitternacht, zusammen nicht mehr als 8 Std.; ")),"")&amp;IF(Z29=1,IF(AJ29&gt;0,"über Mitternacht, zusammen "&amp;TEXT((AR29+AE29)/1440,"[h]:mm")&amp;" Std.; ",IF(AR29+AE29&gt;480,"über Mitternacht: Pauschale am Vortag; ","über Mitternacht, zusammen nicht mehr als 8 Std.; ")),"")&amp;IF(AND(W29=1,V29&gt;0,OR(T29=1,U29=1)),"zwischendurch zu Hause: An- und Abreisetag; ","")&amp;IF(AND(W29=1,V29=0,T29=1),"Beginn leer lassen: unterwegs seit dem Vortag; ","")&amp;IF(AND(W29=0,V29&gt;0,U29=1),"Ende leer lassen: Übernachtung; ","")&amp;IF(AND(AJ29&gt;0,AM29&gt;AJ29),"Kürzung auf die Pauschale begrenzt; ",""))</f>
      </c>
      <c r="AM29" s="1">
        <f>ROUND(AG29*(IF(H29&lt;&gt;"",0.2,0)+IF(I29&lt;&gt;"",0.4,0)+IF(J29&lt;&gt;"",0.4,0)),2)</f>
      </c>
      <c r="AN29" s="1">
        <f>IF($A30="",'April'!$T$5,T30)</f>
      </c>
      <c r="AO29" s="1">
        <f>IF($A30="",'April'!$U$5,U30)</f>
      </c>
      <c r="AP29" s="1">
        <f>IF($A30="",'April'!$V$5,V30)</f>
      </c>
      <c r="AQ29" s="1">
        <f>IF($A30="",'April'!$AE$5,AE30)</f>
      </c>
      <c r="AR29" s="1">
        <f>AE28</f>
      </c>
      <c r="AS29" s="1">
        <f>X28</f>
      </c>
      <c r="AT29" s="1">
        <f>U28</f>
      </c>
      <c r="AU29" s="1">
        <f>V28</f>
      </c>
    </row>
    <row r="30" spans="1:47" x14ac:dyDescent="0.25">
      <c r="A30" s="17">
        <f>IF(MONTH(DATE(Jahr,3,26))=3,DATE(Jahr,3,26),"")</f>
      </c>
      <c r="B30" s="13">
        <f>IF(A30="","",CHOOSE(WEEKDAY(A30,2),"Mo","Di","Mi","Do","Fr","Sa","So"))</f>
      </c>
      <c r="C30" s="18"/>
      <c r="D30" s="18"/>
      <c r="E30" s="7"/>
      <c r="F30" s="7"/>
      <c r="G30" s="7"/>
      <c r="H30" s="19"/>
      <c r="I30" s="19"/>
      <c r="J30" s="19"/>
      <c r="K30" s="9"/>
      <c r="L30" s="20">
        <f>IF(OR(AD30=0,AF30&lt;&gt;"",AND(W30=1,V30&gt;0,OR(T30=1,U30=1))),"",AE30/1440)</f>
      </c>
      <c r="M30" s="21">
        <f>IF(OR(AD30=0,AF30&lt;&gt;""),"",AJ30)</f>
      </c>
      <c r="N30" s="21">
        <f>IF(AK30=0,"",AK30)</f>
      </c>
      <c r="O30" s="21">
        <f>IF(OR(AD30=0,AF30&lt;&gt;""),"",AJ30-AK30)</f>
      </c>
      <c r="P30" s="21">
        <f>IF(AND(AD30=1,AF30="",V30=2),AI30,"")</f>
      </c>
      <c r="Q30" s="21">
        <f>IF(OR($A30="",N(K30)=0),"",ROUND(K30*KmSatz,2))</f>
      </c>
      <c r="R30" s="22">
        <f>IF(AF30&amp;AL30="","",LEFT(AF30&amp;AL30,LEN(AF30&amp;AL30)-2))</f>
      </c>
      <c r="S30" s="1"/>
      <c r="T30" s="1">
        <f>IF(AND($A30&lt;&gt;"",ISNUMBER(C30)),1,0)</f>
      </c>
      <c r="U30" s="1">
        <f>IF(AND($A30&lt;&gt;"",ISNUMBER(D30)),1,0)</f>
      </c>
      <c r="V30" s="1">
        <f>IF($A30="",0,IF(E30="ja",1,IF(E30="Pauschale",2,0)))</f>
      </c>
      <c r="W30" s="1">
        <f>IF($A30="",0,IF(AU30&gt;0,1,0))</f>
      </c>
      <c r="X30" s="1">
        <f>IF(AND(T30=1,W30=0),1,0)</f>
      </c>
      <c r="Y30" s="1">
        <f>IF(AND(AS30=1,AT30=0,AU30=0),1,0)</f>
      </c>
      <c r="Z30" s="1">
        <f>IF(AND(Y30=1,T30=0,U30=1,V30=0),1,0)</f>
      </c>
      <c r="AA30" s="1">
        <f>IF(AND(X30=1,U30=0,V30=0,AN30=0,AO30=1,AP30=0),1,0)</f>
      </c>
      <c r="AB30" s="1">
        <f>IF(OR(W30=1,Z30=1),0,IF(T30=1,C30,0))</f>
      </c>
      <c r="AC30" s="1">
        <f>IF(OR(V30&gt;0,AA30=1),1,IF(U30=1,D30,1))</f>
      </c>
      <c r="AD30" s="1">
        <f>IF($A30="",0,IF(OR(T30=1,U30=1,V30&gt;0,W30=1),1,0))</f>
      </c>
      <c r="AE30" s="1">
        <f>IF(AD30=0,0,ROUND((AC30-AB30)*1440,0))</f>
      </c>
      <c r="AF30" s="1">
        <f>IF(AD30=0,"",IF(AND(F30&lt;&gt;"",ISNA(MATCH(F30,PauschLand,0))),"Land nicht in der Liste; ","")&amp;IF(AND(T30=0,W30=0,Z30=0),"Beginn fehlt; ","")&amp;IF(AND(V30=0,U30=0,AA30=0),"Ende fehlt; ","")&amp;IF(AND(X30=1,U30=1,V30=0,N(D30)&lt;N(C30)),"Ende vor Beginn (über Mitternacht: Ende in die Zeile des Folgetags); ",""))</f>
      </c>
      <c r="AG30" s="1">
        <f>IF(AD30=0,0,IFERROR(VLOOKUP(IF(F30="","Deutschland",F30),PauschTab,2,FALSE),0))</f>
      </c>
      <c r="AH30" s="1">
        <f>IF(AD30=0,0,IFERROR(VLOOKUP(IF(F30="","Deutschland",F30),PauschTab,3,FALSE),0))</f>
      </c>
      <c r="AI30" s="1">
        <f>IF(AD30=0,0,IFERROR(VLOOKUP(IF(F30="","Deutschland",F30),PauschTab,4,FALSE),0))</f>
      </c>
      <c r="AJ30" s="1">
        <f>IF(OR(AD30=0,AF30&lt;&gt;""),0,IF(AND(W30=1,V30&gt;0),IF(OR(T30=1,U30=1),AH30,AG30),IF(OR(W30=1,V30&gt;0),AH30,IF(AA30=1,IF(AND(AE30+AQ30&gt;480,AE30&gt;=AQ30),AH30,0),IF(Z30=1,IF(AND(AR30+AE30&gt;480,AE30&gt;AR30),AH30,0),IF(AE30&gt;480,AH30,0))))))</f>
      </c>
      <c r="AK30" s="1">
        <f>MIN(AJ30,AM30)</f>
      </c>
      <c r="AL30" s="1">
        <f>IF(OR(AD30=0,AF30&lt;&gt;""),"",IF(AND(W30=0,V30=0,AA30=0,Z30=0,AE30&lt;=480),"nicht mehr als 8 Std.; ","")&amp;IF(AA30=1,IF(AJ30&gt;0,"über Mitternacht, zusammen "&amp;TEXT((AE30+AQ30)/1440,"[h]:mm")&amp;" Std.; ",IF(AE30+AQ30&gt;480,"über Mitternacht: Pauschale am Folgetag; ","über Mitternacht, zusammen nicht mehr als 8 Std.; ")),"")&amp;IF(Z30=1,IF(AJ30&gt;0,"über Mitternacht, zusammen "&amp;TEXT((AR30+AE30)/1440,"[h]:mm")&amp;" Std.; ",IF(AR30+AE30&gt;480,"über Mitternacht: Pauschale am Vortag; ","über Mitternacht, zusammen nicht mehr als 8 Std.; ")),"")&amp;IF(AND(W30=1,V30&gt;0,OR(T30=1,U30=1)),"zwischendurch zu Hause: An- und Abreisetag; ","")&amp;IF(AND(W30=1,V30=0,T30=1),"Beginn leer lassen: unterwegs seit dem Vortag; ","")&amp;IF(AND(W30=0,V30&gt;0,U30=1),"Ende leer lassen: Übernachtung; ","")&amp;IF(AND(AJ30&gt;0,AM30&gt;AJ30),"Kürzung auf die Pauschale begrenzt; ",""))</f>
      </c>
      <c r="AM30" s="1">
        <f>ROUND(AG30*(IF(H30&lt;&gt;"",0.2,0)+IF(I30&lt;&gt;"",0.4,0)+IF(J30&lt;&gt;"",0.4,0)),2)</f>
      </c>
      <c r="AN30" s="1">
        <f>IF($A31="",'April'!$T$5,T31)</f>
      </c>
      <c r="AO30" s="1">
        <f>IF($A31="",'April'!$U$5,U31)</f>
      </c>
      <c r="AP30" s="1">
        <f>IF($A31="",'April'!$V$5,V31)</f>
      </c>
      <c r="AQ30" s="1">
        <f>IF($A31="",'April'!$AE$5,AE31)</f>
      </c>
      <c r="AR30" s="1">
        <f>AE29</f>
      </c>
      <c r="AS30" s="1">
        <f>X29</f>
      </c>
      <c r="AT30" s="1">
        <f>U29</f>
      </c>
      <c r="AU30" s="1">
        <f>V29</f>
      </c>
    </row>
    <row r="31" spans="1:47" x14ac:dyDescent="0.25">
      <c r="A31" s="17">
        <f>IF(MONTH(DATE(Jahr,3,27))=3,DATE(Jahr,3,27),"")</f>
      </c>
      <c r="B31" s="13">
        <f>IF(A31="","",CHOOSE(WEEKDAY(A31,2),"Mo","Di","Mi","Do","Fr","Sa","So"))</f>
      </c>
      <c r="C31" s="18"/>
      <c r="D31" s="18"/>
      <c r="E31" s="7"/>
      <c r="F31" s="7"/>
      <c r="G31" s="7"/>
      <c r="H31" s="19"/>
      <c r="I31" s="19"/>
      <c r="J31" s="19"/>
      <c r="K31" s="9"/>
      <c r="L31" s="20">
        <f>IF(OR(AD31=0,AF31&lt;&gt;"",AND(W31=1,V31&gt;0,OR(T31=1,U31=1))),"",AE31/1440)</f>
      </c>
      <c r="M31" s="21">
        <f>IF(OR(AD31=0,AF31&lt;&gt;""),"",AJ31)</f>
      </c>
      <c r="N31" s="21">
        <f>IF(AK31=0,"",AK31)</f>
      </c>
      <c r="O31" s="21">
        <f>IF(OR(AD31=0,AF31&lt;&gt;""),"",AJ31-AK31)</f>
      </c>
      <c r="P31" s="21">
        <f>IF(AND(AD31=1,AF31="",V31=2),AI31,"")</f>
      </c>
      <c r="Q31" s="21">
        <f>IF(OR($A31="",N(K31)=0),"",ROUND(K31*KmSatz,2))</f>
      </c>
      <c r="R31" s="22">
        <f>IF(AF31&amp;AL31="","",LEFT(AF31&amp;AL31,LEN(AF31&amp;AL31)-2))</f>
      </c>
      <c r="S31" s="1"/>
      <c r="T31" s="1">
        <f>IF(AND($A31&lt;&gt;"",ISNUMBER(C31)),1,0)</f>
      </c>
      <c r="U31" s="1">
        <f>IF(AND($A31&lt;&gt;"",ISNUMBER(D31)),1,0)</f>
      </c>
      <c r="V31" s="1">
        <f>IF($A31="",0,IF(E31="ja",1,IF(E31="Pauschale",2,0)))</f>
      </c>
      <c r="W31" s="1">
        <f>IF($A31="",0,IF(AU31&gt;0,1,0))</f>
      </c>
      <c r="X31" s="1">
        <f>IF(AND(T31=1,W31=0),1,0)</f>
      </c>
      <c r="Y31" s="1">
        <f>IF(AND(AS31=1,AT31=0,AU31=0),1,0)</f>
      </c>
      <c r="Z31" s="1">
        <f>IF(AND(Y31=1,T31=0,U31=1,V31=0),1,0)</f>
      </c>
      <c r="AA31" s="1">
        <f>IF(AND(X31=1,U31=0,V31=0,AN31=0,AO31=1,AP31=0),1,0)</f>
      </c>
      <c r="AB31" s="1">
        <f>IF(OR(W31=1,Z31=1),0,IF(T31=1,C31,0))</f>
      </c>
      <c r="AC31" s="1">
        <f>IF(OR(V31&gt;0,AA31=1),1,IF(U31=1,D31,1))</f>
      </c>
      <c r="AD31" s="1">
        <f>IF($A31="",0,IF(OR(T31=1,U31=1,V31&gt;0,W31=1),1,0))</f>
      </c>
      <c r="AE31" s="1">
        <f>IF(AD31=0,0,ROUND((AC31-AB31)*1440,0))</f>
      </c>
      <c r="AF31" s="1">
        <f>IF(AD31=0,"",IF(AND(F31&lt;&gt;"",ISNA(MATCH(F31,PauschLand,0))),"Land nicht in der Liste; ","")&amp;IF(AND(T31=0,W31=0,Z31=0),"Beginn fehlt; ","")&amp;IF(AND(V31=0,U31=0,AA31=0),"Ende fehlt; ","")&amp;IF(AND(X31=1,U31=1,V31=0,N(D31)&lt;N(C31)),"Ende vor Beginn (über Mitternacht: Ende in die Zeile des Folgetags); ",""))</f>
      </c>
      <c r="AG31" s="1">
        <f>IF(AD31=0,0,IFERROR(VLOOKUP(IF(F31="","Deutschland",F31),PauschTab,2,FALSE),0))</f>
      </c>
      <c r="AH31" s="1">
        <f>IF(AD31=0,0,IFERROR(VLOOKUP(IF(F31="","Deutschland",F31),PauschTab,3,FALSE),0))</f>
      </c>
      <c r="AI31" s="1">
        <f>IF(AD31=0,0,IFERROR(VLOOKUP(IF(F31="","Deutschland",F31),PauschTab,4,FALSE),0))</f>
      </c>
      <c r="AJ31" s="1">
        <f>IF(OR(AD31=0,AF31&lt;&gt;""),0,IF(AND(W31=1,V31&gt;0),IF(OR(T31=1,U31=1),AH31,AG31),IF(OR(W31=1,V31&gt;0),AH31,IF(AA31=1,IF(AND(AE31+AQ31&gt;480,AE31&gt;=AQ31),AH31,0),IF(Z31=1,IF(AND(AR31+AE31&gt;480,AE31&gt;AR31),AH31,0),IF(AE31&gt;480,AH31,0))))))</f>
      </c>
      <c r="AK31" s="1">
        <f>MIN(AJ31,AM31)</f>
      </c>
      <c r="AL31" s="1">
        <f>IF(OR(AD31=0,AF31&lt;&gt;""),"",IF(AND(W31=0,V31=0,AA31=0,Z31=0,AE31&lt;=480),"nicht mehr als 8 Std.; ","")&amp;IF(AA31=1,IF(AJ31&gt;0,"über Mitternacht, zusammen "&amp;TEXT((AE31+AQ31)/1440,"[h]:mm")&amp;" Std.; ",IF(AE31+AQ31&gt;480,"über Mitternacht: Pauschale am Folgetag; ","über Mitternacht, zusammen nicht mehr als 8 Std.; ")),"")&amp;IF(Z31=1,IF(AJ31&gt;0,"über Mitternacht, zusammen "&amp;TEXT((AR31+AE31)/1440,"[h]:mm")&amp;" Std.; ",IF(AR31+AE31&gt;480,"über Mitternacht: Pauschale am Vortag; ","über Mitternacht, zusammen nicht mehr als 8 Std.; ")),"")&amp;IF(AND(W31=1,V31&gt;0,OR(T31=1,U31=1)),"zwischendurch zu Hause: An- und Abreisetag; ","")&amp;IF(AND(W31=1,V31=0,T31=1),"Beginn leer lassen: unterwegs seit dem Vortag; ","")&amp;IF(AND(W31=0,V31&gt;0,U31=1),"Ende leer lassen: Übernachtung; ","")&amp;IF(AND(AJ31&gt;0,AM31&gt;AJ31),"Kürzung auf die Pauschale begrenzt; ",""))</f>
      </c>
      <c r="AM31" s="1">
        <f>ROUND(AG31*(IF(H31&lt;&gt;"",0.2,0)+IF(I31&lt;&gt;"",0.4,0)+IF(J31&lt;&gt;"",0.4,0)),2)</f>
      </c>
      <c r="AN31" s="1">
        <f>IF($A32="",'April'!$T$5,T32)</f>
      </c>
      <c r="AO31" s="1">
        <f>IF($A32="",'April'!$U$5,U32)</f>
      </c>
      <c r="AP31" s="1">
        <f>IF($A32="",'April'!$V$5,V32)</f>
      </c>
      <c r="AQ31" s="1">
        <f>IF($A32="",'April'!$AE$5,AE32)</f>
      </c>
      <c r="AR31" s="1">
        <f>AE30</f>
      </c>
      <c r="AS31" s="1">
        <f>X30</f>
      </c>
      <c r="AT31" s="1">
        <f>U30</f>
      </c>
      <c r="AU31" s="1">
        <f>V30</f>
      </c>
    </row>
    <row r="32" spans="1:47" x14ac:dyDescent="0.25">
      <c r="A32" s="17">
        <f>IF(MONTH(DATE(Jahr,3,28))=3,DATE(Jahr,3,28),"")</f>
      </c>
      <c r="B32" s="13">
        <f>IF(A32="","",CHOOSE(WEEKDAY(A32,2),"Mo","Di","Mi","Do","Fr","Sa","So"))</f>
      </c>
      <c r="C32" s="18"/>
      <c r="D32" s="18"/>
      <c r="E32" s="7"/>
      <c r="F32" s="7"/>
      <c r="G32" s="7"/>
      <c r="H32" s="19"/>
      <c r="I32" s="19"/>
      <c r="J32" s="19"/>
      <c r="K32" s="9"/>
      <c r="L32" s="20">
        <f>IF(OR(AD32=0,AF32&lt;&gt;"",AND(W32=1,V32&gt;0,OR(T32=1,U32=1))),"",AE32/1440)</f>
      </c>
      <c r="M32" s="21">
        <f>IF(OR(AD32=0,AF32&lt;&gt;""),"",AJ32)</f>
      </c>
      <c r="N32" s="21">
        <f>IF(AK32=0,"",AK32)</f>
      </c>
      <c r="O32" s="21">
        <f>IF(OR(AD32=0,AF32&lt;&gt;""),"",AJ32-AK32)</f>
      </c>
      <c r="P32" s="21">
        <f>IF(AND(AD32=1,AF32="",V32=2),AI32,"")</f>
      </c>
      <c r="Q32" s="21">
        <f>IF(OR($A32="",N(K32)=0),"",ROUND(K32*KmSatz,2))</f>
      </c>
      <c r="R32" s="22">
        <f>IF(AF32&amp;AL32="","",LEFT(AF32&amp;AL32,LEN(AF32&amp;AL32)-2))</f>
      </c>
      <c r="S32" s="1"/>
      <c r="T32" s="1">
        <f>IF(AND($A32&lt;&gt;"",ISNUMBER(C32)),1,0)</f>
      </c>
      <c r="U32" s="1">
        <f>IF(AND($A32&lt;&gt;"",ISNUMBER(D32)),1,0)</f>
      </c>
      <c r="V32" s="1">
        <f>IF($A32="",0,IF(E32="ja",1,IF(E32="Pauschale",2,0)))</f>
      </c>
      <c r="W32" s="1">
        <f>IF($A32="",0,IF(AU32&gt;0,1,0))</f>
      </c>
      <c r="X32" s="1">
        <f>IF(AND(T32=1,W32=0),1,0)</f>
      </c>
      <c r="Y32" s="1">
        <f>IF(AND(AS32=1,AT32=0,AU32=0),1,0)</f>
      </c>
      <c r="Z32" s="1">
        <f>IF(AND(Y32=1,T32=0,U32=1,V32=0),1,0)</f>
      </c>
      <c r="AA32" s="1">
        <f>IF(AND(X32=1,U32=0,V32=0,AN32=0,AO32=1,AP32=0),1,0)</f>
      </c>
      <c r="AB32" s="1">
        <f>IF(OR(W32=1,Z32=1),0,IF(T32=1,C32,0))</f>
      </c>
      <c r="AC32" s="1">
        <f>IF(OR(V32&gt;0,AA32=1),1,IF(U32=1,D32,1))</f>
      </c>
      <c r="AD32" s="1">
        <f>IF($A32="",0,IF(OR(T32=1,U32=1,V32&gt;0,W32=1),1,0))</f>
      </c>
      <c r="AE32" s="1">
        <f>IF(AD32=0,0,ROUND((AC32-AB32)*1440,0))</f>
      </c>
      <c r="AF32" s="1">
        <f>IF(AD32=0,"",IF(AND(F32&lt;&gt;"",ISNA(MATCH(F32,PauschLand,0))),"Land nicht in der Liste; ","")&amp;IF(AND(T32=0,W32=0,Z32=0),"Beginn fehlt; ","")&amp;IF(AND(V32=0,U32=0,AA32=0),"Ende fehlt; ","")&amp;IF(AND(X32=1,U32=1,V32=0,N(D32)&lt;N(C32)),"Ende vor Beginn (über Mitternacht: Ende in die Zeile des Folgetags); ",""))</f>
      </c>
      <c r="AG32" s="1">
        <f>IF(AD32=0,0,IFERROR(VLOOKUP(IF(F32="","Deutschland",F32),PauschTab,2,FALSE),0))</f>
      </c>
      <c r="AH32" s="1">
        <f>IF(AD32=0,0,IFERROR(VLOOKUP(IF(F32="","Deutschland",F32),PauschTab,3,FALSE),0))</f>
      </c>
      <c r="AI32" s="1">
        <f>IF(AD32=0,0,IFERROR(VLOOKUP(IF(F32="","Deutschland",F32),PauschTab,4,FALSE),0))</f>
      </c>
      <c r="AJ32" s="1">
        <f>IF(OR(AD32=0,AF32&lt;&gt;""),0,IF(AND(W32=1,V32&gt;0),IF(OR(T32=1,U32=1),AH32,AG32),IF(OR(W32=1,V32&gt;0),AH32,IF(AA32=1,IF(AND(AE32+AQ32&gt;480,AE32&gt;=AQ32),AH32,0),IF(Z32=1,IF(AND(AR32+AE32&gt;480,AE32&gt;AR32),AH32,0),IF(AE32&gt;480,AH32,0))))))</f>
      </c>
      <c r="AK32" s="1">
        <f>MIN(AJ32,AM32)</f>
      </c>
      <c r="AL32" s="1">
        <f>IF(OR(AD32=0,AF32&lt;&gt;""),"",IF(AND(W32=0,V32=0,AA32=0,Z32=0,AE32&lt;=480),"nicht mehr als 8 Std.; ","")&amp;IF(AA32=1,IF(AJ32&gt;0,"über Mitternacht, zusammen "&amp;TEXT((AE32+AQ32)/1440,"[h]:mm")&amp;" Std.; ",IF(AE32+AQ32&gt;480,"über Mitternacht: Pauschale am Folgetag; ","über Mitternacht, zusammen nicht mehr als 8 Std.; ")),"")&amp;IF(Z32=1,IF(AJ32&gt;0,"über Mitternacht, zusammen "&amp;TEXT((AR32+AE32)/1440,"[h]:mm")&amp;" Std.; ",IF(AR32+AE32&gt;480,"über Mitternacht: Pauschale am Vortag; ","über Mitternacht, zusammen nicht mehr als 8 Std.; ")),"")&amp;IF(AND(W32=1,V32&gt;0,OR(T32=1,U32=1)),"zwischendurch zu Hause: An- und Abreisetag; ","")&amp;IF(AND(W32=1,V32=0,T32=1),"Beginn leer lassen: unterwegs seit dem Vortag; ","")&amp;IF(AND(W32=0,V32&gt;0,U32=1),"Ende leer lassen: Übernachtung; ","")&amp;IF(AND(AJ32&gt;0,AM32&gt;AJ32),"Kürzung auf die Pauschale begrenzt; ",""))</f>
      </c>
      <c r="AM32" s="1">
        <f>ROUND(AG32*(IF(H32&lt;&gt;"",0.2,0)+IF(I32&lt;&gt;"",0.4,0)+IF(J32&lt;&gt;"",0.4,0)),2)</f>
      </c>
      <c r="AN32" s="1">
        <f>IF($A33="",'April'!$T$5,T33)</f>
      </c>
      <c r="AO32" s="1">
        <f>IF($A33="",'April'!$U$5,U33)</f>
      </c>
      <c r="AP32" s="1">
        <f>IF($A33="",'April'!$V$5,V33)</f>
      </c>
      <c r="AQ32" s="1">
        <f>IF($A33="",'April'!$AE$5,AE33)</f>
      </c>
      <c r="AR32" s="1">
        <f>AE31</f>
      </c>
      <c r="AS32" s="1">
        <f>X31</f>
      </c>
      <c r="AT32" s="1">
        <f>U31</f>
      </c>
      <c r="AU32" s="1">
        <f>V31</f>
      </c>
    </row>
    <row r="33" spans="1:47" x14ac:dyDescent="0.25">
      <c r="A33" s="17">
        <f>IF(MONTH(DATE(Jahr,3,29))=3,DATE(Jahr,3,29),"")</f>
      </c>
      <c r="B33" s="13">
        <f>IF(A33="","",CHOOSE(WEEKDAY(A33,2),"Mo","Di","Mi","Do","Fr","Sa","So"))</f>
      </c>
      <c r="C33" s="18"/>
      <c r="D33" s="18"/>
      <c r="E33" s="7"/>
      <c r="F33" s="7"/>
      <c r="G33" s="7"/>
      <c r="H33" s="19"/>
      <c r="I33" s="19"/>
      <c r="J33" s="19"/>
      <c r="K33" s="9"/>
      <c r="L33" s="20">
        <f>IF(OR(AD33=0,AF33&lt;&gt;"",AND(W33=1,V33&gt;0,OR(T33=1,U33=1))),"",AE33/1440)</f>
      </c>
      <c r="M33" s="21">
        <f>IF(OR(AD33=0,AF33&lt;&gt;""),"",AJ33)</f>
      </c>
      <c r="N33" s="21">
        <f>IF(AK33=0,"",AK33)</f>
      </c>
      <c r="O33" s="21">
        <f>IF(OR(AD33=0,AF33&lt;&gt;""),"",AJ33-AK33)</f>
      </c>
      <c r="P33" s="21">
        <f>IF(AND(AD33=1,AF33="",V33=2),AI33,"")</f>
      </c>
      <c r="Q33" s="21">
        <f>IF(OR($A33="",N(K33)=0),"",ROUND(K33*KmSatz,2))</f>
      </c>
      <c r="R33" s="22">
        <f>IF(AF33&amp;AL33="","",LEFT(AF33&amp;AL33,LEN(AF33&amp;AL33)-2))</f>
      </c>
      <c r="S33" s="1"/>
      <c r="T33" s="1">
        <f>IF(AND($A33&lt;&gt;"",ISNUMBER(C33)),1,0)</f>
      </c>
      <c r="U33" s="1">
        <f>IF(AND($A33&lt;&gt;"",ISNUMBER(D33)),1,0)</f>
      </c>
      <c r="V33" s="1">
        <f>IF($A33="",0,IF(E33="ja",1,IF(E33="Pauschale",2,0)))</f>
      </c>
      <c r="W33" s="1">
        <f>IF($A33="",0,IF(AU33&gt;0,1,0))</f>
      </c>
      <c r="X33" s="1">
        <f>IF(AND(T33=1,W33=0),1,0)</f>
      </c>
      <c r="Y33" s="1">
        <f>IF(AND(AS33=1,AT33=0,AU33=0),1,0)</f>
      </c>
      <c r="Z33" s="1">
        <f>IF(AND(Y33=1,T33=0,U33=1,V33=0),1,0)</f>
      </c>
      <c r="AA33" s="1">
        <f>IF(AND(X33=1,U33=0,V33=0,AN33=0,AO33=1,AP33=0),1,0)</f>
      </c>
      <c r="AB33" s="1">
        <f>IF(OR(W33=1,Z33=1),0,IF(T33=1,C33,0))</f>
      </c>
      <c r="AC33" s="1">
        <f>IF(OR(V33&gt;0,AA33=1),1,IF(U33=1,D33,1))</f>
      </c>
      <c r="AD33" s="1">
        <f>IF($A33="",0,IF(OR(T33=1,U33=1,V33&gt;0,W33=1),1,0))</f>
      </c>
      <c r="AE33" s="1">
        <f>IF(AD33=0,0,ROUND((AC33-AB33)*1440,0))</f>
      </c>
      <c r="AF33" s="1">
        <f>IF(AD33=0,"",IF(AND(F33&lt;&gt;"",ISNA(MATCH(F33,PauschLand,0))),"Land nicht in der Liste; ","")&amp;IF(AND(T33=0,W33=0,Z33=0),"Beginn fehlt; ","")&amp;IF(AND(V33=0,U33=0,AA33=0),"Ende fehlt; ","")&amp;IF(AND(X33=1,U33=1,V33=0,N(D33)&lt;N(C33)),"Ende vor Beginn (über Mitternacht: Ende in die Zeile des Folgetags); ",""))</f>
      </c>
      <c r="AG33" s="1">
        <f>IF(AD33=0,0,IFERROR(VLOOKUP(IF(F33="","Deutschland",F33),PauschTab,2,FALSE),0))</f>
      </c>
      <c r="AH33" s="1">
        <f>IF(AD33=0,0,IFERROR(VLOOKUP(IF(F33="","Deutschland",F33),PauschTab,3,FALSE),0))</f>
      </c>
      <c r="AI33" s="1">
        <f>IF(AD33=0,0,IFERROR(VLOOKUP(IF(F33="","Deutschland",F33),PauschTab,4,FALSE),0))</f>
      </c>
      <c r="AJ33" s="1">
        <f>IF(OR(AD33=0,AF33&lt;&gt;""),0,IF(AND(W33=1,V33&gt;0),IF(OR(T33=1,U33=1),AH33,AG33),IF(OR(W33=1,V33&gt;0),AH33,IF(AA33=1,IF(AND(AE33+AQ33&gt;480,AE33&gt;=AQ33),AH33,0),IF(Z33=1,IF(AND(AR33+AE33&gt;480,AE33&gt;AR33),AH33,0),IF(AE33&gt;480,AH33,0))))))</f>
      </c>
      <c r="AK33" s="1">
        <f>MIN(AJ33,AM33)</f>
      </c>
      <c r="AL33" s="1">
        <f>IF(OR(AD33=0,AF33&lt;&gt;""),"",IF(AND(W33=0,V33=0,AA33=0,Z33=0,AE33&lt;=480),"nicht mehr als 8 Std.; ","")&amp;IF(AA33=1,IF(AJ33&gt;0,"über Mitternacht, zusammen "&amp;TEXT((AE33+AQ33)/1440,"[h]:mm")&amp;" Std.; ",IF(AE33+AQ33&gt;480,"über Mitternacht: Pauschale am Folgetag; ","über Mitternacht, zusammen nicht mehr als 8 Std.; ")),"")&amp;IF(Z33=1,IF(AJ33&gt;0,"über Mitternacht, zusammen "&amp;TEXT((AR33+AE33)/1440,"[h]:mm")&amp;" Std.; ",IF(AR33+AE33&gt;480,"über Mitternacht: Pauschale am Vortag; ","über Mitternacht, zusammen nicht mehr als 8 Std.; ")),"")&amp;IF(AND(W33=1,V33&gt;0,OR(T33=1,U33=1)),"zwischendurch zu Hause: An- und Abreisetag; ","")&amp;IF(AND(W33=1,V33=0,T33=1),"Beginn leer lassen: unterwegs seit dem Vortag; ","")&amp;IF(AND(W33=0,V33&gt;0,U33=1),"Ende leer lassen: Übernachtung; ","")&amp;IF(AND(AJ33&gt;0,AM33&gt;AJ33),"Kürzung auf die Pauschale begrenzt; ",""))</f>
      </c>
      <c r="AM33" s="1">
        <f>ROUND(AG33*(IF(H33&lt;&gt;"",0.2,0)+IF(I33&lt;&gt;"",0.4,0)+IF(J33&lt;&gt;"",0.4,0)),2)</f>
      </c>
      <c r="AN33" s="1">
        <f>IF($A34="",'April'!$T$5,T34)</f>
      </c>
      <c r="AO33" s="1">
        <f>IF($A34="",'April'!$U$5,U34)</f>
      </c>
      <c r="AP33" s="1">
        <f>IF($A34="",'April'!$V$5,V34)</f>
      </c>
      <c r="AQ33" s="1">
        <f>IF($A34="",'April'!$AE$5,AE34)</f>
      </c>
      <c r="AR33" s="1">
        <f>AE32</f>
      </c>
      <c r="AS33" s="1">
        <f>X32</f>
      </c>
      <c r="AT33" s="1">
        <f>U32</f>
      </c>
      <c r="AU33" s="1">
        <f>V32</f>
      </c>
    </row>
    <row r="34" spans="1:47" x14ac:dyDescent="0.25">
      <c r="A34" s="17">
        <f>IF(MONTH(DATE(Jahr,3,30))=3,DATE(Jahr,3,30),"")</f>
      </c>
      <c r="B34" s="13">
        <f>IF(A34="","",CHOOSE(WEEKDAY(A34,2),"Mo","Di","Mi","Do","Fr","Sa","So"))</f>
      </c>
      <c r="C34" s="18"/>
      <c r="D34" s="18"/>
      <c r="E34" s="7"/>
      <c r="F34" s="7"/>
      <c r="G34" s="7"/>
      <c r="H34" s="19"/>
      <c r="I34" s="19"/>
      <c r="J34" s="19"/>
      <c r="K34" s="9"/>
      <c r="L34" s="20">
        <f>IF(OR(AD34=0,AF34&lt;&gt;"",AND(W34=1,V34&gt;0,OR(T34=1,U34=1))),"",AE34/1440)</f>
      </c>
      <c r="M34" s="21">
        <f>IF(OR(AD34=0,AF34&lt;&gt;""),"",AJ34)</f>
      </c>
      <c r="N34" s="21">
        <f>IF(AK34=0,"",AK34)</f>
      </c>
      <c r="O34" s="21">
        <f>IF(OR(AD34=0,AF34&lt;&gt;""),"",AJ34-AK34)</f>
      </c>
      <c r="P34" s="21">
        <f>IF(AND(AD34=1,AF34="",V34=2),AI34,"")</f>
      </c>
      <c r="Q34" s="21">
        <f>IF(OR($A34="",N(K34)=0),"",ROUND(K34*KmSatz,2))</f>
      </c>
      <c r="R34" s="22">
        <f>IF(AF34&amp;AL34="","",LEFT(AF34&amp;AL34,LEN(AF34&amp;AL34)-2))</f>
      </c>
      <c r="S34" s="1"/>
      <c r="T34" s="1">
        <f>IF(AND($A34&lt;&gt;"",ISNUMBER(C34)),1,0)</f>
      </c>
      <c r="U34" s="1">
        <f>IF(AND($A34&lt;&gt;"",ISNUMBER(D34)),1,0)</f>
      </c>
      <c r="V34" s="1">
        <f>IF($A34="",0,IF(E34="ja",1,IF(E34="Pauschale",2,0)))</f>
      </c>
      <c r="W34" s="1">
        <f>IF($A34="",0,IF(AU34&gt;0,1,0))</f>
      </c>
      <c r="X34" s="1">
        <f>IF(AND(T34=1,W34=0),1,0)</f>
      </c>
      <c r="Y34" s="1">
        <f>IF(AND(AS34=1,AT34=0,AU34=0),1,0)</f>
      </c>
      <c r="Z34" s="1">
        <f>IF(AND(Y34=1,T34=0,U34=1,V34=0),1,0)</f>
      </c>
      <c r="AA34" s="1">
        <f>IF(AND(X34=1,U34=0,V34=0,AN34=0,AO34=1,AP34=0),1,0)</f>
      </c>
      <c r="AB34" s="1">
        <f>IF(OR(W34=1,Z34=1),0,IF(T34=1,C34,0))</f>
      </c>
      <c r="AC34" s="1">
        <f>IF(OR(V34&gt;0,AA34=1),1,IF(U34=1,D34,1))</f>
      </c>
      <c r="AD34" s="1">
        <f>IF($A34="",0,IF(OR(T34=1,U34=1,V34&gt;0,W34=1),1,0))</f>
      </c>
      <c r="AE34" s="1">
        <f>IF(AD34=0,0,ROUND((AC34-AB34)*1440,0))</f>
      </c>
      <c r="AF34" s="1">
        <f>IF(AD34=0,"",IF(AND(F34&lt;&gt;"",ISNA(MATCH(F34,PauschLand,0))),"Land nicht in der Liste; ","")&amp;IF(AND(T34=0,W34=0,Z34=0),"Beginn fehlt; ","")&amp;IF(AND(V34=0,U34=0,AA34=0),"Ende fehlt; ","")&amp;IF(AND(X34=1,U34=1,V34=0,N(D34)&lt;N(C34)),"Ende vor Beginn (über Mitternacht: Ende in die Zeile des Folgetags); ",""))</f>
      </c>
      <c r="AG34" s="1">
        <f>IF(AD34=0,0,IFERROR(VLOOKUP(IF(F34="","Deutschland",F34),PauschTab,2,FALSE),0))</f>
      </c>
      <c r="AH34" s="1">
        <f>IF(AD34=0,0,IFERROR(VLOOKUP(IF(F34="","Deutschland",F34),PauschTab,3,FALSE),0))</f>
      </c>
      <c r="AI34" s="1">
        <f>IF(AD34=0,0,IFERROR(VLOOKUP(IF(F34="","Deutschland",F34),PauschTab,4,FALSE),0))</f>
      </c>
      <c r="AJ34" s="1">
        <f>IF(OR(AD34=0,AF34&lt;&gt;""),0,IF(AND(W34=1,V34&gt;0),IF(OR(T34=1,U34=1),AH34,AG34),IF(OR(W34=1,V34&gt;0),AH34,IF(AA34=1,IF(AND(AE34+AQ34&gt;480,AE34&gt;=AQ34),AH34,0),IF(Z34=1,IF(AND(AR34+AE34&gt;480,AE34&gt;AR34),AH34,0),IF(AE34&gt;480,AH34,0))))))</f>
      </c>
      <c r="AK34" s="1">
        <f>MIN(AJ34,AM34)</f>
      </c>
      <c r="AL34" s="1">
        <f>IF(OR(AD34=0,AF34&lt;&gt;""),"",IF(AND(W34=0,V34=0,AA34=0,Z34=0,AE34&lt;=480),"nicht mehr als 8 Std.; ","")&amp;IF(AA34=1,IF(AJ34&gt;0,"über Mitternacht, zusammen "&amp;TEXT((AE34+AQ34)/1440,"[h]:mm")&amp;" Std.; ",IF(AE34+AQ34&gt;480,"über Mitternacht: Pauschale am Folgetag; ","über Mitternacht, zusammen nicht mehr als 8 Std.; ")),"")&amp;IF(Z34=1,IF(AJ34&gt;0,"über Mitternacht, zusammen "&amp;TEXT((AR34+AE34)/1440,"[h]:mm")&amp;" Std.; ",IF(AR34+AE34&gt;480,"über Mitternacht: Pauschale am Vortag; ","über Mitternacht, zusammen nicht mehr als 8 Std.; ")),"")&amp;IF(AND(W34=1,V34&gt;0,OR(T34=1,U34=1)),"zwischendurch zu Hause: An- und Abreisetag; ","")&amp;IF(AND(W34=1,V34=0,T34=1),"Beginn leer lassen: unterwegs seit dem Vortag; ","")&amp;IF(AND(W34=0,V34&gt;0,U34=1),"Ende leer lassen: Übernachtung; ","")&amp;IF(AND(AJ34&gt;0,AM34&gt;AJ34),"Kürzung auf die Pauschale begrenzt; ",""))</f>
      </c>
      <c r="AM34" s="1">
        <f>ROUND(AG34*(IF(H34&lt;&gt;"",0.2,0)+IF(I34&lt;&gt;"",0.4,0)+IF(J34&lt;&gt;"",0.4,0)),2)</f>
      </c>
      <c r="AN34" s="1">
        <f>IF($A35="",'April'!$T$5,T35)</f>
      </c>
      <c r="AO34" s="1">
        <f>IF($A35="",'April'!$U$5,U35)</f>
      </c>
      <c r="AP34" s="1">
        <f>IF($A35="",'April'!$V$5,V35)</f>
      </c>
      <c r="AQ34" s="1">
        <f>IF($A35="",'April'!$AE$5,AE35)</f>
      </c>
      <c r="AR34" s="1">
        <f>AE33</f>
      </c>
      <c r="AS34" s="1">
        <f>X33</f>
      </c>
      <c r="AT34" s="1">
        <f>U33</f>
      </c>
      <c r="AU34" s="1">
        <f>V33</f>
      </c>
    </row>
    <row r="35" spans="1:47" x14ac:dyDescent="0.25">
      <c r="A35" s="17">
        <f>IF(MONTH(DATE(Jahr,3,31))=3,DATE(Jahr,3,31),"")</f>
      </c>
      <c r="B35" s="13">
        <f>IF(A35="","",CHOOSE(WEEKDAY(A35,2),"Mo","Di","Mi","Do","Fr","Sa","So"))</f>
      </c>
      <c r="C35" s="18"/>
      <c r="D35" s="18"/>
      <c r="E35" s="7"/>
      <c r="F35" s="7"/>
      <c r="G35" s="7"/>
      <c r="H35" s="19"/>
      <c r="I35" s="19"/>
      <c r="J35" s="19"/>
      <c r="K35" s="9"/>
      <c r="L35" s="20">
        <f>IF(OR(AD35=0,AF35&lt;&gt;"",AND(W35=1,V35&gt;0,OR(T35=1,U35=1))),"",AE35/1440)</f>
      </c>
      <c r="M35" s="21">
        <f>IF(OR(AD35=0,AF35&lt;&gt;""),"",AJ35)</f>
      </c>
      <c r="N35" s="21">
        <f>IF(AK35=0,"",AK35)</f>
      </c>
      <c r="O35" s="21">
        <f>IF(OR(AD35=0,AF35&lt;&gt;""),"",AJ35-AK35)</f>
      </c>
      <c r="P35" s="21">
        <f>IF(AND(AD35=1,AF35="",V35=2),AI35,"")</f>
      </c>
      <c r="Q35" s="21">
        <f>IF(OR($A35="",N(K35)=0),"",ROUND(K35*KmSatz,2))</f>
      </c>
      <c r="R35" s="22">
        <f>IF(AF35&amp;AL35="","",LEFT(AF35&amp;AL35,LEN(AF35&amp;AL35)-2))</f>
      </c>
      <c r="S35" s="1"/>
      <c r="T35" s="1">
        <f>IF(AND($A35&lt;&gt;"",ISNUMBER(C35)),1,0)</f>
      </c>
      <c r="U35" s="1">
        <f>IF(AND($A35&lt;&gt;"",ISNUMBER(D35)),1,0)</f>
      </c>
      <c r="V35" s="1">
        <f>IF($A35="",0,IF(E35="ja",1,IF(E35="Pauschale",2,0)))</f>
      </c>
      <c r="W35" s="1">
        <f>IF($A35="",0,IF(AU35&gt;0,1,0))</f>
      </c>
      <c r="X35" s="1">
        <f>IF(AND(T35=1,W35=0),1,0)</f>
      </c>
      <c r="Y35" s="1">
        <f>IF(AND(AS35=1,AT35=0,AU35=0),1,0)</f>
      </c>
      <c r="Z35" s="1">
        <f>IF(AND(Y35=1,T35=0,U35=1,V35=0),1,0)</f>
      </c>
      <c r="AA35" s="1">
        <f>IF(AND(X35=1,U35=0,V35=0,AN35=0,AO35=1,AP35=0),1,0)</f>
      </c>
      <c r="AB35" s="1">
        <f>IF(OR(W35=1,Z35=1),0,IF(T35=1,C35,0))</f>
      </c>
      <c r="AC35" s="1">
        <f>IF(OR(V35&gt;0,AA35=1),1,IF(U35=1,D35,1))</f>
      </c>
      <c r="AD35" s="1">
        <f>IF($A35="",0,IF(OR(T35=1,U35=1,V35&gt;0,W35=1),1,0))</f>
      </c>
      <c r="AE35" s="1">
        <f>IF(AD35=0,0,ROUND((AC35-AB35)*1440,0))</f>
      </c>
      <c r="AF35" s="1">
        <f>IF(AD35=0,"",IF(AND(F35&lt;&gt;"",ISNA(MATCH(F35,PauschLand,0))),"Land nicht in der Liste; ","")&amp;IF(AND(T35=0,W35=0,Z35=0),"Beginn fehlt; ","")&amp;IF(AND(V35=0,U35=0,AA35=0),"Ende fehlt; ","")&amp;IF(AND(X35=1,U35=1,V35=0,N(D35)&lt;N(C35)),"Ende vor Beginn (über Mitternacht: Ende in die Zeile des Folgetags); ",""))</f>
      </c>
      <c r="AG35" s="1">
        <f>IF(AD35=0,0,IFERROR(VLOOKUP(IF(F35="","Deutschland",F35),PauschTab,2,FALSE),0))</f>
      </c>
      <c r="AH35" s="1">
        <f>IF(AD35=0,0,IFERROR(VLOOKUP(IF(F35="","Deutschland",F35),PauschTab,3,FALSE),0))</f>
      </c>
      <c r="AI35" s="1">
        <f>IF(AD35=0,0,IFERROR(VLOOKUP(IF(F35="","Deutschland",F35),PauschTab,4,FALSE),0))</f>
      </c>
      <c r="AJ35" s="1">
        <f>IF(OR(AD35=0,AF35&lt;&gt;""),0,IF(AND(W35=1,V35&gt;0),IF(OR(T35=1,U35=1),AH35,AG35),IF(OR(W35=1,V35&gt;0),AH35,IF(AA35=1,IF(AND(AE35+AQ35&gt;480,AE35&gt;=AQ35),AH35,0),IF(Z35=1,IF(AND(AR35+AE35&gt;480,AE35&gt;AR35),AH35,0),IF(AE35&gt;480,AH35,0))))))</f>
      </c>
      <c r="AK35" s="1">
        <f>MIN(AJ35,AM35)</f>
      </c>
      <c r="AL35" s="1">
        <f>IF(OR(AD35=0,AF35&lt;&gt;""),"",IF(AND(W35=0,V35=0,AA35=0,Z35=0,AE35&lt;=480),"nicht mehr als 8 Std.; ","")&amp;IF(AA35=1,IF(AJ35&gt;0,"über Mitternacht, zusammen "&amp;TEXT((AE35+AQ35)/1440,"[h]:mm")&amp;" Std.; ",IF(AE35+AQ35&gt;480,"über Mitternacht: Pauschale am Folgetag; ","über Mitternacht, zusammen nicht mehr als 8 Std.; ")),"")&amp;IF(Z35=1,IF(AJ35&gt;0,"über Mitternacht, zusammen "&amp;TEXT((AR35+AE35)/1440,"[h]:mm")&amp;" Std.; ",IF(AR35+AE35&gt;480,"über Mitternacht: Pauschale am Vortag; ","über Mitternacht, zusammen nicht mehr als 8 Std.; ")),"")&amp;IF(AND(W35=1,V35&gt;0,OR(T35=1,U35=1)),"zwischendurch zu Hause: An- und Abreisetag; ","")&amp;IF(AND(W35=1,V35=0,T35=1),"Beginn leer lassen: unterwegs seit dem Vortag; ","")&amp;IF(AND(W35=0,V35&gt;0,U35=1),"Ende leer lassen: Übernachtung; ","")&amp;IF(AND(AJ35&gt;0,AM35&gt;AJ35),"Kürzung auf die Pauschale begrenzt; ",""))</f>
      </c>
      <c r="AM35" s="1">
        <f>ROUND(AG35*(IF(H35&lt;&gt;"",0.2,0)+IF(I35&lt;&gt;"",0.4,0)+IF(J35&lt;&gt;"",0.4,0)),2)</f>
      </c>
      <c r="AN35" s="1">
        <f>'April'!$T$5</f>
      </c>
      <c r="AO35" s="1">
        <f>'April'!$U$5</f>
      </c>
      <c r="AP35" s="1">
        <f>'April'!$V$5</f>
      </c>
      <c r="AQ35" s="1">
        <f>'April'!$AE$5</f>
      </c>
      <c r="AR35" s="1">
        <f>AE34</f>
      </c>
      <c r="AS35" s="1">
        <f>X34</f>
      </c>
      <c r="AT35" s="1">
        <f>U34</f>
      </c>
      <c r="AU35" s="1">
        <f>V34</f>
      </c>
    </row>
    <row r="37" spans="1:21" x14ac:dyDescent="0.25">
      <c r="A37" s="23">
        <f>"Abrechnung März "&amp;Jahr</f>
      </c>
      <c r="B37" s="1"/>
      <c r="C37" s="1"/>
      <c r="D37" s="1"/>
      <c r="E37" s="1"/>
      <c r="F37" s="1"/>
      <c r="G37" s="1"/>
      <c r="H37" s="1"/>
      <c r="I37" s="1"/>
      <c r="J37" s="1"/>
      <c r="K37" s="23">
        <f>"Buchung ("&amp;Kontenrahmen&amp;IF(Vorsteuerabzug="nein",", ohne Vorsteuer","")&amp;")"</f>
      </c>
      <c r="L37" s="1"/>
      <c r="M37" s="1"/>
      <c r="N37" s="1"/>
      <c r="O37" s="1"/>
      <c r="P37" s="1"/>
      <c r="Q37" s="1"/>
      <c r="R37" s="1"/>
      <c r="S37" s="1"/>
      <c r="T37" s="1">
        <f>COUNTIF(AD5:AD35,1)</f>
      </c>
      <c r="U37" s="1">
        <f>SUM(K5:K35)</f>
      </c>
    </row>
    <row r="38" spans="1:19" x14ac:dyDescent="0.25">
      <c r="A38" s="6" t="s">
        <v>49</v>
      </c>
      <c r="B38" s="6"/>
      <c r="C38" s="6"/>
      <c r="D38" s="6"/>
      <c r="E38" s="6"/>
      <c r="F38" s="6"/>
      <c r="G38" s="24">
        <f>SUM(O5:O35)</f>
      </c>
      <c r="H38" s="1"/>
      <c r="I38" s="1"/>
      <c r="J38" s="1"/>
      <c r="K38" s="25">
        <f>KtoVerpflegung</f>
      </c>
      <c r="L38" s="1" t="s">
        <v>49</v>
      </c>
      <c r="M38" s="1"/>
      <c r="N38" s="1"/>
      <c r="O38" s="1"/>
      <c r="P38" s="1"/>
      <c r="Q38" s="1"/>
      <c r="R38" s="26">
        <f>S38</f>
      </c>
      <c r="S38" s="1">
        <f>G38</f>
      </c>
    </row>
    <row r="39" spans="1:19" x14ac:dyDescent="0.25">
      <c r="A39" s="6" t="s">
        <v>75</v>
      </c>
      <c r="B39" s="6"/>
      <c r="C39" s="6"/>
      <c r="D39" s="6"/>
      <c r="E39" s="6"/>
      <c r="F39" s="6"/>
      <c r="G39" s="24">
        <f>SUMIFS(Belege!$O$5:$O$304,Belege!$L$5:$L$304,3,Belege!$C$5:$C$304,"Übernachtung")+SUM(P5:P35)</f>
      </c>
      <c r="H39" s="1"/>
      <c r="I39" s="1"/>
      <c r="J39" s="1"/>
      <c r="K39" s="25">
        <f>KtoUebernachtung</f>
      </c>
      <c r="L39" s="1" t="s">
        <v>50</v>
      </c>
      <c r="M39" s="1"/>
      <c r="N39" s="1"/>
      <c r="O39" s="1"/>
      <c r="P39" s="1"/>
      <c r="Q39" s="1"/>
      <c r="R39" s="26">
        <f>S39</f>
      </c>
      <c r="S39" s="1">
        <f>IF(Vorsteuerabzug="nein",SUMIFS(Belege!$O$5:$O$304,Belege!$L$5:$L$304,3,Belege!$C$5:$C$304,"Übernachtung"),SUMIFS(Belege!$P$5:$P$304,Belege!$L$5:$L$304,3,Belege!$C$5:$C$304,"Übernachtung"))+SUM(P5:P35)</f>
      </c>
    </row>
    <row r="40" spans="1:19" x14ac:dyDescent="0.25">
      <c r="A40" s="6" t="s">
        <v>76</v>
      </c>
      <c r="B40" s="6"/>
      <c r="C40" s="6"/>
      <c r="D40" s="6"/>
      <c r="E40" s="6"/>
      <c r="F40" s="6"/>
      <c r="G40" s="24">
        <f>SUMIFS(Belege!$O$5:$O$304,Belege!$L$5:$L$304,3,Belege!$C$5:$C$304,"Fahrtkosten")</f>
      </c>
      <c r="H40" s="1"/>
      <c r="I40" s="1"/>
      <c r="J40" s="1"/>
      <c r="K40" s="25">
        <f>KtoFahrtkosten</f>
      </c>
      <c r="L40" s="1" t="s">
        <v>51</v>
      </c>
      <c r="M40" s="1"/>
      <c r="N40" s="1"/>
      <c r="O40" s="1"/>
      <c r="P40" s="1"/>
      <c r="Q40" s="1"/>
      <c r="R40" s="26">
        <f>S40</f>
      </c>
      <c r="S40" s="1">
        <f>IF(Vorsteuerabzug="nein",SUMIFS(Belege!$O$5:$O$304,Belege!$L$5:$L$304,3,Belege!$C$5:$C$304,"Fahrtkosten"),SUMIFS(Belege!$P$5:$P$304,Belege!$L$5:$L$304,3,Belege!$C$5:$C$304,"Fahrtkosten"))</f>
      </c>
    </row>
    <row r="41" spans="1:19" x14ac:dyDescent="0.25">
      <c r="A41" s="6">
        <f>"Kilometergeld ("&amp;SUM(K5:K35)&amp;" km zu "&amp;IF(KmSatz=0.2,"0,20","0,30")&amp;" €)"</f>
      </c>
      <c r="B41" s="6"/>
      <c r="C41" s="6"/>
      <c r="D41" s="6"/>
      <c r="E41" s="6"/>
      <c r="F41" s="6"/>
      <c r="G41" s="24">
        <f>SUM(Q5:Q35)</f>
      </c>
      <c r="H41" s="1"/>
      <c r="I41" s="1"/>
      <c r="J41" s="1"/>
      <c r="K41" s="25">
        <f>KtoKilometergeld</f>
      </c>
      <c r="L41" s="1" t="s">
        <v>52</v>
      </c>
      <c r="M41" s="1"/>
      <c r="N41" s="1"/>
      <c r="O41" s="1"/>
      <c r="P41" s="1"/>
      <c r="Q41" s="1"/>
      <c r="R41" s="26">
        <f>S41</f>
      </c>
      <c r="S41" s="1">
        <f>G41</f>
      </c>
    </row>
    <row r="42" spans="1:19" x14ac:dyDescent="0.25">
      <c r="A42" s="6" t="s">
        <v>77</v>
      </c>
      <c r="B42" s="6"/>
      <c r="C42" s="6"/>
      <c r="D42" s="6"/>
      <c r="E42" s="6"/>
      <c r="F42" s="6"/>
      <c r="G42" s="24">
        <f>SUMIFS(Belege!$O$5:$O$304,Belege!$L$5:$L$304,3,Belege!$C$5:$C$304,"Nebenkosten")</f>
      </c>
      <c r="H42" s="1"/>
      <c r="I42" s="1"/>
      <c r="J42" s="1"/>
      <c r="K42" s="25">
        <f>KtoNebenkosten</f>
      </c>
      <c r="L42" s="1" t="s">
        <v>53</v>
      </c>
      <c r="M42" s="1"/>
      <c r="N42" s="1"/>
      <c r="O42" s="1"/>
      <c r="P42" s="1"/>
      <c r="Q42" s="1"/>
      <c r="R42" s="26">
        <f>S42</f>
      </c>
      <c r="S42" s="1">
        <f>IF(Vorsteuerabzug="nein",SUMIFS(Belege!$O$5:$O$304,Belege!$L$5:$L$304,3,Belege!$C$5:$C$304,"Nebenkosten"),SUMIFS(Belege!$P$5:$P$304,Belege!$L$5:$L$304,3,Belege!$C$5:$C$304,"Nebenkosten"))</f>
      </c>
    </row>
    <row r="43" spans="1:19" x14ac:dyDescent="0.25">
      <c r="A43" s="11" t="s">
        <v>78</v>
      </c>
      <c r="B43" s="11"/>
      <c r="C43" s="11"/>
      <c r="D43" s="11"/>
      <c r="E43" s="11"/>
      <c r="F43" s="11"/>
      <c r="G43" s="27">
        <f>SUM(G38:G42)</f>
      </c>
      <c r="H43" s="1"/>
      <c r="I43" s="1"/>
      <c r="J43" s="1"/>
      <c r="K43" s="25">
        <f>KtoVSt7</f>
      </c>
      <c r="L43" s="1" t="s">
        <v>54</v>
      </c>
      <c r="M43" s="1"/>
      <c r="N43" s="1"/>
      <c r="O43" s="1"/>
      <c r="P43" s="1"/>
      <c r="Q43" s="1"/>
      <c r="R43" s="26">
        <f>IF(Vorsteuerabzug="nein","",S43)</f>
      </c>
      <c r="S43" s="1">
        <f>IF(Vorsteuerabzug="nein",0,SUMIFS(Belege!$Q$5:$Q$304,Belege!$L$5:$L$304,3,Belege!$M$5:$M$304,0.07))</f>
      </c>
    </row>
    <row r="44" spans="1:19" x14ac:dyDescent="0.25">
      <c r="A44" s="6" t="s">
        <v>79</v>
      </c>
      <c r="B44" s="6"/>
      <c r="C44" s="6"/>
      <c r="D44" s="6"/>
      <c r="E44" s="6"/>
      <c r="F44" s="6"/>
      <c r="G44" s="28"/>
      <c r="H44" s="1"/>
      <c r="I44" s="1"/>
      <c r="J44" s="1"/>
      <c r="K44" s="25">
        <f>KtoVSt19</f>
      </c>
      <c r="L44" s="1" t="s">
        <v>55</v>
      </c>
      <c r="M44" s="1"/>
      <c r="N44" s="1"/>
      <c r="O44" s="1"/>
      <c r="P44" s="1"/>
      <c r="Q44" s="1"/>
      <c r="R44" s="26">
        <f>IF(Vorsteuerabzug="nein","",S44)</f>
      </c>
      <c r="S44" s="1">
        <f>IF(Vorsteuerabzug="nein",0,SUMIFS(Belege!$Q$5:$Q$304,Belege!$L$5:$L$304,3,Belege!$M$5:$M$304,0.19))</f>
      </c>
    </row>
    <row r="45" spans="1:18" x14ac:dyDescent="0.25">
      <c r="A45" s="11" t="s">
        <v>80</v>
      </c>
      <c r="B45" s="11"/>
      <c r="C45" s="11"/>
      <c r="D45" s="11"/>
      <c r="E45" s="11"/>
      <c r="F45" s="11"/>
      <c r="G45" s="27">
        <f>G43-N(G44)</f>
      </c>
      <c r="H45" s="1"/>
      <c r="I45" s="1"/>
      <c r="J45" s="1"/>
      <c r="K45" s="11" t="s">
        <v>81</v>
      </c>
      <c r="L45" s="11"/>
      <c r="M45" s="11"/>
      <c r="N45" s="11"/>
      <c r="O45" s="11"/>
      <c r="P45" s="11"/>
      <c r="Q45" s="11"/>
      <c r="R45" s="27">
        <f>SUM(S38:S44)</f>
      </c>
    </row>
    <row r="46" spans="1:7" x14ac:dyDescent="0.25">
      <c r="A46" s="29" t="s">
        <v>82</v>
      </c>
      <c r="B46" s="29"/>
      <c r="C46" s="29"/>
      <c r="D46" s="29"/>
      <c r="E46" s="29"/>
      <c r="F46" s="29"/>
      <c r="G46" s="30">
        <f>SUMIFS(Belege!$E$5:$E$304,Belege!$L$5:$L$304,3,Belege!$N$5:$N$304,0)</f>
      </c>
    </row>
    <row r="49" spans="1:18" x14ac:dyDescent="0.25">
      <c r="A49" s="31"/>
      <c r="B49" s="31"/>
      <c r="C49" s="31"/>
      <c r="D49" s="31"/>
      <c r="E49" s="31"/>
      <c r="F49" s="31"/>
      <c r="G49" s="31"/>
      <c r="H49" s="31"/>
      <c r="I49" s="31"/>
      <c r="J49" s="31"/>
      <c r="K49" s="31"/>
      <c r="M49" s="31"/>
      <c r="N49" s="31"/>
      <c r="O49" s="31"/>
      <c r="P49" s="31"/>
      <c r="Q49" s="31"/>
      <c r="R49" s="31"/>
    </row>
    <row r="50" spans="1:13" x14ac:dyDescent="0.25">
      <c r="A50" s="32" t="s">
        <v>83</v>
      </c>
      <c r="B50" s="1"/>
      <c r="C50" s="1"/>
      <c r="D50" s="1"/>
      <c r="E50" s="1"/>
      <c r="F50" s="1"/>
      <c r="G50" s="32" t="s">
        <v>84</v>
      </c>
      <c r="H50" s="1"/>
      <c r="I50" s="1"/>
      <c r="J50" s="1"/>
      <c r="K50" s="1"/>
      <c r="L50" s="1"/>
      <c r="M50" s="32" t="s">
        <v>85</v>
      </c>
    </row>
  </sheetData>
  <sheetProtection sheet="1" formatCells="0" formatColumns="0" formatRows="0"/>
  <mergeCells count="17">
    <mergeCell ref="A38:F38"/>
    <mergeCell ref="L38:Q38"/>
    <mergeCell ref="A39:F39"/>
    <mergeCell ref="L39:Q39"/>
    <mergeCell ref="A40:F40"/>
    <mergeCell ref="L40:Q40"/>
    <mergeCell ref="A41:F41"/>
    <mergeCell ref="L41:Q41"/>
    <mergeCell ref="A42:F42"/>
    <mergeCell ref="L42:Q42"/>
    <mergeCell ref="A43:F43"/>
    <mergeCell ref="L43:Q43"/>
    <mergeCell ref="A44:F44"/>
    <mergeCell ref="L44:Q44"/>
    <mergeCell ref="A45:F45"/>
    <mergeCell ref="K45:Q45"/>
    <mergeCell ref="A46:F46"/>
  </mergeCells>
  <conditionalFormatting sqref="A5:Q35">
    <cfRule type="expression" dxfId="12" priority="1">
      <formula>$A5=""</formula>
    </cfRule>
    <cfRule type="expression" dxfId="13" priority="2">
      <formula>WEEKDAY($A5,2)&gt;5</formula>
    </cfRule>
  </conditionalFormatting>
  <conditionalFormatting sqref="R5:R35">
    <cfRule type="expression" dxfId="14" priority="3">
      <formula>$A5=""</formula>
    </cfRule>
    <cfRule type="expression" dxfId="15" priority="4">
      <formula>AND($AF5&lt;&gt;"",WEEKDAY($A5,2)&gt;5)</formula>
    </cfRule>
    <cfRule type="expression" dxfId="16" priority="5">
      <formula>$AF5&lt;&gt;""</formula>
    </cfRule>
    <cfRule type="expression" dxfId="17" priority="6">
      <formula>WEEKDAY($A5,2)&gt;5</formula>
    </cfRule>
  </conditionalFormatting>
  <dataValidations count="11">
    <dataValidation type="decimal" allowBlank="1" showErrorMessage="1" errorTitle="Uhrzeit" error="Bitte als Uhrzeit hh:mm eingeben, z. B. 7:30 oder 16:45." sqref="C10:D35">
      <formula1>0</formula1>
      <formula2>0.99999</formula2>
    </dataValidation>
    <dataValidation type="decimal" allowBlank="1" showErrorMessage="1" errorTitle="Uhrzeit" error="Bitte als Uhrzeit hh:mm eingeben, z. B. 7:30 oder 16:45." sqref="C5:D35">
      <formula1>0</formula1>
      <formula2>0.99999</formula2>
    </dataValidation>
    <dataValidation type="list" allowBlank="1" showErrorMessage="1" errorTitle="Übernachtung" error="Bitte aus der Liste wählen." sqref="E10:E35">
      <formula1>"ja,Pauschale"</formula1>
    </dataValidation>
    <dataValidation type="list" allowBlank="1" showErrorMessage="1" errorTitle="Übernachtung" error="Bitte aus der Liste wählen." sqref="E5:E35">
      <formula1>"ja,Pauschale"</formula1>
    </dataValidation>
    <dataValidation type="list" allowBlank="1" showErrorMessage="1" errorTitle="Land / Ort" error="Bitte aus der Liste wählen; nicht aufgeführte Länder: Luxemburg." sqref="F10:F35">
      <formula1>Pauschalen!$A$4:$A$218</formula1>
    </dataValidation>
    <dataValidation type="list" allowBlank="1" showErrorMessage="1" errorTitle="Land / Ort" error="Bitte aus der Liste wählen; nicht aufgeführte Länder: Luxemburg." sqref="F5:F35">
      <formula1>Pauschalen!$A$4:$A$218</formula1>
    </dataValidation>
    <dataValidation type="decimal" allowBlank="1" showErrorMessage="1" errorTitle="Vorschuss" error="Bitte einen Betrag in Euro eintragen." sqref="G44">
      <formula1>0</formula1>
      <formula2>99999</formula2>
    </dataValidation>
    <dataValidation type="list" allowBlank="1" showErrorMessage="1" errorTitle="Mahlzeit" error="Bitte aus der Liste wählen." sqref="H10:J35">
      <formula1>"x"</formula1>
    </dataValidation>
    <dataValidation type="list" allowBlank="1" showErrorMessage="1" errorTitle="Mahlzeit" error="Bitte aus der Liste wählen." sqref="H5:J35">
      <formula1>"x"</formula1>
    </dataValidation>
    <dataValidation type="whole" allowBlank="1" showErrorMessage="1" errorTitle="Kilometer" error="Bitte die gefahrenen Kilometer als ganze Zahl eintragen." sqref="K10:K35">
      <formula1>0</formula1>
      <formula2>5000</formula2>
    </dataValidation>
    <dataValidation type="whole" allowBlank="1" showErrorMessage="1" errorTitle="Kilometer" error="Bitte die gefahrenen Kilometer als ganze Zahl eintragen." sqref="K5:K35">
      <formula1>0</formula1>
      <formula2>5000</formula2>
    </dataValidation>
  </dataValidations>
  <pageMargins left="0.4" right="0.4" top="0.5" bottom="0.5" header="0.2" footer="0.2"/>
  <pageSetup paperSize="9" orientation="landscape"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0"/>
  <sheetViews>
    <sheetView workbookViewId="0" showGridLines="0">
      <pane xSplit="2" ySplit="4" topLeftCell="C5" activePane="bottomRight" state="frozen"/>
      <selection pane="bottomRight"/>
    </sheetView>
  </sheetViews>
  <sheetFormatPr defaultRowHeight="15" outlineLevelRow="0" outlineLevelCol="0" x14ac:dyDescent="55"/>
  <cols>
    <col min="1" max="1" width="7" customWidth="1"/>
    <col min="2" max="2" width="4" customWidth="1"/>
    <col min="3" max="4" width="6.5" customWidth="1"/>
    <col min="5" max="5" width="10" customWidth="1"/>
    <col min="6" max="6" width="18" customWidth="1"/>
    <col min="7" max="7" width="24" customWidth="1"/>
    <col min="8" max="10" width="5.5" customWidth="1"/>
    <col min="11" max="11" width="8" customWidth="1"/>
    <col min="14" max="14" width="8.5" customWidth="1"/>
    <col min="15" max="15" width="10.5" customWidth="1"/>
    <col min="16" max="16" width="12" customWidth="1"/>
    <col min="17" max="17" width="10" customWidth="1"/>
    <col min="18" max="18" width="36" customWidth="1"/>
    <col min="19" max="19" width="9" hidden="1" customWidth="1"/>
    <col min="20" max="20" width="9" hidden="1" customWidth="1"/>
    <col min="21" max="21" width="9" hidden="1" customWidth="1"/>
    <col min="22" max="22" width="9" hidden="1" customWidth="1"/>
    <col min="23" max="23" width="9" hidden="1" customWidth="1"/>
    <col min="24" max="24" width="9" hidden="1" customWidth="1"/>
    <col min="25" max="25" width="9" hidden="1" customWidth="1"/>
    <col min="26" max="26" width="9" hidden="1" customWidth="1"/>
    <col min="27" max="27" width="9" hidden="1" customWidth="1"/>
    <col min="28" max="28" width="9" hidden="1" customWidth="1"/>
    <col min="29" max="29" width="9" hidden="1" customWidth="1"/>
    <col min="30" max="30" width="9" hidden="1" customWidth="1"/>
    <col min="31" max="31" width="9" hidden="1" customWidth="1"/>
    <col min="32" max="32" width="9" hidden="1" customWidth="1"/>
    <col min="33" max="33" width="9" hidden="1" customWidth="1"/>
    <col min="34" max="34" width="9" hidden="1" customWidth="1"/>
    <col min="35" max="35" width="9" hidden="1" customWidth="1"/>
    <col min="36" max="36" width="9" hidden="1" customWidth="1"/>
    <col min="37" max="37" width="9" hidden="1" customWidth="1"/>
    <col min="38" max="38" width="9" hidden="1" customWidth="1"/>
    <col min="39" max="39" width="9" hidden="1" customWidth="1"/>
    <col min="40" max="40" width="9" hidden="1" customWidth="1"/>
    <col min="41" max="41" width="9" hidden="1" customWidth="1"/>
    <col min="42" max="42" width="9" hidden="1" customWidth="1"/>
    <col min="43" max="43" width="9" hidden="1" customWidth="1"/>
    <col min="44" max="44" width="9" hidden="1" customWidth="1"/>
    <col min="45" max="45" width="9" hidden="1" customWidth="1"/>
    <col min="46" max="46" width="9" hidden="1" customWidth="1"/>
    <col min="47" max="47" width="9" hidden="1" customWidth="1"/>
  </cols>
  <sheetData>
    <row r="1" spans="1:1" x14ac:dyDescent="0.25">
      <c r="A1" s="5">
        <f>"Reisekostenabrechnung April "&amp;Jahr</f>
      </c>
    </row>
    <row r="2" spans="1:1" x14ac:dyDescent="0.25">
      <c r="A2" s="6">
        <f>"Name: "&amp;IF(MitarbeiterName="","…",MitarbeiterName)&amp;IF(Personalnummer="",""," · Personalnr. "&amp;Personalnummer)&amp;IF(Kostenstelle="",""," · "&amp;Kostenstelle)&amp;IF(Firma="",""," · "&amp;Firma)</f>
      </c>
    </row>
    <row r="3" spans="1:1" x14ac:dyDescent="0.25">
      <c r="A3" s="16">
        <f>IF(Jahr&lt;&gt;2026,"Die Pauschalen in dieser Datei gelten für 2026. ","")&amp;IF(MitarbeiterName="","Bitte in den Einstellungen den Namen eintragen.","")</f>
      </c>
    </row>
    <row r="4" ht="40" customHeight="1" spans="1:18" x14ac:dyDescent="0.25">
      <c r="A4" s="12" t="s">
        <v>57</v>
      </c>
      <c r="B4" s="12" t="s">
        <v>58</v>
      </c>
      <c r="C4" s="12" t="s">
        <v>59</v>
      </c>
      <c r="D4" s="12" t="s">
        <v>60</v>
      </c>
      <c r="E4" s="12" t="s">
        <v>61</v>
      </c>
      <c r="F4" s="12" t="s">
        <v>62</v>
      </c>
      <c r="G4" s="12" t="s">
        <v>63</v>
      </c>
      <c r="H4" s="12" t="s">
        <v>64</v>
      </c>
      <c r="I4" s="12" t="s">
        <v>65</v>
      </c>
      <c r="J4" s="12" t="s">
        <v>66</v>
      </c>
      <c r="K4" s="12" t="s">
        <v>67</v>
      </c>
      <c r="L4" s="12" t="s">
        <v>68</v>
      </c>
      <c r="M4" s="12" t="s">
        <v>69</v>
      </c>
      <c r="N4" s="12" t="s">
        <v>70</v>
      </c>
      <c r="O4" s="12" t="s">
        <v>71</v>
      </c>
      <c r="P4" s="12" t="s">
        <v>72</v>
      </c>
      <c r="Q4" s="12" t="s">
        <v>73</v>
      </c>
      <c r="R4" s="12" t="s">
        <v>74</v>
      </c>
    </row>
    <row r="5" spans="1:47" x14ac:dyDescent="0.25">
      <c r="A5" s="17">
        <f>IF(MONTH(DATE(Jahr,4,1))=4,DATE(Jahr,4,1),"")</f>
      </c>
      <c r="B5" s="13">
        <f>IF(A5="","",CHOOSE(WEEKDAY(A5,2),"Mo","Di","Mi","Do","Fr","Sa","So"))</f>
      </c>
      <c r="C5" s="18"/>
      <c r="D5" s="18"/>
      <c r="E5" s="7"/>
      <c r="F5" s="7"/>
      <c r="G5" s="7"/>
      <c r="H5" s="19"/>
      <c r="I5" s="19"/>
      <c r="J5" s="19"/>
      <c r="K5" s="9"/>
      <c r="L5" s="20">
        <f>IF(OR(AD5=0,AF5&lt;&gt;"",AND(W5=1,V5&gt;0,OR(T5=1,U5=1))),"",AE5/1440)</f>
      </c>
      <c r="M5" s="21">
        <f>IF(OR(AD5=0,AF5&lt;&gt;""),"",AJ5)</f>
      </c>
      <c r="N5" s="21">
        <f>IF(AK5=0,"",AK5)</f>
      </c>
      <c r="O5" s="21">
        <f>IF(OR(AD5=0,AF5&lt;&gt;""),"",AJ5-AK5)</f>
      </c>
      <c r="P5" s="21">
        <f>IF(AND(AD5=1,AF5="",V5=2),AI5,"")</f>
      </c>
      <c r="Q5" s="21">
        <f>IF(OR($A5="",N(K5)=0),"",ROUND(K5*KmSatz,2))</f>
      </c>
      <c r="R5" s="22">
        <f>IF(AF5&amp;AL5="","",LEFT(AF5&amp;AL5,LEN(AF5&amp;AL5)-2))</f>
      </c>
      <c r="S5" s="1"/>
      <c r="T5" s="1">
        <f>IF(AND($A5&lt;&gt;"",ISNUMBER(C5)),1,0)</f>
      </c>
      <c r="U5" s="1">
        <f>IF(AND($A5&lt;&gt;"",ISNUMBER(D5)),1,0)</f>
      </c>
      <c r="V5" s="1">
        <f>IF($A5="",0,IF(E5="ja",1,IF(E5="Pauschale",2,0)))</f>
      </c>
      <c r="W5" s="1">
        <f>IF($A5="",0,IF(AU5&gt;0,1,0))</f>
      </c>
      <c r="X5" s="1">
        <f>IF(AND(T5=1,W5=0),1,0)</f>
      </c>
      <c r="Y5" s="1">
        <f>IF(AND(AS5=1,AT5=0,AU5=0),1,0)</f>
      </c>
      <c r="Z5" s="1">
        <f>IF(AND(Y5=1,T5=0,U5=1,V5=0),1,0)</f>
      </c>
      <c r="AA5" s="1">
        <f>IF(AND(X5=1,U5=0,V5=0,AN5=0,AO5=1,AP5=0),1,0)</f>
      </c>
      <c r="AB5" s="1">
        <f>IF(OR(W5=1,Z5=1),0,IF(T5=1,C5,0))</f>
      </c>
      <c r="AC5" s="1">
        <f>IF(OR(V5&gt;0,AA5=1),1,IF(U5=1,D5,1))</f>
      </c>
      <c r="AD5" s="1">
        <f>IF($A5="",0,IF(OR(T5=1,U5=1,V5&gt;0,W5=1),1,0))</f>
      </c>
      <c r="AE5" s="1">
        <f>IF(AD5=0,0,ROUND((AC5-AB5)*1440,0))</f>
      </c>
      <c r="AF5" s="1">
        <f>IF(AD5=0,"",IF(AND(F5&lt;&gt;"",ISNA(MATCH(F5,PauschLand,0))),"Land nicht in der Liste; ","")&amp;IF(AND(T5=0,W5=0,Z5=0),"Beginn fehlt; ","")&amp;IF(AND(V5=0,U5=0,AA5=0),"Ende fehlt; ","")&amp;IF(AND(X5=1,U5=1,V5=0,N(D5)&lt;N(C5)),"Ende vor Beginn (über Mitternacht: Ende in die Zeile des Folgetags); ",""))</f>
      </c>
      <c r="AG5" s="1">
        <f>IF(AD5=0,0,IFERROR(VLOOKUP(IF(F5="","Deutschland",F5),PauschTab,2,FALSE),0))</f>
      </c>
      <c r="AH5" s="1">
        <f>IF(AD5=0,0,IFERROR(VLOOKUP(IF(F5="","Deutschland",F5),PauschTab,3,FALSE),0))</f>
      </c>
      <c r="AI5" s="1">
        <f>IF(AD5=0,0,IFERROR(VLOOKUP(IF(F5="","Deutschland",F5),PauschTab,4,FALSE),0))</f>
      </c>
      <c r="AJ5" s="1">
        <f>IF(OR(AD5=0,AF5&lt;&gt;""),0,IF(AND(W5=1,V5&gt;0),IF(OR(T5=1,U5=1),AH5,AG5),IF(OR(W5=1,V5&gt;0),AH5,IF(AA5=1,IF(AND(AE5+AQ5&gt;480,AE5&gt;=AQ5),AH5,0),IF(Z5=1,IF(AND(AR5+AE5&gt;480,AE5&gt;AR5),AH5,0),IF(AE5&gt;480,AH5,0))))))</f>
      </c>
      <c r="AK5" s="1">
        <f>MIN(AJ5,AM5)</f>
      </c>
      <c r="AL5" s="1">
        <f>IF(OR(AD5=0,AF5&lt;&gt;""),"",IF(AND(W5=0,V5=0,AA5=0,Z5=0,AE5&lt;=480),"nicht mehr als 8 Std.; ","")&amp;IF(AA5=1,IF(AJ5&gt;0,"über Mitternacht, zusammen "&amp;TEXT((AE5+AQ5)/1440,"[h]:mm")&amp;" Std.; ",IF(AE5+AQ5&gt;480,"über Mitternacht: Pauschale am Folgetag; ","über Mitternacht, zusammen nicht mehr als 8 Std.; ")),"")&amp;IF(Z5=1,IF(AJ5&gt;0,"über Mitternacht, zusammen "&amp;TEXT((AR5+AE5)/1440,"[h]:mm")&amp;" Std.; ",IF(AR5+AE5&gt;480,"über Mitternacht: Pauschale am Vortag; ","über Mitternacht, zusammen nicht mehr als 8 Std.; ")),"")&amp;IF(AND(W5=1,V5&gt;0,OR(T5=1,U5=1)),"zwischendurch zu Hause: An- und Abreisetag; ","")&amp;IF(AND(W5=1,V5=0,T5=1),"Beginn leer lassen: unterwegs seit dem Vortag; ","")&amp;IF(AND(W5=0,V5&gt;0,U5=1),"Ende leer lassen: Übernachtung; ","")&amp;IF(AND(AJ5&gt;0,AM5&gt;AJ5),"Kürzung auf die Pauschale begrenzt; ",""))</f>
      </c>
      <c r="AM5" s="1">
        <f>ROUND(AG5*(IF(H5&lt;&gt;"",0.2,0)+IF(I5&lt;&gt;"",0.4,0)+IF(J5&lt;&gt;"",0.4,0)),2)</f>
      </c>
      <c r="AN5" s="1">
        <f>IF($A6="",'Mai'!$T$5,T6)</f>
      </c>
      <c r="AO5" s="1">
        <f>IF($A6="",'Mai'!$U$5,U6)</f>
      </c>
      <c r="AP5" s="1">
        <f>IF($A6="",'Mai'!$V$5,V6)</f>
      </c>
      <c r="AQ5" s="1">
        <f>IF($A6="",'Mai'!$AE$5,AE6)</f>
      </c>
      <c r="AR5" s="1">
        <f>INDEX('März'!$AE$5:$AE$35,DAY(DATE(Jahr,4,0)))</f>
      </c>
      <c r="AS5" s="1">
        <f>INDEX('März'!$X$5:$X$35,DAY(DATE(Jahr,4,0)))</f>
      </c>
      <c r="AT5" s="1">
        <f>INDEX('März'!$U$5:$U$35,DAY(DATE(Jahr,4,0)))</f>
      </c>
      <c r="AU5" s="1">
        <f>INDEX('März'!$V$5:$V$35,DAY(DATE(Jahr,4,0)))</f>
      </c>
    </row>
    <row r="6" spans="1:47" x14ac:dyDescent="0.25">
      <c r="A6" s="17">
        <f>IF(MONTH(DATE(Jahr,4,2))=4,DATE(Jahr,4,2),"")</f>
      </c>
      <c r="B6" s="13">
        <f>IF(A6="","",CHOOSE(WEEKDAY(A6,2),"Mo","Di","Mi","Do","Fr","Sa","So"))</f>
      </c>
      <c r="C6" s="18"/>
      <c r="D6" s="18"/>
      <c r="E6" s="7"/>
      <c r="F6" s="7"/>
      <c r="G6" s="7"/>
      <c r="H6" s="19"/>
      <c r="I6" s="19"/>
      <c r="J6" s="19"/>
      <c r="K6" s="9"/>
      <c r="L6" s="20">
        <f>IF(OR(AD6=0,AF6&lt;&gt;"",AND(W6=1,V6&gt;0,OR(T6=1,U6=1))),"",AE6/1440)</f>
      </c>
      <c r="M6" s="21">
        <f>IF(OR(AD6=0,AF6&lt;&gt;""),"",AJ6)</f>
      </c>
      <c r="N6" s="21">
        <f>IF(AK6=0,"",AK6)</f>
      </c>
      <c r="O6" s="21">
        <f>IF(OR(AD6=0,AF6&lt;&gt;""),"",AJ6-AK6)</f>
      </c>
      <c r="P6" s="21">
        <f>IF(AND(AD6=1,AF6="",V6=2),AI6,"")</f>
      </c>
      <c r="Q6" s="21">
        <f>IF(OR($A6="",N(K6)=0),"",ROUND(K6*KmSatz,2))</f>
      </c>
      <c r="R6" s="22">
        <f>IF(AF6&amp;AL6="","",LEFT(AF6&amp;AL6,LEN(AF6&amp;AL6)-2))</f>
      </c>
      <c r="S6" s="1"/>
      <c r="T6" s="1">
        <f>IF(AND($A6&lt;&gt;"",ISNUMBER(C6)),1,0)</f>
      </c>
      <c r="U6" s="1">
        <f>IF(AND($A6&lt;&gt;"",ISNUMBER(D6)),1,0)</f>
      </c>
      <c r="V6" s="1">
        <f>IF($A6="",0,IF(E6="ja",1,IF(E6="Pauschale",2,0)))</f>
      </c>
      <c r="W6" s="1">
        <f>IF($A6="",0,IF(AU6&gt;0,1,0))</f>
      </c>
      <c r="X6" s="1">
        <f>IF(AND(T6=1,W6=0),1,0)</f>
      </c>
      <c r="Y6" s="1">
        <f>IF(AND(AS6=1,AT6=0,AU6=0),1,0)</f>
      </c>
      <c r="Z6" s="1">
        <f>IF(AND(Y6=1,T6=0,U6=1,V6=0),1,0)</f>
      </c>
      <c r="AA6" s="1">
        <f>IF(AND(X6=1,U6=0,V6=0,AN6=0,AO6=1,AP6=0),1,0)</f>
      </c>
      <c r="AB6" s="1">
        <f>IF(OR(W6=1,Z6=1),0,IF(T6=1,C6,0))</f>
      </c>
      <c r="AC6" s="1">
        <f>IF(OR(V6&gt;0,AA6=1),1,IF(U6=1,D6,1))</f>
      </c>
      <c r="AD6" s="1">
        <f>IF($A6="",0,IF(OR(T6=1,U6=1,V6&gt;0,W6=1),1,0))</f>
      </c>
      <c r="AE6" s="1">
        <f>IF(AD6=0,0,ROUND((AC6-AB6)*1440,0))</f>
      </c>
      <c r="AF6" s="1">
        <f>IF(AD6=0,"",IF(AND(F6&lt;&gt;"",ISNA(MATCH(F6,PauschLand,0))),"Land nicht in der Liste; ","")&amp;IF(AND(T6=0,W6=0,Z6=0),"Beginn fehlt; ","")&amp;IF(AND(V6=0,U6=0,AA6=0),"Ende fehlt; ","")&amp;IF(AND(X6=1,U6=1,V6=0,N(D6)&lt;N(C6)),"Ende vor Beginn (über Mitternacht: Ende in die Zeile des Folgetags); ",""))</f>
      </c>
      <c r="AG6" s="1">
        <f>IF(AD6=0,0,IFERROR(VLOOKUP(IF(F6="","Deutschland",F6),PauschTab,2,FALSE),0))</f>
      </c>
      <c r="AH6" s="1">
        <f>IF(AD6=0,0,IFERROR(VLOOKUP(IF(F6="","Deutschland",F6),PauschTab,3,FALSE),0))</f>
      </c>
      <c r="AI6" s="1">
        <f>IF(AD6=0,0,IFERROR(VLOOKUP(IF(F6="","Deutschland",F6),PauschTab,4,FALSE),0))</f>
      </c>
      <c r="AJ6" s="1">
        <f>IF(OR(AD6=0,AF6&lt;&gt;""),0,IF(AND(W6=1,V6&gt;0),IF(OR(T6=1,U6=1),AH6,AG6),IF(OR(W6=1,V6&gt;0),AH6,IF(AA6=1,IF(AND(AE6+AQ6&gt;480,AE6&gt;=AQ6),AH6,0),IF(Z6=1,IF(AND(AR6+AE6&gt;480,AE6&gt;AR6),AH6,0),IF(AE6&gt;480,AH6,0))))))</f>
      </c>
      <c r="AK6" s="1">
        <f>MIN(AJ6,AM6)</f>
      </c>
      <c r="AL6" s="1">
        <f>IF(OR(AD6=0,AF6&lt;&gt;""),"",IF(AND(W6=0,V6=0,AA6=0,Z6=0,AE6&lt;=480),"nicht mehr als 8 Std.; ","")&amp;IF(AA6=1,IF(AJ6&gt;0,"über Mitternacht, zusammen "&amp;TEXT((AE6+AQ6)/1440,"[h]:mm")&amp;" Std.; ",IF(AE6+AQ6&gt;480,"über Mitternacht: Pauschale am Folgetag; ","über Mitternacht, zusammen nicht mehr als 8 Std.; ")),"")&amp;IF(Z6=1,IF(AJ6&gt;0,"über Mitternacht, zusammen "&amp;TEXT((AR6+AE6)/1440,"[h]:mm")&amp;" Std.; ",IF(AR6+AE6&gt;480,"über Mitternacht: Pauschale am Vortag; ","über Mitternacht, zusammen nicht mehr als 8 Std.; ")),"")&amp;IF(AND(W6=1,V6&gt;0,OR(T6=1,U6=1)),"zwischendurch zu Hause: An- und Abreisetag; ","")&amp;IF(AND(W6=1,V6=0,T6=1),"Beginn leer lassen: unterwegs seit dem Vortag; ","")&amp;IF(AND(W6=0,V6&gt;0,U6=1),"Ende leer lassen: Übernachtung; ","")&amp;IF(AND(AJ6&gt;0,AM6&gt;AJ6),"Kürzung auf die Pauschale begrenzt; ",""))</f>
      </c>
      <c r="AM6" s="1">
        <f>ROUND(AG6*(IF(H6&lt;&gt;"",0.2,0)+IF(I6&lt;&gt;"",0.4,0)+IF(J6&lt;&gt;"",0.4,0)),2)</f>
      </c>
      <c r="AN6" s="1">
        <f>IF($A7="",'Mai'!$T$5,T7)</f>
      </c>
      <c r="AO6" s="1">
        <f>IF($A7="",'Mai'!$U$5,U7)</f>
      </c>
      <c r="AP6" s="1">
        <f>IF($A7="",'Mai'!$V$5,V7)</f>
      </c>
      <c r="AQ6" s="1">
        <f>IF($A7="",'Mai'!$AE$5,AE7)</f>
      </c>
      <c r="AR6" s="1">
        <f>AE5</f>
      </c>
      <c r="AS6" s="1">
        <f>X5</f>
      </c>
      <c r="AT6" s="1">
        <f>U5</f>
      </c>
      <c r="AU6" s="1">
        <f>V5</f>
      </c>
    </row>
    <row r="7" spans="1:47" x14ac:dyDescent="0.25">
      <c r="A7" s="17">
        <f>IF(MONTH(DATE(Jahr,4,3))=4,DATE(Jahr,4,3),"")</f>
      </c>
      <c r="B7" s="13">
        <f>IF(A7="","",CHOOSE(WEEKDAY(A7,2),"Mo","Di","Mi","Do","Fr","Sa","So"))</f>
      </c>
      <c r="C7" s="18"/>
      <c r="D7" s="18"/>
      <c r="E7" s="7"/>
      <c r="F7" s="7"/>
      <c r="G7" s="7"/>
      <c r="H7" s="19"/>
      <c r="I7" s="19"/>
      <c r="J7" s="19"/>
      <c r="K7" s="9"/>
      <c r="L7" s="20">
        <f>IF(OR(AD7=0,AF7&lt;&gt;"",AND(W7=1,V7&gt;0,OR(T7=1,U7=1))),"",AE7/1440)</f>
      </c>
      <c r="M7" s="21">
        <f>IF(OR(AD7=0,AF7&lt;&gt;""),"",AJ7)</f>
      </c>
      <c r="N7" s="21">
        <f>IF(AK7=0,"",AK7)</f>
      </c>
      <c r="O7" s="21">
        <f>IF(OR(AD7=0,AF7&lt;&gt;""),"",AJ7-AK7)</f>
      </c>
      <c r="P7" s="21">
        <f>IF(AND(AD7=1,AF7="",V7=2),AI7,"")</f>
      </c>
      <c r="Q7" s="21">
        <f>IF(OR($A7="",N(K7)=0),"",ROUND(K7*KmSatz,2))</f>
      </c>
      <c r="R7" s="22">
        <f>IF(AF7&amp;AL7="","",LEFT(AF7&amp;AL7,LEN(AF7&amp;AL7)-2))</f>
      </c>
      <c r="S7" s="1"/>
      <c r="T7" s="1">
        <f>IF(AND($A7&lt;&gt;"",ISNUMBER(C7)),1,0)</f>
      </c>
      <c r="U7" s="1">
        <f>IF(AND($A7&lt;&gt;"",ISNUMBER(D7)),1,0)</f>
      </c>
      <c r="V7" s="1">
        <f>IF($A7="",0,IF(E7="ja",1,IF(E7="Pauschale",2,0)))</f>
      </c>
      <c r="W7" s="1">
        <f>IF($A7="",0,IF(AU7&gt;0,1,0))</f>
      </c>
      <c r="X7" s="1">
        <f>IF(AND(T7=1,W7=0),1,0)</f>
      </c>
      <c r="Y7" s="1">
        <f>IF(AND(AS7=1,AT7=0,AU7=0),1,0)</f>
      </c>
      <c r="Z7" s="1">
        <f>IF(AND(Y7=1,T7=0,U7=1,V7=0),1,0)</f>
      </c>
      <c r="AA7" s="1">
        <f>IF(AND(X7=1,U7=0,V7=0,AN7=0,AO7=1,AP7=0),1,0)</f>
      </c>
      <c r="AB7" s="1">
        <f>IF(OR(W7=1,Z7=1),0,IF(T7=1,C7,0))</f>
      </c>
      <c r="AC7" s="1">
        <f>IF(OR(V7&gt;0,AA7=1),1,IF(U7=1,D7,1))</f>
      </c>
      <c r="AD7" s="1">
        <f>IF($A7="",0,IF(OR(T7=1,U7=1,V7&gt;0,W7=1),1,0))</f>
      </c>
      <c r="AE7" s="1">
        <f>IF(AD7=0,0,ROUND((AC7-AB7)*1440,0))</f>
      </c>
      <c r="AF7" s="1">
        <f>IF(AD7=0,"",IF(AND(F7&lt;&gt;"",ISNA(MATCH(F7,PauschLand,0))),"Land nicht in der Liste; ","")&amp;IF(AND(T7=0,W7=0,Z7=0),"Beginn fehlt; ","")&amp;IF(AND(V7=0,U7=0,AA7=0),"Ende fehlt; ","")&amp;IF(AND(X7=1,U7=1,V7=0,N(D7)&lt;N(C7)),"Ende vor Beginn (über Mitternacht: Ende in die Zeile des Folgetags); ",""))</f>
      </c>
      <c r="AG7" s="1">
        <f>IF(AD7=0,0,IFERROR(VLOOKUP(IF(F7="","Deutschland",F7),PauschTab,2,FALSE),0))</f>
      </c>
      <c r="AH7" s="1">
        <f>IF(AD7=0,0,IFERROR(VLOOKUP(IF(F7="","Deutschland",F7),PauschTab,3,FALSE),0))</f>
      </c>
      <c r="AI7" s="1">
        <f>IF(AD7=0,0,IFERROR(VLOOKUP(IF(F7="","Deutschland",F7),PauschTab,4,FALSE),0))</f>
      </c>
      <c r="AJ7" s="1">
        <f>IF(OR(AD7=0,AF7&lt;&gt;""),0,IF(AND(W7=1,V7&gt;0),IF(OR(T7=1,U7=1),AH7,AG7),IF(OR(W7=1,V7&gt;0),AH7,IF(AA7=1,IF(AND(AE7+AQ7&gt;480,AE7&gt;=AQ7),AH7,0),IF(Z7=1,IF(AND(AR7+AE7&gt;480,AE7&gt;AR7),AH7,0),IF(AE7&gt;480,AH7,0))))))</f>
      </c>
      <c r="AK7" s="1">
        <f>MIN(AJ7,AM7)</f>
      </c>
      <c r="AL7" s="1">
        <f>IF(OR(AD7=0,AF7&lt;&gt;""),"",IF(AND(W7=0,V7=0,AA7=0,Z7=0,AE7&lt;=480),"nicht mehr als 8 Std.; ","")&amp;IF(AA7=1,IF(AJ7&gt;0,"über Mitternacht, zusammen "&amp;TEXT((AE7+AQ7)/1440,"[h]:mm")&amp;" Std.; ",IF(AE7+AQ7&gt;480,"über Mitternacht: Pauschale am Folgetag; ","über Mitternacht, zusammen nicht mehr als 8 Std.; ")),"")&amp;IF(Z7=1,IF(AJ7&gt;0,"über Mitternacht, zusammen "&amp;TEXT((AR7+AE7)/1440,"[h]:mm")&amp;" Std.; ",IF(AR7+AE7&gt;480,"über Mitternacht: Pauschale am Vortag; ","über Mitternacht, zusammen nicht mehr als 8 Std.; ")),"")&amp;IF(AND(W7=1,V7&gt;0,OR(T7=1,U7=1)),"zwischendurch zu Hause: An- und Abreisetag; ","")&amp;IF(AND(W7=1,V7=0,T7=1),"Beginn leer lassen: unterwegs seit dem Vortag; ","")&amp;IF(AND(W7=0,V7&gt;0,U7=1),"Ende leer lassen: Übernachtung; ","")&amp;IF(AND(AJ7&gt;0,AM7&gt;AJ7),"Kürzung auf die Pauschale begrenzt; ",""))</f>
      </c>
      <c r="AM7" s="1">
        <f>ROUND(AG7*(IF(H7&lt;&gt;"",0.2,0)+IF(I7&lt;&gt;"",0.4,0)+IF(J7&lt;&gt;"",0.4,0)),2)</f>
      </c>
      <c r="AN7" s="1">
        <f>IF($A8="",'Mai'!$T$5,T8)</f>
      </c>
      <c r="AO7" s="1">
        <f>IF($A8="",'Mai'!$U$5,U8)</f>
      </c>
      <c r="AP7" s="1">
        <f>IF($A8="",'Mai'!$V$5,V8)</f>
      </c>
      <c r="AQ7" s="1">
        <f>IF($A8="",'Mai'!$AE$5,AE8)</f>
      </c>
      <c r="AR7" s="1">
        <f>AE6</f>
      </c>
      <c r="AS7" s="1">
        <f>X6</f>
      </c>
      <c r="AT7" s="1">
        <f>U6</f>
      </c>
      <c r="AU7" s="1">
        <f>V6</f>
      </c>
    </row>
    <row r="8" spans="1:47" x14ac:dyDescent="0.25">
      <c r="A8" s="17">
        <f>IF(MONTH(DATE(Jahr,4,4))=4,DATE(Jahr,4,4),"")</f>
      </c>
      <c r="B8" s="13">
        <f>IF(A8="","",CHOOSE(WEEKDAY(A8,2),"Mo","Di","Mi","Do","Fr","Sa","So"))</f>
      </c>
      <c r="C8" s="18"/>
      <c r="D8" s="18"/>
      <c r="E8" s="7"/>
      <c r="F8" s="7"/>
      <c r="G8" s="7"/>
      <c r="H8" s="19"/>
      <c r="I8" s="19"/>
      <c r="J8" s="19"/>
      <c r="K8" s="9"/>
      <c r="L8" s="20">
        <f>IF(OR(AD8=0,AF8&lt;&gt;"",AND(W8=1,V8&gt;0,OR(T8=1,U8=1))),"",AE8/1440)</f>
      </c>
      <c r="M8" s="21">
        <f>IF(OR(AD8=0,AF8&lt;&gt;""),"",AJ8)</f>
      </c>
      <c r="N8" s="21">
        <f>IF(AK8=0,"",AK8)</f>
      </c>
      <c r="O8" s="21">
        <f>IF(OR(AD8=0,AF8&lt;&gt;""),"",AJ8-AK8)</f>
      </c>
      <c r="P8" s="21">
        <f>IF(AND(AD8=1,AF8="",V8=2),AI8,"")</f>
      </c>
      <c r="Q8" s="21">
        <f>IF(OR($A8="",N(K8)=0),"",ROUND(K8*KmSatz,2))</f>
      </c>
      <c r="R8" s="22">
        <f>IF(AF8&amp;AL8="","",LEFT(AF8&amp;AL8,LEN(AF8&amp;AL8)-2))</f>
      </c>
      <c r="S8" s="1"/>
      <c r="T8" s="1">
        <f>IF(AND($A8&lt;&gt;"",ISNUMBER(C8)),1,0)</f>
      </c>
      <c r="U8" s="1">
        <f>IF(AND($A8&lt;&gt;"",ISNUMBER(D8)),1,0)</f>
      </c>
      <c r="V8" s="1">
        <f>IF($A8="",0,IF(E8="ja",1,IF(E8="Pauschale",2,0)))</f>
      </c>
      <c r="W8" s="1">
        <f>IF($A8="",0,IF(AU8&gt;0,1,0))</f>
      </c>
      <c r="X8" s="1">
        <f>IF(AND(T8=1,W8=0),1,0)</f>
      </c>
      <c r="Y8" s="1">
        <f>IF(AND(AS8=1,AT8=0,AU8=0),1,0)</f>
      </c>
      <c r="Z8" s="1">
        <f>IF(AND(Y8=1,T8=0,U8=1,V8=0),1,0)</f>
      </c>
      <c r="AA8" s="1">
        <f>IF(AND(X8=1,U8=0,V8=0,AN8=0,AO8=1,AP8=0),1,0)</f>
      </c>
      <c r="AB8" s="1">
        <f>IF(OR(W8=1,Z8=1),0,IF(T8=1,C8,0))</f>
      </c>
      <c r="AC8" s="1">
        <f>IF(OR(V8&gt;0,AA8=1),1,IF(U8=1,D8,1))</f>
      </c>
      <c r="AD8" s="1">
        <f>IF($A8="",0,IF(OR(T8=1,U8=1,V8&gt;0,W8=1),1,0))</f>
      </c>
      <c r="AE8" s="1">
        <f>IF(AD8=0,0,ROUND((AC8-AB8)*1440,0))</f>
      </c>
      <c r="AF8" s="1">
        <f>IF(AD8=0,"",IF(AND(F8&lt;&gt;"",ISNA(MATCH(F8,PauschLand,0))),"Land nicht in der Liste; ","")&amp;IF(AND(T8=0,W8=0,Z8=0),"Beginn fehlt; ","")&amp;IF(AND(V8=0,U8=0,AA8=0),"Ende fehlt; ","")&amp;IF(AND(X8=1,U8=1,V8=0,N(D8)&lt;N(C8)),"Ende vor Beginn (über Mitternacht: Ende in die Zeile des Folgetags); ",""))</f>
      </c>
      <c r="AG8" s="1">
        <f>IF(AD8=0,0,IFERROR(VLOOKUP(IF(F8="","Deutschland",F8),PauschTab,2,FALSE),0))</f>
      </c>
      <c r="AH8" s="1">
        <f>IF(AD8=0,0,IFERROR(VLOOKUP(IF(F8="","Deutschland",F8),PauschTab,3,FALSE),0))</f>
      </c>
      <c r="AI8" s="1">
        <f>IF(AD8=0,0,IFERROR(VLOOKUP(IF(F8="","Deutschland",F8),PauschTab,4,FALSE),0))</f>
      </c>
      <c r="AJ8" s="1">
        <f>IF(OR(AD8=0,AF8&lt;&gt;""),0,IF(AND(W8=1,V8&gt;0),IF(OR(T8=1,U8=1),AH8,AG8),IF(OR(W8=1,V8&gt;0),AH8,IF(AA8=1,IF(AND(AE8+AQ8&gt;480,AE8&gt;=AQ8),AH8,0),IF(Z8=1,IF(AND(AR8+AE8&gt;480,AE8&gt;AR8),AH8,0),IF(AE8&gt;480,AH8,0))))))</f>
      </c>
      <c r="AK8" s="1">
        <f>MIN(AJ8,AM8)</f>
      </c>
      <c r="AL8" s="1">
        <f>IF(OR(AD8=0,AF8&lt;&gt;""),"",IF(AND(W8=0,V8=0,AA8=0,Z8=0,AE8&lt;=480),"nicht mehr als 8 Std.; ","")&amp;IF(AA8=1,IF(AJ8&gt;0,"über Mitternacht, zusammen "&amp;TEXT((AE8+AQ8)/1440,"[h]:mm")&amp;" Std.; ",IF(AE8+AQ8&gt;480,"über Mitternacht: Pauschale am Folgetag; ","über Mitternacht, zusammen nicht mehr als 8 Std.; ")),"")&amp;IF(Z8=1,IF(AJ8&gt;0,"über Mitternacht, zusammen "&amp;TEXT((AR8+AE8)/1440,"[h]:mm")&amp;" Std.; ",IF(AR8+AE8&gt;480,"über Mitternacht: Pauschale am Vortag; ","über Mitternacht, zusammen nicht mehr als 8 Std.; ")),"")&amp;IF(AND(W8=1,V8&gt;0,OR(T8=1,U8=1)),"zwischendurch zu Hause: An- und Abreisetag; ","")&amp;IF(AND(W8=1,V8=0,T8=1),"Beginn leer lassen: unterwegs seit dem Vortag; ","")&amp;IF(AND(W8=0,V8&gt;0,U8=1),"Ende leer lassen: Übernachtung; ","")&amp;IF(AND(AJ8&gt;0,AM8&gt;AJ8),"Kürzung auf die Pauschale begrenzt; ",""))</f>
      </c>
      <c r="AM8" s="1">
        <f>ROUND(AG8*(IF(H8&lt;&gt;"",0.2,0)+IF(I8&lt;&gt;"",0.4,0)+IF(J8&lt;&gt;"",0.4,0)),2)</f>
      </c>
      <c r="AN8" s="1">
        <f>IF($A9="",'Mai'!$T$5,T9)</f>
      </c>
      <c r="AO8" s="1">
        <f>IF($A9="",'Mai'!$U$5,U9)</f>
      </c>
      <c r="AP8" s="1">
        <f>IF($A9="",'Mai'!$V$5,V9)</f>
      </c>
      <c r="AQ8" s="1">
        <f>IF($A9="",'Mai'!$AE$5,AE9)</f>
      </c>
      <c r="AR8" s="1">
        <f>AE7</f>
      </c>
      <c r="AS8" s="1">
        <f>X7</f>
      </c>
      <c r="AT8" s="1">
        <f>U7</f>
      </c>
      <c r="AU8" s="1">
        <f>V7</f>
      </c>
    </row>
    <row r="9" spans="1:47" x14ac:dyDescent="0.25">
      <c r="A9" s="17">
        <f>IF(MONTH(DATE(Jahr,4,5))=4,DATE(Jahr,4,5),"")</f>
      </c>
      <c r="B9" s="13">
        <f>IF(A9="","",CHOOSE(WEEKDAY(A9,2),"Mo","Di","Mi","Do","Fr","Sa","So"))</f>
      </c>
      <c r="C9" s="18"/>
      <c r="D9" s="18"/>
      <c r="E9" s="7"/>
      <c r="F9" s="7"/>
      <c r="G9" s="7"/>
      <c r="H9" s="19"/>
      <c r="I9" s="19"/>
      <c r="J9" s="19"/>
      <c r="K9" s="9"/>
      <c r="L9" s="20">
        <f>IF(OR(AD9=0,AF9&lt;&gt;"",AND(W9=1,V9&gt;0,OR(T9=1,U9=1))),"",AE9/1440)</f>
      </c>
      <c r="M9" s="21">
        <f>IF(OR(AD9=0,AF9&lt;&gt;""),"",AJ9)</f>
      </c>
      <c r="N9" s="21">
        <f>IF(AK9=0,"",AK9)</f>
      </c>
      <c r="O9" s="21">
        <f>IF(OR(AD9=0,AF9&lt;&gt;""),"",AJ9-AK9)</f>
      </c>
      <c r="P9" s="21">
        <f>IF(AND(AD9=1,AF9="",V9=2),AI9,"")</f>
      </c>
      <c r="Q9" s="21">
        <f>IF(OR($A9="",N(K9)=0),"",ROUND(K9*KmSatz,2))</f>
      </c>
      <c r="R9" s="22">
        <f>IF(AF9&amp;AL9="","",LEFT(AF9&amp;AL9,LEN(AF9&amp;AL9)-2))</f>
      </c>
      <c r="S9" s="1"/>
      <c r="T9" s="1">
        <f>IF(AND($A9&lt;&gt;"",ISNUMBER(C9)),1,0)</f>
      </c>
      <c r="U9" s="1">
        <f>IF(AND($A9&lt;&gt;"",ISNUMBER(D9)),1,0)</f>
      </c>
      <c r="V9" s="1">
        <f>IF($A9="",0,IF(E9="ja",1,IF(E9="Pauschale",2,0)))</f>
      </c>
      <c r="W9" s="1">
        <f>IF($A9="",0,IF(AU9&gt;0,1,0))</f>
      </c>
      <c r="X9" s="1">
        <f>IF(AND(T9=1,W9=0),1,0)</f>
      </c>
      <c r="Y9" s="1">
        <f>IF(AND(AS9=1,AT9=0,AU9=0),1,0)</f>
      </c>
      <c r="Z9" s="1">
        <f>IF(AND(Y9=1,T9=0,U9=1,V9=0),1,0)</f>
      </c>
      <c r="AA9" s="1">
        <f>IF(AND(X9=1,U9=0,V9=0,AN9=0,AO9=1,AP9=0),1,0)</f>
      </c>
      <c r="AB9" s="1">
        <f>IF(OR(W9=1,Z9=1),0,IF(T9=1,C9,0))</f>
      </c>
      <c r="AC9" s="1">
        <f>IF(OR(V9&gt;0,AA9=1),1,IF(U9=1,D9,1))</f>
      </c>
      <c r="AD9" s="1">
        <f>IF($A9="",0,IF(OR(T9=1,U9=1,V9&gt;0,W9=1),1,0))</f>
      </c>
      <c r="AE9" s="1">
        <f>IF(AD9=0,0,ROUND((AC9-AB9)*1440,0))</f>
      </c>
      <c r="AF9" s="1">
        <f>IF(AD9=0,"",IF(AND(F9&lt;&gt;"",ISNA(MATCH(F9,PauschLand,0))),"Land nicht in der Liste; ","")&amp;IF(AND(T9=0,W9=0,Z9=0),"Beginn fehlt; ","")&amp;IF(AND(V9=0,U9=0,AA9=0),"Ende fehlt; ","")&amp;IF(AND(X9=1,U9=1,V9=0,N(D9)&lt;N(C9)),"Ende vor Beginn (über Mitternacht: Ende in die Zeile des Folgetags); ",""))</f>
      </c>
      <c r="AG9" s="1">
        <f>IF(AD9=0,0,IFERROR(VLOOKUP(IF(F9="","Deutschland",F9),PauschTab,2,FALSE),0))</f>
      </c>
      <c r="AH9" s="1">
        <f>IF(AD9=0,0,IFERROR(VLOOKUP(IF(F9="","Deutschland",F9),PauschTab,3,FALSE),0))</f>
      </c>
      <c r="AI9" s="1">
        <f>IF(AD9=0,0,IFERROR(VLOOKUP(IF(F9="","Deutschland",F9),PauschTab,4,FALSE),0))</f>
      </c>
      <c r="AJ9" s="1">
        <f>IF(OR(AD9=0,AF9&lt;&gt;""),0,IF(AND(W9=1,V9&gt;0),IF(OR(T9=1,U9=1),AH9,AG9),IF(OR(W9=1,V9&gt;0),AH9,IF(AA9=1,IF(AND(AE9+AQ9&gt;480,AE9&gt;=AQ9),AH9,0),IF(Z9=1,IF(AND(AR9+AE9&gt;480,AE9&gt;AR9),AH9,0),IF(AE9&gt;480,AH9,0))))))</f>
      </c>
      <c r="AK9" s="1">
        <f>MIN(AJ9,AM9)</f>
      </c>
      <c r="AL9" s="1">
        <f>IF(OR(AD9=0,AF9&lt;&gt;""),"",IF(AND(W9=0,V9=0,AA9=0,Z9=0,AE9&lt;=480),"nicht mehr als 8 Std.; ","")&amp;IF(AA9=1,IF(AJ9&gt;0,"über Mitternacht, zusammen "&amp;TEXT((AE9+AQ9)/1440,"[h]:mm")&amp;" Std.; ",IF(AE9+AQ9&gt;480,"über Mitternacht: Pauschale am Folgetag; ","über Mitternacht, zusammen nicht mehr als 8 Std.; ")),"")&amp;IF(Z9=1,IF(AJ9&gt;0,"über Mitternacht, zusammen "&amp;TEXT((AR9+AE9)/1440,"[h]:mm")&amp;" Std.; ",IF(AR9+AE9&gt;480,"über Mitternacht: Pauschale am Vortag; ","über Mitternacht, zusammen nicht mehr als 8 Std.; ")),"")&amp;IF(AND(W9=1,V9&gt;0,OR(T9=1,U9=1)),"zwischendurch zu Hause: An- und Abreisetag; ","")&amp;IF(AND(W9=1,V9=0,T9=1),"Beginn leer lassen: unterwegs seit dem Vortag; ","")&amp;IF(AND(W9=0,V9&gt;0,U9=1),"Ende leer lassen: Übernachtung; ","")&amp;IF(AND(AJ9&gt;0,AM9&gt;AJ9),"Kürzung auf die Pauschale begrenzt; ",""))</f>
      </c>
      <c r="AM9" s="1">
        <f>ROUND(AG9*(IF(H9&lt;&gt;"",0.2,0)+IF(I9&lt;&gt;"",0.4,0)+IF(J9&lt;&gt;"",0.4,0)),2)</f>
      </c>
      <c r="AN9" s="1">
        <f>IF($A10="",'Mai'!$T$5,T10)</f>
      </c>
      <c r="AO9" s="1">
        <f>IF($A10="",'Mai'!$U$5,U10)</f>
      </c>
      <c r="AP9" s="1">
        <f>IF($A10="",'Mai'!$V$5,V10)</f>
      </c>
      <c r="AQ9" s="1">
        <f>IF($A10="",'Mai'!$AE$5,AE10)</f>
      </c>
      <c r="AR9" s="1">
        <f>AE8</f>
      </c>
      <c r="AS9" s="1">
        <f>X8</f>
      </c>
      <c r="AT9" s="1">
        <f>U8</f>
      </c>
      <c r="AU9" s="1">
        <f>V8</f>
      </c>
    </row>
    <row r="10" spans="1:47" x14ac:dyDescent="0.25">
      <c r="A10" s="17">
        <f>IF(MONTH(DATE(Jahr,4,6))=4,DATE(Jahr,4,6),"")</f>
      </c>
      <c r="B10" s="13">
        <f>IF(A10="","",CHOOSE(WEEKDAY(A10,2),"Mo","Di","Mi","Do","Fr","Sa","So"))</f>
      </c>
      <c r="C10" s="18"/>
      <c r="D10" s="18"/>
      <c r="E10" s="7"/>
      <c r="F10" s="7"/>
      <c r="G10" s="7"/>
      <c r="H10" s="19"/>
      <c r="I10" s="19"/>
      <c r="J10" s="19"/>
      <c r="K10" s="9"/>
      <c r="L10" s="20">
        <f>IF(OR(AD10=0,AF10&lt;&gt;"",AND(W10=1,V10&gt;0,OR(T10=1,U10=1))),"",AE10/1440)</f>
      </c>
      <c r="M10" s="21">
        <f>IF(OR(AD10=0,AF10&lt;&gt;""),"",AJ10)</f>
      </c>
      <c r="N10" s="21">
        <f>IF(AK10=0,"",AK10)</f>
      </c>
      <c r="O10" s="21">
        <f>IF(OR(AD10=0,AF10&lt;&gt;""),"",AJ10-AK10)</f>
      </c>
      <c r="P10" s="21">
        <f>IF(AND(AD10=1,AF10="",V10=2),AI10,"")</f>
      </c>
      <c r="Q10" s="21">
        <f>IF(OR($A10="",N(K10)=0),"",ROUND(K10*KmSatz,2))</f>
      </c>
      <c r="R10" s="22">
        <f>IF(AF10&amp;AL10="","",LEFT(AF10&amp;AL10,LEN(AF10&amp;AL10)-2))</f>
      </c>
      <c r="S10" s="1"/>
      <c r="T10" s="1">
        <f>IF(AND($A10&lt;&gt;"",ISNUMBER(C10)),1,0)</f>
      </c>
      <c r="U10" s="1">
        <f>IF(AND($A10&lt;&gt;"",ISNUMBER(D10)),1,0)</f>
      </c>
      <c r="V10" s="1">
        <f>IF($A10="",0,IF(E10="ja",1,IF(E10="Pauschale",2,0)))</f>
      </c>
      <c r="W10" s="1">
        <f>IF($A10="",0,IF(AU10&gt;0,1,0))</f>
      </c>
      <c r="X10" s="1">
        <f>IF(AND(T10=1,W10=0),1,0)</f>
      </c>
      <c r="Y10" s="1">
        <f>IF(AND(AS10=1,AT10=0,AU10=0),1,0)</f>
      </c>
      <c r="Z10" s="1">
        <f>IF(AND(Y10=1,T10=0,U10=1,V10=0),1,0)</f>
      </c>
      <c r="AA10" s="1">
        <f>IF(AND(X10=1,U10=0,V10=0,AN10=0,AO10=1,AP10=0),1,0)</f>
      </c>
      <c r="AB10" s="1">
        <f>IF(OR(W10=1,Z10=1),0,IF(T10=1,C10,0))</f>
      </c>
      <c r="AC10" s="1">
        <f>IF(OR(V10&gt;0,AA10=1),1,IF(U10=1,D10,1))</f>
      </c>
      <c r="AD10" s="1">
        <f>IF($A10="",0,IF(OR(T10=1,U10=1,V10&gt;0,W10=1),1,0))</f>
      </c>
      <c r="AE10" s="1">
        <f>IF(AD10=0,0,ROUND((AC10-AB10)*1440,0))</f>
      </c>
      <c r="AF10" s="1">
        <f>IF(AD10=0,"",IF(AND(F10&lt;&gt;"",ISNA(MATCH(F10,PauschLand,0))),"Land nicht in der Liste; ","")&amp;IF(AND(T10=0,W10=0,Z10=0),"Beginn fehlt; ","")&amp;IF(AND(V10=0,U10=0,AA10=0),"Ende fehlt; ","")&amp;IF(AND(X10=1,U10=1,V10=0,N(D10)&lt;N(C10)),"Ende vor Beginn (über Mitternacht: Ende in die Zeile des Folgetags); ",""))</f>
      </c>
      <c r="AG10" s="1">
        <f>IF(AD10=0,0,IFERROR(VLOOKUP(IF(F10="","Deutschland",F10),PauschTab,2,FALSE),0))</f>
      </c>
      <c r="AH10" s="1">
        <f>IF(AD10=0,0,IFERROR(VLOOKUP(IF(F10="","Deutschland",F10),PauschTab,3,FALSE),0))</f>
      </c>
      <c r="AI10" s="1">
        <f>IF(AD10=0,0,IFERROR(VLOOKUP(IF(F10="","Deutschland",F10),PauschTab,4,FALSE),0))</f>
      </c>
      <c r="AJ10" s="1">
        <f>IF(OR(AD10=0,AF10&lt;&gt;""),0,IF(AND(W10=1,V10&gt;0),IF(OR(T10=1,U10=1),AH10,AG10),IF(OR(W10=1,V10&gt;0),AH10,IF(AA10=1,IF(AND(AE10+AQ10&gt;480,AE10&gt;=AQ10),AH10,0),IF(Z10=1,IF(AND(AR10+AE10&gt;480,AE10&gt;AR10),AH10,0),IF(AE10&gt;480,AH10,0))))))</f>
      </c>
      <c r="AK10" s="1">
        <f>MIN(AJ10,AM10)</f>
      </c>
      <c r="AL10" s="1">
        <f>IF(OR(AD10=0,AF10&lt;&gt;""),"",IF(AND(W10=0,V10=0,AA10=0,Z10=0,AE10&lt;=480),"nicht mehr als 8 Std.; ","")&amp;IF(AA10=1,IF(AJ10&gt;0,"über Mitternacht, zusammen "&amp;TEXT((AE10+AQ10)/1440,"[h]:mm")&amp;" Std.; ",IF(AE10+AQ10&gt;480,"über Mitternacht: Pauschale am Folgetag; ","über Mitternacht, zusammen nicht mehr als 8 Std.; ")),"")&amp;IF(Z10=1,IF(AJ10&gt;0,"über Mitternacht, zusammen "&amp;TEXT((AR10+AE10)/1440,"[h]:mm")&amp;" Std.; ",IF(AR10+AE10&gt;480,"über Mitternacht: Pauschale am Vortag; ","über Mitternacht, zusammen nicht mehr als 8 Std.; ")),"")&amp;IF(AND(W10=1,V10&gt;0,OR(T10=1,U10=1)),"zwischendurch zu Hause: An- und Abreisetag; ","")&amp;IF(AND(W10=1,V10=0,T10=1),"Beginn leer lassen: unterwegs seit dem Vortag; ","")&amp;IF(AND(W10=0,V10&gt;0,U10=1),"Ende leer lassen: Übernachtung; ","")&amp;IF(AND(AJ10&gt;0,AM10&gt;AJ10),"Kürzung auf die Pauschale begrenzt; ",""))</f>
      </c>
      <c r="AM10" s="1">
        <f>ROUND(AG10*(IF(H10&lt;&gt;"",0.2,0)+IF(I10&lt;&gt;"",0.4,0)+IF(J10&lt;&gt;"",0.4,0)),2)</f>
      </c>
      <c r="AN10" s="1">
        <f>IF($A11="",'Mai'!$T$5,T11)</f>
      </c>
      <c r="AO10" s="1">
        <f>IF($A11="",'Mai'!$U$5,U11)</f>
      </c>
      <c r="AP10" s="1">
        <f>IF($A11="",'Mai'!$V$5,V11)</f>
      </c>
      <c r="AQ10" s="1">
        <f>IF($A11="",'Mai'!$AE$5,AE11)</f>
      </c>
      <c r="AR10" s="1">
        <f>AE9</f>
      </c>
      <c r="AS10" s="1">
        <f>X9</f>
      </c>
      <c r="AT10" s="1">
        <f>U9</f>
      </c>
      <c r="AU10" s="1">
        <f>V9</f>
      </c>
    </row>
    <row r="11" spans="1:47" x14ac:dyDescent="0.25">
      <c r="A11" s="17">
        <f>IF(MONTH(DATE(Jahr,4,7))=4,DATE(Jahr,4,7),"")</f>
      </c>
      <c r="B11" s="13">
        <f>IF(A11="","",CHOOSE(WEEKDAY(A11,2),"Mo","Di","Mi","Do","Fr","Sa","So"))</f>
      </c>
      <c r="C11" s="18"/>
      <c r="D11" s="18"/>
      <c r="E11" s="7"/>
      <c r="F11" s="7"/>
      <c r="G11" s="7"/>
      <c r="H11" s="19"/>
      <c r="I11" s="19"/>
      <c r="J11" s="19"/>
      <c r="K11" s="9"/>
      <c r="L11" s="20">
        <f>IF(OR(AD11=0,AF11&lt;&gt;"",AND(W11=1,V11&gt;0,OR(T11=1,U11=1))),"",AE11/1440)</f>
      </c>
      <c r="M11" s="21">
        <f>IF(OR(AD11=0,AF11&lt;&gt;""),"",AJ11)</f>
      </c>
      <c r="N11" s="21">
        <f>IF(AK11=0,"",AK11)</f>
      </c>
      <c r="O11" s="21">
        <f>IF(OR(AD11=0,AF11&lt;&gt;""),"",AJ11-AK11)</f>
      </c>
      <c r="P11" s="21">
        <f>IF(AND(AD11=1,AF11="",V11=2),AI11,"")</f>
      </c>
      <c r="Q11" s="21">
        <f>IF(OR($A11="",N(K11)=0),"",ROUND(K11*KmSatz,2))</f>
      </c>
      <c r="R11" s="22">
        <f>IF(AF11&amp;AL11="","",LEFT(AF11&amp;AL11,LEN(AF11&amp;AL11)-2))</f>
      </c>
      <c r="S11" s="1"/>
      <c r="T11" s="1">
        <f>IF(AND($A11&lt;&gt;"",ISNUMBER(C11)),1,0)</f>
      </c>
      <c r="U11" s="1">
        <f>IF(AND($A11&lt;&gt;"",ISNUMBER(D11)),1,0)</f>
      </c>
      <c r="V11" s="1">
        <f>IF($A11="",0,IF(E11="ja",1,IF(E11="Pauschale",2,0)))</f>
      </c>
      <c r="W11" s="1">
        <f>IF($A11="",0,IF(AU11&gt;0,1,0))</f>
      </c>
      <c r="X11" s="1">
        <f>IF(AND(T11=1,W11=0),1,0)</f>
      </c>
      <c r="Y11" s="1">
        <f>IF(AND(AS11=1,AT11=0,AU11=0),1,0)</f>
      </c>
      <c r="Z11" s="1">
        <f>IF(AND(Y11=1,T11=0,U11=1,V11=0),1,0)</f>
      </c>
      <c r="AA11" s="1">
        <f>IF(AND(X11=1,U11=0,V11=0,AN11=0,AO11=1,AP11=0),1,0)</f>
      </c>
      <c r="AB11" s="1">
        <f>IF(OR(W11=1,Z11=1),0,IF(T11=1,C11,0))</f>
      </c>
      <c r="AC11" s="1">
        <f>IF(OR(V11&gt;0,AA11=1),1,IF(U11=1,D11,1))</f>
      </c>
      <c r="AD11" s="1">
        <f>IF($A11="",0,IF(OR(T11=1,U11=1,V11&gt;0,W11=1),1,0))</f>
      </c>
      <c r="AE11" s="1">
        <f>IF(AD11=0,0,ROUND((AC11-AB11)*1440,0))</f>
      </c>
      <c r="AF11" s="1">
        <f>IF(AD11=0,"",IF(AND(F11&lt;&gt;"",ISNA(MATCH(F11,PauschLand,0))),"Land nicht in der Liste; ","")&amp;IF(AND(T11=0,W11=0,Z11=0),"Beginn fehlt; ","")&amp;IF(AND(V11=0,U11=0,AA11=0),"Ende fehlt; ","")&amp;IF(AND(X11=1,U11=1,V11=0,N(D11)&lt;N(C11)),"Ende vor Beginn (über Mitternacht: Ende in die Zeile des Folgetags); ",""))</f>
      </c>
      <c r="AG11" s="1">
        <f>IF(AD11=0,0,IFERROR(VLOOKUP(IF(F11="","Deutschland",F11),PauschTab,2,FALSE),0))</f>
      </c>
      <c r="AH11" s="1">
        <f>IF(AD11=0,0,IFERROR(VLOOKUP(IF(F11="","Deutschland",F11),PauschTab,3,FALSE),0))</f>
      </c>
      <c r="AI11" s="1">
        <f>IF(AD11=0,0,IFERROR(VLOOKUP(IF(F11="","Deutschland",F11),PauschTab,4,FALSE),0))</f>
      </c>
      <c r="AJ11" s="1">
        <f>IF(OR(AD11=0,AF11&lt;&gt;""),0,IF(AND(W11=1,V11&gt;0),IF(OR(T11=1,U11=1),AH11,AG11),IF(OR(W11=1,V11&gt;0),AH11,IF(AA11=1,IF(AND(AE11+AQ11&gt;480,AE11&gt;=AQ11),AH11,0),IF(Z11=1,IF(AND(AR11+AE11&gt;480,AE11&gt;AR11),AH11,0),IF(AE11&gt;480,AH11,0))))))</f>
      </c>
      <c r="AK11" s="1">
        <f>MIN(AJ11,AM11)</f>
      </c>
      <c r="AL11" s="1">
        <f>IF(OR(AD11=0,AF11&lt;&gt;""),"",IF(AND(W11=0,V11=0,AA11=0,Z11=0,AE11&lt;=480),"nicht mehr als 8 Std.; ","")&amp;IF(AA11=1,IF(AJ11&gt;0,"über Mitternacht, zusammen "&amp;TEXT((AE11+AQ11)/1440,"[h]:mm")&amp;" Std.; ",IF(AE11+AQ11&gt;480,"über Mitternacht: Pauschale am Folgetag; ","über Mitternacht, zusammen nicht mehr als 8 Std.; ")),"")&amp;IF(Z11=1,IF(AJ11&gt;0,"über Mitternacht, zusammen "&amp;TEXT((AR11+AE11)/1440,"[h]:mm")&amp;" Std.; ",IF(AR11+AE11&gt;480,"über Mitternacht: Pauschale am Vortag; ","über Mitternacht, zusammen nicht mehr als 8 Std.; ")),"")&amp;IF(AND(W11=1,V11&gt;0,OR(T11=1,U11=1)),"zwischendurch zu Hause: An- und Abreisetag; ","")&amp;IF(AND(W11=1,V11=0,T11=1),"Beginn leer lassen: unterwegs seit dem Vortag; ","")&amp;IF(AND(W11=0,V11&gt;0,U11=1),"Ende leer lassen: Übernachtung; ","")&amp;IF(AND(AJ11&gt;0,AM11&gt;AJ11),"Kürzung auf die Pauschale begrenzt; ",""))</f>
      </c>
      <c r="AM11" s="1">
        <f>ROUND(AG11*(IF(H11&lt;&gt;"",0.2,0)+IF(I11&lt;&gt;"",0.4,0)+IF(J11&lt;&gt;"",0.4,0)),2)</f>
      </c>
      <c r="AN11" s="1">
        <f>IF($A12="",'Mai'!$T$5,T12)</f>
      </c>
      <c r="AO11" s="1">
        <f>IF($A12="",'Mai'!$U$5,U12)</f>
      </c>
      <c r="AP11" s="1">
        <f>IF($A12="",'Mai'!$V$5,V12)</f>
      </c>
      <c r="AQ11" s="1">
        <f>IF($A12="",'Mai'!$AE$5,AE12)</f>
      </c>
      <c r="AR11" s="1">
        <f>AE10</f>
      </c>
      <c r="AS11" s="1">
        <f>X10</f>
      </c>
      <c r="AT11" s="1">
        <f>U10</f>
      </c>
      <c r="AU11" s="1">
        <f>V10</f>
      </c>
    </row>
    <row r="12" spans="1:47" x14ac:dyDescent="0.25">
      <c r="A12" s="17">
        <f>IF(MONTH(DATE(Jahr,4,8))=4,DATE(Jahr,4,8),"")</f>
      </c>
      <c r="B12" s="13">
        <f>IF(A12="","",CHOOSE(WEEKDAY(A12,2),"Mo","Di","Mi","Do","Fr","Sa","So"))</f>
      </c>
      <c r="C12" s="18"/>
      <c r="D12" s="18"/>
      <c r="E12" s="7"/>
      <c r="F12" s="7"/>
      <c r="G12" s="7"/>
      <c r="H12" s="19"/>
      <c r="I12" s="19"/>
      <c r="J12" s="19"/>
      <c r="K12" s="9"/>
      <c r="L12" s="20">
        <f>IF(OR(AD12=0,AF12&lt;&gt;"",AND(W12=1,V12&gt;0,OR(T12=1,U12=1))),"",AE12/1440)</f>
      </c>
      <c r="M12" s="21">
        <f>IF(OR(AD12=0,AF12&lt;&gt;""),"",AJ12)</f>
      </c>
      <c r="N12" s="21">
        <f>IF(AK12=0,"",AK12)</f>
      </c>
      <c r="O12" s="21">
        <f>IF(OR(AD12=0,AF12&lt;&gt;""),"",AJ12-AK12)</f>
      </c>
      <c r="P12" s="21">
        <f>IF(AND(AD12=1,AF12="",V12=2),AI12,"")</f>
      </c>
      <c r="Q12" s="21">
        <f>IF(OR($A12="",N(K12)=0),"",ROUND(K12*KmSatz,2))</f>
      </c>
      <c r="R12" s="22">
        <f>IF(AF12&amp;AL12="","",LEFT(AF12&amp;AL12,LEN(AF12&amp;AL12)-2))</f>
      </c>
      <c r="S12" s="1"/>
      <c r="T12" s="1">
        <f>IF(AND($A12&lt;&gt;"",ISNUMBER(C12)),1,0)</f>
      </c>
      <c r="U12" s="1">
        <f>IF(AND($A12&lt;&gt;"",ISNUMBER(D12)),1,0)</f>
      </c>
      <c r="V12" s="1">
        <f>IF($A12="",0,IF(E12="ja",1,IF(E12="Pauschale",2,0)))</f>
      </c>
      <c r="W12" s="1">
        <f>IF($A12="",0,IF(AU12&gt;0,1,0))</f>
      </c>
      <c r="X12" s="1">
        <f>IF(AND(T12=1,W12=0),1,0)</f>
      </c>
      <c r="Y12" s="1">
        <f>IF(AND(AS12=1,AT12=0,AU12=0),1,0)</f>
      </c>
      <c r="Z12" s="1">
        <f>IF(AND(Y12=1,T12=0,U12=1,V12=0),1,0)</f>
      </c>
      <c r="AA12" s="1">
        <f>IF(AND(X12=1,U12=0,V12=0,AN12=0,AO12=1,AP12=0),1,0)</f>
      </c>
      <c r="AB12" s="1">
        <f>IF(OR(W12=1,Z12=1),0,IF(T12=1,C12,0))</f>
      </c>
      <c r="AC12" s="1">
        <f>IF(OR(V12&gt;0,AA12=1),1,IF(U12=1,D12,1))</f>
      </c>
      <c r="AD12" s="1">
        <f>IF($A12="",0,IF(OR(T12=1,U12=1,V12&gt;0,W12=1),1,0))</f>
      </c>
      <c r="AE12" s="1">
        <f>IF(AD12=0,0,ROUND((AC12-AB12)*1440,0))</f>
      </c>
      <c r="AF12" s="1">
        <f>IF(AD12=0,"",IF(AND(F12&lt;&gt;"",ISNA(MATCH(F12,PauschLand,0))),"Land nicht in der Liste; ","")&amp;IF(AND(T12=0,W12=0,Z12=0),"Beginn fehlt; ","")&amp;IF(AND(V12=0,U12=0,AA12=0),"Ende fehlt; ","")&amp;IF(AND(X12=1,U12=1,V12=0,N(D12)&lt;N(C12)),"Ende vor Beginn (über Mitternacht: Ende in die Zeile des Folgetags); ",""))</f>
      </c>
      <c r="AG12" s="1">
        <f>IF(AD12=0,0,IFERROR(VLOOKUP(IF(F12="","Deutschland",F12),PauschTab,2,FALSE),0))</f>
      </c>
      <c r="AH12" s="1">
        <f>IF(AD12=0,0,IFERROR(VLOOKUP(IF(F12="","Deutschland",F12),PauschTab,3,FALSE),0))</f>
      </c>
      <c r="AI12" s="1">
        <f>IF(AD12=0,0,IFERROR(VLOOKUP(IF(F12="","Deutschland",F12),PauschTab,4,FALSE),0))</f>
      </c>
      <c r="AJ12" s="1">
        <f>IF(OR(AD12=0,AF12&lt;&gt;""),0,IF(AND(W12=1,V12&gt;0),IF(OR(T12=1,U12=1),AH12,AG12),IF(OR(W12=1,V12&gt;0),AH12,IF(AA12=1,IF(AND(AE12+AQ12&gt;480,AE12&gt;=AQ12),AH12,0),IF(Z12=1,IF(AND(AR12+AE12&gt;480,AE12&gt;AR12),AH12,0),IF(AE12&gt;480,AH12,0))))))</f>
      </c>
      <c r="AK12" s="1">
        <f>MIN(AJ12,AM12)</f>
      </c>
      <c r="AL12" s="1">
        <f>IF(OR(AD12=0,AF12&lt;&gt;""),"",IF(AND(W12=0,V12=0,AA12=0,Z12=0,AE12&lt;=480),"nicht mehr als 8 Std.; ","")&amp;IF(AA12=1,IF(AJ12&gt;0,"über Mitternacht, zusammen "&amp;TEXT((AE12+AQ12)/1440,"[h]:mm")&amp;" Std.; ",IF(AE12+AQ12&gt;480,"über Mitternacht: Pauschale am Folgetag; ","über Mitternacht, zusammen nicht mehr als 8 Std.; ")),"")&amp;IF(Z12=1,IF(AJ12&gt;0,"über Mitternacht, zusammen "&amp;TEXT((AR12+AE12)/1440,"[h]:mm")&amp;" Std.; ",IF(AR12+AE12&gt;480,"über Mitternacht: Pauschale am Vortag; ","über Mitternacht, zusammen nicht mehr als 8 Std.; ")),"")&amp;IF(AND(W12=1,V12&gt;0,OR(T12=1,U12=1)),"zwischendurch zu Hause: An- und Abreisetag; ","")&amp;IF(AND(W12=1,V12=0,T12=1),"Beginn leer lassen: unterwegs seit dem Vortag; ","")&amp;IF(AND(W12=0,V12&gt;0,U12=1),"Ende leer lassen: Übernachtung; ","")&amp;IF(AND(AJ12&gt;0,AM12&gt;AJ12),"Kürzung auf die Pauschale begrenzt; ",""))</f>
      </c>
      <c r="AM12" s="1">
        <f>ROUND(AG12*(IF(H12&lt;&gt;"",0.2,0)+IF(I12&lt;&gt;"",0.4,0)+IF(J12&lt;&gt;"",0.4,0)),2)</f>
      </c>
      <c r="AN12" s="1">
        <f>IF($A13="",'Mai'!$T$5,T13)</f>
      </c>
      <c r="AO12" s="1">
        <f>IF($A13="",'Mai'!$U$5,U13)</f>
      </c>
      <c r="AP12" s="1">
        <f>IF($A13="",'Mai'!$V$5,V13)</f>
      </c>
      <c r="AQ12" s="1">
        <f>IF($A13="",'Mai'!$AE$5,AE13)</f>
      </c>
      <c r="AR12" s="1">
        <f>AE11</f>
      </c>
      <c r="AS12" s="1">
        <f>X11</f>
      </c>
      <c r="AT12" s="1">
        <f>U11</f>
      </c>
      <c r="AU12" s="1">
        <f>V11</f>
      </c>
    </row>
    <row r="13" spans="1:47" x14ac:dyDescent="0.25">
      <c r="A13" s="17">
        <f>IF(MONTH(DATE(Jahr,4,9))=4,DATE(Jahr,4,9),"")</f>
      </c>
      <c r="B13" s="13">
        <f>IF(A13="","",CHOOSE(WEEKDAY(A13,2),"Mo","Di","Mi","Do","Fr","Sa","So"))</f>
      </c>
      <c r="C13" s="18"/>
      <c r="D13" s="18"/>
      <c r="E13" s="7"/>
      <c r="F13" s="7"/>
      <c r="G13" s="7"/>
      <c r="H13" s="19"/>
      <c r="I13" s="19"/>
      <c r="J13" s="19"/>
      <c r="K13" s="9"/>
      <c r="L13" s="20">
        <f>IF(OR(AD13=0,AF13&lt;&gt;"",AND(W13=1,V13&gt;0,OR(T13=1,U13=1))),"",AE13/1440)</f>
      </c>
      <c r="M13" s="21">
        <f>IF(OR(AD13=0,AF13&lt;&gt;""),"",AJ13)</f>
      </c>
      <c r="N13" s="21">
        <f>IF(AK13=0,"",AK13)</f>
      </c>
      <c r="O13" s="21">
        <f>IF(OR(AD13=0,AF13&lt;&gt;""),"",AJ13-AK13)</f>
      </c>
      <c r="P13" s="21">
        <f>IF(AND(AD13=1,AF13="",V13=2),AI13,"")</f>
      </c>
      <c r="Q13" s="21">
        <f>IF(OR($A13="",N(K13)=0),"",ROUND(K13*KmSatz,2))</f>
      </c>
      <c r="R13" s="22">
        <f>IF(AF13&amp;AL13="","",LEFT(AF13&amp;AL13,LEN(AF13&amp;AL13)-2))</f>
      </c>
      <c r="S13" s="1"/>
      <c r="T13" s="1">
        <f>IF(AND($A13&lt;&gt;"",ISNUMBER(C13)),1,0)</f>
      </c>
      <c r="U13" s="1">
        <f>IF(AND($A13&lt;&gt;"",ISNUMBER(D13)),1,0)</f>
      </c>
      <c r="V13" s="1">
        <f>IF($A13="",0,IF(E13="ja",1,IF(E13="Pauschale",2,0)))</f>
      </c>
      <c r="W13" s="1">
        <f>IF($A13="",0,IF(AU13&gt;0,1,0))</f>
      </c>
      <c r="X13" s="1">
        <f>IF(AND(T13=1,W13=0),1,0)</f>
      </c>
      <c r="Y13" s="1">
        <f>IF(AND(AS13=1,AT13=0,AU13=0),1,0)</f>
      </c>
      <c r="Z13" s="1">
        <f>IF(AND(Y13=1,T13=0,U13=1,V13=0),1,0)</f>
      </c>
      <c r="AA13" s="1">
        <f>IF(AND(X13=1,U13=0,V13=0,AN13=0,AO13=1,AP13=0),1,0)</f>
      </c>
      <c r="AB13" s="1">
        <f>IF(OR(W13=1,Z13=1),0,IF(T13=1,C13,0))</f>
      </c>
      <c r="AC13" s="1">
        <f>IF(OR(V13&gt;0,AA13=1),1,IF(U13=1,D13,1))</f>
      </c>
      <c r="AD13" s="1">
        <f>IF($A13="",0,IF(OR(T13=1,U13=1,V13&gt;0,W13=1),1,0))</f>
      </c>
      <c r="AE13" s="1">
        <f>IF(AD13=0,0,ROUND((AC13-AB13)*1440,0))</f>
      </c>
      <c r="AF13" s="1">
        <f>IF(AD13=0,"",IF(AND(F13&lt;&gt;"",ISNA(MATCH(F13,PauschLand,0))),"Land nicht in der Liste; ","")&amp;IF(AND(T13=0,W13=0,Z13=0),"Beginn fehlt; ","")&amp;IF(AND(V13=0,U13=0,AA13=0),"Ende fehlt; ","")&amp;IF(AND(X13=1,U13=1,V13=0,N(D13)&lt;N(C13)),"Ende vor Beginn (über Mitternacht: Ende in die Zeile des Folgetags); ",""))</f>
      </c>
      <c r="AG13" s="1">
        <f>IF(AD13=0,0,IFERROR(VLOOKUP(IF(F13="","Deutschland",F13),PauschTab,2,FALSE),0))</f>
      </c>
      <c r="AH13" s="1">
        <f>IF(AD13=0,0,IFERROR(VLOOKUP(IF(F13="","Deutschland",F13),PauschTab,3,FALSE),0))</f>
      </c>
      <c r="AI13" s="1">
        <f>IF(AD13=0,0,IFERROR(VLOOKUP(IF(F13="","Deutschland",F13),PauschTab,4,FALSE),0))</f>
      </c>
      <c r="AJ13" s="1">
        <f>IF(OR(AD13=0,AF13&lt;&gt;""),0,IF(AND(W13=1,V13&gt;0),IF(OR(T13=1,U13=1),AH13,AG13),IF(OR(W13=1,V13&gt;0),AH13,IF(AA13=1,IF(AND(AE13+AQ13&gt;480,AE13&gt;=AQ13),AH13,0),IF(Z13=1,IF(AND(AR13+AE13&gt;480,AE13&gt;AR13),AH13,0),IF(AE13&gt;480,AH13,0))))))</f>
      </c>
      <c r="AK13" s="1">
        <f>MIN(AJ13,AM13)</f>
      </c>
      <c r="AL13" s="1">
        <f>IF(OR(AD13=0,AF13&lt;&gt;""),"",IF(AND(W13=0,V13=0,AA13=0,Z13=0,AE13&lt;=480),"nicht mehr als 8 Std.; ","")&amp;IF(AA13=1,IF(AJ13&gt;0,"über Mitternacht, zusammen "&amp;TEXT((AE13+AQ13)/1440,"[h]:mm")&amp;" Std.; ",IF(AE13+AQ13&gt;480,"über Mitternacht: Pauschale am Folgetag; ","über Mitternacht, zusammen nicht mehr als 8 Std.; ")),"")&amp;IF(Z13=1,IF(AJ13&gt;0,"über Mitternacht, zusammen "&amp;TEXT((AR13+AE13)/1440,"[h]:mm")&amp;" Std.; ",IF(AR13+AE13&gt;480,"über Mitternacht: Pauschale am Vortag; ","über Mitternacht, zusammen nicht mehr als 8 Std.; ")),"")&amp;IF(AND(W13=1,V13&gt;0,OR(T13=1,U13=1)),"zwischendurch zu Hause: An- und Abreisetag; ","")&amp;IF(AND(W13=1,V13=0,T13=1),"Beginn leer lassen: unterwegs seit dem Vortag; ","")&amp;IF(AND(W13=0,V13&gt;0,U13=1),"Ende leer lassen: Übernachtung; ","")&amp;IF(AND(AJ13&gt;0,AM13&gt;AJ13),"Kürzung auf die Pauschale begrenzt; ",""))</f>
      </c>
      <c r="AM13" s="1">
        <f>ROUND(AG13*(IF(H13&lt;&gt;"",0.2,0)+IF(I13&lt;&gt;"",0.4,0)+IF(J13&lt;&gt;"",0.4,0)),2)</f>
      </c>
      <c r="AN13" s="1">
        <f>IF($A14="",'Mai'!$T$5,T14)</f>
      </c>
      <c r="AO13" s="1">
        <f>IF($A14="",'Mai'!$U$5,U14)</f>
      </c>
      <c r="AP13" s="1">
        <f>IF($A14="",'Mai'!$V$5,V14)</f>
      </c>
      <c r="AQ13" s="1">
        <f>IF($A14="",'Mai'!$AE$5,AE14)</f>
      </c>
      <c r="AR13" s="1">
        <f>AE12</f>
      </c>
      <c r="AS13" s="1">
        <f>X12</f>
      </c>
      <c r="AT13" s="1">
        <f>U12</f>
      </c>
      <c r="AU13" s="1">
        <f>V12</f>
      </c>
    </row>
    <row r="14" spans="1:47" x14ac:dyDescent="0.25">
      <c r="A14" s="17">
        <f>IF(MONTH(DATE(Jahr,4,10))=4,DATE(Jahr,4,10),"")</f>
      </c>
      <c r="B14" s="13">
        <f>IF(A14="","",CHOOSE(WEEKDAY(A14,2),"Mo","Di","Mi","Do","Fr","Sa","So"))</f>
      </c>
      <c r="C14" s="18"/>
      <c r="D14" s="18"/>
      <c r="E14" s="7"/>
      <c r="F14" s="7"/>
      <c r="G14" s="7"/>
      <c r="H14" s="19"/>
      <c r="I14" s="19"/>
      <c r="J14" s="19"/>
      <c r="K14" s="9"/>
      <c r="L14" s="20">
        <f>IF(OR(AD14=0,AF14&lt;&gt;"",AND(W14=1,V14&gt;0,OR(T14=1,U14=1))),"",AE14/1440)</f>
      </c>
      <c r="M14" s="21">
        <f>IF(OR(AD14=0,AF14&lt;&gt;""),"",AJ14)</f>
      </c>
      <c r="N14" s="21">
        <f>IF(AK14=0,"",AK14)</f>
      </c>
      <c r="O14" s="21">
        <f>IF(OR(AD14=0,AF14&lt;&gt;""),"",AJ14-AK14)</f>
      </c>
      <c r="P14" s="21">
        <f>IF(AND(AD14=1,AF14="",V14=2),AI14,"")</f>
      </c>
      <c r="Q14" s="21">
        <f>IF(OR($A14="",N(K14)=0),"",ROUND(K14*KmSatz,2))</f>
      </c>
      <c r="R14" s="22">
        <f>IF(AF14&amp;AL14="","",LEFT(AF14&amp;AL14,LEN(AF14&amp;AL14)-2))</f>
      </c>
      <c r="S14" s="1"/>
      <c r="T14" s="1">
        <f>IF(AND($A14&lt;&gt;"",ISNUMBER(C14)),1,0)</f>
      </c>
      <c r="U14" s="1">
        <f>IF(AND($A14&lt;&gt;"",ISNUMBER(D14)),1,0)</f>
      </c>
      <c r="V14" s="1">
        <f>IF($A14="",0,IF(E14="ja",1,IF(E14="Pauschale",2,0)))</f>
      </c>
      <c r="W14" s="1">
        <f>IF($A14="",0,IF(AU14&gt;0,1,0))</f>
      </c>
      <c r="X14" s="1">
        <f>IF(AND(T14=1,W14=0),1,0)</f>
      </c>
      <c r="Y14" s="1">
        <f>IF(AND(AS14=1,AT14=0,AU14=0),1,0)</f>
      </c>
      <c r="Z14" s="1">
        <f>IF(AND(Y14=1,T14=0,U14=1,V14=0),1,0)</f>
      </c>
      <c r="AA14" s="1">
        <f>IF(AND(X14=1,U14=0,V14=0,AN14=0,AO14=1,AP14=0),1,0)</f>
      </c>
      <c r="AB14" s="1">
        <f>IF(OR(W14=1,Z14=1),0,IF(T14=1,C14,0))</f>
      </c>
      <c r="AC14" s="1">
        <f>IF(OR(V14&gt;0,AA14=1),1,IF(U14=1,D14,1))</f>
      </c>
      <c r="AD14" s="1">
        <f>IF($A14="",0,IF(OR(T14=1,U14=1,V14&gt;0,W14=1),1,0))</f>
      </c>
      <c r="AE14" s="1">
        <f>IF(AD14=0,0,ROUND((AC14-AB14)*1440,0))</f>
      </c>
      <c r="AF14" s="1">
        <f>IF(AD14=0,"",IF(AND(F14&lt;&gt;"",ISNA(MATCH(F14,PauschLand,0))),"Land nicht in der Liste; ","")&amp;IF(AND(T14=0,W14=0,Z14=0),"Beginn fehlt; ","")&amp;IF(AND(V14=0,U14=0,AA14=0),"Ende fehlt; ","")&amp;IF(AND(X14=1,U14=1,V14=0,N(D14)&lt;N(C14)),"Ende vor Beginn (über Mitternacht: Ende in die Zeile des Folgetags); ",""))</f>
      </c>
      <c r="AG14" s="1">
        <f>IF(AD14=0,0,IFERROR(VLOOKUP(IF(F14="","Deutschland",F14),PauschTab,2,FALSE),0))</f>
      </c>
      <c r="AH14" s="1">
        <f>IF(AD14=0,0,IFERROR(VLOOKUP(IF(F14="","Deutschland",F14),PauschTab,3,FALSE),0))</f>
      </c>
      <c r="AI14" s="1">
        <f>IF(AD14=0,0,IFERROR(VLOOKUP(IF(F14="","Deutschland",F14),PauschTab,4,FALSE),0))</f>
      </c>
      <c r="AJ14" s="1">
        <f>IF(OR(AD14=0,AF14&lt;&gt;""),0,IF(AND(W14=1,V14&gt;0),IF(OR(T14=1,U14=1),AH14,AG14),IF(OR(W14=1,V14&gt;0),AH14,IF(AA14=1,IF(AND(AE14+AQ14&gt;480,AE14&gt;=AQ14),AH14,0),IF(Z14=1,IF(AND(AR14+AE14&gt;480,AE14&gt;AR14),AH14,0),IF(AE14&gt;480,AH14,0))))))</f>
      </c>
      <c r="AK14" s="1">
        <f>MIN(AJ14,AM14)</f>
      </c>
      <c r="AL14" s="1">
        <f>IF(OR(AD14=0,AF14&lt;&gt;""),"",IF(AND(W14=0,V14=0,AA14=0,Z14=0,AE14&lt;=480),"nicht mehr als 8 Std.; ","")&amp;IF(AA14=1,IF(AJ14&gt;0,"über Mitternacht, zusammen "&amp;TEXT((AE14+AQ14)/1440,"[h]:mm")&amp;" Std.; ",IF(AE14+AQ14&gt;480,"über Mitternacht: Pauschale am Folgetag; ","über Mitternacht, zusammen nicht mehr als 8 Std.; ")),"")&amp;IF(Z14=1,IF(AJ14&gt;0,"über Mitternacht, zusammen "&amp;TEXT((AR14+AE14)/1440,"[h]:mm")&amp;" Std.; ",IF(AR14+AE14&gt;480,"über Mitternacht: Pauschale am Vortag; ","über Mitternacht, zusammen nicht mehr als 8 Std.; ")),"")&amp;IF(AND(W14=1,V14&gt;0,OR(T14=1,U14=1)),"zwischendurch zu Hause: An- und Abreisetag; ","")&amp;IF(AND(W14=1,V14=0,T14=1),"Beginn leer lassen: unterwegs seit dem Vortag; ","")&amp;IF(AND(W14=0,V14&gt;0,U14=1),"Ende leer lassen: Übernachtung; ","")&amp;IF(AND(AJ14&gt;0,AM14&gt;AJ14),"Kürzung auf die Pauschale begrenzt; ",""))</f>
      </c>
      <c r="AM14" s="1">
        <f>ROUND(AG14*(IF(H14&lt;&gt;"",0.2,0)+IF(I14&lt;&gt;"",0.4,0)+IF(J14&lt;&gt;"",0.4,0)),2)</f>
      </c>
      <c r="AN14" s="1">
        <f>IF($A15="",'Mai'!$T$5,T15)</f>
      </c>
      <c r="AO14" s="1">
        <f>IF($A15="",'Mai'!$U$5,U15)</f>
      </c>
      <c r="AP14" s="1">
        <f>IF($A15="",'Mai'!$V$5,V15)</f>
      </c>
      <c r="AQ14" s="1">
        <f>IF($A15="",'Mai'!$AE$5,AE15)</f>
      </c>
      <c r="AR14" s="1">
        <f>AE13</f>
      </c>
      <c r="AS14" s="1">
        <f>X13</f>
      </c>
      <c r="AT14" s="1">
        <f>U13</f>
      </c>
      <c r="AU14" s="1">
        <f>V13</f>
      </c>
    </row>
    <row r="15" spans="1:47" x14ac:dyDescent="0.25">
      <c r="A15" s="17">
        <f>IF(MONTH(DATE(Jahr,4,11))=4,DATE(Jahr,4,11),"")</f>
      </c>
      <c r="B15" s="13">
        <f>IF(A15="","",CHOOSE(WEEKDAY(A15,2),"Mo","Di","Mi","Do","Fr","Sa","So"))</f>
      </c>
      <c r="C15" s="18"/>
      <c r="D15" s="18"/>
      <c r="E15" s="7"/>
      <c r="F15" s="7"/>
      <c r="G15" s="7"/>
      <c r="H15" s="19"/>
      <c r="I15" s="19"/>
      <c r="J15" s="19"/>
      <c r="K15" s="9"/>
      <c r="L15" s="20">
        <f>IF(OR(AD15=0,AF15&lt;&gt;"",AND(W15=1,V15&gt;0,OR(T15=1,U15=1))),"",AE15/1440)</f>
      </c>
      <c r="M15" s="21">
        <f>IF(OR(AD15=0,AF15&lt;&gt;""),"",AJ15)</f>
      </c>
      <c r="N15" s="21">
        <f>IF(AK15=0,"",AK15)</f>
      </c>
      <c r="O15" s="21">
        <f>IF(OR(AD15=0,AF15&lt;&gt;""),"",AJ15-AK15)</f>
      </c>
      <c r="P15" s="21">
        <f>IF(AND(AD15=1,AF15="",V15=2),AI15,"")</f>
      </c>
      <c r="Q15" s="21">
        <f>IF(OR($A15="",N(K15)=0),"",ROUND(K15*KmSatz,2))</f>
      </c>
      <c r="R15" s="22">
        <f>IF(AF15&amp;AL15="","",LEFT(AF15&amp;AL15,LEN(AF15&amp;AL15)-2))</f>
      </c>
      <c r="S15" s="1"/>
      <c r="T15" s="1">
        <f>IF(AND($A15&lt;&gt;"",ISNUMBER(C15)),1,0)</f>
      </c>
      <c r="U15" s="1">
        <f>IF(AND($A15&lt;&gt;"",ISNUMBER(D15)),1,0)</f>
      </c>
      <c r="V15" s="1">
        <f>IF($A15="",0,IF(E15="ja",1,IF(E15="Pauschale",2,0)))</f>
      </c>
      <c r="W15" s="1">
        <f>IF($A15="",0,IF(AU15&gt;0,1,0))</f>
      </c>
      <c r="X15" s="1">
        <f>IF(AND(T15=1,W15=0),1,0)</f>
      </c>
      <c r="Y15" s="1">
        <f>IF(AND(AS15=1,AT15=0,AU15=0),1,0)</f>
      </c>
      <c r="Z15" s="1">
        <f>IF(AND(Y15=1,T15=0,U15=1,V15=0),1,0)</f>
      </c>
      <c r="AA15" s="1">
        <f>IF(AND(X15=1,U15=0,V15=0,AN15=0,AO15=1,AP15=0),1,0)</f>
      </c>
      <c r="AB15" s="1">
        <f>IF(OR(W15=1,Z15=1),0,IF(T15=1,C15,0))</f>
      </c>
      <c r="AC15" s="1">
        <f>IF(OR(V15&gt;0,AA15=1),1,IF(U15=1,D15,1))</f>
      </c>
      <c r="AD15" s="1">
        <f>IF($A15="",0,IF(OR(T15=1,U15=1,V15&gt;0,W15=1),1,0))</f>
      </c>
      <c r="AE15" s="1">
        <f>IF(AD15=0,0,ROUND((AC15-AB15)*1440,0))</f>
      </c>
      <c r="AF15" s="1">
        <f>IF(AD15=0,"",IF(AND(F15&lt;&gt;"",ISNA(MATCH(F15,PauschLand,0))),"Land nicht in der Liste; ","")&amp;IF(AND(T15=0,W15=0,Z15=0),"Beginn fehlt; ","")&amp;IF(AND(V15=0,U15=0,AA15=0),"Ende fehlt; ","")&amp;IF(AND(X15=1,U15=1,V15=0,N(D15)&lt;N(C15)),"Ende vor Beginn (über Mitternacht: Ende in die Zeile des Folgetags); ",""))</f>
      </c>
      <c r="AG15" s="1">
        <f>IF(AD15=0,0,IFERROR(VLOOKUP(IF(F15="","Deutschland",F15),PauschTab,2,FALSE),0))</f>
      </c>
      <c r="AH15" s="1">
        <f>IF(AD15=0,0,IFERROR(VLOOKUP(IF(F15="","Deutschland",F15),PauschTab,3,FALSE),0))</f>
      </c>
      <c r="AI15" s="1">
        <f>IF(AD15=0,0,IFERROR(VLOOKUP(IF(F15="","Deutschland",F15),PauschTab,4,FALSE),0))</f>
      </c>
      <c r="AJ15" s="1">
        <f>IF(OR(AD15=0,AF15&lt;&gt;""),0,IF(AND(W15=1,V15&gt;0),IF(OR(T15=1,U15=1),AH15,AG15),IF(OR(W15=1,V15&gt;0),AH15,IF(AA15=1,IF(AND(AE15+AQ15&gt;480,AE15&gt;=AQ15),AH15,0),IF(Z15=1,IF(AND(AR15+AE15&gt;480,AE15&gt;AR15),AH15,0),IF(AE15&gt;480,AH15,0))))))</f>
      </c>
      <c r="AK15" s="1">
        <f>MIN(AJ15,AM15)</f>
      </c>
      <c r="AL15" s="1">
        <f>IF(OR(AD15=0,AF15&lt;&gt;""),"",IF(AND(W15=0,V15=0,AA15=0,Z15=0,AE15&lt;=480),"nicht mehr als 8 Std.; ","")&amp;IF(AA15=1,IF(AJ15&gt;0,"über Mitternacht, zusammen "&amp;TEXT((AE15+AQ15)/1440,"[h]:mm")&amp;" Std.; ",IF(AE15+AQ15&gt;480,"über Mitternacht: Pauschale am Folgetag; ","über Mitternacht, zusammen nicht mehr als 8 Std.; ")),"")&amp;IF(Z15=1,IF(AJ15&gt;0,"über Mitternacht, zusammen "&amp;TEXT((AR15+AE15)/1440,"[h]:mm")&amp;" Std.; ",IF(AR15+AE15&gt;480,"über Mitternacht: Pauschale am Vortag; ","über Mitternacht, zusammen nicht mehr als 8 Std.; ")),"")&amp;IF(AND(W15=1,V15&gt;0,OR(T15=1,U15=1)),"zwischendurch zu Hause: An- und Abreisetag; ","")&amp;IF(AND(W15=1,V15=0,T15=1),"Beginn leer lassen: unterwegs seit dem Vortag; ","")&amp;IF(AND(W15=0,V15&gt;0,U15=1),"Ende leer lassen: Übernachtung; ","")&amp;IF(AND(AJ15&gt;0,AM15&gt;AJ15),"Kürzung auf die Pauschale begrenzt; ",""))</f>
      </c>
      <c r="AM15" s="1">
        <f>ROUND(AG15*(IF(H15&lt;&gt;"",0.2,0)+IF(I15&lt;&gt;"",0.4,0)+IF(J15&lt;&gt;"",0.4,0)),2)</f>
      </c>
      <c r="AN15" s="1">
        <f>IF($A16="",'Mai'!$T$5,T16)</f>
      </c>
      <c r="AO15" s="1">
        <f>IF($A16="",'Mai'!$U$5,U16)</f>
      </c>
      <c r="AP15" s="1">
        <f>IF($A16="",'Mai'!$V$5,V16)</f>
      </c>
      <c r="AQ15" s="1">
        <f>IF($A16="",'Mai'!$AE$5,AE16)</f>
      </c>
      <c r="AR15" s="1">
        <f>AE14</f>
      </c>
      <c r="AS15" s="1">
        <f>X14</f>
      </c>
      <c r="AT15" s="1">
        <f>U14</f>
      </c>
      <c r="AU15" s="1">
        <f>V14</f>
      </c>
    </row>
    <row r="16" spans="1:47" x14ac:dyDescent="0.25">
      <c r="A16" s="17">
        <f>IF(MONTH(DATE(Jahr,4,12))=4,DATE(Jahr,4,12),"")</f>
      </c>
      <c r="B16" s="13">
        <f>IF(A16="","",CHOOSE(WEEKDAY(A16,2),"Mo","Di","Mi","Do","Fr","Sa","So"))</f>
      </c>
      <c r="C16" s="18"/>
      <c r="D16" s="18"/>
      <c r="E16" s="7"/>
      <c r="F16" s="7"/>
      <c r="G16" s="7"/>
      <c r="H16" s="19"/>
      <c r="I16" s="19"/>
      <c r="J16" s="19"/>
      <c r="K16" s="9"/>
      <c r="L16" s="20">
        <f>IF(OR(AD16=0,AF16&lt;&gt;"",AND(W16=1,V16&gt;0,OR(T16=1,U16=1))),"",AE16/1440)</f>
      </c>
      <c r="M16" s="21">
        <f>IF(OR(AD16=0,AF16&lt;&gt;""),"",AJ16)</f>
      </c>
      <c r="N16" s="21">
        <f>IF(AK16=0,"",AK16)</f>
      </c>
      <c r="O16" s="21">
        <f>IF(OR(AD16=0,AF16&lt;&gt;""),"",AJ16-AK16)</f>
      </c>
      <c r="P16" s="21">
        <f>IF(AND(AD16=1,AF16="",V16=2),AI16,"")</f>
      </c>
      <c r="Q16" s="21">
        <f>IF(OR($A16="",N(K16)=0),"",ROUND(K16*KmSatz,2))</f>
      </c>
      <c r="R16" s="22">
        <f>IF(AF16&amp;AL16="","",LEFT(AF16&amp;AL16,LEN(AF16&amp;AL16)-2))</f>
      </c>
      <c r="S16" s="1"/>
      <c r="T16" s="1">
        <f>IF(AND($A16&lt;&gt;"",ISNUMBER(C16)),1,0)</f>
      </c>
      <c r="U16" s="1">
        <f>IF(AND($A16&lt;&gt;"",ISNUMBER(D16)),1,0)</f>
      </c>
      <c r="V16" s="1">
        <f>IF($A16="",0,IF(E16="ja",1,IF(E16="Pauschale",2,0)))</f>
      </c>
      <c r="W16" s="1">
        <f>IF($A16="",0,IF(AU16&gt;0,1,0))</f>
      </c>
      <c r="X16" s="1">
        <f>IF(AND(T16=1,W16=0),1,0)</f>
      </c>
      <c r="Y16" s="1">
        <f>IF(AND(AS16=1,AT16=0,AU16=0),1,0)</f>
      </c>
      <c r="Z16" s="1">
        <f>IF(AND(Y16=1,T16=0,U16=1,V16=0),1,0)</f>
      </c>
      <c r="AA16" s="1">
        <f>IF(AND(X16=1,U16=0,V16=0,AN16=0,AO16=1,AP16=0),1,0)</f>
      </c>
      <c r="AB16" s="1">
        <f>IF(OR(W16=1,Z16=1),0,IF(T16=1,C16,0))</f>
      </c>
      <c r="AC16" s="1">
        <f>IF(OR(V16&gt;0,AA16=1),1,IF(U16=1,D16,1))</f>
      </c>
      <c r="AD16" s="1">
        <f>IF($A16="",0,IF(OR(T16=1,U16=1,V16&gt;0,W16=1),1,0))</f>
      </c>
      <c r="AE16" s="1">
        <f>IF(AD16=0,0,ROUND((AC16-AB16)*1440,0))</f>
      </c>
      <c r="AF16" s="1">
        <f>IF(AD16=0,"",IF(AND(F16&lt;&gt;"",ISNA(MATCH(F16,PauschLand,0))),"Land nicht in der Liste; ","")&amp;IF(AND(T16=0,W16=0,Z16=0),"Beginn fehlt; ","")&amp;IF(AND(V16=0,U16=0,AA16=0),"Ende fehlt; ","")&amp;IF(AND(X16=1,U16=1,V16=0,N(D16)&lt;N(C16)),"Ende vor Beginn (über Mitternacht: Ende in die Zeile des Folgetags); ",""))</f>
      </c>
      <c r="AG16" s="1">
        <f>IF(AD16=0,0,IFERROR(VLOOKUP(IF(F16="","Deutschland",F16),PauschTab,2,FALSE),0))</f>
      </c>
      <c r="AH16" s="1">
        <f>IF(AD16=0,0,IFERROR(VLOOKUP(IF(F16="","Deutschland",F16),PauschTab,3,FALSE),0))</f>
      </c>
      <c r="AI16" s="1">
        <f>IF(AD16=0,0,IFERROR(VLOOKUP(IF(F16="","Deutschland",F16),PauschTab,4,FALSE),0))</f>
      </c>
      <c r="AJ16" s="1">
        <f>IF(OR(AD16=0,AF16&lt;&gt;""),0,IF(AND(W16=1,V16&gt;0),IF(OR(T16=1,U16=1),AH16,AG16),IF(OR(W16=1,V16&gt;0),AH16,IF(AA16=1,IF(AND(AE16+AQ16&gt;480,AE16&gt;=AQ16),AH16,0),IF(Z16=1,IF(AND(AR16+AE16&gt;480,AE16&gt;AR16),AH16,0),IF(AE16&gt;480,AH16,0))))))</f>
      </c>
      <c r="AK16" s="1">
        <f>MIN(AJ16,AM16)</f>
      </c>
      <c r="AL16" s="1">
        <f>IF(OR(AD16=0,AF16&lt;&gt;""),"",IF(AND(W16=0,V16=0,AA16=0,Z16=0,AE16&lt;=480),"nicht mehr als 8 Std.; ","")&amp;IF(AA16=1,IF(AJ16&gt;0,"über Mitternacht, zusammen "&amp;TEXT((AE16+AQ16)/1440,"[h]:mm")&amp;" Std.; ",IF(AE16+AQ16&gt;480,"über Mitternacht: Pauschale am Folgetag; ","über Mitternacht, zusammen nicht mehr als 8 Std.; ")),"")&amp;IF(Z16=1,IF(AJ16&gt;0,"über Mitternacht, zusammen "&amp;TEXT((AR16+AE16)/1440,"[h]:mm")&amp;" Std.; ",IF(AR16+AE16&gt;480,"über Mitternacht: Pauschale am Vortag; ","über Mitternacht, zusammen nicht mehr als 8 Std.; ")),"")&amp;IF(AND(W16=1,V16&gt;0,OR(T16=1,U16=1)),"zwischendurch zu Hause: An- und Abreisetag; ","")&amp;IF(AND(W16=1,V16=0,T16=1),"Beginn leer lassen: unterwegs seit dem Vortag; ","")&amp;IF(AND(W16=0,V16&gt;0,U16=1),"Ende leer lassen: Übernachtung; ","")&amp;IF(AND(AJ16&gt;0,AM16&gt;AJ16),"Kürzung auf die Pauschale begrenzt; ",""))</f>
      </c>
      <c r="AM16" s="1">
        <f>ROUND(AG16*(IF(H16&lt;&gt;"",0.2,0)+IF(I16&lt;&gt;"",0.4,0)+IF(J16&lt;&gt;"",0.4,0)),2)</f>
      </c>
      <c r="AN16" s="1">
        <f>IF($A17="",'Mai'!$T$5,T17)</f>
      </c>
      <c r="AO16" s="1">
        <f>IF($A17="",'Mai'!$U$5,U17)</f>
      </c>
      <c r="AP16" s="1">
        <f>IF($A17="",'Mai'!$V$5,V17)</f>
      </c>
      <c r="AQ16" s="1">
        <f>IF($A17="",'Mai'!$AE$5,AE17)</f>
      </c>
      <c r="AR16" s="1">
        <f>AE15</f>
      </c>
      <c r="AS16" s="1">
        <f>X15</f>
      </c>
      <c r="AT16" s="1">
        <f>U15</f>
      </c>
      <c r="AU16" s="1">
        <f>V15</f>
      </c>
    </row>
    <row r="17" spans="1:47" x14ac:dyDescent="0.25">
      <c r="A17" s="17">
        <f>IF(MONTH(DATE(Jahr,4,13))=4,DATE(Jahr,4,13),"")</f>
      </c>
      <c r="B17" s="13">
        <f>IF(A17="","",CHOOSE(WEEKDAY(A17,2),"Mo","Di","Mi","Do","Fr","Sa","So"))</f>
      </c>
      <c r="C17" s="18"/>
      <c r="D17" s="18"/>
      <c r="E17" s="7"/>
      <c r="F17" s="7"/>
      <c r="G17" s="7"/>
      <c r="H17" s="19"/>
      <c r="I17" s="19"/>
      <c r="J17" s="19"/>
      <c r="K17" s="9"/>
      <c r="L17" s="20">
        <f>IF(OR(AD17=0,AF17&lt;&gt;"",AND(W17=1,V17&gt;0,OR(T17=1,U17=1))),"",AE17/1440)</f>
      </c>
      <c r="M17" s="21">
        <f>IF(OR(AD17=0,AF17&lt;&gt;""),"",AJ17)</f>
      </c>
      <c r="N17" s="21">
        <f>IF(AK17=0,"",AK17)</f>
      </c>
      <c r="O17" s="21">
        <f>IF(OR(AD17=0,AF17&lt;&gt;""),"",AJ17-AK17)</f>
      </c>
      <c r="P17" s="21">
        <f>IF(AND(AD17=1,AF17="",V17=2),AI17,"")</f>
      </c>
      <c r="Q17" s="21">
        <f>IF(OR($A17="",N(K17)=0),"",ROUND(K17*KmSatz,2))</f>
      </c>
      <c r="R17" s="22">
        <f>IF(AF17&amp;AL17="","",LEFT(AF17&amp;AL17,LEN(AF17&amp;AL17)-2))</f>
      </c>
      <c r="S17" s="1"/>
      <c r="T17" s="1">
        <f>IF(AND($A17&lt;&gt;"",ISNUMBER(C17)),1,0)</f>
      </c>
      <c r="U17" s="1">
        <f>IF(AND($A17&lt;&gt;"",ISNUMBER(D17)),1,0)</f>
      </c>
      <c r="V17" s="1">
        <f>IF($A17="",0,IF(E17="ja",1,IF(E17="Pauschale",2,0)))</f>
      </c>
      <c r="W17" s="1">
        <f>IF($A17="",0,IF(AU17&gt;0,1,0))</f>
      </c>
      <c r="X17" s="1">
        <f>IF(AND(T17=1,W17=0),1,0)</f>
      </c>
      <c r="Y17" s="1">
        <f>IF(AND(AS17=1,AT17=0,AU17=0),1,0)</f>
      </c>
      <c r="Z17" s="1">
        <f>IF(AND(Y17=1,T17=0,U17=1,V17=0),1,0)</f>
      </c>
      <c r="AA17" s="1">
        <f>IF(AND(X17=1,U17=0,V17=0,AN17=0,AO17=1,AP17=0),1,0)</f>
      </c>
      <c r="AB17" s="1">
        <f>IF(OR(W17=1,Z17=1),0,IF(T17=1,C17,0))</f>
      </c>
      <c r="AC17" s="1">
        <f>IF(OR(V17&gt;0,AA17=1),1,IF(U17=1,D17,1))</f>
      </c>
      <c r="AD17" s="1">
        <f>IF($A17="",0,IF(OR(T17=1,U17=1,V17&gt;0,W17=1),1,0))</f>
      </c>
      <c r="AE17" s="1">
        <f>IF(AD17=0,0,ROUND((AC17-AB17)*1440,0))</f>
      </c>
      <c r="AF17" s="1">
        <f>IF(AD17=0,"",IF(AND(F17&lt;&gt;"",ISNA(MATCH(F17,PauschLand,0))),"Land nicht in der Liste; ","")&amp;IF(AND(T17=0,W17=0,Z17=0),"Beginn fehlt; ","")&amp;IF(AND(V17=0,U17=0,AA17=0),"Ende fehlt; ","")&amp;IF(AND(X17=1,U17=1,V17=0,N(D17)&lt;N(C17)),"Ende vor Beginn (über Mitternacht: Ende in die Zeile des Folgetags); ",""))</f>
      </c>
      <c r="AG17" s="1">
        <f>IF(AD17=0,0,IFERROR(VLOOKUP(IF(F17="","Deutschland",F17),PauschTab,2,FALSE),0))</f>
      </c>
      <c r="AH17" s="1">
        <f>IF(AD17=0,0,IFERROR(VLOOKUP(IF(F17="","Deutschland",F17),PauschTab,3,FALSE),0))</f>
      </c>
      <c r="AI17" s="1">
        <f>IF(AD17=0,0,IFERROR(VLOOKUP(IF(F17="","Deutschland",F17),PauschTab,4,FALSE),0))</f>
      </c>
      <c r="AJ17" s="1">
        <f>IF(OR(AD17=0,AF17&lt;&gt;""),0,IF(AND(W17=1,V17&gt;0),IF(OR(T17=1,U17=1),AH17,AG17),IF(OR(W17=1,V17&gt;0),AH17,IF(AA17=1,IF(AND(AE17+AQ17&gt;480,AE17&gt;=AQ17),AH17,0),IF(Z17=1,IF(AND(AR17+AE17&gt;480,AE17&gt;AR17),AH17,0),IF(AE17&gt;480,AH17,0))))))</f>
      </c>
      <c r="AK17" s="1">
        <f>MIN(AJ17,AM17)</f>
      </c>
      <c r="AL17" s="1">
        <f>IF(OR(AD17=0,AF17&lt;&gt;""),"",IF(AND(W17=0,V17=0,AA17=0,Z17=0,AE17&lt;=480),"nicht mehr als 8 Std.; ","")&amp;IF(AA17=1,IF(AJ17&gt;0,"über Mitternacht, zusammen "&amp;TEXT((AE17+AQ17)/1440,"[h]:mm")&amp;" Std.; ",IF(AE17+AQ17&gt;480,"über Mitternacht: Pauschale am Folgetag; ","über Mitternacht, zusammen nicht mehr als 8 Std.; ")),"")&amp;IF(Z17=1,IF(AJ17&gt;0,"über Mitternacht, zusammen "&amp;TEXT((AR17+AE17)/1440,"[h]:mm")&amp;" Std.; ",IF(AR17+AE17&gt;480,"über Mitternacht: Pauschale am Vortag; ","über Mitternacht, zusammen nicht mehr als 8 Std.; ")),"")&amp;IF(AND(W17=1,V17&gt;0,OR(T17=1,U17=1)),"zwischendurch zu Hause: An- und Abreisetag; ","")&amp;IF(AND(W17=1,V17=0,T17=1),"Beginn leer lassen: unterwegs seit dem Vortag; ","")&amp;IF(AND(W17=0,V17&gt;0,U17=1),"Ende leer lassen: Übernachtung; ","")&amp;IF(AND(AJ17&gt;0,AM17&gt;AJ17),"Kürzung auf die Pauschale begrenzt; ",""))</f>
      </c>
      <c r="AM17" s="1">
        <f>ROUND(AG17*(IF(H17&lt;&gt;"",0.2,0)+IF(I17&lt;&gt;"",0.4,0)+IF(J17&lt;&gt;"",0.4,0)),2)</f>
      </c>
      <c r="AN17" s="1">
        <f>IF($A18="",'Mai'!$T$5,T18)</f>
      </c>
      <c r="AO17" s="1">
        <f>IF($A18="",'Mai'!$U$5,U18)</f>
      </c>
      <c r="AP17" s="1">
        <f>IF($A18="",'Mai'!$V$5,V18)</f>
      </c>
      <c r="AQ17" s="1">
        <f>IF($A18="",'Mai'!$AE$5,AE18)</f>
      </c>
      <c r="AR17" s="1">
        <f>AE16</f>
      </c>
      <c r="AS17" s="1">
        <f>X16</f>
      </c>
      <c r="AT17" s="1">
        <f>U16</f>
      </c>
      <c r="AU17" s="1">
        <f>V16</f>
      </c>
    </row>
    <row r="18" spans="1:47" x14ac:dyDescent="0.25">
      <c r="A18" s="17">
        <f>IF(MONTH(DATE(Jahr,4,14))=4,DATE(Jahr,4,14),"")</f>
      </c>
      <c r="B18" s="13">
        <f>IF(A18="","",CHOOSE(WEEKDAY(A18,2),"Mo","Di","Mi","Do","Fr","Sa","So"))</f>
      </c>
      <c r="C18" s="18"/>
      <c r="D18" s="18"/>
      <c r="E18" s="7"/>
      <c r="F18" s="7"/>
      <c r="G18" s="7"/>
      <c r="H18" s="19"/>
      <c r="I18" s="19"/>
      <c r="J18" s="19"/>
      <c r="K18" s="9"/>
      <c r="L18" s="20">
        <f>IF(OR(AD18=0,AF18&lt;&gt;"",AND(W18=1,V18&gt;0,OR(T18=1,U18=1))),"",AE18/1440)</f>
      </c>
      <c r="M18" s="21">
        <f>IF(OR(AD18=0,AF18&lt;&gt;""),"",AJ18)</f>
      </c>
      <c r="N18" s="21">
        <f>IF(AK18=0,"",AK18)</f>
      </c>
      <c r="O18" s="21">
        <f>IF(OR(AD18=0,AF18&lt;&gt;""),"",AJ18-AK18)</f>
      </c>
      <c r="P18" s="21">
        <f>IF(AND(AD18=1,AF18="",V18=2),AI18,"")</f>
      </c>
      <c r="Q18" s="21">
        <f>IF(OR($A18="",N(K18)=0),"",ROUND(K18*KmSatz,2))</f>
      </c>
      <c r="R18" s="22">
        <f>IF(AF18&amp;AL18="","",LEFT(AF18&amp;AL18,LEN(AF18&amp;AL18)-2))</f>
      </c>
      <c r="S18" s="1"/>
      <c r="T18" s="1">
        <f>IF(AND($A18&lt;&gt;"",ISNUMBER(C18)),1,0)</f>
      </c>
      <c r="U18" s="1">
        <f>IF(AND($A18&lt;&gt;"",ISNUMBER(D18)),1,0)</f>
      </c>
      <c r="V18" s="1">
        <f>IF($A18="",0,IF(E18="ja",1,IF(E18="Pauschale",2,0)))</f>
      </c>
      <c r="W18" s="1">
        <f>IF($A18="",0,IF(AU18&gt;0,1,0))</f>
      </c>
      <c r="X18" s="1">
        <f>IF(AND(T18=1,W18=0),1,0)</f>
      </c>
      <c r="Y18" s="1">
        <f>IF(AND(AS18=1,AT18=0,AU18=0),1,0)</f>
      </c>
      <c r="Z18" s="1">
        <f>IF(AND(Y18=1,T18=0,U18=1,V18=0),1,0)</f>
      </c>
      <c r="AA18" s="1">
        <f>IF(AND(X18=1,U18=0,V18=0,AN18=0,AO18=1,AP18=0),1,0)</f>
      </c>
      <c r="AB18" s="1">
        <f>IF(OR(W18=1,Z18=1),0,IF(T18=1,C18,0))</f>
      </c>
      <c r="AC18" s="1">
        <f>IF(OR(V18&gt;0,AA18=1),1,IF(U18=1,D18,1))</f>
      </c>
      <c r="AD18" s="1">
        <f>IF($A18="",0,IF(OR(T18=1,U18=1,V18&gt;0,W18=1),1,0))</f>
      </c>
      <c r="AE18" s="1">
        <f>IF(AD18=0,0,ROUND((AC18-AB18)*1440,0))</f>
      </c>
      <c r="AF18" s="1">
        <f>IF(AD18=0,"",IF(AND(F18&lt;&gt;"",ISNA(MATCH(F18,PauschLand,0))),"Land nicht in der Liste; ","")&amp;IF(AND(T18=0,W18=0,Z18=0),"Beginn fehlt; ","")&amp;IF(AND(V18=0,U18=0,AA18=0),"Ende fehlt; ","")&amp;IF(AND(X18=1,U18=1,V18=0,N(D18)&lt;N(C18)),"Ende vor Beginn (über Mitternacht: Ende in die Zeile des Folgetags); ",""))</f>
      </c>
      <c r="AG18" s="1">
        <f>IF(AD18=0,0,IFERROR(VLOOKUP(IF(F18="","Deutschland",F18),PauschTab,2,FALSE),0))</f>
      </c>
      <c r="AH18" s="1">
        <f>IF(AD18=0,0,IFERROR(VLOOKUP(IF(F18="","Deutschland",F18),PauschTab,3,FALSE),0))</f>
      </c>
      <c r="AI18" s="1">
        <f>IF(AD18=0,0,IFERROR(VLOOKUP(IF(F18="","Deutschland",F18),PauschTab,4,FALSE),0))</f>
      </c>
      <c r="AJ18" s="1">
        <f>IF(OR(AD18=0,AF18&lt;&gt;""),0,IF(AND(W18=1,V18&gt;0),IF(OR(T18=1,U18=1),AH18,AG18),IF(OR(W18=1,V18&gt;0),AH18,IF(AA18=1,IF(AND(AE18+AQ18&gt;480,AE18&gt;=AQ18),AH18,0),IF(Z18=1,IF(AND(AR18+AE18&gt;480,AE18&gt;AR18),AH18,0),IF(AE18&gt;480,AH18,0))))))</f>
      </c>
      <c r="AK18" s="1">
        <f>MIN(AJ18,AM18)</f>
      </c>
      <c r="AL18" s="1">
        <f>IF(OR(AD18=0,AF18&lt;&gt;""),"",IF(AND(W18=0,V18=0,AA18=0,Z18=0,AE18&lt;=480),"nicht mehr als 8 Std.; ","")&amp;IF(AA18=1,IF(AJ18&gt;0,"über Mitternacht, zusammen "&amp;TEXT((AE18+AQ18)/1440,"[h]:mm")&amp;" Std.; ",IF(AE18+AQ18&gt;480,"über Mitternacht: Pauschale am Folgetag; ","über Mitternacht, zusammen nicht mehr als 8 Std.; ")),"")&amp;IF(Z18=1,IF(AJ18&gt;0,"über Mitternacht, zusammen "&amp;TEXT((AR18+AE18)/1440,"[h]:mm")&amp;" Std.; ",IF(AR18+AE18&gt;480,"über Mitternacht: Pauschale am Vortag; ","über Mitternacht, zusammen nicht mehr als 8 Std.; ")),"")&amp;IF(AND(W18=1,V18&gt;0,OR(T18=1,U18=1)),"zwischendurch zu Hause: An- und Abreisetag; ","")&amp;IF(AND(W18=1,V18=0,T18=1),"Beginn leer lassen: unterwegs seit dem Vortag; ","")&amp;IF(AND(W18=0,V18&gt;0,U18=1),"Ende leer lassen: Übernachtung; ","")&amp;IF(AND(AJ18&gt;0,AM18&gt;AJ18),"Kürzung auf die Pauschale begrenzt; ",""))</f>
      </c>
      <c r="AM18" s="1">
        <f>ROUND(AG18*(IF(H18&lt;&gt;"",0.2,0)+IF(I18&lt;&gt;"",0.4,0)+IF(J18&lt;&gt;"",0.4,0)),2)</f>
      </c>
      <c r="AN18" s="1">
        <f>IF($A19="",'Mai'!$T$5,T19)</f>
      </c>
      <c r="AO18" s="1">
        <f>IF($A19="",'Mai'!$U$5,U19)</f>
      </c>
      <c r="AP18" s="1">
        <f>IF($A19="",'Mai'!$V$5,V19)</f>
      </c>
      <c r="AQ18" s="1">
        <f>IF($A19="",'Mai'!$AE$5,AE19)</f>
      </c>
      <c r="AR18" s="1">
        <f>AE17</f>
      </c>
      <c r="AS18" s="1">
        <f>X17</f>
      </c>
      <c r="AT18" s="1">
        <f>U17</f>
      </c>
      <c r="AU18" s="1">
        <f>V17</f>
      </c>
    </row>
    <row r="19" spans="1:47" x14ac:dyDescent="0.25">
      <c r="A19" s="17">
        <f>IF(MONTH(DATE(Jahr,4,15))=4,DATE(Jahr,4,15),"")</f>
      </c>
      <c r="B19" s="13">
        <f>IF(A19="","",CHOOSE(WEEKDAY(A19,2),"Mo","Di","Mi","Do","Fr","Sa","So"))</f>
      </c>
      <c r="C19" s="18"/>
      <c r="D19" s="18"/>
      <c r="E19" s="7"/>
      <c r="F19" s="7"/>
      <c r="G19" s="7"/>
      <c r="H19" s="19"/>
      <c r="I19" s="19"/>
      <c r="J19" s="19"/>
      <c r="K19" s="9"/>
      <c r="L19" s="20">
        <f>IF(OR(AD19=0,AF19&lt;&gt;"",AND(W19=1,V19&gt;0,OR(T19=1,U19=1))),"",AE19/1440)</f>
      </c>
      <c r="M19" s="21">
        <f>IF(OR(AD19=0,AF19&lt;&gt;""),"",AJ19)</f>
      </c>
      <c r="N19" s="21">
        <f>IF(AK19=0,"",AK19)</f>
      </c>
      <c r="O19" s="21">
        <f>IF(OR(AD19=0,AF19&lt;&gt;""),"",AJ19-AK19)</f>
      </c>
      <c r="P19" s="21">
        <f>IF(AND(AD19=1,AF19="",V19=2),AI19,"")</f>
      </c>
      <c r="Q19" s="21">
        <f>IF(OR($A19="",N(K19)=0),"",ROUND(K19*KmSatz,2))</f>
      </c>
      <c r="R19" s="22">
        <f>IF(AF19&amp;AL19="","",LEFT(AF19&amp;AL19,LEN(AF19&amp;AL19)-2))</f>
      </c>
      <c r="S19" s="1"/>
      <c r="T19" s="1">
        <f>IF(AND($A19&lt;&gt;"",ISNUMBER(C19)),1,0)</f>
      </c>
      <c r="U19" s="1">
        <f>IF(AND($A19&lt;&gt;"",ISNUMBER(D19)),1,0)</f>
      </c>
      <c r="V19" s="1">
        <f>IF($A19="",0,IF(E19="ja",1,IF(E19="Pauschale",2,0)))</f>
      </c>
      <c r="W19" s="1">
        <f>IF($A19="",0,IF(AU19&gt;0,1,0))</f>
      </c>
      <c r="X19" s="1">
        <f>IF(AND(T19=1,W19=0),1,0)</f>
      </c>
      <c r="Y19" s="1">
        <f>IF(AND(AS19=1,AT19=0,AU19=0),1,0)</f>
      </c>
      <c r="Z19" s="1">
        <f>IF(AND(Y19=1,T19=0,U19=1,V19=0),1,0)</f>
      </c>
      <c r="AA19" s="1">
        <f>IF(AND(X19=1,U19=0,V19=0,AN19=0,AO19=1,AP19=0),1,0)</f>
      </c>
      <c r="AB19" s="1">
        <f>IF(OR(W19=1,Z19=1),0,IF(T19=1,C19,0))</f>
      </c>
      <c r="AC19" s="1">
        <f>IF(OR(V19&gt;0,AA19=1),1,IF(U19=1,D19,1))</f>
      </c>
      <c r="AD19" s="1">
        <f>IF($A19="",0,IF(OR(T19=1,U19=1,V19&gt;0,W19=1),1,0))</f>
      </c>
      <c r="AE19" s="1">
        <f>IF(AD19=0,0,ROUND((AC19-AB19)*1440,0))</f>
      </c>
      <c r="AF19" s="1">
        <f>IF(AD19=0,"",IF(AND(F19&lt;&gt;"",ISNA(MATCH(F19,PauschLand,0))),"Land nicht in der Liste; ","")&amp;IF(AND(T19=0,W19=0,Z19=0),"Beginn fehlt; ","")&amp;IF(AND(V19=0,U19=0,AA19=0),"Ende fehlt; ","")&amp;IF(AND(X19=1,U19=1,V19=0,N(D19)&lt;N(C19)),"Ende vor Beginn (über Mitternacht: Ende in die Zeile des Folgetags); ",""))</f>
      </c>
      <c r="AG19" s="1">
        <f>IF(AD19=0,0,IFERROR(VLOOKUP(IF(F19="","Deutschland",F19),PauschTab,2,FALSE),0))</f>
      </c>
      <c r="AH19" s="1">
        <f>IF(AD19=0,0,IFERROR(VLOOKUP(IF(F19="","Deutschland",F19),PauschTab,3,FALSE),0))</f>
      </c>
      <c r="AI19" s="1">
        <f>IF(AD19=0,0,IFERROR(VLOOKUP(IF(F19="","Deutschland",F19),PauschTab,4,FALSE),0))</f>
      </c>
      <c r="AJ19" s="1">
        <f>IF(OR(AD19=0,AF19&lt;&gt;""),0,IF(AND(W19=1,V19&gt;0),IF(OR(T19=1,U19=1),AH19,AG19),IF(OR(W19=1,V19&gt;0),AH19,IF(AA19=1,IF(AND(AE19+AQ19&gt;480,AE19&gt;=AQ19),AH19,0),IF(Z19=1,IF(AND(AR19+AE19&gt;480,AE19&gt;AR19),AH19,0),IF(AE19&gt;480,AH19,0))))))</f>
      </c>
      <c r="AK19" s="1">
        <f>MIN(AJ19,AM19)</f>
      </c>
      <c r="AL19" s="1">
        <f>IF(OR(AD19=0,AF19&lt;&gt;""),"",IF(AND(W19=0,V19=0,AA19=0,Z19=0,AE19&lt;=480),"nicht mehr als 8 Std.; ","")&amp;IF(AA19=1,IF(AJ19&gt;0,"über Mitternacht, zusammen "&amp;TEXT((AE19+AQ19)/1440,"[h]:mm")&amp;" Std.; ",IF(AE19+AQ19&gt;480,"über Mitternacht: Pauschale am Folgetag; ","über Mitternacht, zusammen nicht mehr als 8 Std.; ")),"")&amp;IF(Z19=1,IF(AJ19&gt;0,"über Mitternacht, zusammen "&amp;TEXT((AR19+AE19)/1440,"[h]:mm")&amp;" Std.; ",IF(AR19+AE19&gt;480,"über Mitternacht: Pauschale am Vortag; ","über Mitternacht, zusammen nicht mehr als 8 Std.; ")),"")&amp;IF(AND(W19=1,V19&gt;0,OR(T19=1,U19=1)),"zwischendurch zu Hause: An- und Abreisetag; ","")&amp;IF(AND(W19=1,V19=0,T19=1),"Beginn leer lassen: unterwegs seit dem Vortag; ","")&amp;IF(AND(W19=0,V19&gt;0,U19=1),"Ende leer lassen: Übernachtung; ","")&amp;IF(AND(AJ19&gt;0,AM19&gt;AJ19),"Kürzung auf die Pauschale begrenzt; ",""))</f>
      </c>
      <c r="AM19" s="1">
        <f>ROUND(AG19*(IF(H19&lt;&gt;"",0.2,0)+IF(I19&lt;&gt;"",0.4,0)+IF(J19&lt;&gt;"",0.4,0)),2)</f>
      </c>
      <c r="AN19" s="1">
        <f>IF($A20="",'Mai'!$T$5,T20)</f>
      </c>
      <c r="AO19" s="1">
        <f>IF($A20="",'Mai'!$U$5,U20)</f>
      </c>
      <c r="AP19" s="1">
        <f>IF($A20="",'Mai'!$V$5,V20)</f>
      </c>
      <c r="AQ19" s="1">
        <f>IF($A20="",'Mai'!$AE$5,AE20)</f>
      </c>
      <c r="AR19" s="1">
        <f>AE18</f>
      </c>
      <c r="AS19" s="1">
        <f>X18</f>
      </c>
      <c r="AT19" s="1">
        <f>U18</f>
      </c>
      <c r="AU19" s="1">
        <f>V18</f>
      </c>
    </row>
    <row r="20" spans="1:47" x14ac:dyDescent="0.25">
      <c r="A20" s="17">
        <f>IF(MONTH(DATE(Jahr,4,16))=4,DATE(Jahr,4,16),"")</f>
      </c>
      <c r="B20" s="13">
        <f>IF(A20="","",CHOOSE(WEEKDAY(A20,2),"Mo","Di","Mi","Do","Fr","Sa","So"))</f>
      </c>
      <c r="C20" s="18"/>
      <c r="D20" s="18"/>
      <c r="E20" s="7"/>
      <c r="F20" s="7"/>
      <c r="G20" s="7"/>
      <c r="H20" s="19"/>
      <c r="I20" s="19"/>
      <c r="J20" s="19"/>
      <c r="K20" s="9"/>
      <c r="L20" s="20">
        <f>IF(OR(AD20=0,AF20&lt;&gt;"",AND(W20=1,V20&gt;0,OR(T20=1,U20=1))),"",AE20/1440)</f>
      </c>
      <c r="M20" s="21">
        <f>IF(OR(AD20=0,AF20&lt;&gt;""),"",AJ20)</f>
      </c>
      <c r="N20" s="21">
        <f>IF(AK20=0,"",AK20)</f>
      </c>
      <c r="O20" s="21">
        <f>IF(OR(AD20=0,AF20&lt;&gt;""),"",AJ20-AK20)</f>
      </c>
      <c r="P20" s="21">
        <f>IF(AND(AD20=1,AF20="",V20=2),AI20,"")</f>
      </c>
      <c r="Q20" s="21">
        <f>IF(OR($A20="",N(K20)=0),"",ROUND(K20*KmSatz,2))</f>
      </c>
      <c r="R20" s="22">
        <f>IF(AF20&amp;AL20="","",LEFT(AF20&amp;AL20,LEN(AF20&amp;AL20)-2))</f>
      </c>
      <c r="S20" s="1"/>
      <c r="T20" s="1">
        <f>IF(AND($A20&lt;&gt;"",ISNUMBER(C20)),1,0)</f>
      </c>
      <c r="U20" s="1">
        <f>IF(AND($A20&lt;&gt;"",ISNUMBER(D20)),1,0)</f>
      </c>
      <c r="V20" s="1">
        <f>IF($A20="",0,IF(E20="ja",1,IF(E20="Pauschale",2,0)))</f>
      </c>
      <c r="W20" s="1">
        <f>IF($A20="",0,IF(AU20&gt;0,1,0))</f>
      </c>
      <c r="X20" s="1">
        <f>IF(AND(T20=1,W20=0),1,0)</f>
      </c>
      <c r="Y20" s="1">
        <f>IF(AND(AS20=1,AT20=0,AU20=0),1,0)</f>
      </c>
      <c r="Z20" s="1">
        <f>IF(AND(Y20=1,T20=0,U20=1,V20=0),1,0)</f>
      </c>
      <c r="AA20" s="1">
        <f>IF(AND(X20=1,U20=0,V20=0,AN20=0,AO20=1,AP20=0),1,0)</f>
      </c>
      <c r="AB20" s="1">
        <f>IF(OR(W20=1,Z20=1),0,IF(T20=1,C20,0))</f>
      </c>
      <c r="AC20" s="1">
        <f>IF(OR(V20&gt;0,AA20=1),1,IF(U20=1,D20,1))</f>
      </c>
      <c r="AD20" s="1">
        <f>IF($A20="",0,IF(OR(T20=1,U20=1,V20&gt;0,W20=1),1,0))</f>
      </c>
      <c r="AE20" s="1">
        <f>IF(AD20=0,0,ROUND((AC20-AB20)*1440,0))</f>
      </c>
      <c r="AF20" s="1">
        <f>IF(AD20=0,"",IF(AND(F20&lt;&gt;"",ISNA(MATCH(F20,PauschLand,0))),"Land nicht in der Liste; ","")&amp;IF(AND(T20=0,W20=0,Z20=0),"Beginn fehlt; ","")&amp;IF(AND(V20=0,U20=0,AA20=0),"Ende fehlt; ","")&amp;IF(AND(X20=1,U20=1,V20=0,N(D20)&lt;N(C20)),"Ende vor Beginn (über Mitternacht: Ende in die Zeile des Folgetags); ",""))</f>
      </c>
      <c r="AG20" s="1">
        <f>IF(AD20=0,0,IFERROR(VLOOKUP(IF(F20="","Deutschland",F20),PauschTab,2,FALSE),0))</f>
      </c>
      <c r="AH20" s="1">
        <f>IF(AD20=0,0,IFERROR(VLOOKUP(IF(F20="","Deutschland",F20),PauschTab,3,FALSE),0))</f>
      </c>
      <c r="AI20" s="1">
        <f>IF(AD20=0,0,IFERROR(VLOOKUP(IF(F20="","Deutschland",F20),PauschTab,4,FALSE),0))</f>
      </c>
      <c r="AJ20" s="1">
        <f>IF(OR(AD20=0,AF20&lt;&gt;""),0,IF(AND(W20=1,V20&gt;0),IF(OR(T20=1,U20=1),AH20,AG20),IF(OR(W20=1,V20&gt;0),AH20,IF(AA20=1,IF(AND(AE20+AQ20&gt;480,AE20&gt;=AQ20),AH20,0),IF(Z20=1,IF(AND(AR20+AE20&gt;480,AE20&gt;AR20),AH20,0),IF(AE20&gt;480,AH20,0))))))</f>
      </c>
      <c r="AK20" s="1">
        <f>MIN(AJ20,AM20)</f>
      </c>
      <c r="AL20" s="1">
        <f>IF(OR(AD20=0,AF20&lt;&gt;""),"",IF(AND(W20=0,V20=0,AA20=0,Z20=0,AE20&lt;=480),"nicht mehr als 8 Std.; ","")&amp;IF(AA20=1,IF(AJ20&gt;0,"über Mitternacht, zusammen "&amp;TEXT((AE20+AQ20)/1440,"[h]:mm")&amp;" Std.; ",IF(AE20+AQ20&gt;480,"über Mitternacht: Pauschale am Folgetag; ","über Mitternacht, zusammen nicht mehr als 8 Std.; ")),"")&amp;IF(Z20=1,IF(AJ20&gt;0,"über Mitternacht, zusammen "&amp;TEXT((AR20+AE20)/1440,"[h]:mm")&amp;" Std.; ",IF(AR20+AE20&gt;480,"über Mitternacht: Pauschale am Vortag; ","über Mitternacht, zusammen nicht mehr als 8 Std.; ")),"")&amp;IF(AND(W20=1,V20&gt;0,OR(T20=1,U20=1)),"zwischendurch zu Hause: An- und Abreisetag; ","")&amp;IF(AND(W20=1,V20=0,T20=1),"Beginn leer lassen: unterwegs seit dem Vortag; ","")&amp;IF(AND(W20=0,V20&gt;0,U20=1),"Ende leer lassen: Übernachtung; ","")&amp;IF(AND(AJ20&gt;0,AM20&gt;AJ20),"Kürzung auf die Pauschale begrenzt; ",""))</f>
      </c>
      <c r="AM20" s="1">
        <f>ROUND(AG20*(IF(H20&lt;&gt;"",0.2,0)+IF(I20&lt;&gt;"",0.4,0)+IF(J20&lt;&gt;"",0.4,0)),2)</f>
      </c>
      <c r="AN20" s="1">
        <f>IF($A21="",'Mai'!$T$5,T21)</f>
      </c>
      <c r="AO20" s="1">
        <f>IF($A21="",'Mai'!$U$5,U21)</f>
      </c>
      <c r="AP20" s="1">
        <f>IF($A21="",'Mai'!$V$5,V21)</f>
      </c>
      <c r="AQ20" s="1">
        <f>IF($A21="",'Mai'!$AE$5,AE21)</f>
      </c>
      <c r="AR20" s="1">
        <f>AE19</f>
      </c>
      <c r="AS20" s="1">
        <f>X19</f>
      </c>
      <c r="AT20" s="1">
        <f>U19</f>
      </c>
      <c r="AU20" s="1">
        <f>V19</f>
      </c>
    </row>
    <row r="21" spans="1:47" x14ac:dyDescent="0.25">
      <c r="A21" s="17">
        <f>IF(MONTH(DATE(Jahr,4,17))=4,DATE(Jahr,4,17),"")</f>
      </c>
      <c r="B21" s="13">
        <f>IF(A21="","",CHOOSE(WEEKDAY(A21,2),"Mo","Di","Mi","Do","Fr","Sa","So"))</f>
      </c>
      <c r="C21" s="18"/>
      <c r="D21" s="18"/>
      <c r="E21" s="7"/>
      <c r="F21" s="7"/>
      <c r="G21" s="7"/>
      <c r="H21" s="19"/>
      <c r="I21" s="19"/>
      <c r="J21" s="19"/>
      <c r="K21" s="9"/>
      <c r="L21" s="20">
        <f>IF(OR(AD21=0,AF21&lt;&gt;"",AND(W21=1,V21&gt;0,OR(T21=1,U21=1))),"",AE21/1440)</f>
      </c>
      <c r="M21" s="21">
        <f>IF(OR(AD21=0,AF21&lt;&gt;""),"",AJ21)</f>
      </c>
      <c r="N21" s="21">
        <f>IF(AK21=0,"",AK21)</f>
      </c>
      <c r="O21" s="21">
        <f>IF(OR(AD21=0,AF21&lt;&gt;""),"",AJ21-AK21)</f>
      </c>
      <c r="P21" s="21">
        <f>IF(AND(AD21=1,AF21="",V21=2),AI21,"")</f>
      </c>
      <c r="Q21" s="21">
        <f>IF(OR($A21="",N(K21)=0),"",ROUND(K21*KmSatz,2))</f>
      </c>
      <c r="R21" s="22">
        <f>IF(AF21&amp;AL21="","",LEFT(AF21&amp;AL21,LEN(AF21&amp;AL21)-2))</f>
      </c>
      <c r="S21" s="1"/>
      <c r="T21" s="1">
        <f>IF(AND($A21&lt;&gt;"",ISNUMBER(C21)),1,0)</f>
      </c>
      <c r="U21" s="1">
        <f>IF(AND($A21&lt;&gt;"",ISNUMBER(D21)),1,0)</f>
      </c>
      <c r="V21" s="1">
        <f>IF($A21="",0,IF(E21="ja",1,IF(E21="Pauschale",2,0)))</f>
      </c>
      <c r="W21" s="1">
        <f>IF($A21="",0,IF(AU21&gt;0,1,0))</f>
      </c>
      <c r="X21" s="1">
        <f>IF(AND(T21=1,W21=0),1,0)</f>
      </c>
      <c r="Y21" s="1">
        <f>IF(AND(AS21=1,AT21=0,AU21=0),1,0)</f>
      </c>
      <c r="Z21" s="1">
        <f>IF(AND(Y21=1,T21=0,U21=1,V21=0),1,0)</f>
      </c>
      <c r="AA21" s="1">
        <f>IF(AND(X21=1,U21=0,V21=0,AN21=0,AO21=1,AP21=0),1,0)</f>
      </c>
      <c r="AB21" s="1">
        <f>IF(OR(W21=1,Z21=1),0,IF(T21=1,C21,0))</f>
      </c>
      <c r="AC21" s="1">
        <f>IF(OR(V21&gt;0,AA21=1),1,IF(U21=1,D21,1))</f>
      </c>
      <c r="AD21" s="1">
        <f>IF($A21="",0,IF(OR(T21=1,U21=1,V21&gt;0,W21=1),1,0))</f>
      </c>
      <c r="AE21" s="1">
        <f>IF(AD21=0,0,ROUND((AC21-AB21)*1440,0))</f>
      </c>
      <c r="AF21" s="1">
        <f>IF(AD21=0,"",IF(AND(F21&lt;&gt;"",ISNA(MATCH(F21,PauschLand,0))),"Land nicht in der Liste; ","")&amp;IF(AND(T21=0,W21=0,Z21=0),"Beginn fehlt; ","")&amp;IF(AND(V21=0,U21=0,AA21=0),"Ende fehlt; ","")&amp;IF(AND(X21=1,U21=1,V21=0,N(D21)&lt;N(C21)),"Ende vor Beginn (über Mitternacht: Ende in die Zeile des Folgetags); ",""))</f>
      </c>
      <c r="AG21" s="1">
        <f>IF(AD21=0,0,IFERROR(VLOOKUP(IF(F21="","Deutschland",F21),PauschTab,2,FALSE),0))</f>
      </c>
      <c r="AH21" s="1">
        <f>IF(AD21=0,0,IFERROR(VLOOKUP(IF(F21="","Deutschland",F21),PauschTab,3,FALSE),0))</f>
      </c>
      <c r="AI21" s="1">
        <f>IF(AD21=0,0,IFERROR(VLOOKUP(IF(F21="","Deutschland",F21),PauschTab,4,FALSE),0))</f>
      </c>
      <c r="AJ21" s="1">
        <f>IF(OR(AD21=0,AF21&lt;&gt;""),0,IF(AND(W21=1,V21&gt;0),IF(OR(T21=1,U21=1),AH21,AG21),IF(OR(W21=1,V21&gt;0),AH21,IF(AA21=1,IF(AND(AE21+AQ21&gt;480,AE21&gt;=AQ21),AH21,0),IF(Z21=1,IF(AND(AR21+AE21&gt;480,AE21&gt;AR21),AH21,0),IF(AE21&gt;480,AH21,0))))))</f>
      </c>
      <c r="AK21" s="1">
        <f>MIN(AJ21,AM21)</f>
      </c>
      <c r="AL21" s="1">
        <f>IF(OR(AD21=0,AF21&lt;&gt;""),"",IF(AND(W21=0,V21=0,AA21=0,Z21=0,AE21&lt;=480),"nicht mehr als 8 Std.; ","")&amp;IF(AA21=1,IF(AJ21&gt;0,"über Mitternacht, zusammen "&amp;TEXT((AE21+AQ21)/1440,"[h]:mm")&amp;" Std.; ",IF(AE21+AQ21&gt;480,"über Mitternacht: Pauschale am Folgetag; ","über Mitternacht, zusammen nicht mehr als 8 Std.; ")),"")&amp;IF(Z21=1,IF(AJ21&gt;0,"über Mitternacht, zusammen "&amp;TEXT((AR21+AE21)/1440,"[h]:mm")&amp;" Std.; ",IF(AR21+AE21&gt;480,"über Mitternacht: Pauschale am Vortag; ","über Mitternacht, zusammen nicht mehr als 8 Std.; ")),"")&amp;IF(AND(W21=1,V21&gt;0,OR(T21=1,U21=1)),"zwischendurch zu Hause: An- und Abreisetag; ","")&amp;IF(AND(W21=1,V21=0,T21=1),"Beginn leer lassen: unterwegs seit dem Vortag; ","")&amp;IF(AND(W21=0,V21&gt;0,U21=1),"Ende leer lassen: Übernachtung; ","")&amp;IF(AND(AJ21&gt;0,AM21&gt;AJ21),"Kürzung auf die Pauschale begrenzt; ",""))</f>
      </c>
      <c r="AM21" s="1">
        <f>ROUND(AG21*(IF(H21&lt;&gt;"",0.2,0)+IF(I21&lt;&gt;"",0.4,0)+IF(J21&lt;&gt;"",0.4,0)),2)</f>
      </c>
      <c r="AN21" s="1">
        <f>IF($A22="",'Mai'!$T$5,T22)</f>
      </c>
      <c r="AO21" s="1">
        <f>IF($A22="",'Mai'!$U$5,U22)</f>
      </c>
      <c r="AP21" s="1">
        <f>IF($A22="",'Mai'!$V$5,V22)</f>
      </c>
      <c r="AQ21" s="1">
        <f>IF($A22="",'Mai'!$AE$5,AE22)</f>
      </c>
      <c r="AR21" s="1">
        <f>AE20</f>
      </c>
      <c r="AS21" s="1">
        <f>X20</f>
      </c>
      <c r="AT21" s="1">
        <f>U20</f>
      </c>
      <c r="AU21" s="1">
        <f>V20</f>
      </c>
    </row>
    <row r="22" spans="1:47" x14ac:dyDescent="0.25">
      <c r="A22" s="17">
        <f>IF(MONTH(DATE(Jahr,4,18))=4,DATE(Jahr,4,18),"")</f>
      </c>
      <c r="B22" s="13">
        <f>IF(A22="","",CHOOSE(WEEKDAY(A22,2),"Mo","Di","Mi","Do","Fr","Sa","So"))</f>
      </c>
      <c r="C22" s="18"/>
      <c r="D22" s="18"/>
      <c r="E22" s="7"/>
      <c r="F22" s="7"/>
      <c r="G22" s="7"/>
      <c r="H22" s="19"/>
      <c r="I22" s="19"/>
      <c r="J22" s="19"/>
      <c r="K22" s="9"/>
      <c r="L22" s="20">
        <f>IF(OR(AD22=0,AF22&lt;&gt;"",AND(W22=1,V22&gt;0,OR(T22=1,U22=1))),"",AE22/1440)</f>
      </c>
      <c r="M22" s="21">
        <f>IF(OR(AD22=0,AF22&lt;&gt;""),"",AJ22)</f>
      </c>
      <c r="N22" s="21">
        <f>IF(AK22=0,"",AK22)</f>
      </c>
      <c r="O22" s="21">
        <f>IF(OR(AD22=0,AF22&lt;&gt;""),"",AJ22-AK22)</f>
      </c>
      <c r="P22" s="21">
        <f>IF(AND(AD22=1,AF22="",V22=2),AI22,"")</f>
      </c>
      <c r="Q22" s="21">
        <f>IF(OR($A22="",N(K22)=0),"",ROUND(K22*KmSatz,2))</f>
      </c>
      <c r="R22" s="22">
        <f>IF(AF22&amp;AL22="","",LEFT(AF22&amp;AL22,LEN(AF22&amp;AL22)-2))</f>
      </c>
      <c r="S22" s="1"/>
      <c r="T22" s="1">
        <f>IF(AND($A22&lt;&gt;"",ISNUMBER(C22)),1,0)</f>
      </c>
      <c r="U22" s="1">
        <f>IF(AND($A22&lt;&gt;"",ISNUMBER(D22)),1,0)</f>
      </c>
      <c r="V22" s="1">
        <f>IF($A22="",0,IF(E22="ja",1,IF(E22="Pauschale",2,0)))</f>
      </c>
      <c r="W22" s="1">
        <f>IF($A22="",0,IF(AU22&gt;0,1,0))</f>
      </c>
      <c r="X22" s="1">
        <f>IF(AND(T22=1,W22=0),1,0)</f>
      </c>
      <c r="Y22" s="1">
        <f>IF(AND(AS22=1,AT22=0,AU22=0),1,0)</f>
      </c>
      <c r="Z22" s="1">
        <f>IF(AND(Y22=1,T22=0,U22=1,V22=0),1,0)</f>
      </c>
      <c r="AA22" s="1">
        <f>IF(AND(X22=1,U22=0,V22=0,AN22=0,AO22=1,AP22=0),1,0)</f>
      </c>
      <c r="AB22" s="1">
        <f>IF(OR(W22=1,Z22=1),0,IF(T22=1,C22,0))</f>
      </c>
      <c r="AC22" s="1">
        <f>IF(OR(V22&gt;0,AA22=1),1,IF(U22=1,D22,1))</f>
      </c>
      <c r="AD22" s="1">
        <f>IF($A22="",0,IF(OR(T22=1,U22=1,V22&gt;0,W22=1),1,0))</f>
      </c>
      <c r="AE22" s="1">
        <f>IF(AD22=0,0,ROUND((AC22-AB22)*1440,0))</f>
      </c>
      <c r="AF22" s="1">
        <f>IF(AD22=0,"",IF(AND(F22&lt;&gt;"",ISNA(MATCH(F22,PauschLand,0))),"Land nicht in der Liste; ","")&amp;IF(AND(T22=0,W22=0,Z22=0),"Beginn fehlt; ","")&amp;IF(AND(V22=0,U22=0,AA22=0),"Ende fehlt; ","")&amp;IF(AND(X22=1,U22=1,V22=0,N(D22)&lt;N(C22)),"Ende vor Beginn (über Mitternacht: Ende in die Zeile des Folgetags); ",""))</f>
      </c>
      <c r="AG22" s="1">
        <f>IF(AD22=0,0,IFERROR(VLOOKUP(IF(F22="","Deutschland",F22),PauschTab,2,FALSE),0))</f>
      </c>
      <c r="AH22" s="1">
        <f>IF(AD22=0,0,IFERROR(VLOOKUP(IF(F22="","Deutschland",F22),PauschTab,3,FALSE),0))</f>
      </c>
      <c r="AI22" s="1">
        <f>IF(AD22=0,0,IFERROR(VLOOKUP(IF(F22="","Deutschland",F22),PauschTab,4,FALSE),0))</f>
      </c>
      <c r="AJ22" s="1">
        <f>IF(OR(AD22=0,AF22&lt;&gt;""),0,IF(AND(W22=1,V22&gt;0),IF(OR(T22=1,U22=1),AH22,AG22),IF(OR(W22=1,V22&gt;0),AH22,IF(AA22=1,IF(AND(AE22+AQ22&gt;480,AE22&gt;=AQ22),AH22,0),IF(Z22=1,IF(AND(AR22+AE22&gt;480,AE22&gt;AR22),AH22,0),IF(AE22&gt;480,AH22,0))))))</f>
      </c>
      <c r="AK22" s="1">
        <f>MIN(AJ22,AM22)</f>
      </c>
      <c r="AL22" s="1">
        <f>IF(OR(AD22=0,AF22&lt;&gt;""),"",IF(AND(W22=0,V22=0,AA22=0,Z22=0,AE22&lt;=480),"nicht mehr als 8 Std.; ","")&amp;IF(AA22=1,IF(AJ22&gt;0,"über Mitternacht, zusammen "&amp;TEXT((AE22+AQ22)/1440,"[h]:mm")&amp;" Std.; ",IF(AE22+AQ22&gt;480,"über Mitternacht: Pauschale am Folgetag; ","über Mitternacht, zusammen nicht mehr als 8 Std.; ")),"")&amp;IF(Z22=1,IF(AJ22&gt;0,"über Mitternacht, zusammen "&amp;TEXT((AR22+AE22)/1440,"[h]:mm")&amp;" Std.; ",IF(AR22+AE22&gt;480,"über Mitternacht: Pauschale am Vortag; ","über Mitternacht, zusammen nicht mehr als 8 Std.; ")),"")&amp;IF(AND(W22=1,V22&gt;0,OR(T22=1,U22=1)),"zwischendurch zu Hause: An- und Abreisetag; ","")&amp;IF(AND(W22=1,V22=0,T22=1),"Beginn leer lassen: unterwegs seit dem Vortag; ","")&amp;IF(AND(W22=0,V22&gt;0,U22=1),"Ende leer lassen: Übernachtung; ","")&amp;IF(AND(AJ22&gt;0,AM22&gt;AJ22),"Kürzung auf die Pauschale begrenzt; ",""))</f>
      </c>
      <c r="AM22" s="1">
        <f>ROUND(AG22*(IF(H22&lt;&gt;"",0.2,0)+IF(I22&lt;&gt;"",0.4,0)+IF(J22&lt;&gt;"",0.4,0)),2)</f>
      </c>
      <c r="AN22" s="1">
        <f>IF($A23="",'Mai'!$T$5,T23)</f>
      </c>
      <c r="AO22" s="1">
        <f>IF($A23="",'Mai'!$U$5,U23)</f>
      </c>
      <c r="AP22" s="1">
        <f>IF($A23="",'Mai'!$V$5,V23)</f>
      </c>
      <c r="AQ22" s="1">
        <f>IF($A23="",'Mai'!$AE$5,AE23)</f>
      </c>
      <c r="AR22" s="1">
        <f>AE21</f>
      </c>
      <c r="AS22" s="1">
        <f>X21</f>
      </c>
      <c r="AT22" s="1">
        <f>U21</f>
      </c>
      <c r="AU22" s="1">
        <f>V21</f>
      </c>
    </row>
    <row r="23" spans="1:47" x14ac:dyDescent="0.25">
      <c r="A23" s="17">
        <f>IF(MONTH(DATE(Jahr,4,19))=4,DATE(Jahr,4,19),"")</f>
      </c>
      <c r="B23" s="13">
        <f>IF(A23="","",CHOOSE(WEEKDAY(A23,2),"Mo","Di","Mi","Do","Fr","Sa","So"))</f>
      </c>
      <c r="C23" s="18"/>
      <c r="D23" s="18"/>
      <c r="E23" s="7"/>
      <c r="F23" s="7"/>
      <c r="G23" s="7"/>
      <c r="H23" s="19"/>
      <c r="I23" s="19"/>
      <c r="J23" s="19"/>
      <c r="K23" s="9"/>
      <c r="L23" s="20">
        <f>IF(OR(AD23=0,AF23&lt;&gt;"",AND(W23=1,V23&gt;0,OR(T23=1,U23=1))),"",AE23/1440)</f>
      </c>
      <c r="M23" s="21">
        <f>IF(OR(AD23=0,AF23&lt;&gt;""),"",AJ23)</f>
      </c>
      <c r="N23" s="21">
        <f>IF(AK23=0,"",AK23)</f>
      </c>
      <c r="O23" s="21">
        <f>IF(OR(AD23=0,AF23&lt;&gt;""),"",AJ23-AK23)</f>
      </c>
      <c r="P23" s="21">
        <f>IF(AND(AD23=1,AF23="",V23=2),AI23,"")</f>
      </c>
      <c r="Q23" s="21">
        <f>IF(OR($A23="",N(K23)=0),"",ROUND(K23*KmSatz,2))</f>
      </c>
      <c r="R23" s="22">
        <f>IF(AF23&amp;AL23="","",LEFT(AF23&amp;AL23,LEN(AF23&amp;AL23)-2))</f>
      </c>
      <c r="S23" s="1"/>
      <c r="T23" s="1">
        <f>IF(AND($A23&lt;&gt;"",ISNUMBER(C23)),1,0)</f>
      </c>
      <c r="U23" s="1">
        <f>IF(AND($A23&lt;&gt;"",ISNUMBER(D23)),1,0)</f>
      </c>
      <c r="V23" s="1">
        <f>IF($A23="",0,IF(E23="ja",1,IF(E23="Pauschale",2,0)))</f>
      </c>
      <c r="W23" s="1">
        <f>IF($A23="",0,IF(AU23&gt;0,1,0))</f>
      </c>
      <c r="X23" s="1">
        <f>IF(AND(T23=1,W23=0),1,0)</f>
      </c>
      <c r="Y23" s="1">
        <f>IF(AND(AS23=1,AT23=0,AU23=0),1,0)</f>
      </c>
      <c r="Z23" s="1">
        <f>IF(AND(Y23=1,T23=0,U23=1,V23=0),1,0)</f>
      </c>
      <c r="AA23" s="1">
        <f>IF(AND(X23=1,U23=0,V23=0,AN23=0,AO23=1,AP23=0),1,0)</f>
      </c>
      <c r="AB23" s="1">
        <f>IF(OR(W23=1,Z23=1),0,IF(T23=1,C23,0))</f>
      </c>
      <c r="AC23" s="1">
        <f>IF(OR(V23&gt;0,AA23=1),1,IF(U23=1,D23,1))</f>
      </c>
      <c r="AD23" s="1">
        <f>IF($A23="",0,IF(OR(T23=1,U23=1,V23&gt;0,W23=1),1,0))</f>
      </c>
      <c r="AE23" s="1">
        <f>IF(AD23=0,0,ROUND((AC23-AB23)*1440,0))</f>
      </c>
      <c r="AF23" s="1">
        <f>IF(AD23=0,"",IF(AND(F23&lt;&gt;"",ISNA(MATCH(F23,PauschLand,0))),"Land nicht in der Liste; ","")&amp;IF(AND(T23=0,W23=0,Z23=0),"Beginn fehlt; ","")&amp;IF(AND(V23=0,U23=0,AA23=0),"Ende fehlt; ","")&amp;IF(AND(X23=1,U23=1,V23=0,N(D23)&lt;N(C23)),"Ende vor Beginn (über Mitternacht: Ende in die Zeile des Folgetags); ",""))</f>
      </c>
      <c r="AG23" s="1">
        <f>IF(AD23=0,0,IFERROR(VLOOKUP(IF(F23="","Deutschland",F23),PauschTab,2,FALSE),0))</f>
      </c>
      <c r="AH23" s="1">
        <f>IF(AD23=0,0,IFERROR(VLOOKUP(IF(F23="","Deutschland",F23),PauschTab,3,FALSE),0))</f>
      </c>
      <c r="AI23" s="1">
        <f>IF(AD23=0,0,IFERROR(VLOOKUP(IF(F23="","Deutschland",F23),PauschTab,4,FALSE),0))</f>
      </c>
      <c r="AJ23" s="1">
        <f>IF(OR(AD23=0,AF23&lt;&gt;""),0,IF(AND(W23=1,V23&gt;0),IF(OR(T23=1,U23=1),AH23,AG23),IF(OR(W23=1,V23&gt;0),AH23,IF(AA23=1,IF(AND(AE23+AQ23&gt;480,AE23&gt;=AQ23),AH23,0),IF(Z23=1,IF(AND(AR23+AE23&gt;480,AE23&gt;AR23),AH23,0),IF(AE23&gt;480,AH23,0))))))</f>
      </c>
      <c r="AK23" s="1">
        <f>MIN(AJ23,AM23)</f>
      </c>
      <c r="AL23" s="1">
        <f>IF(OR(AD23=0,AF23&lt;&gt;""),"",IF(AND(W23=0,V23=0,AA23=0,Z23=0,AE23&lt;=480),"nicht mehr als 8 Std.; ","")&amp;IF(AA23=1,IF(AJ23&gt;0,"über Mitternacht, zusammen "&amp;TEXT((AE23+AQ23)/1440,"[h]:mm")&amp;" Std.; ",IF(AE23+AQ23&gt;480,"über Mitternacht: Pauschale am Folgetag; ","über Mitternacht, zusammen nicht mehr als 8 Std.; ")),"")&amp;IF(Z23=1,IF(AJ23&gt;0,"über Mitternacht, zusammen "&amp;TEXT((AR23+AE23)/1440,"[h]:mm")&amp;" Std.; ",IF(AR23+AE23&gt;480,"über Mitternacht: Pauschale am Vortag; ","über Mitternacht, zusammen nicht mehr als 8 Std.; ")),"")&amp;IF(AND(W23=1,V23&gt;0,OR(T23=1,U23=1)),"zwischendurch zu Hause: An- und Abreisetag; ","")&amp;IF(AND(W23=1,V23=0,T23=1),"Beginn leer lassen: unterwegs seit dem Vortag; ","")&amp;IF(AND(W23=0,V23&gt;0,U23=1),"Ende leer lassen: Übernachtung; ","")&amp;IF(AND(AJ23&gt;0,AM23&gt;AJ23),"Kürzung auf die Pauschale begrenzt; ",""))</f>
      </c>
      <c r="AM23" s="1">
        <f>ROUND(AG23*(IF(H23&lt;&gt;"",0.2,0)+IF(I23&lt;&gt;"",0.4,0)+IF(J23&lt;&gt;"",0.4,0)),2)</f>
      </c>
      <c r="AN23" s="1">
        <f>IF($A24="",'Mai'!$T$5,T24)</f>
      </c>
      <c r="AO23" s="1">
        <f>IF($A24="",'Mai'!$U$5,U24)</f>
      </c>
      <c r="AP23" s="1">
        <f>IF($A24="",'Mai'!$V$5,V24)</f>
      </c>
      <c r="AQ23" s="1">
        <f>IF($A24="",'Mai'!$AE$5,AE24)</f>
      </c>
      <c r="AR23" s="1">
        <f>AE22</f>
      </c>
      <c r="AS23" s="1">
        <f>X22</f>
      </c>
      <c r="AT23" s="1">
        <f>U22</f>
      </c>
      <c r="AU23" s="1">
        <f>V22</f>
      </c>
    </row>
    <row r="24" spans="1:47" x14ac:dyDescent="0.25">
      <c r="A24" s="17">
        <f>IF(MONTH(DATE(Jahr,4,20))=4,DATE(Jahr,4,20),"")</f>
      </c>
      <c r="B24" s="13">
        <f>IF(A24="","",CHOOSE(WEEKDAY(A24,2),"Mo","Di","Mi","Do","Fr","Sa","So"))</f>
      </c>
      <c r="C24" s="18"/>
      <c r="D24" s="18"/>
      <c r="E24" s="7"/>
      <c r="F24" s="7"/>
      <c r="G24" s="7"/>
      <c r="H24" s="19"/>
      <c r="I24" s="19"/>
      <c r="J24" s="19"/>
      <c r="K24" s="9"/>
      <c r="L24" s="20">
        <f>IF(OR(AD24=0,AF24&lt;&gt;"",AND(W24=1,V24&gt;0,OR(T24=1,U24=1))),"",AE24/1440)</f>
      </c>
      <c r="M24" s="21">
        <f>IF(OR(AD24=0,AF24&lt;&gt;""),"",AJ24)</f>
      </c>
      <c r="N24" s="21">
        <f>IF(AK24=0,"",AK24)</f>
      </c>
      <c r="O24" s="21">
        <f>IF(OR(AD24=0,AF24&lt;&gt;""),"",AJ24-AK24)</f>
      </c>
      <c r="P24" s="21">
        <f>IF(AND(AD24=1,AF24="",V24=2),AI24,"")</f>
      </c>
      <c r="Q24" s="21">
        <f>IF(OR($A24="",N(K24)=0),"",ROUND(K24*KmSatz,2))</f>
      </c>
      <c r="R24" s="22">
        <f>IF(AF24&amp;AL24="","",LEFT(AF24&amp;AL24,LEN(AF24&amp;AL24)-2))</f>
      </c>
      <c r="S24" s="1"/>
      <c r="T24" s="1">
        <f>IF(AND($A24&lt;&gt;"",ISNUMBER(C24)),1,0)</f>
      </c>
      <c r="U24" s="1">
        <f>IF(AND($A24&lt;&gt;"",ISNUMBER(D24)),1,0)</f>
      </c>
      <c r="V24" s="1">
        <f>IF($A24="",0,IF(E24="ja",1,IF(E24="Pauschale",2,0)))</f>
      </c>
      <c r="W24" s="1">
        <f>IF($A24="",0,IF(AU24&gt;0,1,0))</f>
      </c>
      <c r="X24" s="1">
        <f>IF(AND(T24=1,W24=0),1,0)</f>
      </c>
      <c r="Y24" s="1">
        <f>IF(AND(AS24=1,AT24=0,AU24=0),1,0)</f>
      </c>
      <c r="Z24" s="1">
        <f>IF(AND(Y24=1,T24=0,U24=1,V24=0),1,0)</f>
      </c>
      <c r="AA24" s="1">
        <f>IF(AND(X24=1,U24=0,V24=0,AN24=0,AO24=1,AP24=0),1,0)</f>
      </c>
      <c r="AB24" s="1">
        <f>IF(OR(W24=1,Z24=1),0,IF(T24=1,C24,0))</f>
      </c>
      <c r="AC24" s="1">
        <f>IF(OR(V24&gt;0,AA24=1),1,IF(U24=1,D24,1))</f>
      </c>
      <c r="AD24" s="1">
        <f>IF($A24="",0,IF(OR(T24=1,U24=1,V24&gt;0,W24=1),1,0))</f>
      </c>
      <c r="AE24" s="1">
        <f>IF(AD24=0,0,ROUND((AC24-AB24)*1440,0))</f>
      </c>
      <c r="AF24" s="1">
        <f>IF(AD24=0,"",IF(AND(F24&lt;&gt;"",ISNA(MATCH(F24,PauschLand,0))),"Land nicht in der Liste; ","")&amp;IF(AND(T24=0,W24=0,Z24=0),"Beginn fehlt; ","")&amp;IF(AND(V24=0,U24=0,AA24=0),"Ende fehlt; ","")&amp;IF(AND(X24=1,U24=1,V24=0,N(D24)&lt;N(C24)),"Ende vor Beginn (über Mitternacht: Ende in die Zeile des Folgetags); ",""))</f>
      </c>
      <c r="AG24" s="1">
        <f>IF(AD24=0,0,IFERROR(VLOOKUP(IF(F24="","Deutschland",F24),PauschTab,2,FALSE),0))</f>
      </c>
      <c r="AH24" s="1">
        <f>IF(AD24=0,0,IFERROR(VLOOKUP(IF(F24="","Deutschland",F24),PauschTab,3,FALSE),0))</f>
      </c>
      <c r="AI24" s="1">
        <f>IF(AD24=0,0,IFERROR(VLOOKUP(IF(F24="","Deutschland",F24),PauschTab,4,FALSE),0))</f>
      </c>
      <c r="AJ24" s="1">
        <f>IF(OR(AD24=0,AF24&lt;&gt;""),0,IF(AND(W24=1,V24&gt;0),IF(OR(T24=1,U24=1),AH24,AG24),IF(OR(W24=1,V24&gt;0),AH24,IF(AA24=1,IF(AND(AE24+AQ24&gt;480,AE24&gt;=AQ24),AH24,0),IF(Z24=1,IF(AND(AR24+AE24&gt;480,AE24&gt;AR24),AH24,0),IF(AE24&gt;480,AH24,0))))))</f>
      </c>
      <c r="AK24" s="1">
        <f>MIN(AJ24,AM24)</f>
      </c>
      <c r="AL24" s="1">
        <f>IF(OR(AD24=0,AF24&lt;&gt;""),"",IF(AND(W24=0,V24=0,AA24=0,Z24=0,AE24&lt;=480),"nicht mehr als 8 Std.; ","")&amp;IF(AA24=1,IF(AJ24&gt;0,"über Mitternacht, zusammen "&amp;TEXT((AE24+AQ24)/1440,"[h]:mm")&amp;" Std.; ",IF(AE24+AQ24&gt;480,"über Mitternacht: Pauschale am Folgetag; ","über Mitternacht, zusammen nicht mehr als 8 Std.; ")),"")&amp;IF(Z24=1,IF(AJ24&gt;0,"über Mitternacht, zusammen "&amp;TEXT((AR24+AE24)/1440,"[h]:mm")&amp;" Std.; ",IF(AR24+AE24&gt;480,"über Mitternacht: Pauschale am Vortag; ","über Mitternacht, zusammen nicht mehr als 8 Std.; ")),"")&amp;IF(AND(W24=1,V24&gt;0,OR(T24=1,U24=1)),"zwischendurch zu Hause: An- und Abreisetag; ","")&amp;IF(AND(W24=1,V24=0,T24=1),"Beginn leer lassen: unterwegs seit dem Vortag; ","")&amp;IF(AND(W24=0,V24&gt;0,U24=1),"Ende leer lassen: Übernachtung; ","")&amp;IF(AND(AJ24&gt;0,AM24&gt;AJ24),"Kürzung auf die Pauschale begrenzt; ",""))</f>
      </c>
      <c r="AM24" s="1">
        <f>ROUND(AG24*(IF(H24&lt;&gt;"",0.2,0)+IF(I24&lt;&gt;"",0.4,0)+IF(J24&lt;&gt;"",0.4,0)),2)</f>
      </c>
      <c r="AN24" s="1">
        <f>IF($A25="",'Mai'!$T$5,T25)</f>
      </c>
      <c r="AO24" s="1">
        <f>IF($A25="",'Mai'!$U$5,U25)</f>
      </c>
      <c r="AP24" s="1">
        <f>IF($A25="",'Mai'!$V$5,V25)</f>
      </c>
      <c r="AQ24" s="1">
        <f>IF($A25="",'Mai'!$AE$5,AE25)</f>
      </c>
      <c r="AR24" s="1">
        <f>AE23</f>
      </c>
      <c r="AS24" s="1">
        <f>X23</f>
      </c>
      <c r="AT24" s="1">
        <f>U23</f>
      </c>
      <c r="AU24" s="1">
        <f>V23</f>
      </c>
    </row>
    <row r="25" spans="1:47" x14ac:dyDescent="0.25">
      <c r="A25" s="17">
        <f>IF(MONTH(DATE(Jahr,4,21))=4,DATE(Jahr,4,21),"")</f>
      </c>
      <c r="B25" s="13">
        <f>IF(A25="","",CHOOSE(WEEKDAY(A25,2),"Mo","Di","Mi","Do","Fr","Sa","So"))</f>
      </c>
      <c r="C25" s="18"/>
      <c r="D25" s="18"/>
      <c r="E25" s="7"/>
      <c r="F25" s="7"/>
      <c r="G25" s="7"/>
      <c r="H25" s="19"/>
      <c r="I25" s="19"/>
      <c r="J25" s="19"/>
      <c r="K25" s="9"/>
      <c r="L25" s="20">
        <f>IF(OR(AD25=0,AF25&lt;&gt;"",AND(W25=1,V25&gt;0,OR(T25=1,U25=1))),"",AE25/1440)</f>
      </c>
      <c r="M25" s="21">
        <f>IF(OR(AD25=0,AF25&lt;&gt;""),"",AJ25)</f>
      </c>
      <c r="N25" s="21">
        <f>IF(AK25=0,"",AK25)</f>
      </c>
      <c r="O25" s="21">
        <f>IF(OR(AD25=0,AF25&lt;&gt;""),"",AJ25-AK25)</f>
      </c>
      <c r="P25" s="21">
        <f>IF(AND(AD25=1,AF25="",V25=2),AI25,"")</f>
      </c>
      <c r="Q25" s="21">
        <f>IF(OR($A25="",N(K25)=0),"",ROUND(K25*KmSatz,2))</f>
      </c>
      <c r="R25" s="22">
        <f>IF(AF25&amp;AL25="","",LEFT(AF25&amp;AL25,LEN(AF25&amp;AL25)-2))</f>
      </c>
      <c r="S25" s="1"/>
      <c r="T25" s="1">
        <f>IF(AND($A25&lt;&gt;"",ISNUMBER(C25)),1,0)</f>
      </c>
      <c r="U25" s="1">
        <f>IF(AND($A25&lt;&gt;"",ISNUMBER(D25)),1,0)</f>
      </c>
      <c r="V25" s="1">
        <f>IF($A25="",0,IF(E25="ja",1,IF(E25="Pauschale",2,0)))</f>
      </c>
      <c r="W25" s="1">
        <f>IF($A25="",0,IF(AU25&gt;0,1,0))</f>
      </c>
      <c r="X25" s="1">
        <f>IF(AND(T25=1,W25=0),1,0)</f>
      </c>
      <c r="Y25" s="1">
        <f>IF(AND(AS25=1,AT25=0,AU25=0),1,0)</f>
      </c>
      <c r="Z25" s="1">
        <f>IF(AND(Y25=1,T25=0,U25=1,V25=0),1,0)</f>
      </c>
      <c r="AA25" s="1">
        <f>IF(AND(X25=1,U25=0,V25=0,AN25=0,AO25=1,AP25=0),1,0)</f>
      </c>
      <c r="AB25" s="1">
        <f>IF(OR(W25=1,Z25=1),0,IF(T25=1,C25,0))</f>
      </c>
      <c r="AC25" s="1">
        <f>IF(OR(V25&gt;0,AA25=1),1,IF(U25=1,D25,1))</f>
      </c>
      <c r="AD25" s="1">
        <f>IF($A25="",0,IF(OR(T25=1,U25=1,V25&gt;0,W25=1),1,0))</f>
      </c>
      <c r="AE25" s="1">
        <f>IF(AD25=0,0,ROUND((AC25-AB25)*1440,0))</f>
      </c>
      <c r="AF25" s="1">
        <f>IF(AD25=0,"",IF(AND(F25&lt;&gt;"",ISNA(MATCH(F25,PauschLand,0))),"Land nicht in der Liste; ","")&amp;IF(AND(T25=0,W25=0,Z25=0),"Beginn fehlt; ","")&amp;IF(AND(V25=0,U25=0,AA25=0),"Ende fehlt; ","")&amp;IF(AND(X25=1,U25=1,V25=0,N(D25)&lt;N(C25)),"Ende vor Beginn (über Mitternacht: Ende in die Zeile des Folgetags); ",""))</f>
      </c>
      <c r="AG25" s="1">
        <f>IF(AD25=0,0,IFERROR(VLOOKUP(IF(F25="","Deutschland",F25),PauschTab,2,FALSE),0))</f>
      </c>
      <c r="AH25" s="1">
        <f>IF(AD25=0,0,IFERROR(VLOOKUP(IF(F25="","Deutschland",F25),PauschTab,3,FALSE),0))</f>
      </c>
      <c r="AI25" s="1">
        <f>IF(AD25=0,0,IFERROR(VLOOKUP(IF(F25="","Deutschland",F25),PauschTab,4,FALSE),0))</f>
      </c>
      <c r="AJ25" s="1">
        <f>IF(OR(AD25=0,AF25&lt;&gt;""),0,IF(AND(W25=1,V25&gt;0),IF(OR(T25=1,U25=1),AH25,AG25),IF(OR(W25=1,V25&gt;0),AH25,IF(AA25=1,IF(AND(AE25+AQ25&gt;480,AE25&gt;=AQ25),AH25,0),IF(Z25=1,IF(AND(AR25+AE25&gt;480,AE25&gt;AR25),AH25,0),IF(AE25&gt;480,AH25,0))))))</f>
      </c>
      <c r="AK25" s="1">
        <f>MIN(AJ25,AM25)</f>
      </c>
      <c r="AL25" s="1">
        <f>IF(OR(AD25=0,AF25&lt;&gt;""),"",IF(AND(W25=0,V25=0,AA25=0,Z25=0,AE25&lt;=480),"nicht mehr als 8 Std.; ","")&amp;IF(AA25=1,IF(AJ25&gt;0,"über Mitternacht, zusammen "&amp;TEXT((AE25+AQ25)/1440,"[h]:mm")&amp;" Std.; ",IF(AE25+AQ25&gt;480,"über Mitternacht: Pauschale am Folgetag; ","über Mitternacht, zusammen nicht mehr als 8 Std.; ")),"")&amp;IF(Z25=1,IF(AJ25&gt;0,"über Mitternacht, zusammen "&amp;TEXT((AR25+AE25)/1440,"[h]:mm")&amp;" Std.; ",IF(AR25+AE25&gt;480,"über Mitternacht: Pauschale am Vortag; ","über Mitternacht, zusammen nicht mehr als 8 Std.; ")),"")&amp;IF(AND(W25=1,V25&gt;0,OR(T25=1,U25=1)),"zwischendurch zu Hause: An- und Abreisetag; ","")&amp;IF(AND(W25=1,V25=0,T25=1),"Beginn leer lassen: unterwegs seit dem Vortag; ","")&amp;IF(AND(W25=0,V25&gt;0,U25=1),"Ende leer lassen: Übernachtung; ","")&amp;IF(AND(AJ25&gt;0,AM25&gt;AJ25),"Kürzung auf die Pauschale begrenzt; ",""))</f>
      </c>
      <c r="AM25" s="1">
        <f>ROUND(AG25*(IF(H25&lt;&gt;"",0.2,0)+IF(I25&lt;&gt;"",0.4,0)+IF(J25&lt;&gt;"",0.4,0)),2)</f>
      </c>
      <c r="AN25" s="1">
        <f>IF($A26="",'Mai'!$T$5,T26)</f>
      </c>
      <c r="AO25" s="1">
        <f>IF($A26="",'Mai'!$U$5,U26)</f>
      </c>
      <c r="AP25" s="1">
        <f>IF($A26="",'Mai'!$V$5,V26)</f>
      </c>
      <c r="AQ25" s="1">
        <f>IF($A26="",'Mai'!$AE$5,AE26)</f>
      </c>
      <c r="AR25" s="1">
        <f>AE24</f>
      </c>
      <c r="AS25" s="1">
        <f>X24</f>
      </c>
      <c r="AT25" s="1">
        <f>U24</f>
      </c>
      <c r="AU25" s="1">
        <f>V24</f>
      </c>
    </row>
    <row r="26" spans="1:47" x14ac:dyDescent="0.25">
      <c r="A26" s="17">
        <f>IF(MONTH(DATE(Jahr,4,22))=4,DATE(Jahr,4,22),"")</f>
      </c>
      <c r="B26" s="13">
        <f>IF(A26="","",CHOOSE(WEEKDAY(A26,2),"Mo","Di","Mi","Do","Fr","Sa","So"))</f>
      </c>
      <c r="C26" s="18"/>
      <c r="D26" s="18"/>
      <c r="E26" s="7"/>
      <c r="F26" s="7"/>
      <c r="G26" s="7"/>
      <c r="H26" s="19"/>
      <c r="I26" s="19"/>
      <c r="J26" s="19"/>
      <c r="K26" s="9"/>
      <c r="L26" s="20">
        <f>IF(OR(AD26=0,AF26&lt;&gt;"",AND(W26=1,V26&gt;0,OR(T26=1,U26=1))),"",AE26/1440)</f>
      </c>
      <c r="M26" s="21">
        <f>IF(OR(AD26=0,AF26&lt;&gt;""),"",AJ26)</f>
      </c>
      <c r="N26" s="21">
        <f>IF(AK26=0,"",AK26)</f>
      </c>
      <c r="O26" s="21">
        <f>IF(OR(AD26=0,AF26&lt;&gt;""),"",AJ26-AK26)</f>
      </c>
      <c r="P26" s="21">
        <f>IF(AND(AD26=1,AF26="",V26=2),AI26,"")</f>
      </c>
      <c r="Q26" s="21">
        <f>IF(OR($A26="",N(K26)=0),"",ROUND(K26*KmSatz,2))</f>
      </c>
      <c r="R26" s="22">
        <f>IF(AF26&amp;AL26="","",LEFT(AF26&amp;AL26,LEN(AF26&amp;AL26)-2))</f>
      </c>
      <c r="S26" s="1"/>
      <c r="T26" s="1">
        <f>IF(AND($A26&lt;&gt;"",ISNUMBER(C26)),1,0)</f>
      </c>
      <c r="U26" s="1">
        <f>IF(AND($A26&lt;&gt;"",ISNUMBER(D26)),1,0)</f>
      </c>
      <c r="V26" s="1">
        <f>IF($A26="",0,IF(E26="ja",1,IF(E26="Pauschale",2,0)))</f>
      </c>
      <c r="W26" s="1">
        <f>IF($A26="",0,IF(AU26&gt;0,1,0))</f>
      </c>
      <c r="X26" s="1">
        <f>IF(AND(T26=1,W26=0),1,0)</f>
      </c>
      <c r="Y26" s="1">
        <f>IF(AND(AS26=1,AT26=0,AU26=0),1,0)</f>
      </c>
      <c r="Z26" s="1">
        <f>IF(AND(Y26=1,T26=0,U26=1,V26=0),1,0)</f>
      </c>
      <c r="AA26" s="1">
        <f>IF(AND(X26=1,U26=0,V26=0,AN26=0,AO26=1,AP26=0),1,0)</f>
      </c>
      <c r="AB26" s="1">
        <f>IF(OR(W26=1,Z26=1),0,IF(T26=1,C26,0))</f>
      </c>
      <c r="AC26" s="1">
        <f>IF(OR(V26&gt;0,AA26=1),1,IF(U26=1,D26,1))</f>
      </c>
      <c r="AD26" s="1">
        <f>IF($A26="",0,IF(OR(T26=1,U26=1,V26&gt;0,W26=1),1,0))</f>
      </c>
      <c r="AE26" s="1">
        <f>IF(AD26=0,0,ROUND((AC26-AB26)*1440,0))</f>
      </c>
      <c r="AF26" s="1">
        <f>IF(AD26=0,"",IF(AND(F26&lt;&gt;"",ISNA(MATCH(F26,PauschLand,0))),"Land nicht in der Liste; ","")&amp;IF(AND(T26=0,W26=0,Z26=0),"Beginn fehlt; ","")&amp;IF(AND(V26=0,U26=0,AA26=0),"Ende fehlt; ","")&amp;IF(AND(X26=1,U26=1,V26=0,N(D26)&lt;N(C26)),"Ende vor Beginn (über Mitternacht: Ende in die Zeile des Folgetags); ",""))</f>
      </c>
      <c r="AG26" s="1">
        <f>IF(AD26=0,0,IFERROR(VLOOKUP(IF(F26="","Deutschland",F26),PauschTab,2,FALSE),0))</f>
      </c>
      <c r="AH26" s="1">
        <f>IF(AD26=0,0,IFERROR(VLOOKUP(IF(F26="","Deutschland",F26),PauschTab,3,FALSE),0))</f>
      </c>
      <c r="AI26" s="1">
        <f>IF(AD26=0,0,IFERROR(VLOOKUP(IF(F26="","Deutschland",F26),PauschTab,4,FALSE),0))</f>
      </c>
      <c r="AJ26" s="1">
        <f>IF(OR(AD26=0,AF26&lt;&gt;""),0,IF(AND(W26=1,V26&gt;0),IF(OR(T26=1,U26=1),AH26,AG26),IF(OR(W26=1,V26&gt;0),AH26,IF(AA26=1,IF(AND(AE26+AQ26&gt;480,AE26&gt;=AQ26),AH26,0),IF(Z26=1,IF(AND(AR26+AE26&gt;480,AE26&gt;AR26),AH26,0),IF(AE26&gt;480,AH26,0))))))</f>
      </c>
      <c r="AK26" s="1">
        <f>MIN(AJ26,AM26)</f>
      </c>
      <c r="AL26" s="1">
        <f>IF(OR(AD26=0,AF26&lt;&gt;""),"",IF(AND(W26=0,V26=0,AA26=0,Z26=0,AE26&lt;=480),"nicht mehr als 8 Std.; ","")&amp;IF(AA26=1,IF(AJ26&gt;0,"über Mitternacht, zusammen "&amp;TEXT((AE26+AQ26)/1440,"[h]:mm")&amp;" Std.; ",IF(AE26+AQ26&gt;480,"über Mitternacht: Pauschale am Folgetag; ","über Mitternacht, zusammen nicht mehr als 8 Std.; ")),"")&amp;IF(Z26=1,IF(AJ26&gt;0,"über Mitternacht, zusammen "&amp;TEXT((AR26+AE26)/1440,"[h]:mm")&amp;" Std.; ",IF(AR26+AE26&gt;480,"über Mitternacht: Pauschale am Vortag; ","über Mitternacht, zusammen nicht mehr als 8 Std.; ")),"")&amp;IF(AND(W26=1,V26&gt;0,OR(T26=1,U26=1)),"zwischendurch zu Hause: An- und Abreisetag; ","")&amp;IF(AND(W26=1,V26=0,T26=1),"Beginn leer lassen: unterwegs seit dem Vortag; ","")&amp;IF(AND(W26=0,V26&gt;0,U26=1),"Ende leer lassen: Übernachtung; ","")&amp;IF(AND(AJ26&gt;0,AM26&gt;AJ26),"Kürzung auf die Pauschale begrenzt; ",""))</f>
      </c>
      <c r="AM26" s="1">
        <f>ROUND(AG26*(IF(H26&lt;&gt;"",0.2,0)+IF(I26&lt;&gt;"",0.4,0)+IF(J26&lt;&gt;"",0.4,0)),2)</f>
      </c>
      <c r="AN26" s="1">
        <f>IF($A27="",'Mai'!$T$5,T27)</f>
      </c>
      <c r="AO26" s="1">
        <f>IF($A27="",'Mai'!$U$5,U27)</f>
      </c>
      <c r="AP26" s="1">
        <f>IF($A27="",'Mai'!$V$5,V27)</f>
      </c>
      <c r="AQ26" s="1">
        <f>IF($A27="",'Mai'!$AE$5,AE27)</f>
      </c>
      <c r="AR26" s="1">
        <f>AE25</f>
      </c>
      <c r="AS26" s="1">
        <f>X25</f>
      </c>
      <c r="AT26" s="1">
        <f>U25</f>
      </c>
      <c r="AU26" s="1">
        <f>V25</f>
      </c>
    </row>
    <row r="27" spans="1:47" x14ac:dyDescent="0.25">
      <c r="A27" s="17">
        <f>IF(MONTH(DATE(Jahr,4,23))=4,DATE(Jahr,4,23),"")</f>
      </c>
      <c r="B27" s="13">
        <f>IF(A27="","",CHOOSE(WEEKDAY(A27,2),"Mo","Di","Mi","Do","Fr","Sa","So"))</f>
      </c>
      <c r="C27" s="18"/>
      <c r="D27" s="18"/>
      <c r="E27" s="7"/>
      <c r="F27" s="7"/>
      <c r="G27" s="7"/>
      <c r="H27" s="19"/>
      <c r="I27" s="19"/>
      <c r="J27" s="19"/>
      <c r="K27" s="9"/>
      <c r="L27" s="20">
        <f>IF(OR(AD27=0,AF27&lt;&gt;"",AND(W27=1,V27&gt;0,OR(T27=1,U27=1))),"",AE27/1440)</f>
      </c>
      <c r="M27" s="21">
        <f>IF(OR(AD27=0,AF27&lt;&gt;""),"",AJ27)</f>
      </c>
      <c r="N27" s="21">
        <f>IF(AK27=0,"",AK27)</f>
      </c>
      <c r="O27" s="21">
        <f>IF(OR(AD27=0,AF27&lt;&gt;""),"",AJ27-AK27)</f>
      </c>
      <c r="P27" s="21">
        <f>IF(AND(AD27=1,AF27="",V27=2),AI27,"")</f>
      </c>
      <c r="Q27" s="21">
        <f>IF(OR($A27="",N(K27)=0),"",ROUND(K27*KmSatz,2))</f>
      </c>
      <c r="R27" s="22">
        <f>IF(AF27&amp;AL27="","",LEFT(AF27&amp;AL27,LEN(AF27&amp;AL27)-2))</f>
      </c>
      <c r="S27" s="1"/>
      <c r="T27" s="1">
        <f>IF(AND($A27&lt;&gt;"",ISNUMBER(C27)),1,0)</f>
      </c>
      <c r="U27" s="1">
        <f>IF(AND($A27&lt;&gt;"",ISNUMBER(D27)),1,0)</f>
      </c>
      <c r="V27" s="1">
        <f>IF($A27="",0,IF(E27="ja",1,IF(E27="Pauschale",2,0)))</f>
      </c>
      <c r="W27" s="1">
        <f>IF($A27="",0,IF(AU27&gt;0,1,0))</f>
      </c>
      <c r="X27" s="1">
        <f>IF(AND(T27=1,W27=0),1,0)</f>
      </c>
      <c r="Y27" s="1">
        <f>IF(AND(AS27=1,AT27=0,AU27=0),1,0)</f>
      </c>
      <c r="Z27" s="1">
        <f>IF(AND(Y27=1,T27=0,U27=1,V27=0),1,0)</f>
      </c>
      <c r="AA27" s="1">
        <f>IF(AND(X27=1,U27=0,V27=0,AN27=0,AO27=1,AP27=0),1,0)</f>
      </c>
      <c r="AB27" s="1">
        <f>IF(OR(W27=1,Z27=1),0,IF(T27=1,C27,0))</f>
      </c>
      <c r="AC27" s="1">
        <f>IF(OR(V27&gt;0,AA27=1),1,IF(U27=1,D27,1))</f>
      </c>
      <c r="AD27" s="1">
        <f>IF($A27="",0,IF(OR(T27=1,U27=1,V27&gt;0,W27=1),1,0))</f>
      </c>
      <c r="AE27" s="1">
        <f>IF(AD27=0,0,ROUND((AC27-AB27)*1440,0))</f>
      </c>
      <c r="AF27" s="1">
        <f>IF(AD27=0,"",IF(AND(F27&lt;&gt;"",ISNA(MATCH(F27,PauschLand,0))),"Land nicht in der Liste; ","")&amp;IF(AND(T27=0,W27=0,Z27=0),"Beginn fehlt; ","")&amp;IF(AND(V27=0,U27=0,AA27=0),"Ende fehlt; ","")&amp;IF(AND(X27=1,U27=1,V27=0,N(D27)&lt;N(C27)),"Ende vor Beginn (über Mitternacht: Ende in die Zeile des Folgetags); ",""))</f>
      </c>
      <c r="AG27" s="1">
        <f>IF(AD27=0,0,IFERROR(VLOOKUP(IF(F27="","Deutschland",F27),PauschTab,2,FALSE),0))</f>
      </c>
      <c r="AH27" s="1">
        <f>IF(AD27=0,0,IFERROR(VLOOKUP(IF(F27="","Deutschland",F27),PauschTab,3,FALSE),0))</f>
      </c>
      <c r="AI27" s="1">
        <f>IF(AD27=0,0,IFERROR(VLOOKUP(IF(F27="","Deutschland",F27),PauschTab,4,FALSE),0))</f>
      </c>
      <c r="AJ27" s="1">
        <f>IF(OR(AD27=0,AF27&lt;&gt;""),0,IF(AND(W27=1,V27&gt;0),IF(OR(T27=1,U27=1),AH27,AG27),IF(OR(W27=1,V27&gt;0),AH27,IF(AA27=1,IF(AND(AE27+AQ27&gt;480,AE27&gt;=AQ27),AH27,0),IF(Z27=1,IF(AND(AR27+AE27&gt;480,AE27&gt;AR27),AH27,0),IF(AE27&gt;480,AH27,0))))))</f>
      </c>
      <c r="AK27" s="1">
        <f>MIN(AJ27,AM27)</f>
      </c>
      <c r="AL27" s="1">
        <f>IF(OR(AD27=0,AF27&lt;&gt;""),"",IF(AND(W27=0,V27=0,AA27=0,Z27=0,AE27&lt;=480),"nicht mehr als 8 Std.; ","")&amp;IF(AA27=1,IF(AJ27&gt;0,"über Mitternacht, zusammen "&amp;TEXT((AE27+AQ27)/1440,"[h]:mm")&amp;" Std.; ",IF(AE27+AQ27&gt;480,"über Mitternacht: Pauschale am Folgetag; ","über Mitternacht, zusammen nicht mehr als 8 Std.; ")),"")&amp;IF(Z27=1,IF(AJ27&gt;0,"über Mitternacht, zusammen "&amp;TEXT((AR27+AE27)/1440,"[h]:mm")&amp;" Std.; ",IF(AR27+AE27&gt;480,"über Mitternacht: Pauschale am Vortag; ","über Mitternacht, zusammen nicht mehr als 8 Std.; ")),"")&amp;IF(AND(W27=1,V27&gt;0,OR(T27=1,U27=1)),"zwischendurch zu Hause: An- und Abreisetag; ","")&amp;IF(AND(W27=1,V27=0,T27=1),"Beginn leer lassen: unterwegs seit dem Vortag; ","")&amp;IF(AND(W27=0,V27&gt;0,U27=1),"Ende leer lassen: Übernachtung; ","")&amp;IF(AND(AJ27&gt;0,AM27&gt;AJ27),"Kürzung auf die Pauschale begrenzt; ",""))</f>
      </c>
      <c r="AM27" s="1">
        <f>ROUND(AG27*(IF(H27&lt;&gt;"",0.2,0)+IF(I27&lt;&gt;"",0.4,0)+IF(J27&lt;&gt;"",0.4,0)),2)</f>
      </c>
      <c r="AN27" s="1">
        <f>IF($A28="",'Mai'!$T$5,T28)</f>
      </c>
      <c r="AO27" s="1">
        <f>IF($A28="",'Mai'!$U$5,U28)</f>
      </c>
      <c r="AP27" s="1">
        <f>IF($A28="",'Mai'!$V$5,V28)</f>
      </c>
      <c r="AQ27" s="1">
        <f>IF($A28="",'Mai'!$AE$5,AE28)</f>
      </c>
      <c r="AR27" s="1">
        <f>AE26</f>
      </c>
      <c r="AS27" s="1">
        <f>X26</f>
      </c>
      <c r="AT27" s="1">
        <f>U26</f>
      </c>
      <c r="AU27" s="1">
        <f>V26</f>
      </c>
    </row>
    <row r="28" spans="1:47" x14ac:dyDescent="0.25">
      <c r="A28" s="17">
        <f>IF(MONTH(DATE(Jahr,4,24))=4,DATE(Jahr,4,24),"")</f>
      </c>
      <c r="B28" s="13">
        <f>IF(A28="","",CHOOSE(WEEKDAY(A28,2),"Mo","Di","Mi","Do","Fr","Sa","So"))</f>
      </c>
      <c r="C28" s="18"/>
      <c r="D28" s="18"/>
      <c r="E28" s="7"/>
      <c r="F28" s="7"/>
      <c r="G28" s="7"/>
      <c r="H28" s="19"/>
      <c r="I28" s="19"/>
      <c r="J28" s="19"/>
      <c r="K28" s="9"/>
      <c r="L28" s="20">
        <f>IF(OR(AD28=0,AF28&lt;&gt;"",AND(W28=1,V28&gt;0,OR(T28=1,U28=1))),"",AE28/1440)</f>
      </c>
      <c r="M28" s="21">
        <f>IF(OR(AD28=0,AF28&lt;&gt;""),"",AJ28)</f>
      </c>
      <c r="N28" s="21">
        <f>IF(AK28=0,"",AK28)</f>
      </c>
      <c r="O28" s="21">
        <f>IF(OR(AD28=0,AF28&lt;&gt;""),"",AJ28-AK28)</f>
      </c>
      <c r="P28" s="21">
        <f>IF(AND(AD28=1,AF28="",V28=2),AI28,"")</f>
      </c>
      <c r="Q28" s="21">
        <f>IF(OR($A28="",N(K28)=0),"",ROUND(K28*KmSatz,2))</f>
      </c>
      <c r="R28" s="22">
        <f>IF(AF28&amp;AL28="","",LEFT(AF28&amp;AL28,LEN(AF28&amp;AL28)-2))</f>
      </c>
      <c r="S28" s="1"/>
      <c r="T28" s="1">
        <f>IF(AND($A28&lt;&gt;"",ISNUMBER(C28)),1,0)</f>
      </c>
      <c r="U28" s="1">
        <f>IF(AND($A28&lt;&gt;"",ISNUMBER(D28)),1,0)</f>
      </c>
      <c r="V28" s="1">
        <f>IF($A28="",0,IF(E28="ja",1,IF(E28="Pauschale",2,0)))</f>
      </c>
      <c r="W28" s="1">
        <f>IF($A28="",0,IF(AU28&gt;0,1,0))</f>
      </c>
      <c r="X28" s="1">
        <f>IF(AND(T28=1,W28=0),1,0)</f>
      </c>
      <c r="Y28" s="1">
        <f>IF(AND(AS28=1,AT28=0,AU28=0),1,0)</f>
      </c>
      <c r="Z28" s="1">
        <f>IF(AND(Y28=1,T28=0,U28=1,V28=0),1,0)</f>
      </c>
      <c r="AA28" s="1">
        <f>IF(AND(X28=1,U28=0,V28=0,AN28=0,AO28=1,AP28=0),1,0)</f>
      </c>
      <c r="AB28" s="1">
        <f>IF(OR(W28=1,Z28=1),0,IF(T28=1,C28,0))</f>
      </c>
      <c r="AC28" s="1">
        <f>IF(OR(V28&gt;0,AA28=1),1,IF(U28=1,D28,1))</f>
      </c>
      <c r="AD28" s="1">
        <f>IF($A28="",0,IF(OR(T28=1,U28=1,V28&gt;0,W28=1),1,0))</f>
      </c>
      <c r="AE28" s="1">
        <f>IF(AD28=0,0,ROUND((AC28-AB28)*1440,0))</f>
      </c>
      <c r="AF28" s="1">
        <f>IF(AD28=0,"",IF(AND(F28&lt;&gt;"",ISNA(MATCH(F28,PauschLand,0))),"Land nicht in der Liste; ","")&amp;IF(AND(T28=0,W28=0,Z28=0),"Beginn fehlt; ","")&amp;IF(AND(V28=0,U28=0,AA28=0),"Ende fehlt; ","")&amp;IF(AND(X28=1,U28=1,V28=0,N(D28)&lt;N(C28)),"Ende vor Beginn (über Mitternacht: Ende in die Zeile des Folgetags); ",""))</f>
      </c>
      <c r="AG28" s="1">
        <f>IF(AD28=0,0,IFERROR(VLOOKUP(IF(F28="","Deutschland",F28),PauschTab,2,FALSE),0))</f>
      </c>
      <c r="AH28" s="1">
        <f>IF(AD28=0,0,IFERROR(VLOOKUP(IF(F28="","Deutschland",F28),PauschTab,3,FALSE),0))</f>
      </c>
      <c r="AI28" s="1">
        <f>IF(AD28=0,0,IFERROR(VLOOKUP(IF(F28="","Deutschland",F28),PauschTab,4,FALSE),0))</f>
      </c>
      <c r="AJ28" s="1">
        <f>IF(OR(AD28=0,AF28&lt;&gt;""),0,IF(AND(W28=1,V28&gt;0),IF(OR(T28=1,U28=1),AH28,AG28),IF(OR(W28=1,V28&gt;0),AH28,IF(AA28=1,IF(AND(AE28+AQ28&gt;480,AE28&gt;=AQ28),AH28,0),IF(Z28=1,IF(AND(AR28+AE28&gt;480,AE28&gt;AR28),AH28,0),IF(AE28&gt;480,AH28,0))))))</f>
      </c>
      <c r="AK28" s="1">
        <f>MIN(AJ28,AM28)</f>
      </c>
      <c r="AL28" s="1">
        <f>IF(OR(AD28=0,AF28&lt;&gt;""),"",IF(AND(W28=0,V28=0,AA28=0,Z28=0,AE28&lt;=480),"nicht mehr als 8 Std.; ","")&amp;IF(AA28=1,IF(AJ28&gt;0,"über Mitternacht, zusammen "&amp;TEXT((AE28+AQ28)/1440,"[h]:mm")&amp;" Std.; ",IF(AE28+AQ28&gt;480,"über Mitternacht: Pauschale am Folgetag; ","über Mitternacht, zusammen nicht mehr als 8 Std.; ")),"")&amp;IF(Z28=1,IF(AJ28&gt;0,"über Mitternacht, zusammen "&amp;TEXT((AR28+AE28)/1440,"[h]:mm")&amp;" Std.; ",IF(AR28+AE28&gt;480,"über Mitternacht: Pauschale am Vortag; ","über Mitternacht, zusammen nicht mehr als 8 Std.; ")),"")&amp;IF(AND(W28=1,V28&gt;0,OR(T28=1,U28=1)),"zwischendurch zu Hause: An- und Abreisetag; ","")&amp;IF(AND(W28=1,V28=0,T28=1),"Beginn leer lassen: unterwegs seit dem Vortag; ","")&amp;IF(AND(W28=0,V28&gt;0,U28=1),"Ende leer lassen: Übernachtung; ","")&amp;IF(AND(AJ28&gt;0,AM28&gt;AJ28),"Kürzung auf die Pauschale begrenzt; ",""))</f>
      </c>
      <c r="AM28" s="1">
        <f>ROUND(AG28*(IF(H28&lt;&gt;"",0.2,0)+IF(I28&lt;&gt;"",0.4,0)+IF(J28&lt;&gt;"",0.4,0)),2)</f>
      </c>
      <c r="AN28" s="1">
        <f>IF($A29="",'Mai'!$T$5,T29)</f>
      </c>
      <c r="AO28" s="1">
        <f>IF($A29="",'Mai'!$U$5,U29)</f>
      </c>
      <c r="AP28" s="1">
        <f>IF($A29="",'Mai'!$V$5,V29)</f>
      </c>
      <c r="AQ28" s="1">
        <f>IF($A29="",'Mai'!$AE$5,AE29)</f>
      </c>
      <c r="AR28" s="1">
        <f>AE27</f>
      </c>
      <c r="AS28" s="1">
        <f>X27</f>
      </c>
      <c r="AT28" s="1">
        <f>U27</f>
      </c>
      <c r="AU28" s="1">
        <f>V27</f>
      </c>
    </row>
    <row r="29" spans="1:47" x14ac:dyDescent="0.25">
      <c r="A29" s="17">
        <f>IF(MONTH(DATE(Jahr,4,25))=4,DATE(Jahr,4,25),"")</f>
      </c>
      <c r="B29" s="13">
        <f>IF(A29="","",CHOOSE(WEEKDAY(A29,2),"Mo","Di","Mi","Do","Fr","Sa","So"))</f>
      </c>
      <c r="C29" s="18"/>
      <c r="D29" s="18"/>
      <c r="E29" s="7"/>
      <c r="F29" s="7"/>
      <c r="G29" s="7"/>
      <c r="H29" s="19"/>
      <c r="I29" s="19"/>
      <c r="J29" s="19"/>
      <c r="K29" s="9"/>
      <c r="L29" s="20">
        <f>IF(OR(AD29=0,AF29&lt;&gt;"",AND(W29=1,V29&gt;0,OR(T29=1,U29=1))),"",AE29/1440)</f>
      </c>
      <c r="M29" s="21">
        <f>IF(OR(AD29=0,AF29&lt;&gt;""),"",AJ29)</f>
      </c>
      <c r="N29" s="21">
        <f>IF(AK29=0,"",AK29)</f>
      </c>
      <c r="O29" s="21">
        <f>IF(OR(AD29=0,AF29&lt;&gt;""),"",AJ29-AK29)</f>
      </c>
      <c r="P29" s="21">
        <f>IF(AND(AD29=1,AF29="",V29=2),AI29,"")</f>
      </c>
      <c r="Q29" s="21">
        <f>IF(OR($A29="",N(K29)=0),"",ROUND(K29*KmSatz,2))</f>
      </c>
      <c r="R29" s="22">
        <f>IF(AF29&amp;AL29="","",LEFT(AF29&amp;AL29,LEN(AF29&amp;AL29)-2))</f>
      </c>
      <c r="S29" s="1"/>
      <c r="T29" s="1">
        <f>IF(AND($A29&lt;&gt;"",ISNUMBER(C29)),1,0)</f>
      </c>
      <c r="U29" s="1">
        <f>IF(AND($A29&lt;&gt;"",ISNUMBER(D29)),1,0)</f>
      </c>
      <c r="V29" s="1">
        <f>IF($A29="",0,IF(E29="ja",1,IF(E29="Pauschale",2,0)))</f>
      </c>
      <c r="W29" s="1">
        <f>IF($A29="",0,IF(AU29&gt;0,1,0))</f>
      </c>
      <c r="X29" s="1">
        <f>IF(AND(T29=1,W29=0),1,0)</f>
      </c>
      <c r="Y29" s="1">
        <f>IF(AND(AS29=1,AT29=0,AU29=0),1,0)</f>
      </c>
      <c r="Z29" s="1">
        <f>IF(AND(Y29=1,T29=0,U29=1,V29=0),1,0)</f>
      </c>
      <c r="AA29" s="1">
        <f>IF(AND(X29=1,U29=0,V29=0,AN29=0,AO29=1,AP29=0),1,0)</f>
      </c>
      <c r="AB29" s="1">
        <f>IF(OR(W29=1,Z29=1),0,IF(T29=1,C29,0))</f>
      </c>
      <c r="AC29" s="1">
        <f>IF(OR(V29&gt;0,AA29=1),1,IF(U29=1,D29,1))</f>
      </c>
      <c r="AD29" s="1">
        <f>IF($A29="",0,IF(OR(T29=1,U29=1,V29&gt;0,W29=1),1,0))</f>
      </c>
      <c r="AE29" s="1">
        <f>IF(AD29=0,0,ROUND((AC29-AB29)*1440,0))</f>
      </c>
      <c r="AF29" s="1">
        <f>IF(AD29=0,"",IF(AND(F29&lt;&gt;"",ISNA(MATCH(F29,PauschLand,0))),"Land nicht in der Liste; ","")&amp;IF(AND(T29=0,W29=0,Z29=0),"Beginn fehlt; ","")&amp;IF(AND(V29=0,U29=0,AA29=0),"Ende fehlt; ","")&amp;IF(AND(X29=1,U29=1,V29=0,N(D29)&lt;N(C29)),"Ende vor Beginn (über Mitternacht: Ende in die Zeile des Folgetags); ",""))</f>
      </c>
      <c r="AG29" s="1">
        <f>IF(AD29=0,0,IFERROR(VLOOKUP(IF(F29="","Deutschland",F29),PauschTab,2,FALSE),0))</f>
      </c>
      <c r="AH29" s="1">
        <f>IF(AD29=0,0,IFERROR(VLOOKUP(IF(F29="","Deutschland",F29),PauschTab,3,FALSE),0))</f>
      </c>
      <c r="AI29" s="1">
        <f>IF(AD29=0,0,IFERROR(VLOOKUP(IF(F29="","Deutschland",F29),PauschTab,4,FALSE),0))</f>
      </c>
      <c r="AJ29" s="1">
        <f>IF(OR(AD29=0,AF29&lt;&gt;""),0,IF(AND(W29=1,V29&gt;0),IF(OR(T29=1,U29=1),AH29,AG29),IF(OR(W29=1,V29&gt;0),AH29,IF(AA29=1,IF(AND(AE29+AQ29&gt;480,AE29&gt;=AQ29),AH29,0),IF(Z29=1,IF(AND(AR29+AE29&gt;480,AE29&gt;AR29),AH29,0),IF(AE29&gt;480,AH29,0))))))</f>
      </c>
      <c r="AK29" s="1">
        <f>MIN(AJ29,AM29)</f>
      </c>
      <c r="AL29" s="1">
        <f>IF(OR(AD29=0,AF29&lt;&gt;""),"",IF(AND(W29=0,V29=0,AA29=0,Z29=0,AE29&lt;=480),"nicht mehr als 8 Std.; ","")&amp;IF(AA29=1,IF(AJ29&gt;0,"über Mitternacht, zusammen "&amp;TEXT((AE29+AQ29)/1440,"[h]:mm")&amp;" Std.; ",IF(AE29+AQ29&gt;480,"über Mitternacht: Pauschale am Folgetag; ","über Mitternacht, zusammen nicht mehr als 8 Std.; ")),"")&amp;IF(Z29=1,IF(AJ29&gt;0,"über Mitternacht, zusammen "&amp;TEXT((AR29+AE29)/1440,"[h]:mm")&amp;" Std.; ",IF(AR29+AE29&gt;480,"über Mitternacht: Pauschale am Vortag; ","über Mitternacht, zusammen nicht mehr als 8 Std.; ")),"")&amp;IF(AND(W29=1,V29&gt;0,OR(T29=1,U29=1)),"zwischendurch zu Hause: An- und Abreisetag; ","")&amp;IF(AND(W29=1,V29=0,T29=1),"Beginn leer lassen: unterwegs seit dem Vortag; ","")&amp;IF(AND(W29=0,V29&gt;0,U29=1),"Ende leer lassen: Übernachtung; ","")&amp;IF(AND(AJ29&gt;0,AM29&gt;AJ29),"Kürzung auf die Pauschale begrenzt; ",""))</f>
      </c>
      <c r="AM29" s="1">
        <f>ROUND(AG29*(IF(H29&lt;&gt;"",0.2,0)+IF(I29&lt;&gt;"",0.4,0)+IF(J29&lt;&gt;"",0.4,0)),2)</f>
      </c>
      <c r="AN29" s="1">
        <f>IF($A30="",'Mai'!$T$5,T30)</f>
      </c>
      <c r="AO29" s="1">
        <f>IF($A30="",'Mai'!$U$5,U30)</f>
      </c>
      <c r="AP29" s="1">
        <f>IF($A30="",'Mai'!$V$5,V30)</f>
      </c>
      <c r="AQ29" s="1">
        <f>IF($A30="",'Mai'!$AE$5,AE30)</f>
      </c>
      <c r="AR29" s="1">
        <f>AE28</f>
      </c>
      <c r="AS29" s="1">
        <f>X28</f>
      </c>
      <c r="AT29" s="1">
        <f>U28</f>
      </c>
      <c r="AU29" s="1">
        <f>V28</f>
      </c>
    </row>
    <row r="30" spans="1:47" x14ac:dyDescent="0.25">
      <c r="A30" s="17">
        <f>IF(MONTH(DATE(Jahr,4,26))=4,DATE(Jahr,4,26),"")</f>
      </c>
      <c r="B30" s="13">
        <f>IF(A30="","",CHOOSE(WEEKDAY(A30,2),"Mo","Di","Mi","Do","Fr","Sa","So"))</f>
      </c>
      <c r="C30" s="18"/>
      <c r="D30" s="18"/>
      <c r="E30" s="7"/>
      <c r="F30" s="7"/>
      <c r="G30" s="7"/>
      <c r="H30" s="19"/>
      <c r="I30" s="19"/>
      <c r="J30" s="19"/>
      <c r="K30" s="9"/>
      <c r="L30" s="20">
        <f>IF(OR(AD30=0,AF30&lt;&gt;"",AND(W30=1,V30&gt;0,OR(T30=1,U30=1))),"",AE30/1440)</f>
      </c>
      <c r="M30" s="21">
        <f>IF(OR(AD30=0,AF30&lt;&gt;""),"",AJ30)</f>
      </c>
      <c r="N30" s="21">
        <f>IF(AK30=0,"",AK30)</f>
      </c>
      <c r="O30" s="21">
        <f>IF(OR(AD30=0,AF30&lt;&gt;""),"",AJ30-AK30)</f>
      </c>
      <c r="P30" s="21">
        <f>IF(AND(AD30=1,AF30="",V30=2),AI30,"")</f>
      </c>
      <c r="Q30" s="21">
        <f>IF(OR($A30="",N(K30)=0),"",ROUND(K30*KmSatz,2))</f>
      </c>
      <c r="R30" s="22">
        <f>IF(AF30&amp;AL30="","",LEFT(AF30&amp;AL30,LEN(AF30&amp;AL30)-2))</f>
      </c>
      <c r="S30" s="1"/>
      <c r="T30" s="1">
        <f>IF(AND($A30&lt;&gt;"",ISNUMBER(C30)),1,0)</f>
      </c>
      <c r="U30" s="1">
        <f>IF(AND($A30&lt;&gt;"",ISNUMBER(D30)),1,0)</f>
      </c>
      <c r="V30" s="1">
        <f>IF($A30="",0,IF(E30="ja",1,IF(E30="Pauschale",2,0)))</f>
      </c>
      <c r="W30" s="1">
        <f>IF($A30="",0,IF(AU30&gt;0,1,0))</f>
      </c>
      <c r="X30" s="1">
        <f>IF(AND(T30=1,W30=0),1,0)</f>
      </c>
      <c r="Y30" s="1">
        <f>IF(AND(AS30=1,AT30=0,AU30=0),1,0)</f>
      </c>
      <c r="Z30" s="1">
        <f>IF(AND(Y30=1,T30=0,U30=1,V30=0),1,0)</f>
      </c>
      <c r="AA30" s="1">
        <f>IF(AND(X30=1,U30=0,V30=0,AN30=0,AO30=1,AP30=0),1,0)</f>
      </c>
      <c r="AB30" s="1">
        <f>IF(OR(W30=1,Z30=1),0,IF(T30=1,C30,0))</f>
      </c>
      <c r="AC30" s="1">
        <f>IF(OR(V30&gt;0,AA30=1),1,IF(U30=1,D30,1))</f>
      </c>
      <c r="AD30" s="1">
        <f>IF($A30="",0,IF(OR(T30=1,U30=1,V30&gt;0,W30=1),1,0))</f>
      </c>
      <c r="AE30" s="1">
        <f>IF(AD30=0,0,ROUND((AC30-AB30)*1440,0))</f>
      </c>
      <c r="AF30" s="1">
        <f>IF(AD30=0,"",IF(AND(F30&lt;&gt;"",ISNA(MATCH(F30,PauschLand,0))),"Land nicht in der Liste; ","")&amp;IF(AND(T30=0,W30=0,Z30=0),"Beginn fehlt; ","")&amp;IF(AND(V30=0,U30=0,AA30=0),"Ende fehlt; ","")&amp;IF(AND(X30=1,U30=1,V30=0,N(D30)&lt;N(C30)),"Ende vor Beginn (über Mitternacht: Ende in die Zeile des Folgetags); ",""))</f>
      </c>
      <c r="AG30" s="1">
        <f>IF(AD30=0,0,IFERROR(VLOOKUP(IF(F30="","Deutschland",F30),PauschTab,2,FALSE),0))</f>
      </c>
      <c r="AH30" s="1">
        <f>IF(AD30=0,0,IFERROR(VLOOKUP(IF(F30="","Deutschland",F30),PauschTab,3,FALSE),0))</f>
      </c>
      <c r="AI30" s="1">
        <f>IF(AD30=0,0,IFERROR(VLOOKUP(IF(F30="","Deutschland",F30),PauschTab,4,FALSE),0))</f>
      </c>
      <c r="AJ30" s="1">
        <f>IF(OR(AD30=0,AF30&lt;&gt;""),0,IF(AND(W30=1,V30&gt;0),IF(OR(T30=1,U30=1),AH30,AG30),IF(OR(W30=1,V30&gt;0),AH30,IF(AA30=1,IF(AND(AE30+AQ30&gt;480,AE30&gt;=AQ30),AH30,0),IF(Z30=1,IF(AND(AR30+AE30&gt;480,AE30&gt;AR30),AH30,0),IF(AE30&gt;480,AH30,0))))))</f>
      </c>
      <c r="AK30" s="1">
        <f>MIN(AJ30,AM30)</f>
      </c>
      <c r="AL30" s="1">
        <f>IF(OR(AD30=0,AF30&lt;&gt;""),"",IF(AND(W30=0,V30=0,AA30=0,Z30=0,AE30&lt;=480),"nicht mehr als 8 Std.; ","")&amp;IF(AA30=1,IF(AJ30&gt;0,"über Mitternacht, zusammen "&amp;TEXT((AE30+AQ30)/1440,"[h]:mm")&amp;" Std.; ",IF(AE30+AQ30&gt;480,"über Mitternacht: Pauschale am Folgetag; ","über Mitternacht, zusammen nicht mehr als 8 Std.; ")),"")&amp;IF(Z30=1,IF(AJ30&gt;0,"über Mitternacht, zusammen "&amp;TEXT((AR30+AE30)/1440,"[h]:mm")&amp;" Std.; ",IF(AR30+AE30&gt;480,"über Mitternacht: Pauschale am Vortag; ","über Mitternacht, zusammen nicht mehr als 8 Std.; ")),"")&amp;IF(AND(W30=1,V30&gt;0,OR(T30=1,U30=1)),"zwischendurch zu Hause: An- und Abreisetag; ","")&amp;IF(AND(W30=1,V30=0,T30=1),"Beginn leer lassen: unterwegs seit dem Vortag; ","")&amp;IF(AND(W30=0,V30&gt;0,U30=1),"Ende leer lassen: Übernachtung; ","")&amp;IF(AND(AJ30&gt;0,AM30&gt;AJ30),"Kürzung auf die Pauschale begrenzt; ",""))</f>
      </c>
      <c r="AM30" s="1">
        <f>ROUND(AG30*(IF(H30&lt;&gt;"",0.2,0)+IF(I30&lt;&gt;"",0.4,0)+IF(J30&lt;&gt;"",0.4,0)),2)</f>
      </c>
      <c r="AN30" s="1">
        <f>IF($A31="",'Mai'!$T$5,T31)</f>
      </c>
      <c r="AO30" s="1">
        <f>IF($A31="",'Mai'!$U$5,U31)</f>
      </c>
      <c r="AP30" s="1">
        <f>IF($A31="",'Mai'!$V$5,V31)</f>
      </c>
      <c r="AQ30" s="1">
        <f>IF($A31="",'Mai'!$AE$5,AE31)</f>
      </c>
      <c r="AR30" s="1">
        <f>AE29</f>
      </c>
      <c r="AS30" s="1">
        <f>X29</f>
      </c>
      <c r="AT30" s="1">
        <f>U29</f>
      </c>
      <c r="AU30" s="1">
        <f>V29</f>
      </c>
    </row>
    <row r="31" spans="1:47" x14ac:dyDescent="0.25">
      <c r="A31" s="17">
        <f>IF(MONTH(DATE(Jahr,4,27))=4,DATE(Jahr,4,27),"")</f>
      </c>
      <c r="B31" s="13">
        <f>IF(A31="","",CHOOSE(WEEKDAY(A31,2),"Mo","Di","Mi","Do","Fr","Sa","So"))</f>
      </c>
      <c r="C31" s="18"/>
      <c r="D31" s="18"/>
      <c r="E31" s="7"/>
      <c r="F31" s="7"/>
      <c r="G31" s="7"/>
      <c r="H31" s="19"/>
      <c r="I31" s="19"/>
      <c r="J31" s="19"/>
      <c r="K31" s="9"/>
      <c r="L31" s="20">
        <f>IF(OR(AD31=0,AF31&lt;&gt;"",AND(W31=1,V31&gt;0,OR(T31=1,U31=1))),"",AE31/1440)</f>
      </c>
      <c r="M31" s="21">
        <f>IF(OR(AD31=0,AF31&lt;&gt;""),"",AJ31)</f>
      </c>
      <c r="N31" s="21">
        <f>IF(AK31=0,"",AK31)</f>
      </c>
      <c r="O31" s="21">
        <f>IF(OR(AD31=0,AF31&lt;&gt;""),"",AJ31-AK31)</f>
      </c>
      <c r="P31" s="21">
        <f>IF(AND(AD31=1,AF31="",V31=2),AI31,"")</f>
      </c>
      <c r="Q31" s="21">
        <f>IF(OR($A31="",N(K31)=0),"",ROUND(K31*KmSatz,2))</f>
      </c>
      <c r="R31" s="22">
        <f>IF(AF31&amp;AL31="","",LEFT(AF31&amp;AL31,LEN(AF31&amp;AL31)-2))</f>
      </c>
      <c r="S31" s="1"/>
      <c r="T31" s="1">
        <f>IF(AND($A31&lt;&gt;"",ISNUMBER(C31)),1,0)</f>
      </c>
      <c r="U31" s="1">
        <f>IF(AND($A31&lt;&gt;"",ISNUMBER(D31)),1,0)</f>
      </c>
      <c r="V31" s="1">
        <f>IF($A31="",0,IF(E31="ja",1,IF(E31="Pauschale",2,0)))</f>
      </c>
      <c r="W31" s="1">
        <f>IF($A31="",0,IF(AU31&gt;0,1,0))</f>
      </c>
      <c r="X31" s="1">
        <f>IF(AND(T31=1,W31=0),1,0)</f>
      </c>
      <c r="Y31" s="1">
        <f>IF(AND(AS31=1,AT31=0,AU31=0),1,0)</f>
      </c>
      <c r="Z31" s="1">
        <f>IF(AND(Y31=1,T31=0,U31=1,V31=0),1,0)</f>
      </c>
      <c r="AA31" s="1">
        <f>IF(AND(X31=1,U31=0,V31=0,AN31=0,AO31=1,AP31=0),1,0)</f>
      </c>
      <c r="AB31" s="1">
        <f>IF(OR(W31=1,Z31=1),0,IF(T31=1,C31,0))</f>
      </c>
      <c r="AC31" s="1">
        <f>IF(OR(V31&gt;0,AA31=1),1,IF(U31=1,D31,1))</f>
      </c>
      <c r="AD31" s="1">
        <f>IF($A31="",0,IF(OR(T31=1,U31=1,V31&gt;0,W31=1),1,0))</f>
      </c>
      <c r="AE31" s="1">
        <f>IF(AD31=0,0,ROUND((AC31-AB31)*1440,0))</f>
      </c>
      <c r="AF31" s="1">
        <f>IF(AD31=0,"",IF(AND(F31&lt;&gt;"",ISNA(MATCH(F31,PauschLand,0))),"Land nicht in der Liste; ","")&amp;IF(AND(T31=0,W31=0,Z31=0),"Beginn fehlt; ","")&amp;IF(AND(V31=0,U31=0,AA31=0),"Ende fehlt; ","")&amp;IF(AND(X31=1,U31=1,V31=0,N(D31)&lt;N(C31)),"Ende vor Beginn (über Mitternacht: Ende in die Zeile des Folgetags); ",""))</f>
      </c>
      <c r="AG31" s="1">
        <f>IF(AD31=0,0,IFERROR(VLOOKUP(IF(F31="","Deutschland",F31),PauschTab,2,FALSE),0))</f>
      </c>
      <c r="AH31" s="1">
        <f>IF(AD31=0,0,IFERROR(VLOOKUP(IF(F31="","Deutschland",F31),PauschTab,3,FALSE),0))</f>
      </c>
      <c r="AI31" s="1">
        <f>IF(AD31=0,0,IFERROR(VLOOKUP(IF(F31="","Deutschland",F31),PauschTab,4,FALSE),0))</f>
      </c>
      <c r="AJ31" s="1">
        <f>IF(OR(AD31=0,AF31&lt;&gt;""),0,IF(AND(W31=1,V31&gt;0),IF(OR(T31=1,U31=1),AH31,AG31),IF(OR(W31=1,V31&gt;0),AH31,IF(AA31=1,IF(AND(AE31+AQ31&gt;480,AE31&gt;=AQ31),AH31,0),IF(Z31=1,IF(AND(AR31+AE31&gt;480,AE31&gt;AR31),AH31,0),IF(AE31&gt;480,AH31,0))))))</f>
      </c>
      <c r="AK31" s="1">
        <f>MIN(AJ31,AM31)</f>
      </c>
      <c r="AL31" s="1">
        <f>IF(OR(AD31=0,AF31&lt;&gt;""),"",IF(AND(W31=0,V31=0,AA31=0,Z31=0,AE31&lt;=480),"nicht mehr als 8 Std.; ","")&amp;IF(AA31=1,IF(AJ31&gt;0,"über Mitternacht, zusammen "&amp;TEXT((AE31+AQ31)/1440,"[h]:mm")&amp;" Std.; ",IF(AE31+AQ31&gt;480,"über Mitternacht: Pauschale am Folgetag; ","über Mitternacht, zusammen nicht mehr als 8 Std.; ")),"")&amp;IF(Z31=1,IF(AJ31&gt;0,"über Mitternacht, zusammen "&amp;TEXT((AR31+AE31)/1440,"[h]:mm")&amp;" Std.; ",IF(AR31+AE31&gt;480,"über Mitternacht: Pauschale am Vortag; ","über Mitternacht, zusammen nicht mehr als 8 Std.; ")),"")&amp;IF(AND(W31=1,V31&gt;0,OR(T31=1,U31=1)),"zwischendurch zu Hause: An- und Abreisetag; ","")&amp;IF(AND(W31=1,V31=0,T31=1),"Beginn leer lassen: unterwegs seit dem Vortag; ","")&amp;IF(AND(W31=0,V31&gt;0,U31=1),"Ende leer lassen: Übernachtung; ","")&amp;IF(AND(AJ31&gt;0,AM31&gt;AJ31),"Kürzung auf die Pauschale begrenzt; ",""))</f>
      </c>
      <c r="AM31" s="1">
        <f>ROUND(AG31*(IF(H31&lt;&gt;"",0.2,0)+IF(I31&lt;&gt;"",0.4,0)+IF(J31&lt;&gt;"",0.4,0)),2)</f>
      </c>
      <c r="AN31" s="1">
        <f>IF($A32="",'Mai'!$T$5,T32)</f>
      </c>
      <c r="AO31" s="1">
        <f>IF($A32="",'Mai'!$U$5,U32)</f>
      </c>
      <c r="AP31" s="1">
        <f>IF($A32="",'Mai'!$V$5,V32)</f>
      </c>
      <c r="AQ31" s="1">
        <f>IF($A32="",'Mai'!$AE$5,AE32)</f>
      </c>
      <c r="AR31" s="1">
        <f>AE30</f>
      </c>
      <c r="AS31" s="1">
        <f>X30</f>
      </c>
      <c r="AT31" s="1">
        <f>U30</f>
      </c>
      <c r="AU31" s="1">
        <f>V30</f>
      </c>
    </row>
    <row r="32" spans="1:47" x14ac:dyDescent="0.25">
      <c r="A32" s="17">
        <f>IF(MONTH(DATE(Jahr,4,28))=4,DATE(Jahr,4,28),"")</f>
      </c>
      <c r="B32" s="13">
        <f>IF(A32="","",CHOOSE(WEEKDAY(A32,2),"Mo","Di","Mi","Do","Fr","Sa","So"))</f>
      </c>
      <c r="C32" s="18"/>
      <c r="D32" s="18"/>
      <c r="E32" s="7"/>
      <c r="F32" s="7"/>
      <c r="G32" s="7"/>
      <c r="H32" s="19"/>
      <c r="I32" s="19"/>
      <c r="J32" s="19"/>
      <c r="K32" s="9"/>
      <c r="L32" s="20">
        <f>IF(OR(AD32=0,AF32&lt;&gt;"",AND(W32=1,V32&gt;0,OR(T32=1,U32=1))),"",AE32/1440)</f>
      </c>
      <c r="M32" s="21">
        <f>IF(OR(AD32=0,AF32&lt;&gt;""),"",AJ32)</f>
      </c>
      <c r="N32" s="21">
        <f>IF(AK32=0,"",AK32)</f>
      </c>
      <c r="O32" s="21">
        <f>IF(OR(AD32=0,AF32&lt;&gt;""),"",AJ32-AK32)</f>
      </c>
      <c r="P32" s="21">
        <f>IF(AND(AD32=1,AF32="",V32=2),AI32,"")</f>
      </c>
      <c r="Q32" s="21">
        <f>IF(OR($A32="",N(K32)=0),"",ROUND(K32*KmSatz,2))</f>
      </c>
      <c r="R32" s="22">
        <f>IF(AF32&amp;AL32="","",LEFT(AF32&amp;AL32,LEN(AF32&amp;AL32)-2))</f>
      </c>
      <c r="S32" s="1"/>
      <c r="T32" s="1">
        <f>IF(AND($A32&lt;&gt;"",ISNUMBER(C32)),1,0)</f>
      </c>
      <c r="U32" s="1">
        <f>IF(AND($A32&lt;&gt;"",ISNUMBER(D32)),1,0)</f>
      </c>
      <c r="V32" s="1">
        <f>IF($A32="",0,IF(E32="ja",1,IF(E32="Pauschale",2,0)))</f>
      </c>
      <c r="W32" s="1">
        <f>IF($A32="",0,IF(AU32&gt;0,1,0))</f>
      </c>
      <c r="X32" s="1">
        <f>IF(AND(T32=1,W32=0),1,0)</f>
      </c>
      <c r="Y32" s="1">
        <f>IF(AND(AS32=1,AT32=0,AU32=0),1,0)</f>
      </c>
      <c r="Z32" s="1">
        <f>IF(AND(Y32=1,T32=0,U32=1,V32=0),1,0)</f>
      </c>
      <c r="AA32" s="1">
        <f>IF(AND(X32=1,U32=0,V32=0,AN32=0,AO32=1,AP32=0),1,0)</f>
      </c>
      <c r="AB32" s="1">
        <f>IF(OR(W32=1,Z32=1),0,IF(T32=1,C32,0))</f>
      </c>
      <c r="AC32" s="1">
        <f>IF(OR(V32&gt;0,AA32=1),1,IF(U32=1,D32,1))</f>
      </c>
      <c r="AD32" s="1">
        <f>IF($A32="",0,IF(OR(T32=1,U32=1,V32&gt;0,W32=1),1,0))</f>
      </c>
      <c r="AE32" s="1">
        <f>IF(AD32=0,0,ROUND((AC32-AB32)*1440,0))</f>
      </c>
      <c r="AF32" s="1">
        <f>IF(AD32=0,"",IF(AND(F32&lt;&gt;"",ISNA(MATCH(F32,PauschLand,0))),"Land nicht in der Liste; ","")&amp;IF(AND(T32=0,W32=0,Z32=0),"Beginn fehlt; ","")&amp;IF(AND(V32=0,U32=0,AA32=0),"Ende fehlt; ","")&amp;IF(AND(X32=1,U32=1,V32=0,N(D32)&lt;N(C32)),"Ende vor Beginn (über Mitternacht: Ende in die Zeile des Folgetags); ",""))</f>
      </c>
      <c r="AG32" s="1">
        <f>IF(AD32=0,0,IFERROR(VLOOKUP(IF(F32="","Deutschland",F32),PauschTab,2,FALSE),0))</f>
      </c>
      <c r="AH32" s="1">
        <f>IF(AD32=0,0,IFERROR(VLOOKUP(IF(F32="","Deutschland",F32),PauschTab,3,FALSE),0))</f>
      </c>
      <c r="AI32" s="1">
        <f>IF(AD32=0,0,IFERROR(VLOOKUP(IF(F32="","Deutschland",F32),PauschTab,4,FALSE),0))</f>
      </c>
      <c r="AJ32" s="1">
        <f>IF(OR(AD32=0,AF32&lt;&gt;""),0,IF(AND(W32=1,V32&gt;0),IF(OR(T32=1,U32=1),AH32,AG32),IF(OR(W32=1,V32&gt;0),AH32,IF(AA32=1,IF(AND(AE32+AQ32&gt;480,AE32&gt;=AQ32),AH32,0),IF(Z32=1,IF(AND(AR32+AE32&gt;480,AE32&gt;AR32),AH32,0),IF(AE32&gt;480,AH32,0))))))</f>
      </c>
      <c r="AK32" s="1">
        <f>MIN(AJ32,AM32)</f>
      </c>
      <c r="AL32" s="1">
        <f>IF(OR(AD32=0,AF32&lt;&gt;""),"",IF(AND(W32=0,V32=0,AA32=0,Z32=0,AE32&lt;=480),"nicht mehr als 8 Std.; ","")&amp;IF(AA32=1,IF(AJ32&gt;0,"über Mitternacht, zusammen "&amp;TEXT((AE32+AQ32)/1440,"[h]:mm")&amp;" Std.; ",IF(AE32+AQ32&gt;480,"über Mitternacht: Pauschale am Folgetag; ","über Mitternacht, zusammen nicht mehr als 8 Std.; ")),"")&amp;IF(Z32=1,IF(AJ32&gt;0,"über Mitternacht, zusammen "&amp;TEXT((AR32+AE32)/1440,"[h]:mm")&amp;" Std.; ",IF(AR32+AE32&gt;480,"über Mitternacht: Pauschale am Vortag; ","über Mitternacht, zusammen nicht mehr als 8 Std.; ")),"")&amp;IF(AND(W32=1,V32&gt;0,OR(T32=1,U32=1)),"zwischendurch zu Hause: An- und Abreisetag; ","")&amp;IF(AND(W32=1,V32=0,T32=1),"Beginn leer lassen: unterwegs seit dem Vortag; ","")&amp;IF(AND(W32=0,V32&gt;0,U32=1),"Ende leer lassen: Übernachtung; ","")&amp;IF(AND(AJ32&gt;0,AM32&gt;AJ32),"Kürzung auf die Pauschale begrenzt; ",""))</f>
      </c>
      <c r="AM32" s="1">
        <f>ROUND(AG32*(IF(H32&lt;&gt;"",0.2,0)+IF(I32&lt;&gt;"",0.4,0)+IF(J32&lt;&gt;"",0.4,0)),2)</f>
      </c>
      <c r="AN32" s="1">
        <f>IF($A33="",'Mai'!$T$5,T33)</f>
      </c>
      <c r="AO32" s="1">
        <f>IF($A33="",'Mai'!$U$5,U33)</f>
      </c>
      <c r="AP32" s="1">
        <f>IF($A33="",'Mai'!$V$5,V33)</f>
      </c>
      <c r="AQ32" s="1">
        <f>IF($A33="",'Mai'!$AE$5,AE33)</f>
      </c>
      <c r="AR32" s="1">
        <f>AE31</f>
      </c>
      <c r="AS32" s="1">
        <f>X31</f>
      </c>
      <c r="AT32" s="1">
        <f>U31</f>
      </c>
      <c r="AU32" s="1">
        <f>V31</f>
      </c>
    </row>
    <row r="33" spans="1:47" x14ac:dyDescent="0.25">
      <c r="A33" s="17">
        <f>IF(MONTH(DATE(Jahr,4,29))=4,DATE(Jahr,4,29),"")</f>
      </c>
      <c r="B33" s="13">
        <f>IF(A33="","",CHOOSE(WEEKDAY(A33,2),"Mo","Di","Mi","Do","Fr","Sa","So"))</f>
      </c>
      <c r="C33" s="18"/>
      <c r="D33" s="18"/>
      <c r="E33" s="7"/>
      <c r="F33" s="7"/>
      <c r="G33" s="7"/>
      <c r="H33" s="19"/>
      <c r="I33" s="19"/>
      <c r="J33" s="19"/>
      <c r="K33" s="9"/>
      <c r="L33" s="20">
        <f>IF(OR(AD33=0,AF33&lt;&gt;"",AND(W33=1,V33&gt;0,OR(T33=1,U33=1))),"",AE33/1440)</f>
      </c>
      <c r="M33" s="21">
        <f>IF(OR(AD33=0,AF33&lt;&gt;""),"",AJ33)</f>
      </c>
      <c r="N33" s="21">
        <f>IF(AK33=0,"",AK33)</f>
      </c>
      <c r="O33" s="21">
        <f>IF(OR(AD33=0,AF33&lt;&gt;""),"",AJ33-AK33)</f>
      </c>
      <c r="P33" s="21">
        <f>IF(AND(AD33=1,AF33="",V33=2),AI33,"")</f>
      </c>
      <c r="Q33" s="21">
        <f>IF(OR($A33="",N(K33)=0),"",ROUND(K33*KmSatz,2))</f>
      </c>
      <c r="R33" s="22">
        <f>IF(AF33&amp;AL33="","",LEFT(AF33&amp;AL33,LEN(AF33&amp;AL33)-2))</f>
      </c>
      <c r="S33" s="1"/>
      <c r="T33" s="1">
        <f>IF(AND($A33&lt;&gt;"",ISNUMBER(C33)),1,0)</f>
      </c>
      <c r="U33" s="1">
        <f>IF(AND($A33&lt;&gt;"",ISNUMBER(D33)),1,0)</f>
      </c>
      <c r="V33" s="1">
        <f>IF($A33="",0,IF(E33="ja",1,IF(E33="Pauschale",2,0)))</f>
      </c>
      <c r="W33" s="1">
        <f>IF($A33="",0,IF(AU33&gt;0,1,0))</f>
      </c>
      <c r="X33" s="1">
        <f>IF(AND(T33=1,W33=0),1,0)</f>
      </c>
      <c r="Y33" s="1">
        <f>IF(AND(AS33=1,AT33=0,AU33=0),1,0)</f>
      </c>
      <c r="Z33" s="1">
        <f>IF(AND(Y33=1,T33=0,U33=1,V33=0),1,0)</f>
      </c>
      <c r="AA33" s="1">
        <f>IF(AND(X33=1,U33=0,V33=0,AN33=0,AO33=1,AP33=0),1,0)</f>
      </c>
      <c r="AB33" s="1">
        <f>IF(OR(W33=1,Z33=1),0,IF(T33=1,C33,0))</f>
      </c>
      <c r="AC33" s="1">
        <f>IF(OR(V33&gt;0,AA33=1),1,IF(U33=1,D33,1))</f>
      </c>
      <c r="AD33" s="1">
        <f>IF($A33="",0,IF(OR(T33=1,U33=1,V33&gt;0,W33=1),1,0))</f>
      </c>
      <c r="AE33" s="1">
        <f>IF(AD33=0,0,ROUND((AC33-AB33)*1440,0))</f>
      </c>
      <c r="AF33" s="1">
        <f>IF(AD33=0,"",IF(AND(F33&lt;&gt;"",ISNA(MATCH(F33,PauschLand,0))),"Land nicht in der Liste; ","")&amp;IF(AND(T33=0,W33=0,Z33=0),"Beginn fehlt; ","")&amp;IF(AND(V33=0,U33=0,AA33=0),"Ende fehlt; ","")&amp;IF(AND(X33=1,U33=1,V33=0,N(D33)&lt;N(C33)),"Ende vor Beginn (über Mitternacht: Ende in die Zeile des Folgetags); ",""))</f>
      </c>
      <c r="AG33" s="1">
        <f>IF(AD33=0,0,IFERROR(VLOOKUP(IF(F33="","Deutschland",F33),PauschTab,2,FALSE),0))</f>
      </c>
      <c r="AH33" s="1">
        <f>IF(AD33=0,0,IFERROR(VLOOKUP(IF(F33="","Deutschland",F33),PauschTab,3,FALSE),0))</f>
      </c>
      <c r="AI33" s="1">
        <f>IF(AD33=0,0,IFERROR(VLOOKUP(IF(F33="","Deutschland",F33),PauschTab,4,FALSE),0))</f>
      </c>
      <c r="AJ33" s="1">
        <f>IF(OR(AD33=0,AF33&lt;&gt;""),0,IF(AND(W33=1,V33&gt;0),IF(OR(T33=1,U33=1),AH33,AG33),IF(OR(W33=1,V33&gt;0),AH33,IF(AA33=1,IF(AND(AE33+AQ33&gt;480,AE33&gt;=AQ33),AH33,0),IF(Z33=1,IF(AND(AR33+AE33&gt;480,AE33&gt;AR33),AH33,0),IF(AE33&gt;480,AH33,0))))))</f>
      </c>
      <c r="AK33" s="1">
        <f>MIN(AJ33,AM33)</f>
      </c>
      <c r="AL33" s="1">
        <f>IF(OR(AD33=0,AF33&lt;&gt;""),"",IF(AND(W33=0,V33=0,AA33=0,Z33=0,AE33&lt;=480),"nicht mehr als 8 Std.; ","")&amp;IF(AA33=1,IF(AJ33&gt;0,"über Mitternacht, zusammen "&amp;TEXT((AE33+AQ33)/1440,"[h]:mm")&amp;" Std.; ",IF(AE33+AQ33&gt;480,"über Mitternacht: Pauschale am Folgetag; ","über Mitternacht, zusammen nicht mehr als 8 Std.; ")),"")&amp;IF(Z33=1,IF(AJ33&gt;0,"über Mitternacht, zusammen "&amp;TEXT((AR33+AE33)/1440,"[h]:mm")&amp;" Std.; ",IF(AR33+AE33&gt;480,"über Mitternacht: Pauschale am Vortag; ","über Mitternacht, zusammen nicht mehr als 8 Std.; ")),"")&amp;IF(AND(W33=1,V33&gt;0,OR(T33=1,U33=1)),"zwischendurch zu Hause: An- und Abreisetag; ","")&amp;IF(AND(W33=1,V33=0,T33=1),"Beginn leer lassen: unterwegs seit dem Vortag; ","")&amp;IF(AND(W33=0,V33&gt;0,U33=1),"Ende leer lassen: Übernachtung; ","")&amp;IF(AND(AJ33&gt;0,AM33&gt;AJ33),"Kürzung auf die Pauschale begrenzt; ",""))</f>
      </c>
      <c r="AM33" s="1">
        <f>ROUND(AG33*(IF(H33&lt;&gt;"",0.2,0)+IF(I33&lt;&gt;"",0.4,0)+IF(J33&lt;&gt;"",0.4,0)),2)</f>
      </c>
      <c r="AN33" s="1">
        <f>IF($A34="",'Mai'!$T$5,T34)</f>
      </c>
      <c r="AO33" s="1">
        <f>IF($A34="",'Mai'!$U$5,U34)</f>
      </c>
      <c r="AP33" s="1">
        <f>IF($A34="",'Mai'!$V$5,V34)</f>
      </c>
      <c r="AQ33" s="1">
        <f>IF($A34="",'Mai'!$AE$5,AE34)</f>
      </c>
      <c r="AR33" s="1">
        <f>AE32</f>
      </c>
      <c r="AS33" s="1">
        <f>X32</f>
      </c>
      <c r="AT33" s="1">
        <f>U32</f>
      </c>
      <c r="AU33" s="1">
        <f>V32</f>
      </c>
    </row>
    <row r="34" spans="1:47" x14ac:dyDescent="0.25">
      <c r="A34" s="17">
        <f>IF(MONTH(DATE(Jahr,4,30))=4,DATE(Jahr,4,30),"")</f>
      </c>
      <c r="B34" s="13">
        <f>IF(A34="","",CHOOSE(WEEKDAY(A34,2),"Mo","Di","Mi","Do","Fr","Sa","So"))</f>
      </c>
      <c r="C34" s="18"/>
      <c r="D34" s="18"/>
      <c r="E34" s="7"/>
      <c r="F34" s="7"/>
      <c r="G34" s="7"/>
      <c r="H34" s="19"/>
      <c r="I34" s="19"/>
      <c r="J34" s="19"/>
      <c r="K34" s="9"/>
      <c r="L34" s="20">
        <f>IF(OR(AD34=0,AF34&lt;&gt;"",AND(W34=1,V34&gt;0,OR(T34=1,U34=1))),"",AE34/1440)</f>
      </c>
      <c r="M34" s="21">
        <f>IF(OR(AD34=0,AF34&lt;&gt;""),"",AJ34)</f>
      </c>
      <c r="N34" s="21">
        <f>IF(AK34=0,"",AK34)</f>
      </c>
      <c r="O34" s="21">
        <f>IF(OR(AD34=0,AF34&lt;&gt;""),"",AJ34-AK34)</f>
      </c>
      <c r="P34" s="21">
        <f>IF(AND(AD34=1,AF34="",V34=2),AI34,"")</f>
      </c>
      <c r="Q34" s="21">
        <f>IF(OR($A34="",N(K34)=0),"",ROUND(K34*KmSatz,2))</f>
      </c>
      <c r="R34" s="22">
        <f>IF(AF34&amp;AL34="","",LEFT(AF34&amp;AL34,LEN(AF34&amp;AL34)-2))</f>
      </c>
      <c r="S34" s="1"/>
      <c r="T34" s="1">
        <f>IF(AND($A34&lt;&gt;"",ISNUMBER(C34)),1,0)</f>
      </c>
      <c r="U34" s="1">
        <f>IF(AND($A34&lt;&gt;"",ISNUMBER(D34)),1,0)</f>
      </c>
      <c r="V34" s="1">
        <f>IF($A34="",0,IF(E34="ja",1,IF(E34="Pauschale",2,0)))</f>
      </c>
      <c r="W34" s="1">
        <f>IF($A34="",0,IF(AU34&gt;0,1,0))</f>
      </c>
      <c r="X34" s="1">
        <f>IF(AND(T34=1,W34=0),1,0)</f>
      </c>
      <c r="Y34" s="1">
        <f>IF(AND(AS34=1,AT34=0,AU34=0),1,0)</f>
      </c>
      <c r="Z34" s="1">
        <f>IF(AND(Y34=1,T34=0,U34=1,V34=0),1,0)</f>
      </c>
      <c r="AA34" s="1">
        <f>IF(AND(X34=1,U34=0,V34=0,AN34=0,AO34=1,AP34=0),1,0)</f>
      </c>
      <c r="AB34" s="1">
        <f>IF(OR(W34=1,Z34=1),0,IF(T34=1,C34,0))</f>
      </c>
      <c r="AC34" s="1">
        <f>IF(OR(V34&gt;0,AA34=1),1,IF(U34=1,D34,1))</f>
      </c>
      <c r="AD34" s="1">
        <f>IF($A34="",0,IF(OR(T34=1,U34=1,V34&gt;0,W34=1),1,0))</f>
      </c>
      <c r="AE34" s="1">
        <f>IF(AD34=0,0,ROUND((AC34-AB34)*1440,0))</f>
      </c>
      <c r="AF34" s="1">
        <f>IF(AD34=0,"",IF(AND(F34&lt;&gt;"",ISNA(MATCH(F34,PauschLand,0))),"Land nicht in der Liste; ","")&amp;IF(AND(T34=0,W34=0,Z34=0),"Beginn fehlt; ","")&amp;IF(AND(V34=0,U34=0,AA34=0),"Ende fehlt; ","")&amp;IF(AND(X34=1,U34=1,V34=0,N(D34)&lt;N(C34)),"Ende vor Beginn (über Mitternacht: Ende in die Zeile des Folgetags); ",""))</f>
      </c>
      <c r="AG34" s="1">
        <f>IF(AD34=0,0,IFERROR(VLOOKUP(IF(F34="","Deutschland",F34),PauschTab,2,FALSE),0))</f>
      </c>
      <c r="AH34" s="1">
        <f>IF(AD34=0,0,IFERROR(VLOOKUP(IF(F34="","Deutschland",F34),PauschTab,3,FALSE),0))</f>
      </c>
      <c r="AI34" s="1">
        <f>IF(AD34=0,0,IFERROR(VLOOKUP(IF(F34="","Deutschland",F34),PauschTab,4,FALSE),0))</f>
      </c>
      <c r="AJ34" s="1">
        <f>IF(OR(AD34=0,AF34&lt;&gt;""),0,IF(AND(W34=1,V34&gt;0),IF(OR(T34=1,U34=1),AH34,AG34),IF(OR(W34=1,V34&gt;0),AH34,IF(AA34=1,IF(AND(AE34+AQ34&gt;480,AE34&gt;=AQ34),AH34,0),IF(Z34=1,IF(AND(AR34+AE34&gt;480,AE34&gt;AR34),AH34,0),IF(AE34&gt;480,AH34,0))))))</f>
      </c>
      <c r="AK34" s="1">
        <f>MIN(AJ34,AM34)</f>
      </c>
      <c r="AL34" s="1">
        <f>IF(OR(AD34=0,AF34&lt;&gt;""),"",IF(AND(W34=0,V34=0,AA34=0,Z34=0,AE34&lt;=480),"nicht mehr als 8 Std.; ","")&amp;IF(AA34=1,IF(AJ34&gt;0,"über Mitternacht, zusammen "&amp;TEXT((AE34+AQ34)/1440,"[h]:mm")&amp;" Std.; ",IF(AE34+AQ34&gt;480,"über Mitternacht: Pauschale am Folgetag; ","über Mitternacht, zusammen nicht mehr als 8 Std.; ")),"")&amp;IF(Z34=1,IF(AJ34&gt;0,"über Mitternacht, zusammen "&amp;TEXT((AR34+AE34)/1440,"[h]:mm")&amp;" Std.; ",IF(AR34+AE34&gt;480,"über Mitternacht: Pauschale am Vortag; ","über Mitternacht, zusammen nicht mehr als 8 Std.; ")),"")&amp;IF(AND(W34=1,V34&gt;0,OR(T34=1,U34=1)),"zwischendurch zu Hause: An- und Abreisetag; ","")&amp;IF(AND(W34=1,V34=0,T34=1),"Beginn leer lassen: unterwegs seit dem Vortag; ","")&amp;IF(AND(W34=0,V34&gt;0,U34=1),"Ende leer lassen: Übernachtung; ","")&amp;IF(AND(AJ34&gt;0,AM34&gt;AJ34),"Kürzung auf die Pauschale begrenzt; ",""))</f>
      </c>
      <c r="AM34" s="1">
        <f>ROUND(AG34*(IF(H34&lt;&gt;"",0.2,0)+IF(I34&lt;&gt;"",0.4,0)+IF(J34&lt;&gt;"",0.4,0)),2)</f>
      </c>
      <c r="AN34" s="1">
        <f>IF($A35="",'Mai'!$T$5,T35)</f>
      </c>
      <c r="AO34" s="1">
        <f>IF($A35="",'Mai'!$U$5,U35)</f>
      </c>
      <c r="AP34" s="1">
        <f>IF($A35="",'Mai'!$V$5,V35)</f>
      </c>
      <c r="AQ34" s="1">
        <f>IF($A35="",'Mai'!$AE$5,AE35)</f>
      </c>
      <c r="AR34" s="1">
        <f>AE33</f>
      </c>
      <c r="AS34" s="1">
        <f>X33</f>
      </c>
      <c r="AT34" s="1">
        <f>U33</f>
      </c>
      <c r="AU34" s="1">
        <f>V33</f>
      </c>
    </row>
    <row r="35" spans="1:47" x14ac:dyDescent="0.25">
      <c r="A35" s="17">
        <f>IF(MONTH(DATE(Jahr,4,31))=4,DATE(Jahr,4,31),"")</f>
      </c>
      <c r="B35" s="13">
        <f>IF(A35="","",CHOOSE(WEEKDAY(A35,2),"Mo","Di","Mi","Do","Fr","Sa","So"))</f>
      </c>
      <c r="C35" s="18"/>
      <c r="D35" s="18"/>
      <c r="E35" s="7"/>
      <c r="F35" s="7"/>
      <c r="G35" s="7"/>
      <c r="H35" s="19"/>
      <c r="I35" s="19"/>
      <c r="J35" s="19"/>
      <c r="K35" s="9"/>
      <c r="L35" s="20">
        <f>IF(OR(AD35=0,AF35&lt;&gt;"",AND(W35=1,V35&gt;0,OR(T35=1,U35=1))),"",AE35/1440)</f>
      </c>
      <c r="M35" s="21">
        <f>IF(OR(AD35=0,AF35&lt;&gt;""),"",AJ35)</f>
      </c>
      <c r="N35" s="21">
        <f>IF(AK35=0,"",AK35)</f>
      </c>
      <c r="O35" s="21">
        <f>IF(OR(AD35=0,AF35&lt;&gt;""),"",AJ35-AK35)</f>
      </c>
      <c r="P35" s="21">
        <f>IF(AND(AD35=1,AF35="",V35=2),AI35,"")</f>
      </c>
      <c r="Q35" s="21">
        <f>IF(OR($A35="",N(K35)=0),"",ROUND(K35*KmSatz,2))</f>
      </c>
      <c r="R35" s="22">
        <f>IF(AF35&amp;AL35="","",LEFT(AF35&amp;AL35,LEN(AF35&amp;AL35)-2))</f>
      </c>
      <c r="S35" s="1"/>
      <c r="T35" s="1">
        <f>IF(AND($A35&lt;&gt;"",ISNUMBER(C35)),1,0)</f>
      </c>
      <c r="U35" s="1">
        <f>IF(AND($A35&lt;&gt;"",ISNUMBER(D35)),1,0)</f>
      </c>
      <c r="V35" s="1">
        <f>IF($A35="",0,IF(E35="ja",1,IF(E35="Pauschale",2,0)))</f>
      </c>
      <c r="W35" s="1">
        <f>IF($A35="",0,IF(AU35&gt;0,1,0))</f>
      </c>
      <c r="X35" s="1">
        <f>IF(AND(T35=1,W35=0),1,0)</f>
      </c>
      <c r="Y35" s="1">
        <f>IF(AND(AS35=1,AT35=0,AU35=0),1,0)</f>
      </c>
      <c r="Z35" s="1">
        <f>IF(AND(Y35=1,T35=0,U35=1,V35=0),1,0)</f>
      </c>
      <c r="AA35" s="1">
        <f>IF(AND(X35=1,U35=0,V35=0,AN35=0,AO35=1,AP35=0),1,0)</f>
      </c>
      <c r="AB35" s="1">
        <f>IF(OR(W35=1,Z35=1),0,IF(T35=1,C35,0))</f>
      </c>
      <c r="AC35" s="1">
        <f>IF(OR(V35&gt;0,AA35=1),1,IF(U35=1,D35,1))</f>
      </c>
      <c r="AD35" s="1">
        <f>IF($A35="",0,IF(OR(T35=1,U35=1,V35&gt;0,W35=1),1,0))</f>
      </c>
      <c r="AE35" s="1">
        <f>IF(AD35=0,0,ROUND((AC35-AB35)*1440,0))</f>
      </c>
      <c r="AF35" s="1">
        <f>IF(AD35=0,"",IF(AND(F35&lt;&gt;"",ISNA(MATCH(F35,PauschLand,0))),"Land nicht in der Liste; ","")&amp;IF(AND(T35=0,W35=0,Z35=0),"Beginn fehlt; ","")&amp;IF(AND(V35=0,U35=0,AA35=0),"Ende fehlt; ","")&amp;IF(AND(X35=1,U35=1,V35=0,N(D35)&lt;N(C35)),"Ende vor Beginn (über Mitternacht: Ende in die Zeile des Folgetags); ",""))</f>
      </c>
      <c r="AG35" s="1">
        <f>IF(AD35=0,0,IFERROR(VLOOKUP(IF(F35="","Deutschland",F35),PauschTab,2,FALSE),0))</f>
      </c>
      <c r="AH35" s="1">
        <f>IF(AD35=0,0,IFERROR(VLOOKUP(IF(F35="","Deutschland",F35),PauschTab,3,FALSE),0))</f>
      </c>
      <c r="AI35" s="1">
        <f>IF(AD35=0,0,IFERROR(VLOOKUP(IF(F35="","Deutschland",F35),PauschTab,4,FALSE),0))</f>
      </c>
      <c r="AJ35" s="1">
        <f>IF(OR(AD35=0,AF35&lt;&gt;""),0,IF(AND(W35=1,V35&gt;0),IF(OR(T35=1,U35=1),AH35,AG35),IF(OR(W35=1,V35&gt;0),AH35,IF(AA35=1,IF(AND(AE35+AQ35&gt;480,AE35&gt;=AQ35),AH35,0),IF(Z35=1,IF(AND(AR35+AE35&gt;480,AE35&gt;AR35),AH35,0),IF(AE35&gt;480,AH35,0))))))</f>
      </c>
      <c r="AK35" s="1">
        <f>MIN(AJ35,AM35)</f>
      </c>
      <c r="AL35" s="1">
        <f>IF(OR(AD35=0,AF35&lt;&gt;""),"",IF(AND(W35=0,V35=0,AA35=0,Z35=0,AE35&lt;=480),"nicht mehr als 8 Std.; ","")&amp;IF(AA35=1,IF(AJ35&gt;0,"über Mitternacht, zusammen "&amp;TEXT((AE35+AQ35)/1440,"[h]:mm")&amp;" Std.; ",IF(AE35+AQ35&gt;480,"über Mitternacht: Pauschale am Folgetag; ","über Mitternacht, zusammen nicht mehr als 8 Std.; ")),"")&amp;IF(Z35=1,IF(AJ35&gt;0,"über Mitternacht, zusammen "&amp;TEXT((AR35+AE35)/1440,"[h]:mm")&amp;" Std.; ",IF(AR35+AE35&gt;480,"über Mitternacht: Pauschale am Vortag; ","über Mitternacht, zusammen nicht mehr als 8 Std.; ")),"")&amp;IF(AND(W35=1,V35&gt;0,OR(T35=1,U35=1)),"zwischendurch zu Hause: An- und Abreisetag; ","")&amp;IF(AND(W35=1,V35=0,T35=1),"Beginn leer lassen: unterwegs seit dem Vortag; ","")&amp;IF(AND(W35=0,V35&gt;0,U35=1),"Ende leer lassen: Übernachtung; ","")&amp;IF(AND(AJ35&gt;0,AM35&gt;AJ35),"Kürzung auf die Pauschale begrenzt; ",""))</f>
      </c>
      <c r="AM35" s="1">
        <f>ROUND(AG35*(IF(H35&lt;&gt;"",0.2,0)+IF(I35&lt;&gt;"",0.4,0)+IF(J35&lt;&gt;"",0.4,0)),2)</f>
      </c>
      <c r="AN35" s="1">
        <f>'Mai'!$T$5</f>
      </c>
      <c r="AO35" s="1">
        <f>'Mai'!$U$5</f>
      </c>
      <c r="AP35" s="1">
        <f>'Mai'!$V$5</f>
      </c>
      <c r="AQ35" s="1">
        <f>'Mai'!$AE$5</f>
      </c>
      <c r="AR35" s="1">
        <f>AE34</f>
      </c>
      <c r="AS35" s="1">
        <f>X34</f>
      </c>
      <c r="AT35" s="1">
        <f>U34</f>
      </c>
      <c r="AU35" s="1">
        <f>V34</f>
      </c>
    </row>
    <row r="37" spans="1:21" x14ac:dyDescent="0.25">
      <c r="A37" s="23">
        <f>"Abrechnung April "&amp;Jahr</f>
      </c>
      <c r="B37" s="1"/>
      <c r="C37" s="1"/>
      <c r="D37" s="1"/>
      <c r="E37" s="1"/>
      <c r="F37" s="1"/>
      <c r="G37" s="1"/>
      <c r="H37" s="1"/>
      <c r="I37" s="1"/>
      <c r="J37" s="1"/>
      <c r="K37" s="23">
        <f>"Buchung ("&amp;Kontenrahmen&amp;IF(Vorsteuerabzug="nein",", ohne Vorsteuer","")&amp;")"</f>
      </c>
      <c r="L37" s="1"/>
      <c r="M37" s="1"/>
      <c r="N37" s="1"/>
      <c r="O37" s="1"/>
      <c r="P37" s="1"/>
      <c r="Q37" s="1"/>
      <c r="R37" s="1"/>
      <c r="S37" s="1"/>
      <c r="T37" s="1">
        <f>COUNTIF(AD5:AD35,1)</f>
      </c>
      <c r="U37" s="1">
        <f>SUM(K5:K35)</f>
      </c>
    </row>
    <row r="38" spans="1:19" x14ac:dyDescent="0.25">
      <c r="A38" s="6" t="s">
        <v>49</v>
      </c>
      <c r="B38" s="6"/>
      <c r="C38" s="6"/>
      <c r="D38" s="6"/>
      <c r="E38" s="6"/>
      <c r="F38" s="6"/>
      <c r="G38" s="24">
        <f>SUM(O5:O35)</f>
      </c>
      <c r="H38" s="1"/>
      <c r="I38" s="1"/>
      <c r="J38" s="1"/>
      <c r="K38" s="25">
        <f>KtoVerpflegung</f>
      </c>
      <c r="L38" s="1" t="s">
        <v>49</v>
      </c>
      <c r="M38" s="1"/>
      <c r="N38" s="1"/>
      <c r="O38" s="1"/>
      <c r="P38" s="1"/>
      <c r="Q38" s="1"/>
      <c r="R38" s="26">
        <f>S38</f>
      </c>
      <c r="S38" s="1">
        <f>G38</f>
      </c>
    </row>
    <row r="39" spans="1:19" x14ac:dyDescent="0.25">
      <c r="A39" s="6" t="s">
        <v>75</v>
      </c>
      <c r="B39" s="6"/>
      <c r="C39" s="6"/>
      <c r="D39" s="6"/>
      <c r="E39" s="6"/>
      <c r="F39" s="6"/>
      <c r="G39" s="24">
        <f>SUMIFS(Belege!$O$5:$O$304,Belege!$L$5:$L$304,4,Belege!$C$5:$C$304,"Übernachtung")+SUM(P5:P35)</f>
      </c>
      <c r="H39" s="1"/>
      <c r="I39" s="1"/>
      <c r="J39" s="1"/>
      <c r="K39" s="25">
        <f>KtoUebernachtung</f>
      </c>
      <c r="L39" s="1" t="s">
        <v>50</v>
      </c>
      <c r="M39" s="1"/>
      <c r="N39" s="1"/>
      <c r="O39" s="1"/>
      <c r="P39" s="1"/>
      <c r="Q39" s="1"/>
      <c r="R39" s="26">
        <f>S39</f>
      </c>
      <c r="S39" s="1">
        <f>IF(Vorsteuerabzug="nein",SUMIFS(Belege!$O$5:$O$304,Belege!$L$5:$L$304,4,Belege!$C$5:$C$304,"Übernachtung"),SUMIFS(Belege!$P$5:$P$304,Belege!$L$5:$L$304,4,Belege!$C$5:$C$304,"Übernachtung"))+SUM(P5:P35)</f>
      </c>
    </row>
    <row r="40" spans="1:19" x14ac:dyDescent="0.25">
      <c r="A40" s="6" t="s">
        <v>76</v>
      </c>
      <c r="B40" s="6"/>
      <c r="C40" s="6"/>
      <c r="D40" s="6"/>
      <c r="E40" s="6"/>
      <c r="F40" s="6"/>
      <c r="G40" s="24">
        <f>SUMIFS(Belege!$O$5:$O$304,Belege!$L$5:$L$304,4,Belege!$C$5:$C$304,"Fahrtkosten")</f>
      </c>
      <c r="H40" s="1"/>
      <c r="I40" s="1"/>
      <c r="J40" s="1"/>
      <c r="K40" s="25">
        <f>KtoFahrtkosten</f>
      </c>
      <c r="L40" s="1" t="s">
        <v>51</v>
      </c>
      <c r="M40" s="1"/>
      <c r="N40" s="1"/>
      <c r="O40" s="1"/>
      <c r="P40" s="1"/>
      <c r="Q40" s="1"/>
      <c r="R40" s="26">
        <f>S40</f>
      </c>
      <c r="S40" s="1">
        <f>IF(Vorsteuerabzug="nein",SUMIFS(Belege!$O$5:$O$304,Belege!$L$5:$L$304,4,Belege!$C$5:$C$304,"Fahrtkosten"),SUMIFS(Belege!$P$5:$P$304,Belege!$L$5:$L$304,4,Belege!$C$5:$C$304,"Fahrtkosten"))</f>
      </c>
    </row>
    <row r="41" spans="1:19" x14ac:dyDescent="0.25">
      <c r="A41" s="6">
        <f>"Kilometergeld ("&amp;SUM(K5:K35)&amp;" km zu "&amp;IF(KmSatz=0.2,"0,20","0,30")&amp;" €)"</f>
      </c>
      <c r="B41" s="6"/>
      <c r="C41" s="6"/>
      <c r="D41" s="6"/>
      <c r="E41" s="6"/>
      <c r="F41" s="6"/>
      <c r="G41" s="24">
        <f>SUM(Q5:Q35)</f>
      </c>
      <c r="H41" s="1"/>
      <c r="I41" s="1"/>
      <c r="J41" s="1"/>
      <c r="K41" s="25">
        <f>KtoKilometergeld</f>
      </c>
      <c r="L41" s="1" t="s">
        <v>52</v>
      </c>
      <c r="M41" s="1"/>
      <c r="N41" s="1"/>
      <c r="O41" s="1"/>
      <c r="P41" s="1"/>
      <c r="Q41" s="1"/>
      <c r="R41" s="26">
        <f>S41</f>
      </c>
      <c r="S41" s="1">
        <f>G41</f>
      </c>
    </row>
    <row r="42" spans="1:19" x14ac:dyDescent="0.25">
      <c r="A42" s="6" t="s">
        <v>77</v>
      </c>
      <c r="B42" s="6"/>
      <c r="C42" s="6"/>
      <c r="D42" s="6"/>
      <c r="E42" s="6"/>
      <c r="F42" s="6"/>
      <c r="G42" s="24">
        <f>SUMIFS(Belege!$O$5:$O$304,Belege!$L$5:$L$304,4,Belege!$C$5:$C$304,"Nebenkosten")</f>
      </c>
      <c r="H42" s="1"/>
      <c r="I42" s="1"/>
      <c r="J42" s="1"/>
      <c r="K42" s="25">
        <f>KtoNebenkosten</f>
      </c>
      <c r="L42" s="1" t="s">
        <v>53</v>
      </c>
      <c r="M42" s="1"/>
      <c r="N42" s="1"/>
      <c r="O42" s="1"/>
      <c r="P42" s="1"/>
      <c r="Q42" s="1"/>
      <c r="R42" s="26">
        <f>S42</f>
      </c>
      <c r="S42" s="1">
        <f>IF(Vorsteuerabzug="nein",SUMIFS(Belege!$O$5:$O$304,Belege!$L$5:$L$304,4,Belege!$C$5:$C$304,"Nebenkosten"),SUMIFS(Belege!$P$5:$P$304,Belege!$L$5:$L$304,4,Belege!$C$5:$C$304,"Nebenkosten"))</f>
      </c>
    </row>
    <row r="43" spans="1:19" x14ac:dyDescent="0.25">
      <c r="A43" s="11" t="s">
        <v>78</v>
      </c>
      <c r="B43" s="11"/>
      <c r="C43" s="11"/>
      <c r="D43" s="11"/>
      <c r="E43" s="11"/>
      <c r="F43" s="11"/>
      <c r="G43" s="27">
        <f>SUM(G38:G42)</f>
      </c>
      <c r="H43" s="1"/>
      <c r="I43" s="1"/>
      <c r="J43" s="1"/>
      <c r="K43" s="25">
        <f>KtoVSt7</f>
      </c>
      <c r="L43" s="1" t="s">
        <v>54</v>
      </c>
      <c r="M43" s="1"/>
      <c r="N43" s="1"/>
      <c r="O43" s="1"/>
      <c r="P43" s="1"/>
      <c r="Q43" s="1"/>
      <c r="R43" s="26">
        <f>IF(Vorsteuerabzug="nein","",S43)</f>
      </c>
      <c r="S43" s="1">
        <f>IF(Vorsteuerabzug="nein",0,SUMIFS(Belege!$Q$5:$Q$304,Belege!$L$5:$L$304,4,Belege!$M$5:$M$304,0.07))</f>
      </c>
    </row>
    <row r="44" spans="1:19" x14ac:dyDescent="0.25">
      <c r="A44" s="6" t="s">
        <v>79</v>
      </c>
      <c r="B44" s="6"/>
      <c r="C44" s="6"/>
      <c r="D44" s="6"/>
      <c r="E44" s="6"/>
      <c r="F44" s="6"/>
      <c r="G44" s="28"/>
      <c r="H44" s="1"/>
      <c r="I44" s="1"/>
      <c r="J44" s="1"/>
      <c r="K44" s="25">
        <f>KtoVSt19</f>
      </c>
      <c r="L44" s="1" t="s">
        <v>55</v>
      </c>
      <c r="M44" s="1"/>
      <c r="N44" s="1"/>
      <c r="O44" s="1"/>
      <c r="P44" s="1"/>
      <c r="Q44" s="1"/>
      <c r="R44" s="26">
        <f>IF(Vorsteuerabzug="nein","",S44)</f>
      </c>
      <c r="S44" s="1">
        <f>IF(Vorsteuerabzug="nein",0,SUMIFS(Belege!$Q$5:$Q$304,Belege!$L$5:$L$304,4,Belege!$M$5:$M$304,0.19))</f>
      </c>
    </row>
    <row r="45" spans="1:18" x14ac:dyDescent="0.25">
      <c r="A45" s="11" t="s">
        <v>80</v>
      </c>
      <c r="B45" s="11"/>
      <c r="C45" s="11"/>
      <c r="D45" s="11"/>
      <c r="E45" s="11"/>
      <c r="F45" s="11"/>
      <c r="G45" s="27">
        <f>G43-N(G44)</f>
      </c>
      <c r="H45" s="1"/>
      <c r="I45" s="1"/>
      <c r="J45" s="1"/>
      <c r="K45" s="11" t="s">
        <v>81</v>
      </c>
      <c r="L45" s="11"/>
      <c r="M45" s="11"/>
      <c r="N45" s="11"/>
      <c r="O45" s="11"/>
      <c r="P45" s="11"/>
      <c r="Q45" s="11"/>
      <c r="R45" s="27">
        <f>SUM(S38:S44)</f>
      </c>
    </row>
    <row r="46" spans="1:7" x14ac:dyDescent="0.25">
      <c r="A46" s="29" t="s">
        <v>82</v>
      </c>
      <c r="B46" s="29"/>
      <c r="C46" s="29"/>
      <c r="D46" s="29"/>
      <c r="E46" s="29"/>
      <c r="F46" s="29"/>
      <c r="G46" s="30">
        <f>SUMIFS(Belege!$E$5:$E$304,Belege!$L$5:$L$304,4,Belege!$N$5:$N$304,0)</f>
      </c>
    </row>
    <row r="49" spans="1:18" x14ac:dyDescent="0.25">
      <c r="A49" s="31"/>
      <c r="B49" s="31"/>
      <c r="C49" s="31"/>
      <c r="D49" s="31"/>
      <c r="E49" s="31"/>
      <c r="F49" s="31"/>
      <c r="G49" s="31"/>
      <c r="H49" s="31"/>
      <c r="I49" s="31"/>
      <c r="J49" s="31"/>
      <c r="K49" s="31"/>
      <c r="M49" s="31"/>
      <c r="N49" s="31"/>
      <c r="O49" s="31"/>
      <c r="P49" s="31"/>
      <c r="Q49" s="31"/>
      <c r="R49" s="31"/>
    </row>
    <row r="50" spans="1:13" x14ac:dyDescent="0.25">
      <c r="A50" s="32" t="s">
        <v>83</v>
      </c>
      <c r="B50" s="1"/>
      <c r="C50" s="1"/>
      <c r="D50" s="1"/>
      <c r="E50" s="1"/>
      <c r="F50" s="1"/>
      <c r="G50" s="32" t="s">
        <v>84</v>
      </c>
      <c r="H50" s="1"/>
      <c r="I50" s="1"/>
      <c r="J50" s="1"/>
      <c r="K50" s="1"/>
      <c r="L50" s="1"/>
      <c r="M50" s="32" t="s">
        <v>85</v>
      </c>
    </row>
  </sheetData>
  <sheetProtection sheet="1" formatCells="0" formatColumns="0" formatRows="0"/>
  <mergeCells count="17">
    <mergeCell ref="A38:F38"/>
    <mergeCell ref="L38:Q38"/>
    <mergeCell ref="A39:F39"/>
    <mergeCell ref="L39:Q39"/>
    <mergeCell ref="A40:F40"/>
    <mergeCell ref="L40:Q40"/>
    <mergeCell ref="A41:F41"/>
    <mergeCell ref="L41:Q41"/>
    <mergeCell ref="A42:F42"/>
    <mergeCell ref="L42:Q42"/>
    <mergeCell ref="A43:F43"/>
    <mergeCell ref="L43:Q43"/>
    <mergeCell ref="A44:F44"/>
    <mergeCell ref="L44:Q44"/>
    <mergeCell ref="A45:F45"/>
    <mergeCell ref="K45:Q45"/>
    <mergeCell ref="A46:F46"/>
  </mergeCells>
  <conditionalFormatting sqref="A5:Q35">
    <cfRule type="expression" dxfId="18" priority="1">
      <formula>$A5=""</formula>
    </cfRule>
    <cfRule type="expression" dxfId="19" priority="2">
      <formula>WEEKDAY($A5,2)&gt;5</formula>
    </cfRule>
  </conditionalFormatting>
  <conditionalFormatting sqref="R5:R35">
    <cfRule type="expression" dxfId="20" priority="3">
      <formula>$A5=""</formula>
    </cfRule>
    <cfRule type="expression" dxfId="21" priority="4">
      <formula>AND($AF5&lt;&gt;"",WEEKDAY($A5,2)&gt;5)</formula>
    </cfRule>
    <cfRule type="expression" dxfId="22" priority="5">
      <formula>$AF5&lt;&gt;""</formula>
    </cfRule>
    <cfRule type="expression" dxfId="23" priority="6">
      <formula>WEEKDAY($A5,2)&gt;5</formula>
    </cfRule>
  </conditionalFormatting>
  <dataValidations count="11">
    <dataValidation type="decimal" allowBlank="1" showErrorMessage="1" errorTitle="Uhrzeit" error="Bitte als Uhrzeit hh:mm eingeben, z. B. 7:30 oder 16:45." sqref="C10:D35">
      <formula1>0</formula1>
      <formula2>0.99999</formula2>
    </dataValidation>
    <dataValidation type="decimal" allowBlank="1" showErrorMessage="1" errorTitle="Uhrzeit" error="Bitte als Uhrzeit hh:mm eingeben, z. B. 7:30 oder 16:45." sqref="C5:D35">
      <formula1>0</formula1>
      <formula2>0.99999</formula2>
    </dataValidation>
    <dataValidation type="list" allowBlank="1" showErrorMessage="1" errorTitle="Übernachtung" error="Bitte aus der Liste wählen." sqref="E10:E35">
      <formula1>"ja,Pauschale"</formula1>
    </dataValidation>
    <dataValidation type="list" allowBlank="1" showErrorMessage="1" errorTitle="Übernachtung" error="Bitte aus der Liste wählen." sqref="E5:E35">
      <formula1>"ja,Pauschale"</formula1>
    </dataValidation>
    <dataValidation type="list" allowBlank="1" showErrorMessage="1" errorTitle="Land / Ort" error="Bitte aus der Liste wählen; nicht aufgeführte Länder: Luxemburg." sqref="F10:F35">
      <formula1>Pauschalen!$A$4:$A$218</formula1>
    </dataValidation>
    <dataValidation type="list" allowBlank="1" showErrorMessage="1" errorTitle="Land / Ort" error="Bitte aus der Liste wählen; nicht aufgeführte Länder: Luxemburg." sqref="F5:F35">
      <formula1>Pauschalen!$A$4:$A$218</formula1>
    </dataValidation>
    <dataValidation type="decimal" allowBlank="1" showErrorMessage="1" errorTitle="Vorschuss" error="Bitte einen Betrag in Euro eintragen." sqref="G44">
      <formula1>0</formula1>
      <formula2>99999</formula2>
    </dataValidation>
    <dataValidation type="list" allowBlank="1" showErrorMessage="1" errorTitle="Mahlzeit" error="Bitte aus der Liste wählen." sqref="H10:J35">
      <formula1>"x"</formula1>
    </dataValidation>
    <dataValidation type="list" allowBlank="1" showErrorMessage="1" errorTitle="Mahlzeit" error="Bitte aus der Liste wählen." sqref="H5:J35">
      <formula1>"x"</formula1>
    </dataValidation>
    <dataValidation type="whole" allowBlank="1" showErrorMessage="1" errorTitle="Kilometer" error="Bitte die gefahrenen Kilometer als ganze Zahl eintragen." sqref="K10:K35">
      <formula1>0</formula1>
      <formula2>5000</formula2>
    </dataValidation>
    <dataValidation type="whole" allowBlank="1" showErrorMessage="1" errorTitle="Kilometer" error="Bitte die gefahrenen Kilometer als ganze Zahl eintragen." sqref="K5:K35">
      <formula1>0</formula1>
      <formula2>5000</formula2>
    </dataValidation>
  </dataValidations>
  <pageMargins left="0.4" right="0.4" top="0.5" bottom="0.5" header="0.2" footer="0.2"/>
  <pageSetup paperSize="9" orientation="landscape"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0"/>
  <sheetViews>
    <sheetView workbookViewId="0" showGridLines="0">
      <pane xSplit="2" ySplit="4" topLeftCell="C5" activePane="bottomRight" state="frozen"/>
      <selection pane="bottomRight"/>
    </sheetView>
  </sheetViews>
  <sheetFormatPr defaultRowHeight="15" outlineLevelRow="0" outlineLevelCol="0" x14ac:dyDescent="55"/>
  <cols>
    <col min="1" max="1" width="7" customWidth="1"/>
    <col min="2" max="2" width="4" customWidth="1"/>
    <col min="3" max="4" width="6.5" customWidth="1"/>
    <col min="5" max="5" width="10" customWidth="1"/>
    <col min="6" max="6" width="18" customWidth="1"/>
    <col min="7" max="7" width="24" customWidth="1"/>
    <col min="8" max="10" width="5.5" customWidth="1"/>
    <col min="11" max="11" width="8" customWidth="1"/>
    <col min="14" max="14" width="8.5" customWidth="1"/>
    <col min="15" max="15" width="10.5" customWidth="1"/>
    <col min="16" max="16" width="12" customWidth="1"/>
    <col min="17" max="17" width="10" customWidth="1"/>
    <col min="18" max="18" width="36" customWidth="1"/>
    <col min="19" max="19" width="9" hidden="1" customWidth="1"/>
    <col min="20" max="20" width="9" hidden="1" customWidth="1"/>
    <col min="21" max="21" width="9" hidden="1" customWidth="1"/>
    <col min="22" max="22" width="9" hidden="1" customWidth="1"/>
    <col min="23" max="23" width="9" hidden="1" customWidth="1"/>
    <col min="24" max="24" width="9" hidden="1" customWidth="1"/>
    <col min="25" max="25" width="9" hidden="1" customWidth="1"/>
    <col min="26" max="26" width="9" hidden="1" customWidth="1"/>
    <col min="27" max="27" width="9" hidden="1" customWidth="1"/>
    <col min="28" max="28" width="9" hidden="1" customWidth="1"/>
    <col min="29" max="29" width="9" hidden="1" customWidth="1"/>
    <col min="30" max="30" width="9" hidden="1" customWidth="1"/>
    <col min="31" max="31" width="9" hidden="1" customWidth="1"/>
    <col min="32" max="32" width="9" hidden="1" customWidth="1"/>
    <col min="33" max="33" width="9" hidden="1" customWidth="1"/>
    <col min="34" max="34" width="9" hidden="1" customWidth="1"/>
    <col min="35" max="35" width="9" hidden="1" customWidth="1"/>
    <col min="36" max="36" width="9" hidden="1" customWidth="1"/>
    <col min="37" max="37" width="9" hidden="1" customWidth="1"/>
    <col min="38" max="38" width="9" hidden="1" customWidth="1"/>
    <col min="39" max="39" width="9" hidden="1" customWidth="1"/>
    <col min="40" max="40" width="9" hidden="1" customWidth="1"/>
    <col min="41" max="41" width="9" hidden="1" customWidth="1"/>
    <col min="42" max="42" width="9" hidden="1" customWidth="1"/>
    <col min="43" max="43" width="9" hidden="1" customWidth="1"/>
    <col min="44" max="44" width="9" hidden="1" customWidth="1"/>
    <col min="45" max="45" width="9" hidden="1" customWidth="1"/>
    <col min="46" max="46" width="9" hidden="1" customWidth="1"/>
    <col min="47" max="47" width="9" hidden="1" customWidth="1"/>
  </cols>
  <sheetData>
    <row r="1" spans="1:1" x14ac:dyDescent="0.25">
      <c r="A1" s="5">
        <f>"Reisekostenabrechnung Mai "&amp;Jahr</f>
      </c>
    </row>
    <row r="2" spans="1:1" x14ac:dyDescent="0.25">
      <c r="A2" s="6">
        <f>"Name: "&amp;IF(MitarbeiterName="","…",MitarbeiterName)&amp;IF(Personalnummer="",""," · Personalnr. "&amp;Personalnummer)&amp;IF(Kostenstelle="",""," · "&amp;Kostenstelle)&amp;IF(Firma="",""," · "&amp;Firma)</f>
      </c>
    </row>
    <row r="3" spans="1:1" x14ac:dyDescent="0.25">
      <c r="A3" s="16">
        <f>IF(Jahr&lt;&gt;2026,"Die Pauschalen in dieser Datei gelten für 2026. ","")&amp;IF(MitarbeiterName="","Bitte in den Einstellungen den Namen eintragen.","")</f>
      </c>
    </row>
    <row r="4" ht="40" customHeight="1" spans="1:18" x14ac:dyDescent="0.25">
      <c r="A4" s="12" t="s">
        <v>57</v>
      </c>
      <c r="B4" s="12" t="s">
        <v>58</v>
      </c>
      <c r="C4" s="12" t="s">
        <v>59</v>
      </c>
      <c r="D4" s="12" t="s">
        <v>60</v>
      </c>
      <c r="E4" s="12" t="s">
        <v>61</v>
      </c>
      <c r="F4" s="12" t="s">
        <v>62</v>
      </c>
      <c r="G4" s="12" t="s">
        <v>63</v>
      </c>
      <c r="H4" s="12" t="s">
        <v>64</v>
      </c>
      <c r="I4" s="12" t="s">
        <v>65</v>
      </c>
      <c r="J4" s="12" t="s">
        <v>66</v>
      </c>
      <c r="K4" s="12" t="s">
        <v>67</v>
      </c>
      <c r="L4" s="12" t="s">
        <v>68</v>
      </c>
      <c r="M4" s="12" t="s">
        <v>69</v>
      </c>
      <c r="N4" s="12" t="s">
        <v>70</v>
      </c>
      <c r="O4" s="12" t="s">
        <v>71</v>
      </c>
      <c r="P4" s="12" t="s">
        <v>72</v>
      </c>
      <c r="Q4" s="12" t="s">
        <v>73</v>
      </c>
      <c r="R4" s="12" t="s">
        <v>74</v>
      </c>
    </row>
    <row r="5" spans="1:47" x14ac:dyDescent="0.25">
      <c r="A5" s="17">
        <f>IF(MONTH(DATE(Jahr,5,1))=5,DATE(Jahr,5,1),"")</f>
      </c>
      <c r="B5" s="13">
        <f>IF(A5="","",CHOOSE(WEEKDAY(A5,2),"Mo","Di","Mi","Do","Fr","Sa","So"))</f>
      </c>
      <c r="C5" s="18"/>
      <c r="D5" s="18"/>
      <c r="E5" s="7"/>
      <c r="F5" s="7"/>
      <c r="G5" s="7"/>
      <c r="H5" s="19"/>
      <c r="I5" s="19"/>
      <c r="J5" s="19"/>
      <c r="K5" s="9"/>
      <c r="L5" s="20">
        <f>IF(OR(AD5=0,AF5&lt;&gt;"",AND(W5=1,V5&gt;0,OR(T5=1,U5=1))),"",AE5/1440)</f>
      </c>
      <c r="M5" s="21">
        <f>IF(OR(AD5=0,AF5&lt;&gt;""),"",AJ5)</f>
      </c>
      <c r="N5" s="21">
        <f>IF(AK5=0,"",AK5)</f>
      </c>
      <c r="O5" s="21">
        <f>IF(OR(AD5=0,AF5&lt;&gt;""),"",AJ5-AK5)</f>
      </c>
      <c r="P5" s="21">
        <f>IF(AND(AD5=1,AF5="",V5=2),AI5,"")</f>
      </c>
      <c r="Q5" s="21">
        <f>IF(OR($A5="",N(K5)=0),"",ROUND(K5*KmSatz,2))</f>
      </c>
      <c r="R5" s="22">
        <f>IF(AF5&amp;AL5="","",LEFT(AF5&amp;AL5,LEN(AF5&amp;AL5)-2))</f>
      </c>
      <c r="S5" s="1"/>
      <c r="T5" s="1">
        <f>IF(AND($A5&lt;&gt;"",ISNUMBER(C5)),1,0)</f>
      </c>
      <c r="U5" s="1">
        <f>IF(AND($A5&lt;&gt;"",ISNUMBER(D5)),1,0)</f>
      </c>
      <c r="V5" s="1">
        <f>IF($A5="",0,IF(E5="ja",1,IF(E5="Pauschale",2,0)))</f>
      </c>
      <c r="W5" s="1">
        <f>IF($A5="",0,IF(AU5&gt;0,1,0))</f>
      </c>
      <c r="X5" s="1">
        <f>IF(AND(T5=1,W5=0),1,0)</f>
      </c>
      <c r="Y5" s="1">
        <f>IF(AND(AS5=1,AT5=0,AU5=0),1,0)</f>
      </c>
      <c r="Z5" s="1">
        <f>IF(AND(Y5=1,T5=0,U5=1,V5=0),1,0)</f>
      </c>
      <c r="AA5" s="1">
        <f>IF(AND(X5=1,U5=0,V5=0,AN5=0,AO5=1,AP5=0),1,0)</f>
      </c>
      <c r="AB5" s="1">
        <f>IF(OR(W5=1,Z5=1),0,IF(T5=1,C5,0))</f>
      </c>
      <c r="AC5" s="1">
        <f>IF(OR(V5&gt;0,AA5=1),1,IF(U5=1,D5,1))</f>
      </c>
      <c r="AD5" s="1">
        <f>IF($A5="",0,IF(OR(T5=1,U5=1,V5&gt;0,W5=1),1,0))</f>
      </c>
      <c r="AE5" s="1">
        <f>IF(AD5=0,0,ROUND((AC5-AB5)*1440,0))</f>
      </c>
      <c r="AF5" s="1">
        <f>IF(AD5=0,"",IF(AND(F5&lt;&gt;"",ISNA(MATCH(F5,PauschLand,0))),"Land nicht in der Liste; ","")&amp;IF(AND(T5=0,W5=0,Z5=0),"Beginn fehlt; ","")&amp;IF(AND(V5=0,U5=0,AA5=0),"Ende fehlt; ","")&amp;IF(AND(X5=1,U5=1,V5=0,N(D5)&lt;N(C5)),"Ende vor Beginn (über Mitternacht: Ende in die Zeile des Folgetags); ",""))</f>
      </c>
      <c r="AG5" s="1">
        <f>IF(AD5=0,0,IFERROR(VLOOKUP(IF(F5="","Deutschland",F5),PauschTab,2,FALSE),0))</f>
      </c>
      <c r="AH5" s="1">
        <f>IF(AD5=0,0,IFERROR(VLOOKUP(IF(F5="","Deutschland",F5),PauschTab,3,FALSE),0))</f>
      </c>
      <c r="AI5" s="1">
        <f>IF(AD5=0,0,IFERROR(VLOOKUP(IF(F5="","Deutschland",F5),PauschTab,4,FALSE),0))</f>
      </c>
      <c r="AJ5" s="1">
        <f>IF(OR(AD5=0,AF5&lt;&gt;""),0,IF(AND(W5=1,V5&gt;0),IF(OR(T5=1,U5=1),AH5,AG5),IF(OR(W5=1,V5&gt;0),AH5,IF(AA5=1,IF(AND(AE5+AQ5&gt;480,AE5&gt;=AQ5),AH5,0),IF(Z5=1,IF(AND(AR5+AE5&gt;480,AE5&gt;AR5),AH5,0),IF(AE5&gt;480,AH5,0))))))</f>
      </c>
      <c r="AK5" s="1">
        <f>MIN(AJ5,AM5)</f>
      </c>
      <c r="AL5" s="1">
        <f>IF(OR(AD5=0,AF5&lt;&gt;""),"",IF(AND(W5=0,V5=0,AA5=0,Z5=0,AE5&lt;=480),"nicht mehr als 8 Std.; ","")&amp;IF(AA5=1,IF(AJ5&gt;0,"über Mitternacht, zusammen "&amp;TEXT((AE5+AQ5)/1440,"[h]:mm")&amp;" Std.; ",IF(AE5+AQ5&gt;480,"über Mitternacht: Pauschale am Folgetag; ","über Mitternacht, zusammen nicht mehr als 8 Std.; ")),"")&amp;IF(Z5=1,IF(AJ5&gt;0,"über Mitternacht, zusammen "&amp;TEXT((AR5+AE5)/1440,"[h]:mm")&amp;" Std.; ",IF(AR5+AE5&gt;480,"über Mitternacht: Pauschale am Vortag; ","über Mitternacht, zusammen nicht mehr als 8 Std.; ")),"")&amp;IF(AND(W5=1,V5&gt;0,OR(T5=1,U5=1)),"zwischendurch zu Hause: An- und Abreisetag; ","")&amp;IF(AND(W5=1,V5=0,T5=1),"Beginn leer lassen: unterwegs seit dem Vortag; ","")&amp;IF(AND(W5=0,V5&gt;0,U5=1),"Ende leer lassen: Übernachtung; ","")&amp;IF(AND(AJ5&gt;0,AM5&gt;AJ5),"Kürzung auf die Pauschale begrenzt; ",""))</f>
      </c>
      <c r="AM5" s="1">
        <f>ROUND(AG5*(IF(H5&lt;&gt;"",0.2,0)+IF(I5&lt;&gt;"",0.4,0)+IF(J5&lt;&gt;"",0.4,0)),2)</f>
      </c>
      <c r="AN5" s="1">
        <f>IF($A6="",'Juni'!$T$5,T6)</f>
      </c>
      <c r="AO5" s="1">
        <f>IF($A6="",'Juni'!$U$5,U6)</f>
      </c>
      <c r="AP5" s="1">
        <f>IF($A6="",'Juni'!$V$5,V6)</f>
      </c>
      <c r="AQ5" s="1">
        <f>IF($A6="",'Juni'!$AE$5,AE6)</f>
      </c>
      <c r="AR5" s="1">
        <f>INDEX('April'!$AE$5:$AE$35,DAY(DATE(Jahr,5,0)))</f>
      </c>
      <c r="AS5" s="1">
        <f>INDEX('April'!$X$5:$X$35,DAY(DATE(Jahr,5,0)))</f>
      </c>
      <c r="AT5" s="1">
        <f>INDEX('April'!$U$5:$U$35,DAY(DATE(Jahr,5,0)))</f>
      </c>
      <c r="AU5" s="1">
        <f>INDEX('April'!$V$5:$V$35,DAY(DATE(Jahr,5,0)))</f>
      </c>
    </row>
    <row r="6" spans="1:47" x14ac:dyDescent="0.25">
      <c r="A6" s="17">
        <f>IF(MONTH(DATE(Jahr,5,2))=5,DATE(Jahr,5,2),"")</f>
      </c>
      <c r="B6" s="13">
        <f>IF(A6="","",CHOOSE(WEEKDAY(A6,2),"Mo","Di","Mi","Do","Fr","Sa","So"))</f>
      </c>
      <c r="C6" s="18"/>
      <c r="D6" s="18"/>
      <c r="E6" s="7"/>
      <c r="F6" s="7"/>
      <c r="G6" s="7"/>
      <c r="H6" s="19"/>
      <c r="I6" s="19"/>
      <c r="J6" s="19"/>
      <c r="K6" s="9"/>
      <c r="L6" s="20">
        <f>IF(OR(AD6=0,AF6&lt;&gt;"",AND(W6=1,V6&gt;0,OR(T6=1,U6=1))),"",AE6/1440)</f>
      </c>
      <c r="M6" s="21">
        <f>IF(OR(AD6=0,AF6&lt;&gt;""),"",AJ6)</f>
      </c>
      <c r="N6" s="21">
        <f>IF(AK6=0,"",AK6)</f>
      </c>
      <c r="O6" s="21">
        <f>IF(OR(AD6=0,AF6&lt;&gt;""),"",AJ6-AK6)</f>
      </c>
      <c r="P6" s="21">
        <f>IF(AND(AD6=1,AF6="",V6=2),AI6,"")</f>
      </c>
      <c r="Q6" s="21">
        <f>IF(OR($A6="",N(K6)=0),"",ROUND(K6*KmSatz,2))</f>
      </c>
      <c r="R6" s="22">
        <f>IF(AF6&amp;AL6="","",LEFT(AF6&amp;AL6,LEN(AF6&amp;AL6)-2))</f>
      </c>
      <c r="S6" s="1"/>
      <c r="T6" s="1">
        <f>IF(AND($A6&lt;&gt;"",ISNUMBER(C6)),1,0)</f>
      </c>
      <c r="U6" s="1">
        <f>IF(AND($A6&lt;&gt;"",ISNUMBER(D6)),1,0)</f>
      </c>
      <c r="V6" s="1">
        <f>IF($A6="",0,IF(E6="ja",1,IF(E6="Pauschale",2,0)))</f>
      </c>
      <c r="W6" s="1">
        <f>IF($A6="",0,IF(AU6&gt;0,1,0))</f>
      </c>
      <c r="X6" s="1">
        <f>IF(AND(T6=1,W6=0),1,0)</f>
      </c>
      <c r="Y6" s="1">
        <f>IF(AND(AS6=1,AT6=0,AU6=0),1,0)</f>
      </c>
      <c r="Z6" s="1">
        <f>IF(AND(Y6=1,T6=0,U6=1,V6=0),1,0)</f>
      </c>
      <c r="AA6" s="1">
        <f>IF(AND(X6=1,U6=0,V6=0,AN6=0,AO6=1,AP6=0),1,0)</f>
      </c>
      <c r="AB6" s="1">
        <f>IF(OR(W6=1,Z6=1),0,IF(T6=1,C6,0))</f>
      </c>
      <c r="AC6" s="1">
        <f>IF(OR(V6&gt;0,AA6=1),1,IF(U6=1,D6,1))</f>
      </c>
      <c r="AD6" s="1">
        <f>IF($A6="",0,IF(OR(T6=1,U6=1,V6&gt;0,W6=1),1,0))</f>
      </c>
      <c r="AE6" s="1">
        <f>IF(AD6=0,0,ROUND((AC6-AB6)*1440,0))</f>
      </c>
      <c r="AF6" s="1">
        <f>IF(AD6=0,"",IF(AND(F6&lt;&gt;"",ISNA(MATCH(F6,PauschLand,0))),"Land nicht in der Liste; ","")&amp;IF(AND(T6=0,W6=0,Z6=0),"Beginn fehlt; ","")&amp;IF(AND(V6=0,U6=0,AA6=0),"Ende fehlt; ","")&amp;IF(AND(X6=1,U6=1,V6=0,N(D6)&lt;N(C6)),"Ende vor Beginn (über Mitternacht: Ende in die Zeile des Folgetags); ",""))</f>
      </c>
      <c r="AG6" s="1">
        <f>IF(AD6=0,0,IFERROR(VLOOKUP(IF(F6="","Deutschland",F6),PauschTab,2,FALSE),0))</f>
      </c>
      <c r="AH6" s="1">
        <f>IF(AD6=0,0,IFERROR(VLOOKUP(IF(F6="","Deutschland",F6),PauschTab,3,FALSE),0))</f>
      </c>
      <c r="AI6" s="1">
        <f>IF(AD6=0,0,IFERROR(VLOOKUP(IF(F6="","Deutschland",F6),PauschTab,4,FALSE),0))</f>
      </c>
      <c r="AJ6" s="1">
        <f>IF(OR(AD6=0,AF6&lt;&gt;""),0,IF(AND(W6=1,V6&gt;0),IF(OR(T6=1,U6=1),AH6,AG6),IF(OR(W6=1,V6&gt;0),AH6,IF(AA6=1,IF(AND(AE6+AQ6&gt;480,AE6&gt;=AQ6),AH6,0),IF(Z6=1,IF(AND(AR6+AE6&gt;480,AE6&gt;AR6),AH6,0),IF(AE6&gt;480,AH6,0))))))</f>
      </c>
      <c r="AK6" s="1">
        <f>MIN(AJ6,AM6)</f>
      </c>
      <c r="AL6" s="1">
        <f>IF(OR(AD6=0,AF6&lt;&gt;""),"",IF(AND(W6=0,V6=0,AA6=0,Z6=0,AE6&lt;=480),"nicht mehr als 8 Std.; ","")&amp;IF(AA6=1,IF(AJ6&gt;0,"über Mitternacht, zusammen "&amp;TEXT((AE6+AQ6)/1440,"[h]:mm")&amp;" Std.; ",IF(AE6+AQ6&gt;480,"über Mitternacht: Pauschale am Folgetag; ","über Mitternacht, zusammen nicht mehr als 8 Std.; ")),"")&amp;IF(Z6=1,IF(AJ6&gt;0,"über Mitternacht, zusammen "&amp;TEXT((AR6+AE6)/1440,"[h]:mm")&amp;" Std.; ",IF(AR6+AE6&gt;480,"über Mitternacht: Pauschale am Vortag; ","über Mitternacht, zusammen nicht mehr als 8 Std.; ")),"")&amp;IF(AND(W6=1,V6&gt;0,OR(T6=1,U6=1)),"zwischendurch zu Hause: An- und Abreisetag; ","")&amp;IF(AND(W6=1,V6=0,T6=1),"Beginn leer lassen: unterwegs seit dem Vortag; ","")&amp;IF(AND(W6=0,V6&gt;0,U6=1),"Ende leer lassen: Übernachtung; ","")&amp;IF(AND(AJ6&gt;0,AM6&gt;AJ6),"Kürzung auf die Pauschale begrenzt; ",""))</f>
      </c>
      <c r="AM6" s="1">
        <f>ROUND(AG6*(IF(H6&lt;&gt;"",0.2,0)+IF(I6&lt;&gt;"",0.4,0)+IF(J6&lt;&gt;"",0.4,0)),2)</f>
      </c>
      <c r="AN6" s="1">
        <f>IF($A7="",'Juni'!$T$5,T7)</f>
      </c>
      <c r="AO6" s="1">
        <f>IF($A7="",'Juni'!$U$5,U7)</f>
      </c>
      <c r="AP6" s="1">
        <f>IF($A7="",'Juni'!$V$5,V7)</f>
      </c>
      <c r="AQ6" s="1">
        <f>IF($A7="",'Juni'!$AE$5,AE7)</f>
      </c>
      <c r="AR6" s="1">
        <f>AE5</f>
      </c>
      <c r="AS6" s="1">
        <f>X5</f>
      </c>
      <c r="AT6" s="1">
        <f>U5</f>
      </c>
      <c r="AU6" s="1">
        <f>V5</f>
      </c>
    </row>
    <row r="7" spans="1:47" x14ac:dyDescent="0.25">
      <c r="A7" s="17">
        <f>IF(MONTH(DATE(Jahr,5,3))=5,DATE(Jahr,5,3),"")</f>
      </c>
      <c r="B7" s="13">
        <f>IF(A7="","",CHOOSE(WEEKDAY(A7,2),"Mo","Di","Mi","Do","Fr","Sa","So"))</f>
      </c>
      <c r="C7" s="18"/>
      <c r="D7" s="18"/>
      <c r="E7" s="7"/>
      <c r="F7" s="7"/>
      <c r="G7" s="7"/>
      <c r="H7" s="19"/>
      <c r="I7" s="19"/>
      <c r="J7" s="19"/>
      <c r="K7" s="9"/>
      <c r="L7" s="20">
        <f>IF(OR(AD7=0,AF7&lt;&gt;"",AND(W7=1,V7&gt;0,OR(T7=1,U7=1))),"",AE7/1440)</f>
      </c>
      <c r="M7" s="21">
        <f>IF(OR(AD7=0,AF7&lt;&gt;""),"",AJ7)</f>
      </c>
      <c r="N7" s="21">
        <f>IF(AK7=0,"",AK7)</f>
      </c>
      <c r="O7" s="21">
        <f>IF(OR(AD7=0,AF7&lt;&gt;""),"",AJ7-AK7)</f>
      </c>
      <c r="P7" s="21">
        <f>IF(AND(AD7=1,AF7="",V7=2),AI7,"")</f>
      </c>
      <c r="Q7" s="21">
        <f>IF(OR($A7="",N(K7)=0),"",ROUND(K7*KmSatz,2))</f>
      </c>
      <c r="R7" s="22">
        <f>IF(AF7&amp;AL7="","",LEFT(AF7&amp;AL7,LEN(AF7&amp;AL7)-2))</f>
      </c>
      <c r="S7" s="1"/>
      <c r="T7" s="1">
        <f>IF(AND($A7&lt;&gt;"",ISNUMBER(C7)),1,0)</f>
      </c>
      <c r="U7" s="1">
        <f>IF(AND($A7&lt;&gt;"",ISNUMBER(D7)),1,0)</f>
      </c>
      <c r="V7" s="1">
        <f>IF($A7="",0,IF(E7="ja",1,IF(E7="Pauschale",2,0)))</f>
      </c>
      <c r="W7" s="1">
        <f>IF($A7="",0,IF(AU7&gt;0,1,0))</f>
      </c>
      <c r="X7" s="1">
        <f>IF(AND(T7=1,W7=0),1,0)</f>
      </c>
      <c r="Y7" s="1">
        <f>IF(AND(AS7=1,AT7=0,AU7=0),1,0)</f>
      </c>
      <c r="Z7" s="1">
        <f>IF(AND(Y7=1,T7=0,U7=1,V7=0),1,0)</f>
      </c>
      <c r="AA7" s="1">
        <f>IF(AND(X7=1,U7=0,V7=0,AN7=0,AO7=1,AP7=0),1,0)</f>
      </c>
      <c r="AB7" s="1">
        <f>IF(OR(W7=1,Z7=1),0,IF(T7=1,C7,0))</f>
      </c>
      <c r="AC7" s="1">
        <f>IF(OR(V7&gt;0,AA7=1),1,IF(U7=1,D7,1))</f>
      </c>
      <c r="AD7" s="1">
        <f>IF($A7="",0,IF(OR(T7=1,U7=1,V7&gt;0,W7=1),1,0))</f>
      </c>
      <c r="AE7" s="1">
        <f>IF(AD7=0,0,ROUND((AC7-AB7)*1440,0))</f>
      </c>
      <c r="AF7" s="1">
        <f>IF(AD7=0,"",IF(AND(F7&lt;&gt;"",ISNA(MATCH(F7,PauschLand,0))),"Land nicht in der Liste; ","")&amp;IF(AND(T7=0,W7=0,Z7=0),"Beginn fehlt; ","")&amp;IF(AND(V7=0,U7=0,AA7=0),"Ende fehlt; ","")&amp;IF(AND(X7=1,U7=1,V7=0,N(D7)&lt;N(C7)),"Ende vor Beginn (über Mitternacht: Ende in die Zeile des Folgetags); ",""))</f>
      </c>
      <c r="AG7" s="1">
        <f>IF(AD7=0,0,IFERROR(VLOOKUP(IF(F7="","Deutschland",F7),PauschTab,2,FALSE),0))</f>
      </c>
      <c r="AH7" s="1">
        <f>IF(AD7=0,0,IFERROR(VLOOKUP(IF(F7="","Deutschland",F7),PauschTab,3,FALSE),0))</f>
      </c>
      <c r="AI7" s="1">
        <f>IF(AD7=0,0,IFERROR(VLOOKUP(IF(F7="","Deutschland",F7),PauschTab,4,FALSE),0))</f>
      </c>
      <c r="AJ7" s="1">
        <f>IF(OR(AD7=0,AF7&lt;&gt;""),0,IF(AND(W7=1,V7&gt;0),IF(OR(T7=1,U7=1),AH7,AG7),IF(OR(W7=1,V7&gt;0),AH7,IF(AA7=1,IF(AND(AE7+AQ7&gt;480,AE7&gt;=AQ7),AH7,0),IF(Z7=1,IF(AND(AR7+AE7&gt;480,AE7&gt;AR7),AH7,0),IF(AE7&gt;480,AH7,0))))))</f>
      </c>
      <c r="AK7" s="1">
        <f>MIN(AJ7,AM7)</f>
      </c>
      <c r="AL7" s="1">
        <f>IF(OR(AD7=0,AF7&lt;&gt;""),"",IF(AND(W7=0,V7=0,AA7=0,Z7=0,AE7&lt;=480),"nicht mehr als 8 Std.; ","")&amp;IF(AA7=1,IF(AJ7&gt;0,"über Mitternacht, zusammen "&amp;TEXT((AE7+AQ7)/1440,"[h]:mm")&amp;" Std.; ",IF(AE7+AQ7&gt;480,"über Mitternacht: Pauschale am Folgetag; ","über Mitternacht, zusammen nicht mehr als 8 Std.; ")),"")&amp;IF(Z7=1,IF(AJ7&gt;0,"über Mitternacht, zusammen "&amp;TEXT((AR7+AE7)/1440,"[h]:mm")&amp;" Std.; ",IF(AR7+AE7&gt;480,"über Mitternacht: Pauschale am Vortag; ","über Mitternacht, zusammen nicht mehr als 8 Std.; ")),"")&amp;IF(AND(W7=1,V7&gt;0,OR(T7=1,U7=1)),"zwischendurch zu Hause: An- und Abreisetag; ","")&amp;IF(AND(W7=1,V7=0,T7=1),"Beginn leer lassen: unterwegs seit dem Vortag; ","")&amp;IF(AND(W7=0,V7&gt;0,U7=1),"Ende leer lassen: Übernachtung; ","")&amp;IF(AND(AJ7&gt;0,AM7&gt;AJ7),"Kürzung auf die Pauschale begrenzt; ",""))</f>
      </c>
      <c r="AM7" s="1">
        <f>ROUND(AG7*(IF(H7&lt;&gt;"",0.2,0)+IF(I7&lt;&gt;"",0.4,0)+IF(J7&lt;&gt;"",0.4,0)),2)</f>
      </c>
      <c r="AN7" s="1">
        <f>IF($A8="",'Juni'!$T$5,T8)</f>
      </c>
      <c r="AO7" s="1">
        <f>IF($A8="",'Juni'!$U$5,U8)</f>
      </c>
      <c r="AP7" s="1">
        <f>IF($A8="",'Juni'!$V$5,V8)</f>
      </c>
      <c r="AQ7" s="1">
        <f>IF($A8="",'Juni'!$AE$5,AE8)</f>
      </c>
      <c r="AR7" s="1">
        <f>AE6</f>
      </c>
      <c r="AS7" s="1">
        <f>X6</f>
      </c>
      <c r="AT7" s="1">
        <f>U6</f>
      </c>
      <c r="AU7" s="1">
        <f>V6</f>
      </c>
    </row>
    <row r="8" spans="1:47" x14ac:dyDescent="0.25">
      <c r="A8" s="17">
        <f>IF(MONTH(DATE(Jahr,5,4))=5,DATE(Jahr,5,4),"")</f>
      </c>
      <c r="B8" s="13">
        <f>IF(A8="","",CHOOSE(WEEKDAY(A8,2),"Mo","Di","Mi","Do","Fr","Sa","So"))</f>
      </c>
      <c r="C8" s="18"/>
      <c r="D8" s="18"/>
      <c r="E8" s="7"/>
      <c r="F8" s="7"/>
      <c r="G8" s="7"/>
      <c r="H8" s="19"/>
      <c r="I8" s="19"/>
      <c r="J8" s="19"/>
      <c r="K8" s="9"/>
      <c r="L8" s="20">
        <f>IF(OR(AD8=0,AF8&lt;&gt;"",AND(W8=1,V8&gt;0,OR(T8=1,U8=1))),"",AE8/1440)</f>
      </c>
      <c r="M8" s="21">
        <f>IF(OR(AD8=0,AF8&lt;&gt;""),"",AJ8)</f>
      </c>
      <c r="N8" s="21">
        <f>IF(AK8=0,"",AK8)</f>
      </c>
      <c r="O8" s="21">
        <f>IF(OR(AD8=0,AF8&lt;&gt;""),"",AJ8-AK8)</f>
      </c>
      <c r="P8" s="21">
        <f>IF(AND(AD8=1,AF8="",V8=2),AI8,"")</f>
      </c>
      <c r="Q8" s="21">
        <f>IF(OR($A8="",N(K8)=0),"",ROUND(K8*KmSatz,2))</f>
      </c>
      <c r="R8" s="22">
        <f>IF(AF8&amp;AL8="","",LEFT(AF8&amp;AL8,LEN(AF8&amp;AL8)-2))</f>
      </c>
      <c r="S8" s="1"/>
      <c r="T8" s="1">
        <f>IF(AND($A8&lt;&gt;"",ISNUMBER(C8)),1,0)</f>
      </c>
      <c r="U8" s="1">
        <f>IF(AND($A8&lt;&gt;"",ISNUMBER(D8)),1,0)</f>
      </c>
      <c r="V8" s="1">
        <f>IF($A8="",0,IF(E8="ja",1,IF(E8="Pauschale",2,0)))</f>
      </c>
      <c r="W8" s="1">
        <f>IF($A8="",0,IF(AU8&gt;0,1,0))</f>
      </c>
      <c r="X8" s="1">
        <f>IF(AND(T8=1,W8=0),1,0)</f>
      </c>
      <c r="Y8" s="1">
        <f>IF(AND(AS8=1,AT8=0,AU8=0),1,0)</f>
      </c>
      <c r="Z8" s="1">
        <f>IF(AND(Y8=1,T8=0,U8=1,V8=0),1,0)</f>
      </c>
      <c r="AA8" s="1">
        <f>IF(AND(X8=1,U8=0,V8=0,AN8=0,AO8=1,AP8=0),1,0)</f>
      </c>
      <c r="AB8" s="1">
        <f>IF(OR(W8=1,Z8=1),0,IF(T8=1,C8,0))</f>
      </c>
      <c r="AC8" s="1">
        <f>IF(OR(V8&gt;0,AA8=1),1,IF(U8=1,D8,1))</f>
      </c>
      <c r="AD8" s="1">
        <f>IF($A8="",0,IF(OR(T8=1,U8=1,V8&gt;0,W8=1),1,0))</f>
      </c>
      <c r="AE8" s="1">
        <f>IF(AD8=0,0,ROUND((AC8-AB8)*1440,0))</f>
      </c>
      <c r="AF8" s="1">
        <f>IF(AD8=0,"",IF(AND(F8&lt;&gt;"",ISNA(MATCH(F8,PauschLand,0))),"Land nicht in der Liste; ","")&amp;IF(AND(T8=0,W8=0,Z8=0),"Beginn fehlt; ","")&amp;IF(AND(V8=0,U8=0,AA8=0),"Ende fehlt; ","")&amp;IF(AND(X8=1,U8=1,V8=0,N(D8)&lt;N(C8)),"Ende vor Beginn (über Mitternacht: Ende in die Zeile des Folgetags); ",""))</f>
      </c>
      <c r="AG8" s="1">
        <f>IF(AD8=0,0,IFERROR(VLOOKUP(IF(F8="","Deutschland",F8),PauschTab,2,FALSE),0))</f>
      </c>
      <c r="AH8" s="1">
        <f>IF(AD8=0,0,IFERROR(VLOOKUP(IF(F8="","Deutschland",F8),PauschTab,3,FALSE),0))</f>
      </c>
      <c r="AI8" s="1">
        <f>IF(AD8=0,0,IFERROR(VLOOKUP(IF(F8="","Deutschland",F8),PauschTab,4,FALSE),0))</f>
      </c>
      <c r="AJ8" s="1">
        <f>IF(OR(AD8=0,AF8&lt;&gt;""),0,IF(AND(W8=1,V8&gt;0),IF(OR(T8=1,U8=1),AH8,AG8),IF(OR(W8=1,V8&gt;0),AH8,IF(AA8=1,IF(AND(AE8+AQ8&gt;480,AE8&gt;=AQ8),AH8,0),IF(Z8=1,IF(AND(AR8+AE8&gt;480,AE8&gt;AR8),AH8,0),IF(AE8&gt;480,AH8,0))))))</f>
      </c>
      <c r="AK8" s="1">
        <f>MIN(AJ8,AM8)</f>
      </c>
      <c r="AL8" s="1">
        <f>IF(OR(AD8=0,AF8&lt;&gt;""),"",IF(AND(W8=0,V8=0,AA8=0,Z8=0,AE8&lt;=480),"nicht mehr als 8 Std.; ","")&amp;IF(AA8=1,IF(AJ8&gt;0,"über Mitternacht, zusammen "&amp;TEXT((AE8+AQ8)/1440,"[h]:mm")&amp;" Std.; ",IF(AE8+AQ8&gt;480,"über Mitternacht: Pauschale am Folgetag; ","über Mitternacht, zusammen nicht mehr als 8 Std.; ")),"")&amp;IF(Z8=1,IF(AJ8&gt;0,"über Mitternacht, zusammen "&amp;TEXT((AR8+AE8)/1440,"[h]:mm")&amp;" Std.; ",IF(AR8+AE8&gt;480,"über Mitternacht: Pauschale am Vortag; ","über Mitternacht, zusammen nicht mehr als 8 Std.; ")),"")&amp;IF(AND(W8=1,V8&gt;0,OR(T8=1,U8=1)),"zwischendurch zu Hause: An- und Abreisetag; ","")&amp;IF(AND(W8=1,V8=0,T8=1),"Beginn leer lassen: unterwegs seit dem Vortag; ","")&amp;IF(AND(W8=0,V8&gt;0,U8=1),"Ende leer lassen: Übernachtung; ","")&amp;IF(AND(AJ8&gt;0,AM8&gt;AJ8),"Kürzung auf die Pauschale begrenzt; ",""))</f>
      </c>
      <c r="AM8" s="1">
        <f>ROUND(AG8*(IF(H8&lt;&gt;"",0.2,0)+IF(I8&lt;&gt;"",0.4,0)+IF(J8&lt;&gt;"",0.4,0)),2)</f>
      </c>
      <c r="AN8" s="1">
        <f>IF($A9="",'Juni'!$T$5,T9)</f>
      </c>
      <c r="AO8" s="1">
        <f>IF($A9="",'Juni'!$U$5,U9)</f>
      </c>
      <c r="AP8" s="1">
        <f>IF($A9="",'Juni'!$V$5,V9)</f>
      </c>
      <c r="AQ8" s="1">
        <f>IF($A9="",'Juni'!$AE$5,AE9)</f>
      </c>
      <c r="AR8" s="1">
        <f>AE7</f>
      </c>
      <c r="AS8" s="1">
        <f>X7</f>
      </c>
      <c r="AT8" s="1">
        <f>U7</f>
      </c>
      <c r="AU8" s="1">
        <f>V7</f>
      </c>
    </row>
    <row r="9" spans="1:47" x14ac:dyDescent="0.25">
      <c r="A9" s="17">
        <f>IF(MONTH(DATE(Jahr,5,5))=5,DATE(Jahr,5,5),"")</f>
      </c>
      <c r="B9" s="13">
        <f>IF(A9="","",CHOOSE(WEEKDAY(A9,2),"Mo","Di","Mi","Do","Fr","Sa","So"))</f>
      </c>
      <c r="C9" s="18"/>
      <c r="D9" s="18"/>
      <c r="E9" s="7"/>
      <c r="F9" s="7"/>
      <c r="G9" s="7"/>
      <c r="H9" s="19"/>
      <c r="I9" s="19"/>
      <c r="J9" s="19"/>
      <c r="K9" s="9"/>
      <c r="L9" s="20">
        <f>IF(OR(AD9=0,AF9&lt;&gt;"",AND(W9=1,V9&gt;0,OR(T9=1,U9=1))),"",AE9/1440)</f>
      </c>
      <c r="M9" s="21">
        <f>IF(OR(AD9=0,AF9&lt;&gt;""),"",AJ9)</f>
      </c>
      <c r="N9" s="21">
        <f>IF(AK9=0,"",AK9)</f>
      </c>
      <c r="O9" s="21">
        <f>IF(OR(AD9=0,AF9&lt;&gt;""),"",AJ9-AK9)</f>
      </c>
      <c r="P9" s="21">
        <f>IF(AND(AD9=1,AF9="",V9=2),AI9,"")</f>
      </c>
      <c r="Q9" s="21">
        <f>IF(OR($A9="",N(K9)=0),"",ROUND(K9*KmSatz,2))</f>
      </c>
      <c r="R9" s="22">
        <f>IF(AF9&amp;AL9="","",LEFT(AF9&amp;AL9,LEN(AF9&amp;AL9)-2))</f>
      </c>
      <c r="S9" s="1"/>
      <c r="T9" s="1">
        <f>IF(AND($A9&lt;&gt;"",ISNUMBER(C9)),1,0)</f>
      </c>
      <c r="U9" s="1">
        <f>IF(AND($A9&lt;&gt;"",ISNUMBER(D9)),1,0)</f>
      </c>
      <c r="V9" s="1">
        <f>IF($A9="",0,IF(E9="ja",1,IF(E9="Pauschale",2,0)))</f>
      </c>
      <c r="W9" s="1">
        <f>IF($A9="",0,IF(AU9&gt;0,1,0))</f>
      </c>
      <c r="X9" s="1">
        <f>IF(AND(T9=1,W9=0),1,0)</f>
      </c>
      <c r="Y9" s="1">
        <f>IF(AND(AS9=1,AT9=0,AU9=0),1,0)</f>
      </c>
      <c r="Z9" s="1">
        <f>IF(AND(Y9=1,T9=0,U9=1,V9=0),1,0)</f>
      </c>
      <c r="AA9" s="1">
        <f>IF(AND(X9=1,U9=0,V9=0,AN9=0,AO9=1,AP9=0),1,0)</f>
      </c>
      <c r="AB9" s="1">
        <f>IF(OR(W9=1,Z9=1),0,IF(T9=1,C9,0))</f>
      </c>
      <c r="AC9" s="1">
        <f>IF(OR(V9&gt;0,AA9=1),1,IF(U9=1,D9,1))</f>
      </c>
      <c r="AD9" s="1">
        <f>IF($A9="",0,IF(OR(T9=1,U9=1,V9&gt;0,W9=1),1,0))</f>
      </c>
      <c r="AE9" s="1">
        <f>IF(AD9=0,0,ROUND((AC9-AB9)*1440,0))</f>
      </c>
      <c r="AF9" s="1">
        <f>IF(AD9=0,"",IF(AND(F9&lt;&gt;"",ISNA(MATCH(F9,PauschLand,0))),"Land nicht in der Liste; ","")&amp;IF(AND(T9=0,W9=0,Z9=0),"Beginn fehlt; ","")&amp;IF(AND(V9=0,U9=0,AA9=0),"Ende fehlt; ","")&amp;IF(AND(X9=1,U9=1,V9=0,N(D9)&lt;N(C9)),"Ende vor Beginn (über Mitternacht: Ende in die Zeile des Folgetags); ",""))</f>
      </c>
      <c r="AG9" s="1">
        <f>IF(AD9=0,0,IFERROR(VLOOKUP(IF(F9="","Deutschland",F9),PauschTab,2,FALSE),0))</f>
      </c>
      <c r="AH9" s="1">
        <f>IF(AD9=0,0,IFERROR(VLOOKUP(IF(F9="","Deutschland",F9),PauschTab,3,FALSE),0))</f>
      </c>
      <c r="AI9" s="1">
        <f>IF(AD9=0,0,IFERROR(VLOOKUP(IF(F9="","Deutschland",F9),PauschTab,4,FALSE),0))</f>
      </c>
      <c r="AJ9" s="1">
        <f>IF(OR(AD9=0,AF9&lt;&gt;""),0,IF(AND(W9=1,V9&gt;0),IF(OR(T9=1,U9=1),AH9,AG9),IF(OR(W9=1,V9&gt;0),AH9,IF(AA9=1,IF(AND(AE9+AQ9&gt;480,AE9&gt;=AQ9),AH9,0),IF(Z9=1,IF(AND(AR9+AE9&gt;480,AE9&gt;AR9),AH9,0),IF(AE9&gt;480,AH9,0))))))</f>
      </c>
      <c r="AK9" s="1">
        <f>MIN(AJ9,AM9)</f>
      </c>
      <c r="AL9" s="1">
        <f>IF(OR(AD9=0,AF9&lt;&gt;""),"",IF(AND(W9=0,V9=0,AA9=0,Z9=0,AE9&lt;=480),"nicht mehr als 8 Std.; ","")&amp;IF(AA9=1,IF(AJ9&gt;0,"über Mitternacht, zusammen "&amp;TEXT((AE9+AQ9)/1440,"[h]:mm")&amp;" Std.; ",IF(AE9+AQ9&gt;480,"über Mitternacht: Pauschale am Folgetag; ","über Mitternacht, zusammen nicht mehr als 8 Std.; ")),"")&amp;IF(Z9=1,IF(AJ9&gt;0,"über Mitternacht, zusammen "&amp;TEXT((AR9+AE9)/1440,"[h]:mm")&amp;" Std.; ",IF(AR9+AE9&gt;480,"über Mitternacht: Pauschale am Vortag; ","über Mitternacht, zusammen nicht mehr als 8 Std.; ")),"")&amp;IF(AND(W9=1,V9&gt;0,OR(T9=1,U9=1)),"zwischendurch zu Hause: An- und Abreisetag; ","")&amp;IF(AND(W9=1,V9=0,T9=1),"Beginn leer lassen: unterwegs seit dem Vortag; ","")&amp;IF(AND(W9=0,V9&gt;0,U9=1),"Ende leer lassen: Übernachtung; ","")&amp;IF(AND(AJ9&gt;0,AM9&gt;AJ9),"Kürzung auf die Pauschale begrenzt; ",""))</f>
      </c>
      <c r="AM9" s="1">
        <f>ROUND(AG9*(IF(H9&lt;&gt;"",0.2,0)+IF(I9&lt;&gt;"",0.4,0)+IF(J9&lt;&gt;"",0.4,0)),2)</f>
      </c>
      <c r="AN9" s="1">
        <f>IF($A10="",'Juni'!$T$5,T10)</f>
      </c>
      <c r="AO9" s="1">
        <f>IF($A10="",'Juni'!$U$5,U10)</f>
      </c>
      <c r="AP9" s="1">
        <f>IF($A10="",'Juni'!$V$5,V10)</f>
      </c>
      <c r="AQ9" s="1">
        <f>IF($A10="",'Juni'!$AE$5,AE10)</f>
      </c>
      <c r="AR9" s="1">
        <f>AE8</f>
      </c>
      <c r="AS9" s="1">
        <f>X8</f>
      </c>
      <c r="AT9" s="1">
        <f>U8</f>
      </c>
      <c r="AU9" s="1">
        <f>V8</f>
      </c>
    </row>
    <row r="10" spans="1:47" x14ac:dyDescent="0.25">
      <c r="A10" s="17">
        <f>IF(MONTH(DATE(Jahr,5,6))=5,DATE(Jahr,5,6),"")</f>
      </c>
      <c r="B10" s="13">
        <f>IF(A10="","",CHOOSE(WEEKDAY(A10,2),"Mo","Di","Mi","Do","Fr","Sa","So"))</f>
      </c>
      <c r="C10" s="18"/>
      <c r="D10" s="18"/>
      <c r="E10" s="7"/>
      <c r="F10" s="7"/>
      <c r="G10" s="7"/>
      <c r="H10" s="19"/>
      <c r="I10" s="19"/>
      <c r="J10" s="19"/>
      <c r="K10" s="9"/>
      <c r="L10" s="20">
        <f>IF(OR(AD10=0,AF10&lt;&gt;"",AND(W10=1,V10&gt;0,OR(T10=1,U10=1))),"",AE10/1440)</f>
      </c>
      <c r="M10" s="21">
        <f>IF(OR(AD10=0,AF10&lt;&gt;""),"",AJ10)</f>
      </c>
      <c r="N10" s="21">
        <f>IF(AK10=0,"",AK10)</f>
      </c>
      <c r="O10" s="21">
        <f>IF(OR(AD10=0,AF10&lt;&gt;""),"",AJ10-AK10)</f>
      </c>
      <c r="P10" s="21">
        <f>IF(AND(AD10=1,AF10="",V10=2),AI10,"")</f>
      </c>
      <c r="Q10" s="21">
        <f>IF(OR($A10="",N(K10)=0),"",ROUND(K10*KmSatz,2))</f>
      </c>
      <c r="R10" s="22">
        <f>IF(AF10&amp;AL10="","",LEFT(AF10&amp;AL10,LEN(AF10&amp;AL10)-2))</f>
      </c>
      <c r="S10" s="1"/>
      <c r="T10" s="1">
        <f>IF(AND($A10&lt;&gt;"",ISNUMBER(C10)),1,0)</f>
      </c>
      <c r="U10" s="1">
        <f>IF(AND($A10&lt;&gt;"",ISNUMBER(D10)),1,0)</f>
      </c>
      <c r="V10" s="1">
        <f>IF($A10="",0,IF(E10="ja",1,IF(E10="Pauschale",2,0)))</f>
      </c>
      <c r="W10" s="1">
        <f>IF($A10="",0,IF(AU10&gt;0,1,0))</f>
      </c>
      <c r="X10" s="1">
        <f>IF(AND(T10=1,W10=0),1,0)</f>
      </c>
      <c r="Y10" s="1">
        <f>IF(AND(AS10=1,AT10=0,AU10=0),1,0)</f>
      </c>
      <c r="Z10" s="1">
        <f>IF(AND(Y10=1,T10=0,U10=1,V10=0),1,0)</f>
      </c>
      <c r="AA10" s="1">
        <f>IF(AND(X10=1,U10=0,V10=0,AN10=0,AO10=1,AP10=0),1,0)</f>
      </c>
      <c r="AB10" s="1">
        <f>IF(OR(W10=1,Z10=1),0,IF(T10=1,C10,0))</f>
      </c>
      <c r="AC10" s="1">
        <f>IF(OR(V10&gt;0,AA10=1),1,IF(U10=1,D10,1))</f>
      </c>
      <c r="AD10" s="1">
        <f>IF($A10="",0,IF(OR(T10=1,U10=1,V10&gt;0,W10=1),1,0))</f>
      </c>
      <c r="AE10" s="1">
        <f>IF(AD10=0,0,ROUND((AC10-AB10)*1440,0))</f>
      </c>
      <c r="AF10" s="1">
        <f>IF(AD10=0,"",IF(AND(F10&lt;&gt;"",ISNA(MATCH(F10,PauschLand,0))),"Land nicht in der Liste; ","")&amp;IF(AND(T10=0,W10=0,Z10=0),"Beginn fehlt; ","")&amp;IF(AND(V10=0,U10=0,AA10=0),"Ende fehlt; ","")&amp;IF(AND(X10=1,U10=1,V10=0,N(D10)&lt;N(C10)),"Ende vor Beginn (über Mitternacht: Ende in die Zeile des Folgetags); ",""))</f>
      </c>
      <c r="AG10" s="1">
        <f>IF(AD10=0,0,IFERROR(VLOOKUP(IF(F10="","Deutschland",F10),PauschTab,2,FALSE),0))</f>
      </c>
      <c r="AH10" s="1">
        <f>IF(AD10=0,0,IFERROR(VLOOKUP(IF(F10="","Deutschland",F10),PauschTab,3,FALSE),0))</f>
      </c>
      <c r="AI10" s="1">
        <f>IF(AD10=0,0,IFERROR(VLOOKUP(IF(F10="","Deutschland",F10),PauschTab,4,FALSE),0))</f>
      </c>
      <c r="AJ10" s="1">
        <f>IF(OR(AD10=0,AF10&lt;&gt;""),0,IF(AND(W10=1,V10&gt;0),IF(OR(T10=1,U10=1),AH10,AG10),IF(OR(W10=1,V10&gt;0),AH10,IF(AA10=1,IF(AND(AE10+AQ10&gt;480,AE10&gt;=AQ10),AH10,0),IF(Z10=1,IF(AND(AR10+AE10&gt;480,AE10&gt;AR10),AH10,0),IF(AE10&gt;480,AH10,0))))))</f>
      </c>
      <c r="AK10" s="1">
        <f>MIN(AJ10,AM10)</f>
      </c>
      <c r="AL10" s="1">
        <f>IF(OR(AD10=0,AF10&lt;&gt;""),"",IF(AND(W10=0,V10=0,AA10=0,Z10=0,AE10&lt;=480),"nicht mehr als 8 Std.; ","")&amp;IF(AA10=1,IF(AJ10&gt;0,"über Mitternacht, zusammen "&amp;TEXT((AE10+AQ10)/1440,"[h]:mm")&amp;" Std.; ",IF(AE10+AQ10&gt;480,"über Mitternacht: Pauschale am Folgetag; ","über Mitternacht, zusammen nicht mehr als 8 Std.; ")),"")&amp;IF(Z10=1,IF(AJ10&gt;0,"über Mitternacht, zusammen "&amp;TEXT((AR10+AE10)/1440,"[h]:mm")&amp;" Std.; ",IF(AR10+AE10&gt;480,"über Mitternacht: Pauschale am Vortag; ","über Mitternacht, zusammen nicht mehr als 8 Std.; ")),"")&amp;IF(AND(W10=1,V10&gt;0,OR(T10=1,U10=1)),"zwischendurch zu Hause: An- und Abreisetag; ","")&amp;IF(AND(W10=1,V10=0,T10=1),"Beginn leer lassen: unterwegs seit dem Vortag; ","")&amp;IF(AND(W10=0,V10&gt;0,U10=1),"Ende leer lassen: Übernachtung; ","")&amp;IF(AND(AJ10&gt;0,AM10&gt;AJ10),"Kürzung auf die Pauschale begrenzt; ",""))</f>
      </c>
      <c r="AM10" s="1">
        <f>ROUND(AG10*(IF(H10&lt;&gt;"",0.2,0)+IF(I10&lt;&gt;"",0.4,0)+IF(J10&lt;&gt;"",0.4,0)),2)</f>
      </c>
      <c r="AN10" s="1">
        <f>IF($A11="",'Juni'!$T$5,T11)</f>
      </c>
      <c r="AO10" s="1">
        <f>IF($A11="",'Juni'!$U$5,U11)</f>
      </c>
      <c r="AP10" s="1">
        <f>IF($A11="",'Juni'!$V$5,V11)</f>
      </c>
      <c r="AQ10" s="1">
        <f>IF($A11="",'Juni'!$AE$5,AE11)</f>
      </c>
      <c r="AR10" s="1">
        <f>AE9</f>
      </c>
      <c r="AS10" s="1">
        <f>X9</f>
      </c>
      <c r="AT10" s="1">
        <f>U9</f>
      </c>
      <c r="AU10" s="1">
        <f>V9</f>
      </c>
    </row>
    <row r="11" spans="1:47" x14ac:dyDescent="0.25">
      <c r="A11" s="17">
        <f>IF(MONTH(DATE(Jahr,5,7))=5,DATE(Jahr,5,7),"")</f>
      </c>
      <c r="B11" s="13">
        <f>IF(A11="","",CHOOSE(WEEKDAY(A11,2),"Mo","Di","Mi","Do","Fr","Sa","So"))</f>
      </c>
      <c r="C11" s="18"/>
      <c r="D11" s="18"/>
      <c r="E11" s="7"/>
      <c r="F11" s="7"/>
      <c r="G11" s="7"/>
      <c r="H11" s="19"/>
      <c r="I11" s="19"/>
      <c r="J11" s="19"/>
      <c r="K11" s="9"/>
      <c r="L11" s="20">
        <f>IF(OR(AD11=0,AF11&lt;&gt;"",AND(W11=1,V11&gt;0,OR(T11=1,U11=1))),"",AE11/1440)</f>
      </c>
      <c r="M11" s="21">
        <f>IF(OR(AD11=0,AF11&lt;&gt;""),"",AJ11)</f>
      </c>
      <c r="N11" s="21">
        <f>IF(AK11=0,"",AK11)</f>
      </c>
      <c r="O11" s="21">
        <f>IF(OR(AD11=0,AF11&lt;&gt;""),"",AJ11-AK11)</f>
      </c>
      <c r="P11" s="21">
        <f>IF(AND(AD11=1,AF11="",V11=2),AI11,"")</f>
      </c>
      <c r="Q11" s="21">
        <f>IF(OR($A11="",N(K11)=0),"",ROUND(K11*KmSatz,2))</f>
      </c>
      <c r="R11" s="22">
        <f>IF(AF11&amp;AL11="","",LEFT(AF11&amp;AL11,LEN(AF11&amp;AL11)-2))</f>
      </c>
      <c r="S11" s="1"/>
      <c r="T11" s="1">
        <f>IF(AND($A11&lt;&gt;"",ISNUMBER(C11)),1,0)</f>
      </c>
      <c r="U11" s="1">
        <f>IF(AND($A11&lt;&gt;"",ISNUMBER(D11)),1,0)</f>
      </c>
      <c r="V11" s="1">
        <f>IF($A11="",0,IF(E11="ja",1,IF(E11="Pauschale",2,0)))</f>
      </c>
      <c r="W11" s="1">
        <f>IF($A11="",0,IF(AU11&gt;0,1,0))</f>
      </c>
      <c r="X11" s="1">
        <f>IF(AND(T11=1,W11=0),1,0)</f>
      </c>
      <c r="Y11" s="1">
        <f>IF(AND(AS11=1,AT11=0,AU11=0),1,0)</f>
      </c>
      <c r="Z11" s="1">
        <f>IF(AND(Y11=1,T11=0,U11=1,V11=0),1,0)</f>
      </c>
      <c r="AA11" s="1">
        <f>IF(AND(X11=1,U11=0,V11=0,AN11=0,AO11=1,AP11=0),1,0)</f>
      </c>
      <c r="AB11" s="1">
        <f>IF(OR(W11=1,Z11=1),0,IF(T11=1,C11,0))</f>
      </c>
      <c r="AC11" s="1">
        <f>IF(OR(V11&gt;0,AA11=1),1,IF(U11=1,D11,1))</f>
      </c>
      <c r="AD11" s="1">
        <f>IF($A11="",0,IF(OR(T11=1,U11=1,V11&gt;0,W11=1),1,0))</f>
      </c>
      <c r="AE11" s="1">
        <f>IF(AD11=0,0,ROUND((AC11-AB11)*1440,0))</f>
      </c>
      <c r="AF11" s="1">
        <f>IF(AD11=0,"",IF(AND(F11&lt;&gt;"",ISNA(MATCH(F11,PauschLand,0))),"Land nicht in der Liste; ","")&amp;IF(AND(T11=0,W11=0,Z11=0),"Beginn fehlt; ","")&amp;IF(AND(V11=0,U11=0,AA11=0),"Ende fehlt; ","")&amp;IF(AND(X11=1,U11=1,V11=0,N(D11)&lt;N(C11)),"Ende vor Beginn (über Mitternacht: Ende in die Zeile des Folgetags); ",""))</f>
      </c>
      <c r="AG11" s="1">
        <f>IF(AD11=0,0,IFERROR(VLOOKUP(IF(F11="","Deutschland",F11),PauschTab,2,FALSE),0))</f>
      </c>
      <c r="AH11" s="1">
        <f>IF(AD11=0,0,IFERROR(VLOOKUP(IF(F11="","Deutschland",F11),PauschTab,3,FALSE),0))</f>
      </c>
      <c r="AI11" s="1">
        <f>IF(AD11=0,0,IFERROR(VLOOKUP(IF(F11="","Deutschland",F11),PauschTab,4,FALSE),0))</f>
      </c>
      <c r="AJ11" s="1">
        <f>IF(OR(AD11=0,AF11&lt;&gt;""),0,IF(AND(W11=1,V11&gt;0),IF(OR(T11=1,U11=1),AH11,AG11),IF(OR(W11=1,V11&gt;0),AH11,IF(AA11=1,IF(AND(AE11+AQ11&gt;480,AE11&gt;=AQ11),AH11,0),IF(Z11=1,IF(AND(AR11+AE11&gt;480,AE11&gt;AR11),AH11,0),IF(AE11&gt;480,AH11,0))))))</f>
      </c>
      <c r="AK11" s="1">
        <f>MIN(AJ11,AM11)</f>
      </c>
      <c r="AL11" s="1">
        <f>IF(OR(AD11=0,AF11&lt;&gt;""),"",IF(AND(W11=0,V11=0,AA11=0,Z11=0,AE11&lt;=480),"nicht mehr als 8 Std.; ","")&amp;IF(AA11=1,IF(AJ11&gt;0,"über Mitternacht, zusammen "&amp;TEXT((AE11+AQ11)/1440,"[h]:mm")&amp;" Std.; ",IF(AE11+AQ11&gt;480,"über Mitternacht: Pauschale am Folgetag; ","über Mitternacht, zusammen nicht mehr als 8 Std.; ")),"")&amp;IF(Z11=1,IF(AJ11&gt;0,"über Mitternacht, zusammen "&amp;TEXT((AR11+AE11)/1440,"[h]:mm")&amp;" Std.; ",IF(AR11+AE11&gt;480,"über Mitternacht: Pauschale am Vortag; ","über Mitternacht, zusammen nicht mehr als 8 Std.; ")),"")&amp;IF(AND(W11=1,V11&gt;0,OR(T11=1,U11=1)),"zwischendurch zu Hause: An- und Abreisetag; ","")&amp;IF(AND(W11=1,V11=0,T11=1),"Beginn leer lassen: unterwegs seit dem Vortag; ","")&amp;IF(AND(W11=0,V11&gt;0,U11=1),"Ende leer lassen: Übernachtung; ","")&amp;IF(AND(AJ11&gt;0,AM11&gt;AJ11),"Kürzung auf die Pauschale begrenzt; ",""))</f>
      </c>
      <c r="AM11" s="1">
        <f>ROUND(AG11*(IF(H11&lt;&gt;"",0.2,0)+IF(I11&lt;&gt;"",0.4,0)+IF(J11&lt;&gt;"",0.4,0)),2)</f>
      </c>
      <c r="AN11" s="1">
        <f>IF($A12="",'Juni'!$T$5,T12)</f>
      </c>
      <c r="AO11" s="1">
        <f>IF($A12="",'Juni'!$U$5,U12)</f>
      </c>
      <c r="AP11" s="1">
        <f>IF($A12="",'Juni'!$V$5,V12)</f>
      </c>
      <c r="AQ11" s="1">
        <f>IF($A12="",'Juni'!$AE$5,AE12)</f>
      </c>
      <c r="AR11" s="1">
        <f>AE10</f>
      </c>
      <c r="AS11" s="1">
        <f>X10</f>
      </c>
      <c r="AT11" s="1">
        <f>U10</f>
      </c>
      <c r="AU11" s="1">
        <f>V10</f>
      </c>
    </row>
    <row r="12" spans="1:47" x14ac:dyDescent="0.25">
      <c r="A12" s="17">
        <f>IF(MONTH(DATE(Jahr,5,8))=5,DATE(Jahr,5,8),"")</f>
      </c>
      <c r="B12" s="13">
        <f>IF(A12="","",CHOOSE(WEEKDAY(A12,2),"Mo","Di","Mi","Do","Fr","Sa","So"))</f>
      </c>
      <c r="C12" s="18"/>
      <c r="D12" s="18"/>
      <c r="E12" s="7"/>
      <c r="F12" s="7"/>
      <c r="G12" s="7"/>
      <c r="H12" s="19"/>
      <c r="I12" s="19"/>
      <c r="J12" s="19"/>
      <c r="K12" s="9"/>
      <c r="L12" s="20">
        <f>IF(OR(AD12=0,AF12&lt;&gt;"",AND(W12=1,V12&gt;0,OR(T12=1,U12=1))),"",AE12/1440)</f>
      </c>
      <c r="M12" s="21">
        <f>IF(OR(AD12=0,AF12&lt;&gt;""),"",AJ12)</f>
      </c>
      <c r="N12" s="21">
        <f>IF(AK12=0,"",AK12)</f>
      </c>
      <c r="O12" s="21">
        <f>IF(OR(AD12=0,AF12&lt;&gt;""),"",AJ12-AK12)</f>
      </c>
      <c r="P12" s="21">
        <f>IF(AND(AD12=1,AF12="",V12=2),AI12,"")</f>
      </c>
      <c r="Q12" s="21">
        <f>IF(OR($A12="",N(K12)=0),"",ROUND(K12*KmSatz,2))</f>
      </c>
      <c r="R12" s="22">
        <f>IF(AF12&amp;AL12="","",LEFT(AF12&amp;AL12,LEN(AF12&amp;AL12)-2))</f>
      </c>
      <c r="S12" s="1"/>
      <c r="T12" s="1">
        <f>IF(AND($A12&lt;&gt;"",ISNUMBER(C12)),1,0)</f>
      </c>
      <c r="U12" s="1">
        <f>IF(AND($A12&lt;&gt;"",ISNUMBER(D12)),1,0)</f>
      </c>
      <c r="V12" s="1">
        <f>IF($A12="",0,IF(E12="ja",1,IF(E12="Pauschale",2,0)))</f>
      </c>
      <c r="W12" s="1">
        <f>IF($A12="",0,IF(AU12&gt;0,1,0))</f>
      </c>
      <c r="X12" s="1">
        <f>IF(AND(T12=1,W12=0),1,0)</f>
      </c>
      <c r="Y12" s="1">
        <f>IF(AND(AS12=1,AT12=0,AU12=0),1,0)</f>
      </c>
      <c r="Z12" s="1">
        <f>IF(AND(Y12=1,T12=0,U12=1,V12=0),1,0)</f>
      </c>
      <c r="AA12" s="1">
        <f>IF(AND(X12=1,U12=0,V12=0,AN12=0,AO12=1,AP12=0),1,0)</f>
      </c>
      <c r="AB12" s="1">
        <f>IF(OR(W12=1,Z12=1),0,IF(T12=1,C12,0))</f>
      </c>
      <c r="AC12" s="1">
        <f>IF(OR(V12&gt;0,AA12=1),1,IF(U12=1,D12,1))</f>
      </c>
      <c r="AD12" s="1">
        <f>IF($A12="",0,IF(OR(T12=1,U12=1,V12&gt;0,W12=1),1,0))</f>
      </c>
      <c r="AE12" s="1">
        <f>IF(AD12=0,0,ROUND((AC12-AB12)*1440,0))</f>
      </c>
      <c r="AF12" s="1">
        <f>IF(AD12=0,"",IF(AND(F12&lt;&gt;"",ISNA(MATCH(F12,PauschLand,0))),"Land nicht in der Liste; ","")&amp;IF(AND(T12=0,W12=0,Z12=0),"Beginn fehlt; ","")&amp;IF(AND(V12=0,U12=0,AA12=0),"Ende fehlt; ","")&amp;IF(AND(X12=1,U12=1,V12=0,N(D12)&lt;N(C12)),"Ende vor Beginn (über Mitternacht: Ende in die Zeile des Folgetags); ",""))</f>
      </c>
      <c r="AG12" s="1">
        <f>IF(AD12=0,0,IFERROR(VLOOKUP(IF(F12="","Deutschland",F12),PauschTab,2,FALSE),0))</f>
      </c>
      <c r="AH12" s="1">
        <f>IF(AD12=0,0,IFERROR(VLOOKUP(IF(F12="","Deutschland",F12),PauschTab,3,FALSE),0))</f>
      </c>
      <c r="AI12" s="1">
        <f>IF(AD12=0,0,IFERROR(VLOOKUP(IF(F12="","Deutschland",F12),PauschTab,4,FALSE),0))</f>
      </c>
      <c r="AJ12" s="1">
        <f>IF(OR(AD12=0,AF12&lt;&gt;""),0,IF(AND(W12=1,V12&gt;0),IF(OR(T12=1,U12=1),AH12,AG12),IF(OR(W12=1,V12&gt;0),AH12,IF(AA12=1,IF(AND(AE12+AQ12&gt;480,AE12&gt;=AQ12),AH12,0),IF(Z12=1,IF(AND(AR12+AE12&gt;480,AE12&gt;AR12),AH12,0),IF(AE12&gt;480,AH12,0))))))</f>
      </c>
      <c r="AK12" s="1">
        <f>MIN(AJ12,AM12)</f>
      </c>
      <c r="AL12" s="1">
        <f>IF(OR(AD12=0,AF12&lt;&gt;""),"",IF(AND(W12=0,V12=0,AA12=0,Z12=0,AE12&lt;=480),"nicht mehr als 8 Std.; ","")&amp;IF(AA12=1,IF(AJ12&gt;0,"über Mitternacht, zusammen "&amp;TEXT((AE12+AQ12)/1440,"[h]:mm")&amp;" Std.; ",IF(AE12+AQ12&gt;480,"über Mitternacht: Pauschale am Folgetag; ","über Mitternacht, zusammen nicht mehr als 8 Std.; ")),"")&amp;IF(Z12=1,IF(AJ12&gt;0,"über Mitternacht, zusammen "&amp;TEXT((AR12+AE12)/1440,"[h]:mm")&amp;" Std.; ",IF(AR12+AE12&gt;480,"über Mitternacht: Pauschale am Vortag; ","über Mitternacht, zusammen nicht mehr als 8 Std.; ")),"")&amp;IF(AND(W12=1,V12&gt;0,OR(T12=1,U12=1)),"zwischendurch zu Hause: An- und Abreisetag; ","")&amp;IF(AND(W12=1,V12=0,T12=1),"Beginn leer lassen: unterwegs seit dem Vortag; ","")&amp;IF(AND(W12=0,V12&gt;0,U12=1),"Ende leer lassen: Übernachtung; ","")&amp;IF(AND(AJ12&gt;0,AM12&gt;AJ12),"Kürzung auf die Pauschale begrenzt; ",""))</f>
      </c>
      <c r="AM12" s="1">
        <f>ROUND(AG12*(IF(H12&lt;&gt;"",0.2,0)+IF(I12&lt;&gt;"",0.4,0)+IF(J12&lt;&gt;"",0.4,0)),2)</f>
      </c>
      <c r="AN12" s="1">
        <f>IF($A13="",'Juni'!$T$5,T13)</f>
      </c>
      <c r="AO12" s="1">
        <f>IF($A13="",'Juni'!$U$5,U13)</f>
      </c>
      <c r="AP12" s="1">
        <f>IF($A13="",'Juni'!$V$5,V13)</f>
      </c>
      <c r="AQ12" s="1">
        <f>IF($A13="",'Juni'!$AE$5,AE13)</f>
      </c>
      <c r="AR12" s="1">
        <f>AE11</f>
      </c>
      <c r="AS12" s="1">
        <f>X11</f>
      </c>
      <c r="AT12" s="1">
        <f>U11</f>
      </c>
      <c r="AU12" s="1">
        <f>V11</f>
      </c>
    </row>
    <row r="13" spans="1:47" x14ac:dyDescent="0.25">
      <c r="A13" s="17">
        <f>IF(MONTH(DATE(Jahr,5,9))=5,DATE(Jahr,5,9),"")</f>
      </c>
      <c r="B13" s="13">
        <f>IF(A13="","",CHOOSE(WEEKDAY(A13,2),"Mo","Di","Mi","Do","Fr","Sa","So"))</f>
      </c>
      <c r="C13" s="18"/>
      <c r="D13" s="18"/>
      <c r="E13" s="7"/>
      <c r="F13" s="7"/>
      <c r="G13" s="7"/>
      <c r="H13" s="19"/>
      <c r="I13" s="19"/>
      <c r="J13" s="19"/>
      <c r="K13" s="9"/>
      <c r="L13" s="20">
        <f>IF(OR(AD13=0,AF13&lt;&gt;"",AND(W13=1,V13&gt;0,OR(T13=1,U13=1))),"",AE13/1440)</f>
      </c>
      <c r="M13" s="21">
        <f>IF(OR(AD13=0,AF13&lt;&gt;""),"",AJ13)</f>
      </c>
      <c r="N13" s="21">
        <f>IF(AK13=0,"",AK13)</f>
      </c>
      <c r="O13" s="21">
        <f>IF(OR(AD13=0,AF13&lt;&gt;""),"",AJ13-AK13)</f>
      </c>
      <c r="P13" s="21">
        <f>IF(AND(AD13=1,AF13="",V13=2),AI13,"")</f>
      </c>
      <c r="Q13" s="21">
        <f>IF(OR($A13="",N(K13)=0),"",ROUND(K13*KmSatz,2))</f>
      </c>
      <c r="R13" s="22">
        <f>IF(AF13&amp;AL13="","",LEFT(AF13&amp;AL13,LEN(AF13&amp;AL13)-2))</f>
      </c>
      <c r="S13" s="1"/>
      <c r="T13" s="1">
        <f>IF(AND($A13&lt;&gt;"",ISNUMBER(C13)),1,0)</f>
      </c>
      <c r="U13" s="1">
        <f>IF(AND($A13&lt;&gt;"",ISNUMBER(D13)),1,0)</f>
      </c>
      <c r="V13" s="1">
        <f>IF($A13="",0,IF(E13="ja",1,IF(E13="Pauschale",2,0)))</f>
      </c>
      <c r="W13" s="1">
        <f>IF($A13="",0,IF(AU13&gt;0,1,0))</f>
      </c>
      <c r="X13" s="1">
        <f>IF(AND(T13=1,W13=0),1,0)</f>
      </c>
      <c r="Y13" s="1">
        <f>IF(AND(AS13=1,AT13=0,AU13=0),1,0)</f>
      </c>
      <c r="Z13" s="1">
        <f>IF(AND(Y13=1,T13=0,U13=1,V13=0),1,0)</f>
      </c>
      <c r="AA13" s="1">
        <f>IF(AND(X13=1,U13=0,V13=0,AN13=0,AO13=1,AP13=0),1,0)</f>
      </c>
      <c r="AB13" s="1">
        <f>IF(OR(W13=1,Z13=1),0,IF(T13=1,C13,0))</f>
      </c>
      <c r="AC13" s="1">
        <f>IF(OR(V13&gt;0,AA13=1),1,IF(U13=1,D13,1))</f>
      </c>
      <c r="AD13" s="1">
        <f>IF($A13="",0,IF(OR(T13=1,U13=1,V13&gt;0,W13=1),1,0))</f>
      </c>
      <c r="AE13" s="1">
        <f>IF(AD13=0,0,ROUND((AC13-AB13)*1440,0))</f>
      </c>
      <c r="AF13" s="1">
        <f>IF(AD13=0,"",IF(AND(F13&lt;&gt;"",ISNA(MATCH(F13,PauschLand,0))),"Land nicht in der Liste; ","")&amp;IF(AND(T13=0,W13=0,Z13=0),"Beginn fehlt; ","")&amp;IF(AND(V13=0,U13=0,AA13=0),"Ende fehlt; ","")&amp;IF(AND(X13=1,U13=1,V13=0,N(D13)&lt;N(C13)),"Ende vor Beginn (über Mitternacht: Ende in die Zeile des Folgetags); ",""))</f>
      </c>
      <c r="AG13" s="1">
        <f>IF(AD13=0,0,IFERROR(VLOOKUP(IF(F13="","Deutschland",F13),PauschTab,2,FALSE),0))</f>
      </c>
      <c r="AH13" s="1">
        <f>IF(AD13=0,0,IFERROR(VLOOKUP(IF(F13="","Deutschland",F13),PauschTab,3,FALSE),0))</f>
      </c>
      <c r="AI13" s="1">
        <f>IF(AD13=0,0,IFERROR(VLOOKUP(IF(F13="","Deutschland",F13),PauschTab,4,FALSE),0))</f>
      </c>
      <c r="AJ13" s="1">
        <f>IF(OR(AD13=0,AF13&lt;&gt;""),0,IF(AND(W13=1,V13&gt;0),IF(OR(T13=1,U13=1),AH13,AG13),IF(OR(W13=1,V13&gt;0),AH13,IF(AA13=1,IF(AND(AE13+AQ13&gt;480,AE13&gt;=AQ13),AH13,0),IF(Z13=1,IF(AND(AR13+AE13&gt;480,AE13&gt;AR13),AH13,0),IF(AE13&gt;480,AH13,0))))))</f>
      </c>
      <c r="AK13" s="1">
        <f>MIN(AJ13,AM13)</f>
      </c>
      <c r="AL13" s="1">
        <f>IF(OR(AD13=0,AF13&lt;&gt;""),"",IF(AND(W13=0,V13=0,AA13=0,Z13=0,AE13&lt;=480),"nicht mehr als 8 Std.; ","")&amp;IF(AA13=1,IF(AJ13&gt;0,"über Mitternacht, zusammen "&amp;TEXT((AE13+AQ13)/1440,"[h]:mm")&amp;" Std.; ",IF(AE13+AQ13&gt;480,"über Mitternacht: Pauschale am Folgetag; ","über Mitternacht, zusammen nicht mehr als 8 Std.; ")),"")&amp;IF(Z13=1,IF(AJ13&gt;0,"über Mitternacht, zusammen "&amp;TEXT((AR13+AE13)/1440,"[h]:mm")&amp;" Std.; ",IF(AR13+AE13&gt;480,"über Mitternacht: Pauschale am Vortag; ","über Mitternacht, zusammen nicht mehr als 8 Std.; ")),"")&amp;IF(AND(W13=1,V13&gt;0,OR(T13=1,U13=1)),"zwischendurch zu Hause: An- und Abreisetag; ","")&amp;IF(AND(W13=1,V13=0,T13=1),"Beginn leer lassen: unterwegs seit dem Vortag; ","")&amp;IF(AND(W13=0,V13&gt;0,U13=1),"Ende leer lassen: Übernachtung; ","")&amp;IF(AND(AJ13&gt;0,AM13&gt;AJ13),"Kürzung auf die Pauschale begrenzt; ",""))</f>
      </c>
      <c r="AM13" s="1">
        <f>ROUND(AG13*(IF(H13&lt;&gt;"",0.2,0)+IF(I13&lt;&gt;"",0.4,0)+IF(J13&lt;&gt;"",0.4,0)),2)</f>
      </c>
      <c r="AN13" s="1">
        <f>IF($A14="",'Juni'!$T$5,T14)</f>
      </c>
      <c r="AO13" s="1">
        <f>IF($A14="",'Juni'!$U$5,U14)</f>
      </c>
      <c r="AP13" s="1">
        <f>IF($A14="",'Juni'!$V$5,V14)</f>
      </c>
      <c r="AQ13" s="1">
        <f>IF($A14="",'Juni'!$AE$5,AE14)</f>
      </c>
      <c r="AR13" s="1">
        <f>AE12</f>
      </c>
      <c r="AS13" s="1">
        <f>X12</f>
      </c>
      <c r="AT13" s="1">
        <f>U12</f>
      </c>
      <c r="AU13" s="1">
        <f>V12</f>
      </c>
    </row>
    <row r="14" spans="1:47" x14ac:dyDescent="0.25">
      <c r="A14" s="17">
        <f>IF(MONTH(DATE(Jahr,5,10))=5,DATE(Jahr,5,10),"")</f>
      </c>
      <c r="B14" s="13">
        <f>IF(A14="","",CHOOSE(WEEKDAY(A14,2),"Mo","Di","Mi","Do","Fr","Sa","So"))</f>
      </c>
      <c r="C14" s="18"/>
      <c r="D14" s="18"/>
      <c r="E14" s="7"/>
      <c r="F14" s="7"/>
      <c r="G14" s="7"/>
      <c r="H14" s="19"/>
      <c r="I14" s="19"/>
      <c r="J14" s="19"/>
      <c r="K14" s="9"/>
      <c r="L14" s="20">
        <f>IF(OR(AD14=0,AF14&lt;&gt;"",AND(W14=1,V14&gt;0,OR(T14=1,U14=1))),"",AE14/1440)</f>
      </c>
      <c r="M14" s="21">
        <f>IF(OR(AD14=0,AF14&lt;&gt;""),"",AJ14)</f>
      </c>
      <c r="N14" s="21">
        <f>IF(AK14=0,"",AK14)</f>
      </c>
      <c r="O14" s="21">
        <f>IF(OR(AD14=0,AF14&lt;&gt;""),"",AJ14-AK14)</f>
      </c>
      <c r="P14" s="21">
        <f>IF(AND(AD14=1,AF14="",V14=2),AI14,"")</f>
      </c>
      <c r="Q14" s="21">
        <f>IF(OR($A14="",N(K14)=0),"",ROUND(K14*KmSatz,2))</f>
      </c>
      <c r="R14" s="22">
        <f>IF(AF14&amp;AL14="","",LEFT(AF14&amp;AL14,LEN(AF14&amp;AL14)-2))</f>
      </c>
      <c r="S14" s="1"/>
      <c r="T14" s="1">
        <f>IF(AND($A14&lt;&gt;"",ISNUMBER(C14)),1,0)</f>
      </c>
      <c r="U14" s="1">
        <f>IF(AND($A14&lt;&gt;"",ISNUMBER(D14)),1,0)</f>
      </c>
      <c r="V14" s="1">
        <f>IF($A14="",0,IF(E14="ja",1,IF(E14="Pauschale",2,0)))</f>
      </c>
      <c r="W14" s="1">
        <f>IF($A14="",0,IF(AU14&gt;0,1,0))</f>
      </c>
      <c r="X14" s="1">
        <f>IF(AND(T14=1,W14=0),1,0)</f>
      </c>
      <c r="Y14" s="1">
        <f>IF(AND(AS14=1,AT14=0,AU14=0),1,0)</f>
      </c>
      <c r="Z14" s="1">
        <f>IF(AND(Y14=1,T14=0,U14=1,V14=0),1,0)</f>
      </c>
      <c r="AA14" s="1">
        <f>IF(AND(X14=1,U14=0,V14=0,AN14=0,AO14=1,AP14=0),1,0)</f>
      </c>
      <c r="AB14" s="1">
        <f>IF(OR(W14=1,Z14=1),0,IF(T14=1,C14,0))</f>
      </c>
      <c r="AC14" s="1">
        <f>IF(OR(V14&gt;0,AA14=1),1,IF(U14=1,D14,1))</f>
      </c>
      <c r="AD14" s="1">
        <f>IF($A14="",0,IF(OR(T14=1,U14=1,V14&gt;0,W14=1),1,0))</f>
      </c>
      <c r="AE14" s="1">
        <f>IF(AD14=0,0,ROUND((AC14-AB14)*1440,0))</f>
      </c>
      <c r="AF14" s="1">
        <f>IF(AD14=0,"",IF(AND(F14&lt;&gt;"",ISNA(MATCH(F14,PauschLand,0))),"Land nicht in der Liste; ","")&amp;IF(AND(T14=0,W14=0,Z14=0),"Beginn fehlt; ","")&amp;IF(AND(V14=0,U14=0,AA14=0),"Ende fehlt; ","")&amp;IF(AND(X14=1,U14=1,V14=0,N(D14)&lt;N(C14)),"Ende vor Beginn (über Mitternacht: Ende in die Zeile des Folgetags); ",""))</f>
      </c>
      <c r="AG14" s="1">
        <f>IF(AD14=0,0,IFERROR(VLOOKUP(IF(F14="","Deutschland",F14),PauschTab,2,FALSE),0))</f>
      </c>
      <c r="AH14" s="1">
        <f>IF(AD14=0,0,IFERROR(VLOOKUP(IF(F14="","Deutschland",F14),PauschTab,3,FALSE),0))</f>
      </c>
      <c r="AI14" s="1">
        <f>IF(AD14=0,0,IFERROR(VLOOKUP(IF(F14="","Deutschland",F14),PauschTab,4,FALSE),0))</f>
      </c>
      <c r="AJ14" s="1">
        <f>IF(OR(AD14=0,AF14&lt;&gt;""),0,IF(AND(W14=1,V14&gt;0),IF(OR(T14=1,U14=1),AH14,AG14),IF(OR(W14=1,V14&gt;0),AH14,IF(AA14=1,IF(AND(AE14+AQ14&gt;480,AE14&gt;=AQ14),AH14,0),IF(Z14=1,IF(AND(AR14+AE14&gt;480,AE14&gt;AR14),AH14,0),IF(AE14&gt;480,AH14,0))))))</f>
      </c>
      <c r="AK14" s="1">
        <f>MIN(AJ14,AM14)</f>
      </c>
      <c r="AL14" s="1">
        <f>IF(OR(AD14=0,AF14&lt;&gt;""),"",IF(AND(W14=0,V14=0,AA14=0,Z14=0,AE14&lt;=480),"nicht mehr als 8 Std.; ","")&amp;IF(AA14=1,IF(AJ14&gt;0,"über Mitternacht, zusammen "&amp;TEXT((AE14+AQ14)/1440,"[h]:mm")&amp;" Std.; ",IF(AE14+AQ14&gt;480,"über Mitternacht: Pauschale am Folgetag; ","über Mitternacht, zusammen nicht mehr als 8 Std.; ")),"")&amp;IF(Z14=1,IF(AJ14&gt;0,"über Mitternacht, zusammen "&amp;TEXT((AR14+AE14)/1440,"[h]:mm")&amp;" Std.; ",IF(AR14+AE14&gt;480,"über Mitternacht: Pauschale am Vortag; ","über Mitternacht, zusammen nicht mehr als 8 Std.; ")),"")&amp;IF(AND(W14=1,V14&gt;0,OR(T14=1,U14=1)),"zwischendurch zu Hause: An- und Abreisetag; ","")&amp;IF(AND(W14=1,V14=0,T14=1),"Beginn leer lassen: unterwegs seit dem Vortag; ","")&amp;IF(AND(W14=0,V14&gt;0,U14=1),"Ende leer lassen: Übernachtung; ","")&amp;IF(AND(AJ14&gt;0,AM14&gt;AJ14),"Kürzung auf die Pauschale begrenzt; ",""))</f>
      </c>
      <c r="AM14" s="1">
        <f>ROUND(AG14*(IF(H14&lt;&gt;"",0.2,0)+IF(I14&lt;&gt;"",0.4,0)+IF(J14&lt;&gt;"",0.4,0)),2)</f>
      </c>
      <c r="AN14" s="1">
        <f>IF($A15="",'Juni'!$T$5,T15)</f>
      </c>
      <c r="AO14" s="1">
        <f>IF($A15="",'Juni'!$U$5,U15)</f>
      </c>
      <c r="AP14" s="1">
        <f>IF($A15="",'Juni'!$V$5,V15)</f>
      </c>
      <c r="AQ14" s="1">
        <f>IF($A15="",'Juni'!$AE$5,AE15)</f>
      </c>
      <c r="AR14" s="1">
        <f>AE13</f>
      </c>
      <c r="AS14" s="1">
        <f>X13</f>
      </c>
      <c r="AT14" s="1">
        <f>U13</f>
      </c>
      <c r="AU14" s="1">
        <f>V13</f>
      </c>
    </row>
    <row r="15" spans="1:47" x14ac:dyDescent="0.25">
      <c r="A15" s="17">
        <f>IF(MONTH(DATE(Jahr,5,11))=5,DATE(Jahr,5,11),"")</f>
      </c>
      <c r="B15" s="13">
        <f>IF(A15="","",CHOOSE(WEEKDAY(A15,2),"Mo","Di","Mi","Do","Fr","Sa","So"))</f>
      </c>
      <c r="C15" s="18"/>
      <c r="D15" s="18"/>
      <c r="E15" s="7"/>
      <c r="F15" s="7"/>
      <c r="G15" s="7"/>
      <c r="H15" s="19"/>
      <c r="I15" s="19"/>
      <c r="J15" s="19"/>
      <c r="K15" s="9"/>
      <c r="L15" s="20">
        <f>IF(OR(AD15=0,AF15&lt;&gt;"",AND(W15=1,V15&gt;0,OR(T15=1,U15=1))),"",AE15/1440)</f>
      </c>
      <c r="M15" s="21">
        <f>IF(OR(AD15=0,AF15&lt;&gt;""),"",AJ15)</f>
      </c>
      <c r="N15" s="21">
        <f>IF(AK15=0,"",AK15)</f>
      </c>
      <c r="O15" s="21">
        <f>IF(OR(AD15=0,AF15&lt;&gt;""),"",AJ15-AK15)</f>
      </c>
      <c r="P15" s="21">
        <f>IF(AND(AD15=1,AF15="",V15=2),AI15,"")</f>
      </c>
      <c r="Q15" s="21">
        <f>IF(OR($A15="",N(K15)=0),"",ROUND(K15*KmSatz,2))</f>
      </c>
      <c r="R15" s="22">
        <f>IF(AF15&amp;AL15="","",LEFT(AF15&amp;AL15,LEN(AF15&amp;AL15)-2))</f>
      </c>
      <c r="S15" s="1"/>
      <c r="T15" s="1">
        <f>IF(AND($A15&lt;&gt;"",ISNUMBER(C15)),1,0)</f>
      </c>
      <c r="U15" s="1">
        <f>IF(AND($A15&lt;&gt;"",ISNUMBER(D15)),1,0)</f>
      </c>
      <c r="V15" s="1">
        <f>IF($A15="",0,IF(E15="ja",1,IF(E15="Pauschale",2,0)))</f>
      </c>
      <c r="W15" s="1">
        <f>IF($A15="",0,IF(AU15&gt;0,1,0))</f>
      </c>
      <c r="X15" s="1">
        <f>IF(AND(T15=1,W15=0),1,0)</f>
      </c>
      <c r="Y15" s="1">
        <f>IF(AND(AS15=1,AT15=0,AU15=0),1,0)</f>
      </c>
      <c r="Z15" s="1">
        <f>IF(AND(Y15=1,T15=0,U15=1,V15=0),1,0)</f>
      </c>
      <c r="AA15" s="1">
        <f>IF(AND(X15=1,U15=0,V15=0,AN15=0,AO15=1,AP15=0),1,0)</f>
      </c>
      <c r="AB15" s="1">
        <f>IF(OR(W15=1,Z15=1),0,IF(T15=1,C15,0))</f>
      </c>
      <c r="AC15" s="1">
        <f>IF(OR(V15&gt;0,AA15=1),1,IF(U15=1,D15,1))</f>
      </c>
      <c r="AD15" s="1">
        <f>IF($A15="",0,IF(OR(T15=1,U15=1,V15&gt;0,W15=1),1,0))</f>
      </c>
      <c r="AE15" s="1">
        <f>IF(AD15=0,0,ROUND((AC15-AB15)*1440,0))</f>
      </c>
      <c r="AF15" s="1">
        <f>IF(AD15=0,"",IF(AND(F15&lt;&gt;"",ISNA(MATCH(F15,PauschLand,0))),"Land nicht in der Liste; ","")&amp;IF(AND(T15=0,W15=0,Z15=0),"Beginn fehlt; ","")&amp;IF(AND(V15=0,U15=0,AA15=0),"Ende fehlt; ","")&amp;IF(AND(X15=1,U15=1,V15=0,N(D15)&lt;N(C15)),"Ende vor Beginn (über Mitternacht: Ende in die Zeile des Folgetags); ",""))</f>
      </c>
      <c r="AG15" s="1">
        <f>IF(AD15=0,0,IFERROR(VLOOKUP(IF(F15="","Deutschland",F15),PauschTab,2,FALSE),0))</f>
      </c>
      <c r="AH15" s="1">
        <f>IF(AD15=0,0,IFERROR(VLOOKUP(IF(F15="","Deutschland",F15),PauschTab,3,FALSE),0))</f>
      </c>
      <c r="AI15" s="1">
        <f>IF(AD15=0,0,IFERROR(VLOOKUP(IF(F15="","Deutschland",F15),PauschTab,4,FALSE),0))</f>
      </c>
      <c r="AJ15" s="1">
        <f>IF(OR(AD15=0,AF15&lt;&gt;""),0,IF(AND(W15=1,V15&gt;0),IF(OR(T15=1,U15=1),AH15,AG15),IF(OR(W15=1,V15&gt;0),AH15,IF(AA15=1,IF(AND(AE15+AQ15&gt;480,AE15&gt;=AQ15),AH15,0),IF(Z15=1,IF(AND(AR15+AE15&gt;480,AE15&gt;AR15),AH15,0),IF(AE15&gt;480,AH15,0))))))</f>
      </c>
      <c r="AK15" s="1">
        <f>MIN(AJ15,AM15)</f>
      </c>
      <c r="AL15" s="1">
        <f>IF(OR(AD15=0,AF15&lt;&gt;""),"",IF(AND(W15=0,V15=0,AA15=0,Z15=0,AE15&lt;=480),"nicht mehr als 8 Std.; ","")&amp;IF(AA15=1,IF(AJ15&gt;0,"über Mitternacht, zusammen "&amp;TEXT((AE15+AQ15)/1440,"[h]:mm")&amp;" Std.; ",IF(AE15+AQ15&gt;480,"über Mitternacht: Pauschale am Folgetag; ","über Mitternacht, zusammen nicht mehr als 8 Std.; ")),"")&amp;IF(Z15=1,IF(AJ15&gt;0,"über Mitternacht, zusammen "&amp;TEXT((AR15+AE15)/1440,"[h]:mm")&amp;" Std.; ",IF(AR15+AE15&gt;480,"über Mitternacht: Pauschale am Vortag; ","über Mitternacht, zusammen nicht mehr als 8 Std.; ")),"")&amp;IF(AND(W15=1,V15&gt;0,OR(T15=1,U15=1)),"zwischendurch zu Hause: An- und Abreisetag; ","")&amp;IF(AND(W15=1,V15=0,T15=1),"Beginn leer lassen: unterwegs seit dem Vortag; ","")&amp;IF(AND(W15=0,V15&gt;0,U15=1),"Ende leer lassen: Übernachtung; ","")&amp;IF(AND(AJ15&gt;0,AM15&gt;AJ15),"Kürzung auf die Pauschale begrenzt; ",""))</f>
      </c>
      <c r="AM15" s="1">
        <f>ROUND(AG15*(IF(H15&lt;&gt;"",0.2,0)+IF(I15&lt;&gt;"",0.4,0)+IF(J15&lt;&gt;"",0.4,0)),2)</f>
      </c>
      <c r="AN15" s="1">
        <f>IF($A16="",'Juni'!$T$5,T16)</f>
      </c>
      <c r="AO15" s="1">
        <f>IF($A16="",'Juni'!$U$5,U16)</f>
      </c>
      <c r="AP15" s="1">
        <f>IF($A16="",'Juni'!$V$5,V16)</f>
      </c>
      <c r="AQ15" s="1">
        <f>IF($A16="",'Juni'!$AE$5,AE16)</f>
      </c>
      <c r="AR15" s="1">
        <f>AE14</f>
      </c>
      <c r="AS15" s="1">
        <f>X14</f>
      </c>
      <c r="AT15" s="1">
        <f>U14</f>
      </c>
      <c r="AU15" s="1">
        <f>V14</f>
      </c>
    </row>
    <row r="16" spans="1:47" x14ac:dyDescent="0.25">
      <c r="A16" s="17">
        <f>IF(MONTH(DATE(Jahr,5,12))=5,DATE(Jahr,5,12),"")</f>
      </c>
      <c r="B16" s="13">
        <f>IF(A16="","",CHOOSE(WEEKDAY(A16,2),"Mo","Di","Mi","Do","Fr","Sa","So"))</f>
      </c>
      <c r="C16" s="18"/>
      <c r="D16" s="18"/>
      <c r="E16" s="7"/>
      <c r="F16" s="7"/>
      <c r="G16" s="7"/>
      <c r="H16" s="19"/>
      <c r="I16" s="19"/>
      <c r="J16" s="19"/>
      <c r="K16" s="9"/>
      <c r="L16" s="20">
        <f>IF(OR(AD16=0,AF16&lt;&gt;"",AND(W16=1,V16&gt;0,OR(T16=1,U16=1))),"",AE16/1440)</f>
      </c>
      <c r="M16" s="21">
        <f>IF(OR(AD16=0,AF16&lt;&gt;""),"",AJ16)</f>
      </c>
      <c r="N16" s="21">
        <f>IF(AK16=0,"",AK16)</f>
      </c>
      <c r="O16" s="21">
        <f>IF(OR(AD16=0,AF16&lt;&gt;""),"",AJ16-AK16)</f>
      </c>
      <c r="P16" s="21">
        <f>IF(AND(AD16=1,AF16="",V16=2),AI16,"")</f>
      </c>
      <c r="Q16" s="21">
        <f>IF(OR($A16="",N(K16)=0),"",ROUND(K16*KmSatz,2))</f>
      </c>
      <c r="R16" s="22">
        <f>IF(AF16&amp;AL16="","",LEFT(AF16&amp;AL16,LEN(AF16&amp;AL16)-2))</f>
      </c>
      <c r="S16" s="1"/>
      <c r="T16" s="1">
        <f>IF(AND($A16&lt;&gt;"",ISNUMBER(C16)),1,0)</f>
      </c>
      <c r="U16" s="1">
        <f>IF(AND($A16&lt;&gt;"",ISNUMBER(D16)),1,0)</f>
      </c>
      <c r="V16" s="1">
        <f>IF($A16="",0,IF(E16="ja",1,IF(E16="Pauschale",2,0)))</f>
      </c>
      <c r="W16" s="1">
        <f>IF($A16="",0,IF(AU16&gt;0,1,0))</f>
      </c>
      <c r="X16" s="1">
        <f>IF(AND(T16=1,W16=0),1,0)</f>
      </c>
      <c r="Y16" s="1">
        <f>IF(AND(AS16=1,AT16=0,AU16=0),1,0)</f>
      </c>
      <c r="Z16" s="1">
        <f>IF(AND(Y16=1,T16=0,U16=1,V16=0),1,0)</f>
      </c>
      <c r="AA16" s="1">
        <f>IF(AND(X16=1,U16=0,V16=0,AN16=0,AO16=1,AP16=0),1,0)</f>
      </c>
      <c r="AB16" s="1">
        <f>IF(OR(W16=1,Z16=1),0,IF(T16=1,C16,0))</f>
      </c>
      <c r="AC16" s="1">
        <f>IF(OR(V16&gt;0,AA16=1),1,IF(U16=1,D16,1))</f>
      </c>
      <c r="AD16" s="1">
        <f>IF($A16="",0,IF(OR(T16=1,U16=1,V16&gt;0,W16=1),1,0))</f>
      </c>
      <c r="AE16" s="1">
        <f>IF(AD16=0,0,ROUND((AC16-AB16)*1440,0))</f>
      </c>
      <c r="AF16" s="1">
        <f>IF(AD16=0,"",IF(AND(F16&lt;&gt;"",ISNA(MATCH(F16,PauschLand,0))),"Land nicht in der Liste; ","")&amp;IF(AND(T16=0,W16=0,Z16=0),"Beginn fehlt; ","")&amp;IF(AND(V16=0,U16=0,AA16=0),"Ende fehlt; ","")&amp;IF(AND(X16=1,U16=1,V16=0,N(D16)&lt;N(C16)),"Ende vor Beginn (über Mitternacht: Ende in die Zeile des Folgetags); ",""))</f>
      </c>
      <c r="AG16" s="1">
        <f>IF(AD16=0,0,IFERROR(VLOOKUP(IF(F16="","Deutschland",F16),PauschTab,2,FALSE),0))</f>
      </c>
      <c r="AH16" s="1">
        <f>IF(AD16=0,0,IFERROR(VLOOKUP(IF(F16="","Deutschland",F16),PauschTab,3,FALSE),0))</f>
      </c>
      <c r="AI16" s="1">
        <f>IF(AD16=0,0,IFERROR(VLOOKUP(IF(F16="","Deutschland",F16),PauschTab,4,FALSE),0))</f>
      </c>
      <c r="AJ16" s="1">
        <f>IF(OR(AD16=0,AF16&lt;&gt;""),0,IF(AND(W16=1,V16&gt;0),IF(OR(T16=1,U16=1),AH16,AG16),IF(OR(W16=1,V16&gt;0),AH16,IF(AA16=1,IF(AND(AE16+AQ16&gt;480,AE16&gt;=AQ16),AH16,0),IF(Z16=1,IF(AND(AR16+AE16&gt;480,AE16&gt;AR16),AH16,0),IF(AE16&gt;480,AH16,0))))))</f>
      </c>
      <c r="AK16" s="1">
        <f>MIN(AJ16,AM16)</f>
      </c>
      <c r="AL16" s="1">
        <f>IF(OR(AD16=0,AF16&lt;&gt;""),"",IF(AND(W16=0,V16=0,AA16=0,Z16=0,AE16&lt;=480),"nicht mehr als 8 Std.; ","")&amp;IF(AA16=1,IF(AJ16&gt;0,"über Mitternacht, zusammen "&amp;TEXT((AE16+AQ16)/1440,"[h]:mm")&amp;" Std.; ",IF(AE16+AQ16&gt;480,"über Mitternacht: Pauschale am Folgetag; ","über Mitternacht, zusammen nicht mehr als 8 Std.; ")),"")&amp;IF(Z16=1,IF(AJ16&gt;0,"über Mitternacht, zusammen "&amp;TEXT((AR16+AE16)/1440,"[h]:mm")&amp;" Std.; ",IF(AR16+AE16&gt;480,"über Mitternacht: Pauschale am Vortag; ","über Mitternacht, zusammen nicht mehr als 8 Std.; ")),"")&amp;IF(AND(W16=1,V16&gt;0,OR(T16=1,U16=1)),"zwischendurch zu Hause: An- und Abreisetag; ","")&amp;IF(AND(W16=1,V16=0,T16=1),"Beginn leer lassen: unterwegs seit dem Vortag; ","")&amp;IF(AND(W16=0,V16&gt;0,U16=1),"Ende leer lassen: Übernachtung; ","")&amp;IF(AND(AJ16&gt;0,AM16&gt;AJ16),"Kürzung auf die Pauschale begrenzt; ",""))</f>
      </c>
      <c r="AM16" s="1">
        <f>ROUND(AG16*(IF(H16&lt;&gt;"",0.2,0)+IF(I16&lt;&gt;"",0.4,0)+IF(J16&lt;&gt;"",0.4,0)),2)</f>
      </c>
      <c r="AN16" s="1">
        <f>IF($A17="",'Juni'!$T$5,T17)</f>
      </c>
      <c r="AO16" s="1">
        <f>IF($A17="",'Juni'!$U$5,U17)</f>
      </c>
      <c r="AP16" s="1">
        <f>IF($A17="",'Juni'!$V$5,V17)</f>
      </c>
      <c r="AQ16" s="1">
        <f>IF($A17="",'Juni'!$AE$5,AE17)</f>
      </c>
      <c r="AR16" s="1">
        <f>AE15</f>
      </c>
      <c r="AS16" s="1">
        <f>X15</f>
      </c>
      <c r="AT16" s="1">
        <f>U15</f>
      </c>
      <c r="AU16" s="1">
        <f>V15</f>
      </c>
    </row>
    <row r="17" spans="1:47" x14ac:dyDescent="0.25">
      <c r="A17" s="17">
        <f>IF(MONTH(DATE(Jahr,5,13))=5,DATE(Jahr,5,13),"")</f>
      </c>
      <c r="B17" s="13">
        <f>IF(A17="","",CHOOSE(WEEKDAY(A17,2),"Mo","Di","Mi","Do","Fr","Sa","So"))</f>
      </c>
      <c r="C17" s="18"/>
      <c r="D17" s="18"/>
      <c r="E17" s="7"/>
      <c r="F17" s="7"/>
      <c r="G17" s="7"/>
      <c r="H17" s="19"/>
      <c r="I17" s="19"/>
      <c r="J17" s="19"/>
      <c r="K17" s="9"/>
      <c r="L17" s="20">
        <f>IF(OR(AD17=0,AF17&lt;&gt;"",AND(W17=1,V17&gt;0,OR(T17=1,U17=1))),"",AE17/1440)</f>
      </c>
      <c r="M17" s="21">
        <f>IF(OR(AD17=0,AF17&lt;&gt;""),"",AJ17)</f>
      </c>
      <c r="N17" s="21">
        <f>IF(AK17=0,"",AK17)</f>
      </c>
      <c r="O17" s="21">
        <f>IF(OR(AD17=0,AF17&lt;&gt;""),"",AJ17-AK17)</f>
      </c>
      <c r="P17" s="21">
        <f>IF(AND(AD17=1,AF17="",V17=2),AI17,"")</f>
      </c>
      <c r="Q17" s="21">
        <f>IF(OR($A17="",N(K17)=0),"",ROUND(K17*KmSatz,2))</f>
      </c>
      <c r="R17" s="22">
        <f>IF(AF17&amp;AL17="","",LEFT(AF17&amp;AL17,LEN(AF17&amp;AL17)-2))</f>
      </c>
      <c r="S17" s="1"/>
      <c r="T17" s="1">
        <f>IF(AND($A17&lt;&gt;"",ISNUMBER(C17)),1,0)</f>
      </c>
      <c r="U17" s="1">
        <f>IF(AND($A17&lt;&gt;"",ISNUMBER(D17)),1,0)</f>
      </c>
      <c r="V17" s="1">
        <f>IF($A17="",0,IF(E17="ja",1,IF(E17="Pauschale",2,0)))</f>
      </c>
      <c r="W17" s="1">
        <f>IF($A17="",0,IF(AU17&gt;0,1,0))</f>
      </c>
      <c r="X17" s="1">
        <f>IF(AND(T17=1,W17=0),1,0)</f>
      </c>
      <c r="Y17" s="1">
        <f>IF(AND(AS17=1,AT17=0,AU17=0),1,0)</f>
      </c>
      <c r="Z17" s="1">
        <f>IF(AND(Y17=1,T17=0,U17=1,V17=0),1,0)</f>
      </c>
      <c r="AA17" s="1">
        <f>IF(AND(X17=1,U17=0,V17=0,AN17=0,AO17=1,AP17=0),1,0)</f>
      </c>
      <c r="AB17" s="1">
        <f>IF(OR(W17=1,Z17=1),0,IF(T17=1,C17,0))</f>
      </c>
      <c r="AC17" s="1">
        <f>IF(OR(V17&gt;0,AA17=1),1,IF(U17=1,D17,1))</f>
      </c>
      <c r="AD17" s="1">
        <f>IF($A17="",0,IF(OR(T17=1,U17=1,V17&gt;0,W17=1),1,0))</f>
      </c>
      <c r="AE17" s="1">
        <f>IF(AD17=0,0,ROUND((AC17-AB17)*1440,0))</f>
      </c>
      <c r="AF17" s="1">
        <f>IF(AD17=0,"",IF(AND(F17&lt;&gt;"",ISNA(MATCH(F17,PauschLand,0))),"Land nicht in der Liste; ","")&amp;IF(AND(T17=0,W17=0,Z17=0),"Beginn fehlt; ","")&amp;IF(AND(V17=0,U17=0,AA17=0),"Ende fehlt; ","")&amp;IF(AND(X17=1,U17=1,V17=0,N(D17)&lt;N(C17)),"Ende vor Beginn (über Mitternacht: Ende in die Zeile des Folgetags); ",""))</f>
      </c>
      <c r="AG17" s="1">
        <f>IF(AD17=0,0,IFERROR(VLOOKUP(IF(F17="","Deutschland",F17),PauschTab,2,FALSE),0))</f>
      </c>
      <c r="AH17" s="1">
        <f>IF(AD17=0,0,IFERROR(VLOOKUP(IF(F17="","Deutschland",F17),PauschTab,3,FALSE),0))</f>
      </c>
      <c r="AI17" s="1">
        <f>IF(AD17=0,0,IFERROR(VLOOKUP(IF(F17="","Deutschland",F17),PauschTab,4,FALSE),0))</f>
      </c>
      <c r="AJ17" s="1">
        <f>IF(OR(AD17=0,AF17&lt;&gt;""),0,IF(AND(W17=1,V17&gt;0),IF(OR(T17=1,U17=1),AH17,AG17),IF(OR(W17=1,V17&gt;0),AH17,IF(AA17=1,IF(AND(AE17+AQ17&gt;480,AE17&gt;=AQ17),AH17,0),IF(Z17=1,IF(AND(AR17+AE17&gt;480,AE17&gt;AR17),AH17,0),IF(AE17&gt;480,AH17,0))))))</f>
      </c>
      <c r="AK17" s="1">
        <f>MIN(AJ17,AM17)</f>
      </c>
      <c r="AL17" s="1">
        <f>IF(OR(AD17=0,AF17&lt;&gt;""),"",IF(AND(W17=0,V17=0,AA17=0,Z17=0,AE17&lt;=480),"nicht mehr als 8 Std.; ","")&amp;IF(AA17=1,IF(AJ17&gt;0,"über Mitternacht, zusammen "&amp;TEXT((AE17+AQ17)/1440,"[h]:mm")&amp;" Std.; ",IF(AE17+AQ17&gt;480,"über Mitternacht: Pauschale am Folgetag; ","über Mitternacht, zusammen nicht mehr als 8 Std.; ")),"")&amp;IF(Z17=1,IF(AJ17&gt;0,"über Mitternacht, zusammen "&amp;TEXT((AR17+AE17)/1440,"[h]:mm")&amp;" Std.; ",IF(AR17+AE17&gt;480,"über Mitternacht: Pauschale am Vortag; ","über Mitternacht, zusammen nicht mehr als 8 Std.; ")),"")&amp;IF(AND(W17=1,V17&gt;0,OR(T17=1,U17=1)),"zwischendurch zu Hause: An- und Abreisetag; ","")&amp;IF(AND(W17=1,V17=0,T17=1),"Beginn leer lassen: unterwegs seit dem Vortag; ","")&amp;IF(AND(W17=0,V17&gt;0,U17=1),"Ende leer lassen: Übernachtung; ","")&amp;IF(AND(AJ17&gt;0,AM17&gt;AJ17),"Kürzung auf die Pauschale begrenzt; ",""))</f>
      </c>
      <c r="AM17" s="1">
        <f>ROUND(AG17*(IF(H17&lt;&gt;"",0.2,0)+IF(I17&lt;&gt;"",0.4,0)+IF(J17&lt;&gt;"",0.4,0)),2)</f>
      </c>
      <c r="AN17" s="1">
        <f>IF($A18="",'Juni'!$T$5,T18)</f>
      </c>
      <c r="AO17" s="1">
        <f>IF($A18="",'Juni'!$U$5,U18)</f>
      </c>
      <c r="AP17" s="1">
        <f>IF($A18="",'Juni'!$V$5,V18)</f>
      </c>
      <c r="AQ17" s="1">
        <f>IF($A18="",'Juni'!$AE$5,AE18)</f>
      </c>
      <c r="AR17" s="1">
        <f>AE16</f>
      </c>
      <c r="AS17" s="1">
        <f>X16</f>
      </c>
      <c r="AT17" s="1">
        <f>U16</f>
      </c>
      <c r="AU17" s="1">
        <f>V16</f>
      </c>
    </row>
    <row r="18" spans="1:47" x14ac:dyDescent="0.25">
      <c r="A18" s="17">
        <f>IF(MONTH(DATE(Jahr,5,14))=5,DATE(Jahr,5,14),"")</f>
      </c>
      <c r="B18" s="13">
        <f>IF(A18="","",CHOOSE(WEEKDAY(A18,2),"Mo","Di","Mi","Do","Fr","Sa","So"))</f>
      </c>
      <c r="C18" s="18"/>
      <c r="D18" s="18"/>
      <c r="E18" s="7"/>
      <c r="F18" s="7"/>
      <c r="G18" s="7"/>
      <c r="H18" s="19"/>
      <c r="I18" s="19"/>
      <c r="J18" s="19"/>
      <c r="K18" s="9"/>
      <c r="L18" s="20">
        <f>IF(OR(AD18=0,AF18&lt;&gt;"",AND(W18=1,V18&gt;0,OR(T18=1,U18=1))),"",AE18/1440)</f>
      </c>
      <c r="M18" s="21">
        <f>IF(OR(AD18=0,AF18&lt;&gt;""),"",AJ18)</f>
      </c>
      <c r="N18" s="21">
        <f>IF(AK18=0,"",AK18)</f>
      </c>
      <c r="O18" s="21">
        <f>IF(OR(AD18=0,AF18&lt;&gt;""),"",AJ18-AK18)</f>
      </c>
      <c r="P18" s="21">
        <f>IF(AND(AD18=1,AF18="",V18=2),AI18,"")</f>
      </c>
      <c r="Q18" s="21">
        <f>IF(OR($A18="",N(K18)=0),"",ROUND(K18*KmSatz,2))</f>
      </c>
      <c r="R18" s="22">
        <f>IF(AF18&amp;AL18="","",LEFT(AF18&amp;AL18,LEN(AF18&amp;AL18)-2))</f>
      </c>
      <c r="S18" s="1"/>
      <c r="T18" s="1">
        <f>IF(AND($A18&lt;&gt;"",ISNUMBER(C18)),1,0)</f>
      </c>
      <c r="U18" s="1">
        <f>IF(AND($A18&lt;&gt;"",ISNUMBER(D18)),1,0)</f>
      </c>
      <c r="V18" s="1">
        <f>IF($A18="",0,IF(E18="ja",1,IF(E18="Pauschale",2,0)))</f>
      </c>
      <c r="W18" s="1">
        <f>IF($A18="",0,IF(AU18&gt;0,1,0))</f>
      </c>
      <c r="X18" s="1">
        <f>IF(AND(T18=1,W18=0),1,0)</f>
      </c>
      <c r="Y18" s="1">
        <f>IF(AND(AS18=1,AT18=0,AU18=0),1,0)</f>
      </c>
      <c r="Z18" s="1">
        <f>IF(AND(Y18=1,T18=0,U18=1,V18=0),1,0)</f>
      </c>
      <c r="AA18" s="1">
        <f>IF(AND(X18=1,U18=0,V18=0,AN18=0,AO18=1,AP18=0),1,0)</f>
      </c>
      <c r="AB18" s="1">
        <f>IF(OR(W18=1,Z18=1),0,IF(T18=1,C18,0))</f>
      </c>
      <c r="AC18" s="1">
        <f>IF(OR(V18&gt;0,AA18=1),1,IF(U18=1,D18,1))</f>
      </c>
      <c r="AD18" s="1">
        <f>IF($A18="",0,IF(OR(T18=1,U18=1,V18&gt;0,W18=1),1,0))</f>
      </c>
      <c r="AE18" s="1">
        <f>IF(AD18=0,0,ROUND((AC18-AB18)*1440,0))</f>
      </c>
      <c r="AF18" s="1">
        <f>IF(AD18=0,"",IF(AND(F18&lt;&gt;"",ISNA(MATCH(F18,PauschLand,0))),"Land nicht in der Liste; ","")&amp;IF(AND(T18=0,W18=0,Z18=0),"Beginn fehlt; ","")&amp;IF(AND(V18=0,U18=0,AA18=0),"Ende fehlt; ","")&amp;IF(AND(X18=1,U18=1,V18=0,N(D18)&lt;N(C18)),"Ende vor Beginn (über Mitternacht: Ende in die Zeile des Folgetags); ",""))</f>
      </c>
      <c r="AG18" s="1">
        <f>IF(AD18=0,0,IFERROR(VLOOKUP(IF(F18="","Deutschland",F18),PauschTab,2,FALSE),0))</f>
      </c>
      <c r="AH18" s="1">
        <f>IF(AD18=0,0,IFERROR(VLOOKUP(IF(F18="","Deutschland",F18),PauschTab,3,FALSE),0))</f>
      </c>
      <c r="AI18" s="1">
        <f>IF(AD18=0,0,IFERROR(VLOOKUP(IF(F18="","Deutschland",F18),PauschTab,4,FALSE),0))</f>
      </c>
      <c r="AJ18" s="1">
        <f>IF(OR(AD18=0,AF18&lt;&gt;""),0,IF(AND(W18=1,V18&gt;0),IF(OR(T18=1,U18=1),AH18,AG18),IF(OR(W18=1,V18&gt;0),AH18,IF(AA18=1,IF(AND(AE18+AQ18&gt;480,AE18&gt;=AQ18),AH18,0),IF(Z18=1,IF(AND(AR18+AE18&gt;480,AE18&gt;AR18),AH18,0),IF(AE18&gt;480,AH18,0))))))</f>
      </c>
      <c r="AK18" s="1">
        <f>MIN(AJ18,AM18)</f>
      </c>
      <c r="AL18" s="1">
        <f>IF(OR(AD18=0,AF18&lt;&gt;""),"",IF(AND(W18=0,V18=0,AA18=0,Z18=0,AE18&lt;=480),"nicht mehr als 8 Std.; ","")&amp;IF(AA18=1,IF(AJ18&gt;0,"über Mitternacht, zusammen "&amp;TEXT((AE18+AQ18)/1440,"[h]:mm")&amp;" Std.; ",IF(AE18+AQ18&gt;480,"über Mitternacht: Pauschale am Folgetag; ","über Mitternacht, zusammen nicht mehr als 8 Std.; ")),"")&amp;IF(Z18=1,IF(AJ18&gt;0,"über Mitternacht, zusammen "&amp;TEXT((AR18+AE18)/1440,"[h]:mm")&amp;" Std.; ",IF(AR18+AE18&gt;480,"über Mitternacht: Pauschale am Vortag; ","über Mitternacht, zusammen nicht mehr als 8 Std.; ")),"")&amp;IF(AND(W18=1,V18&gt;0,OR(T18=1,U18=1)),"zwischendurch zu Hause: An- und Abreisetag; ","")&amp;IF(AND(W18=1,V18=0,T18=1),"Beginn leer lassen: unterwegs seit dem Vortag; ","")&amp;IF(AND(W18=0,V18&gt;0,U18=1),"Ende leer lassen: Übernachtung; ","")&amp;IF(AND(AJ18&gt;0,AM18&gt;AJ18),"Kürzung auf die Pauschale begrenzt; ",""))</f>
      </c>
      <c r="AM18" s="1">
        <f>ROUND(AG18*(IF(H18&lt;&gt;"",0.2,0)+IF(I18&lt;&gt;"",0.4,0)+IF(J18&lt;&gt;"",0.4,0)),2)</f>
      </c>
      <c r="AN18" s="1">
        <f>IF($A19="",'Juni'!$T$5,T19)</f>
      </c>
      <c r="AO18" s="1">
        <f>IF($A19="",'Juni'!$U$5,U19)</f>
      </c>
      <c r="AP18" s="1">
        <f>IF($A19="",'Juni'!$V$5,V19)</f>
      </c>
      <c r="AQ18" s="1">
        <f>IF($A19="",'Juni'!$AE$5,AE19)</f>
      </c>
      <c r="AR18" s="1">
        <f>AE17</f>
      </c>
      <c r="AS18" s="1">
        <f>X17</f>
      </c>
      <c r="AT18" s="1">
        <f>U17</f>
      </c>
      <c r="AU18" s="1">
        <f>V17</f>
      </c>
    </row>
    <row r="19" spans="1:47" x14ac:dyDescent="0.25">
      <c r="A19" s="17">
        <f>IF(MONTH(DATE(Jahr,5,15))=5,DATE(Jahr,5,15),"")</f>
      </c>
      <c r="B19" s="13">
        <f>IF(A19="","",CHOOSE(WEEKDAY(A19,2),"Mo","Di","Mi","Do","Fr","Sa","So"))</f>
      </c>
      <c r="C19" s="18"/>
      <c r="D19" s="18"/>
      <c r="E19" s="7"/>
      <c r="F19" s="7"/>
      <c r="G19" s="7"/>
      <c r="H19" s="19"/>
      <c r="I19" s="19"/>
      <c r="J19" s="19"/>
      <c r="K19" s="9"/>
      <c r="L19" s="20">
        <f>IF(OR(AD19=0,AF19&lt;&gt;"",AND(W19=1,V19&gt;0,OR(T19=1,U19=1))),"",AE19/1440)</f>
      </c>
      <c r="M19" s="21">
        <f>IF(OR(AD19=0,AF19&lt;&gt;""),"",AJ19)</f>
      </c>
      <c r="N19" s="21">
        <f>IF(AK19=0,"",AK19)</f>
      </c>
      <c r="O19" s="21">
        <f>IF(OR(AD19=0,AF19&lt;&gt;""),"",AJ19-AK19)</f>
      </c>
      <c r="P19" s="21">
        <f>IF(AND(AD19=1,AF19="",V19=2),AI19,"")</f>
      </c>
      <c r="Q19" s="21">
        <f>IF(OR($A19="",N(K19)=0),"",ROUND(K19*KmSatz,2))</f>
      </c>
      <c r="R19" s="22">
        <f>IF(AF19&amp;AL19="","",LEFT(AF19&amp;AL19,LEN(AF19&amp;AL19)-2))</f>
      </c>
      <c r="S19" s="1"/>
      <c r="T19" s="1">
        <f>IF(AND($A19&lt;&gt;"",ISNUMBER(C19)),1,0)</f>
      </c>
      <c r="U19" s="1">
        <f>IF(AND($A19&lt;&gt;"",ISNUMBER(D19)),1,0)</f>
      </c>
      <c r="V19" s="1">
        <f>IF($A19="",0,IF(E19="ja",1,IF(E19="Pauschale",2,0)))</f>
      </c>
      <c r="W19" s="1">
        <f>IF($A19="",0,IF(AU19&gt;0,1,0))</f>
      </c>
      <c r="X19" s="1">
        <f>IF(AND(T19=1,W19=0),1,0)</f>
      </c>
      <c r="Y19" s="1">
        <f>IF(AND(AS19=1,AT19=0,AU19=0),1,0)</f>
      </c>
      <c r="Z19" s="1">
        <f>IF(AND(Y19=1,T19=0,U19=1,V19=0),1,0)</f>
      </c>
      <c r="AA19" s="1">
        <f>IF(AND(X19=1,U19=0,V19=0,AN19=0,AO19=1,AP19=0),1,0)</f>
      </c>
      <c r="AB19" s="1">
        <f>IF(OR(W19=1,Z19=1),0,IF(T19=1,C19,0))</f>
      </c>
      <c r="AC19" s="1">
        <f>IF(OR(V19&gt;0,AA19=1),1,IF(U19=1,D19,1))</f>
      </c>
      <c r="AD19" s="1">
        <f>IF($A19="",0,IF(OR(T19=1,U19=1,V19&gt;0,W19=1),1,0))</f>
      </c>
      <c r="AE19" s="1">
        <f>IF(AD19=0,0,ROUND((AC19-AB19)*1440,0))</f>
      </c>
      <c r="AF19" s="1">
        <f>IF(AD19=0,"",IF(AND(F19&lt;&gt;"",ISNA(MATCH(F19,PauschLand,0))),"Land nicht in der Liste; ","")&amp;IF(AND(T19=0,W19=0,Z19=0),"Beginn fehlt; ","")&amp;IF(AND(V19=0,U19=0,AA19=0),"Ende fehlt; ","")&amp;IF(AND(X19=1,U19=1,V19=0,N(D19)&lt;N(C19)),"Ende vor Beginn (über Mitternacht: Ende in die Zeile des Folgetags); ",""))</f>
      </c>
      <c r="AG19" s="1">
        <f>IF(AD19=0,0,IFERROR(VLOOKUP(IF(F19="","Deutschland",F19),PauschTab,2,FALSE),0))</f>
      </c>
      <c r="AH19" s="1">
        <f>IF(AD19=0,0,IFERROR(VLOOKUP(IF(F19="","Deutschland",F19),PauschTab,3,FALSE),0))</f>
      </c>
      <c r="AI19" s="1">
        <f>IF(AD19=0,0,IFERROR(VLOOKUP(IF(F19="","Deutschland",F19),PauschTab,4,FALSE),0))</f>
      </c>
      <c r="AJ19" s="1">
        <f>IF(OR(AD19=0,AF19&lt;&gt;""),0,IF(AND(W19=1,V19&gt;0),IF(OR(T19=1,U19=1),AH19,AG19),IF(OR(W19=1,V19&gt;0),AH19,IF(AA19=1,IF(AND(AE19+AQ19&gt;480,AE19&gt;=AQ19),AH19,0),IF(Z19=1,IF(AND(AR19+AE19&gt;480,AE19&gt;AR19),AH19,0),IF(AE19&gt;480,AH19,0))))))</f>
      </c>
      <c r="AK19" s="1">
        <f>MIN(AJ19,AM19)</f>
      </c>
      <c r="AL19" s="1">
        <f>IF(OR(AD19=0,AF19&lt;&gt;""),"",IF(AND(W19=0,V19=0,AA19=0,Z19=0,AE19&lt;=480),"nicht mehr als 8 Std.; ","")&amp;IF(AA19=1,IF(AJ19&gt;0,"über Mitternacht, zusammen "&amp;TEXT((AE19+AQ19)/1440,"[h]:mm")&amp;" Std.; ",IF(AE19+AQ19&gt;480,"über Mitternacht: Pauschale am Folgetag; ","über Mitternacht, zusammen nicht mehr als 8 Std.; ")),"")&amp;IF(Z19=1,IF(AJ19&gt;0,"über Mitternacht, zusammen "&amp;TEXT((AR19+AE19)/1440,"[h]:mm")&amp;" Std.; ",IF(AR19+AE19&gt;480,"über Mitternacht: Pauschale am Vortag; ","über Mitternacht, zusammen nicht mehr als 8 Std.; ")),"")&amp;IF(AND(W19=1,V19&gt;0,OR(T19=1,U19=1)),"zwischendurch zu Hause: An- und Abreisetag; ","")&amp;IF(AND(W19=1,V19=0,T19=1),"Beginn leer lassen: unterwegs seit dem Vortag; ","")&amp;IF(AND(W19=0,V19&gt;0,U19=1),"Ende leer lassen: Übernachtung; ","")&amp;IF(AND(AJ19&gt;0,AM19&gt;AJ19),"Kürzung auf die Pauschale begrenzt; ",""))</f>
      </c>
      <c r="AM19" s="1">
        <f>ROUND(AG19*(IF(H19&lt;&gt;"",0.2,0)+IF(I19&lt;&gt;"",0.4,0)+IF(J19&lt;&gt;"",0.4,0)),2)</f>
      </c>
      <c r="AN19" s="1">
        <f>IF($A20="",'Juni'!$T$5,T20)</f>
      </c>
      <c r="AO19" s="1">
        <f>IF($A20="",'Juni'!$U$5,U20)</f>
      </c>
      <c r="AP19" s="1">
        <f>IF($A20="",'Juni'!$V$5,V20)</f>
      </c>
      <c r="AQ19" s="1">
        <f>IF($A20="",'Juni'!$AE$5,AE20)</f>
      </c>
      <c r="AR19" s="1">
        <f>AE18</f>
      </c>
      <c r="AS19" s="1">
        <f>X18</f>
      </c>
      <c r="AT19" s="1">
        <f>U18</f>
      </c>
      <c r="AU19" s="1">
        <f>V18</f>
      </c>
    </row>
    <row r="20" spans="1:47" x14ac:dyDescent="0.25">
      <c r="A20" s="17">
        <f>IF(MONTH(DATE(Jahr,5,16))=5,DATE(Jahr,5,16),"")</f>
      </c>
      <c r="B20" s="13">
        <f>IF(A20="","",CHOOSE(WEEKDAY(A20,2),"Mo","Di","Mi","Do","Fr","Sa","So"))</f>
      </c>
      <c r="C20" s="18"/>
      <c r="D20" s="18"/>
      <c r="E20" s="7"/>
      <c r="F20" s="7"/>
      <c r="G20" s="7"/>
      <c r="H20" s="19"/>
      <c r="I20" s="19"/>
      <c r="J20" s="19"/>
      <c r="K20" s="9"/>
      <c r="L20" s="20">
        <f>IF(OR(AD20=0,AF20&lt;&gt;"",AND(W20=1,V20&gt;0,OR(T20=1,U20=1))),"",AE20/1440)</f>
      </c>
      <c r="M20" s="21">
        <f>IF(OR(AD20=0,AF20&lt;&gt;""),"",AJ20)</f>
      </c>
      <c r="N20" s="21">
        <f>IF(AK20=0,"",AK20)</f>
      </c>
      <c r="O20" s="21">
        <f>IF(OR(AD20=0,AF20&lt;&gt;""),"",AJ20-AK20)</f>
      </c>
      <c r="P20" s="21">
        <f>IF(AND(AD20=1,AF20="",V20=2),AI20,"")</f>
      </c>
      <c r="Q20" s="21">
        <f>IF(OR($A20="",N(K20)=0),"",ROUND(K20*KmSatz,2))</f>
      </c>
      <c r="R20" s="22">
        <f>IF(AF20&amp;AL20="","",LEFT(AF20&amp;AL20,LEN(AF20&amp;AL20)-2))</f>
      </c>
      <c r="S20" s="1"/>
      <c r="T20" s="1">
        <f>IF(AND($A20&lt;&gt;"",ISNUMBER(C20)),1,0)</f>
      </c>
      <c r="U20" s="1">
        <f>IF(AND($A20&lt;&gt;"",ISNUMBER(D20)),1,0)</f>
      </c>
      <c r="V20" s="1">
        <f>IF($A20="",0,IF(E20="ja",1,IF(E20="Pauschale",2,0)))</f>
      </c>
      <c r="W20" s="1">
        <f>IF($A20="",0,IF(AU20&gt;0,1,0))</f>
      </c>
      <c r="X20" s="1">
        <f>IF(AND(T20=1,W20=0),1,0)</f>
      </c>
      <c r="Y20" s="1">
        <f>IF(AND(AS20=1,AT20=0,AU20=0),1,0)</f>
      </c>
      <c r="Z20" s="1">
        <f>IF(AND(Y20=1,T20=0,U20=1,V20=0),1,0)</f>
      </c>
      <c r="AA20" s="1">
        <f>IF(AND(X20=1,U20=0,V20=0,AN20=0,AO20=1,AP20=0),1,0)</f>
      </c>
      <c r="AB20" s="1">
        <f>IF(OR(W20=1,Z20=1),0,IF(T20=1,C20,0))</f>
      </c>
      <c r="AC20" s="1">
        <f>IF(OR(V20&gt;0,AA20=1),1,IF(U20=1,D20,1))</f>
      </c>
      <c r="AD20" s="1">
        <f>IF($A20="",0,IF(OR(T20=1,U20=1,V20&gt;0,W20=1),1,0))</f>
      </c>
      <c r="AE20" s="1">
        <f>IF(AD20=0,0,ROUND((AC20-AB20)*1440,0))</f>
      </c>
      <c r="AF20" s="1">
        <f>IF(AD20=0,"",IF(AND(F20&lt;&gt;"",ISNA(MATCH(F20,PauschLand,0))),"Land nicht in der Liste; ","")&amp;IF(AND(T20=0,W20=0,Z20=0),"Beginn fehlt; ","")&amp;IF(AND(V20=0,U20=0,AA20=0),"Ende fehlt; ","")&amp;IF(AND(X20=1,U20=1,V20=0,N(D20)&lt;N(C20)),"Ende vor Beginn (über Mitternacht: Ende in die Zeile des Folgetags); ",""))</f>
      </c>
      <c r="AG20" s="1">
        <f>IF(AD20=0,0,IFERROR(VLOOKUP(IF(F20="","Deutschland",F20),PauschTab,2,FALSE),0))</f>
      </c>
      <c r="AH20" s="1">
        <f>IF(AD20=0,0,IFERROR(VLOOKUP(IF(F20="","Deutschland",F20),PauschTab,3,FALSE),0))</f>
      </c>
      <c r="AI20" s="1">
        <f>IF(AD20=0,0,IFERROR(VLOOKUP(IF(F20="","Deutschland",F20),PauschTab,4,FALSE),0))</f>
      </c>
      <c r="AJ20" s="1">
        <f>IF(OR(AD20=0,AF20&lt;&gt;""),0,IF(AND(W20=1,V20&gt;0),IF(OR(T20=1,U20=1),AH20,AG20),IF(OR(W20=1,V20&gt;0),AH20,IF(AA20=1,IF(AND(AE20+AQ20&gt;480,AE20&gt;=AQ20),AH20,0),IF(Z20=1,IF(AND(AR20+AE20&gt;480,AE20&gt;AR20),AH20,0),IF(AE20&gt;480,AH20,0))))))</f>
      </c>
      <c r="AK20" s="1">
        <f>MIN(AJ20,AM20)</f>
      </c>
      <c r="AL20" s="1">
        <f>IF(OR(AD20=0,AF20&lt;&gt;""),"",IF(AND(W20=0,V20=0,AA20=0,Z20=0,AE20&lt;=480),"nicht mehr als 8 Std.; ","")&amp;IF(AA20=1,IF(AJ20&gt;0,"über Mitternacht, zusammen "&amp;TEXT((AE20+AQ20)/1440,"[h]:mm")&amp;" Std.; ",IF(AE20+AQ20&gt;480,"über Mitternacht: Pauschale am Folgetag; ","über Mitternacht, zusammen nicht mehr als 8 Std.; ")),"")&amp;IF(Z20=1,IF(AJ20&gt;0,"über Mitternacht, zusammen "&amp;TEXT((AR20+AE20)/1440,"[h]:mm")&amp;" Std.; ",IF(AR20+AE20&gt;480,"über Mitternacht: Pauschale am Vortag; ","über Mitternacht, zusammen nicht mehr als 8 Std.; ")),"")&amp;IF(AND(W20=1,V20&gt;0,OR(T20=1,U20=1)),"zwischendurch zu Hause: An- und Abreisetag; ","")&amp;IF(AND(W20=1,V20=0,T20=1),"Beginn leer lassen: unterwegs seit dem Vortag; ","")&amp;IF(AND(W20=0,V20&gt;0,U20=1),"Ende leer lassen: Übernachtung; ","")&amp;IF(AND(AJ20&gt;0,AM20&gt;AJ20),"Kürzung auf die Pauschale begrenzt; ",""))</f>
      </c>
      <c r="AM20" s="1">
        <f>ROUND(AG20*(IF(H20&lt;&gt;"",0.2,0)+IF(I20&lt;&gt;"",0.4,0)+IF(J20&lt;&gt;"",0.4,0)),2)</f>
      </c>
      <c r="AN20" s="1">
        <f>IF($A21="",'Juni'!$T$5,T21)</f>
      </c>
      <c r="AO20" s="1">
        <f>IF($A21="",'Juni'!$U$5,U21)</f>
      </c>
      <c r="AP20" s="1">
        <f>IF($A21="",'Juni'!$V$5,V21)</f>
      </c>
      <c r="AQ20" s="1">
        <f>IF($A21="",'Juni'!$AE$5,AE21)</f>
      </c>
      <c r="AR20" s="1">
        <f>AE19</f>
      </c>
      <c r="AS20" s="1">
        <f>X19</f>
      </c>
      <c r="AT20" s="1">
        <f>U19</f>
      </c>
      <c r="AU20" s="1">
        <f>V19</f>
      </c>
    </row>
    <row r="21" spans="1:47" x14ac:dyDescent="0.25">
      <c r="A21" s="17">
        <f>IF(MONTH(DATE(Jahr,5,17))=5,DATE(Jahr,5,17),"")</f>
      </c>
      <c r="B21" s="13">
        <f>IF(A21="","",CHOOSE(WEEKDAY(A21,2),"Mo","Di","Mi","Do","Fr","Sa","So"))</f>
      </c>
      <c r="C21" s="18"/>
      <c r="D21" s="18"/>
      <c r="E21" s="7"/>
      <c r="F21" s="7"/>
      <c r="G21" s="7"/>
      <c r="H21" s="19"/>
      <c r="I21" s="19"/>
      <c r="J21" s="19"/>
      <c r="K21" s="9"/>
      <c r="L21" s="20">
        <f>IF(OR(AD21=0,AF21&lt;&gt;"",AND(W21=1,V21&gt;0,OR(T21=1,U21=1))),"",AE21/1440)</f>
      </c>
      <c r="M21" s="21">
        <f>IF(OR(AD21=0,AF21&lt;&gt;""),"",AJ21)</f>
      </c>
      <c r="N21" s="21">
        <f>IF(AK21=0,"",AK21)</f>
      </c>
      <c r="O21" s="21">
        <f>IF(OR(AD21=0,AF21&lt;&gt;""),"",AJ21-AK21)</f>
      </c>
      <c r="P21" s="21">
        <f>IF(AND(AD21=1,AF21="",V21=2),AI21,"")</f>
      </c>
      <c r="Q21" s="21">
        <f>IF(OR($A21="",N(K21)=0),"",ROUND(K21*KmSatz,2))</f>
      </c>
      <c r="R21" s="22">
        <f>IF(AF21&amp;AL21="","",LEFT(AF21&amp;AL21,LEN(AF21&amp;AL21)-2))</f>
      </c>
      <c r="S21" s="1"/>
      <c r="T21" s="1">
        <f>IF(AND($A21&lt;&gt;"",ISNUMBER(C21)),1,0)</f>
      </c>
      <c r="U21" s="1">
        <f>IF(AND($A21&lt;&gt;"",ISNUMBER(D21)),1,0)</f>
      </c>
      <c r="V21" s="1">
        <f>IF($A21="",0,IF(E21="ja",1,IF(E21="Pauschale",2,0)))</f>
      </c>
      <c r="W21" s="1">
        <f>IF($A21="",0,IF(AU21&gt;0,1,0))</f>
      </c>
      <c r="X21" s="1">
        <f>IF(AND(T21=1,W21=0),1,0)</f>
      </c>
      <c r="Y21" s="1">
        <f>IF(AND(AS21=1,AT21=0,AU21=0),1,0)</f>
      </c>
      <c r="Z21" s="1">
        <f>IF(AND(Y21=1,T21=0,U21=1,V21=0),1,0)</f>
      </c>
      <c r="AA21" s="1">
        <f>IF(AND(X21=1,U21=0,V21=0,AN21=0,AO21=1,AP21=0),1,0)</f>
      </c>
      <c r="AB21" s="1">
        <f>IF(OR(W21=1,Z21=1),0,IF(T21=1,C21,0))</f>
      </c>
      <c r="AC21" s="1">
        <f>IF(OR(V21&gt;0,AA21=1),1,IF(U21=1,D21,1))</f>
      </c>
      <c r="AD21" s="1">
        <f>IF($A21="",0,IF(OR(T21=1,U21=1,V21&gt;0,W21=1),1,0))</f>
      </c>
      <c r="AE21" s="1">
        <f>IF(AD21=0,0,ROUND((AC21-AB21)*1440,0))</f>
      </c>
      <c r="AF21" s="1">
        <f>IF(AD21=0,"",IF(AND(F21&lt;&gt;"",ISNA(MATCH(F21,PauschLand,0))),"Land nicht in der Liste; ","")&amp;IF(AND(T21=0,W21=0,Z21=0),"Beginn fehlt; ","")&amp;IF(AND(V21=0,U21=0,AA21=0),"Ende fehlt; ","")&amp;IF(AND(X21=1,U21=1,V21=0,N(D21)&lt;N(C21)),"Ende vor Beginn (über Mitternacht: Ende in die Zeile des Folgetags); ",""))</f>
      </c>
      <c r="AG21" s="1">
        <f>IF(AD21=0,0,IFERROR(VLOOKUP(IF(F21="","Deutschland",F21),PauschTab,2,FALSE),0))</f>
      </c>
      <c r="AH21" s="1">
        <f>IF(AD21=0,0,IFERROR(VLOOKUP(IF(F21="","Deutschland",F21),PauschTab,3,FALSE),0))</f>
      </c>
      <c r="AI21" s="1">
        <f>IF(AD21=0,0,IFERROR(VLOOKUP(IF(F21="","Deutschland",F21),PauschTab,4,FALSE),0))</f>
      </c>
      <c r="AJ21" s="1">
        <f>IF(OR(AD21=0,AF21&lt;&gt;""),0,IF(AND(W21=1,V21&gt;0),IF(OR(T21=1,U21=1),AH21,AG21),IF(OR(W21=1,V21&gt;0),AH21,IF(AA21=1,IF(AND(AE21+AQ21&gt;480,AE21&gt;=AQ21),AH21,0),IF(Z21=1,IF(AND(AR21+AE21&gt;480,AE21&gt;AR21),AH21,0),IF(AE21&gt;480,AH21,0))))))</f>
      </c>
      <c r="AK21" s="1">
        <f>MIN(AJ21,AM21)</f>
      </c>
      <c r="AL21" s="1">
        <f>IF(OR(AD21=0,AF21&lt;&gt;""),"",IF(AND(W21=0,V21=0,AA21=0,Z21=0,AE21&lt;=480),"nicht mehr als 8 Std.; ","")&amp;IF(AA21=1,IF(AJ21&gt;0,"über Mitternacht, zusammen "&amp;TEXT((AE21+AQ21)/1440,"[h]:mm")&amp;" Std.; ",IF(AE21+AQ21&gt;480,"über Mitternacht: Pauschale am Folgetag; ","über Mitternacht, zusammen nicht mehr als 8 Std.; ")),"")&amp;IF(Z21=1,IF(AJ21&gt;0,"über Mitternacht, zusammen "&amp;TEXT((AR21+AE21)/1440,"[h]:mm")&amp;" Std.; ",IF(AR21+AE21&gt;480,"über Mitternacht: Pauschale am Vortag; ","über Mitternacht, zusammen nicht mehr als 8 Std.; ")),"")&amp;IF(AND(W21=1,V21&gt;0,OR(T21=1,U21=1)),"zwischendurch zu Hause: An- und Abreisetag; ","")&amp;IF(AND(W21=1,V21=0,T21=1),"Beginn leer lassen: unterwegs seit dem Vortag; ","")&amp;IF(AND(W21=0,V21&gt;0,U21=1),"Ende leer lassen: Übernachtung; ","")&amp;IF(AND(AJ21&gt;0,AM21&gt;AJ21),"Kürzung auf die Pauschale begrenzt; ",""))</f>
      </c>
      <c r="AM21" s="1">
        <f>ROUND(AG21*(IF(H21&lt;&gt;"",0.2,0)+IF(I21&lt;&gt;"",0.4,0)+IF(J21&lt;&gt;"",0.4,0)),2)</f>
      </c>
      <c r="AN21" s="1">
        <f>IF($A22="",'Juni'!$T$5,T22)</f>
      </c>
      <c r="AO21" s="1">
        <f>IF($A22="",'Juni'!$U$5,U22)</f>
      </c>
      <c r="AP21" s="1">
        <f>IF($A22="",'Juni'!$V$5,V22)</f>
      </c>
      <c r="AQ21" s="1">
        <f>IF($A22="",'Juni'!$AE$5,AE22)</f>
      </c>
      <c r="AR21" s="1">
        <f>AE20</f>
      </c>
      <c r="AS21" s="1">
        <f>X20</f>
      </c>
      <c r="AT21" s="1">
        <f>U20</f>
      </c>
      <c r="AU21" s="1">
        <f>V20</f>
      </c>
    </row>
    <row r="22" spans="1:47" x14ac:dyDescent="0.25">
      <c r="A22" s="17">
        <f>IF(MONTH(DATE(Jahr,5,18))=5,DATE(Jahr,5,18),"")</f>
      </c>
      <c r="B22" s="13">
        <f>IF(A22="","",CHOOSE(WEEKDAY(A22,2),"Mo","Di","Mi","Do","Fr","Sa","So"))</f>
      </c>
      <c r="C22" s="18"/>
      <c r="D22" s="18"/>
      <c r="E22" s="7"/>
      <c r="F22" s="7"/>
      <c r="G22" s="7"/>
      <c r="H22" s="19"/>
      <c r="I22" s="19"/>
      <c r="J22" s="19"/>
      <c r="K22" s="9"/>
      <c r="L22" s="20">
        <f>IF(OR(AD22=0,AF22&lt;&gt;"",AND(W22=1,V22&gt;0,OR(T22=1,U22=1))),"",AE22/1440)</f>
      </c>
      <c r="M22" s="21">
        <f>IF(OR(AD22=0,AF22&lt;&gt;""),"",AJ22)</f>
      </c>
      <c r="N22" s="21">
        <f>IF(AK22=0,"",AK22)</f>
      </c>
      <c r="O22" s="21">
        <f>IF(OR(AD22=0,AF22&lt;&gt;""),"",AJ22-AK22)</f>
      </c>
      <c r="P22" s="21">
        <f>IF(AND(AD22=1,AF22="",V22=2),AI22,"")</f>
      </c>
      <c r="Q22" s="21">
        <f>IF(OR($A22="",N(K22)=0),"",ROUND(K22*KmSatz,2))</f>
      </c>
      <c r="R22" s="22">
        <f>IF(AF22&amp;AL22="","",LEFT(AF22&amp;AL22,LEN(AF22&amp;AL22)-2))</f>
      </c>
      <c r="S22" s="1"/>
      <c r="T22" s="1">
        <f>IF(AND($A22&lt;&gt;"",ISNUMBER(C22)),1,0)</f>
      </c>
      <c r="U22" s="1">
        <f>IF(AND($A22&lt;&gt;"",ISNUMBER(D22)),1,0)</f>
      </c>
      <c r="V22" s="1">
        <f>IF($A22="",0,IF(E22="ja",1,IF(E22="Pauschale",2,0)))</f>
      </c>
      <c r="W22" s="1">
        <f>IF($A22="",0,IF(AU22&gt;0,1,0))</f>
      </c>
      <c r="X22" s="1">
        <f>IF(AND(T22=1,W22=0),1,0)</f>
      </c>
      <c r="Y22" s="1">
        <f>IF(AND(AS22=1,AT22=0,AU22=0),1,0)</f>
      </c>
      <c r="Z22" s="1">
        <f>IF(AND(Y22=1,T22=0,U22=1,V22=0),1,0)</f>
      </c>
      <c r="AA22" s="1">
        <f>IF(AND(X22=1,U22=0,V22=0,AN22=0,AO22=1,AP22=0),1,0)</f>
      </c>
      <c r="AB22" s="1">
        <f>IF(OR(W22=1,Z22=1),0,IF(T22=1,C22,0))</f>
      </c>
      <c r="AC22" s="1">
        <f>IF(OR(V22&gt;0,AA22=1),1,IF(U22=1,D22,1))</f>
      </c>
      <c r="AD22" s="1">
        <f>IF($A22="",0,IF(OR(T22=1,U22=1,V22&gt;0,W22=1),1,0))</f>
      </c>
      <c r="AE22" s="1">
        <f>IF(AD22=0,0,ROUND((AC22-AB22)*1440,0))</f>
      </c>
      <c r="AF22" s="1">
        <f>IF(AD22=0,"",IF(AND(F22&lt;&gt;"",ISNA(MATCH(F22,PauschLand,0))),"Land nicht in der Liste; ","")&amp;IF(AND(T22=0,W22=0,Z22=0),"Beginn fehlt; ","")&amp;IF(AND(V22=0,U22=0,AA22=0),"Ende fehlt; ","")&amp;IF(AND(X22=1,U22=1,V22=0,N(D22)&lt;N(C22)),"Ende vor Beginn (über Mitternacht: Ende in die Zeile des Folgetags); ",""))</f>
      </c>
      <c r="AG22" s="1">
        <f>IF(AD22=0,0,IFERROR(VLOOKUP(IF(F22="","Deutschland",F22),PauschTab,2,FALSE),0))</f>
      </c>
      <c r="AH22" s="1">
        <f>IF(AD22=0,0,IFERROR(VLOOKUP(IF(F22="","Deutschland",F22),PauschTab,3,FALSE),0))</f>
      </c>
      <c r="AI22" s="1">
        <f>IF(AD22=0,0,IFERROR(VLOOKUP(IF(F22="","Deutschland",F22),PauschTab,4,FALSE),0))</f>
      </c>
      <c r="AJ22" s="1">
        <f>IF(OR(AD22=0,AF22&lt;&gt;""),0,IF(AND(W22=1,V22&gt;0),IF(OR(T22=1,U22=1),AH22,AG22),IF(OR(W22=1,V22&gt;0),AH22,IF(AA22=1,IF(AND(AE22+AQ22&gt;480,AE22&gt;=AQ22),AH22,0),IF(Z22=1,IF(AND(AR22+AE22&gt;480,AE22&gt;AR22),AH22,0),IF(AE22&gt;480,AH22,0))))))</f>
      </c>
      <c r="AK22" s="1">
        <f>MIN(AJ22,AM22)</f>
      </c>
      <c r="AL22" s="1">
        <f>IF(OR(AD22=0,AF22&lt;&gt;""),"",IF(AND(W22=0,V22=0,AA22=0,Z22=0,AE22&lt;=480),"nicht mehr als 8 Std.; ","")&amp;IF(AA22=1,IF(AJ22&gt;0,"über Mitternacht, zusammen "&amp;TEXT((AE22+AQ22)/1440,"[h]:mm")&amp;" Std.; ",IF(AE22+AQ22&gt;480,"über Mitternacht: Pauschale am Folgetag; ","über Mitternacht, zusammen nicht mehr als 8 Std.; ")),"")&amp;IF(Z22=1,IF(AJ22&gt;0,"über Mitternacht, zusammen "&amp;TEXT((AR22+AE22)/1440,"[h]:mm")&amp;" Std.; ",IF(AR22+AE22&gt;480,"über Mitternacht: Pauschale am Vortag; ","über Mitternacht, zusammen nicht mehr als 8 Std.; ")),"")&amp;IF(AND(W22=1,V22&gt;0,OR(T22=1,U22=1)),"zwischendurch zu Hause: An- und Abreisetag; ","")&amp;IF(AND(W22=1,V22=0,T22=1),"Beginn leer lassen: unterwegs seit dem Vortag; ","")&amp;IF(AND(W22=0,V22&gt;0,U22=1),"Ende leer lassen: Übernachtung; ","")&amp;IF(AND(AJ22&gt;0,AM22&gt;AJ22),"Kürzung auf die Pauschale begrenzt; ",""))</f>
      </c>
      <c r="AM22" s="1">
        <f>ROUND(AG22*(IF(H22&lt;&gt;"",0.2,0)+IF(I22&lt;&gt;"",0.4,0)+IF(J22&lt;&gt;"",0.4,0)),2)</f>
      </c>
      <c r="AN22" s="1">
        <f>IF($A23="",'Juni'!$T$5,T23)</f>
      </c>
      <c r="AO22" s="1">
        <f>IF($A23="",'Juni'!$U$5,U23)</f>
      </c>
      <c r="AP22" s="1">
        <f>IF($A23="",'Juni'!$V$5,V23)</f>
      </c>
      <c r="AQ22" s="1">
        <f>IF($A23="",'Juni'!$AE$5,AE23)</f>
      </c>
      <c r="AR22" s="1">
        <f>AE21</f>
      </c>
      <c r="AS22" s="1">
        <f>X21</f>
      </c>
      <c r="AT22" s="1">
        <f>U21</f>
      </c>
      <c r="AU22" s="1">
        <f>V21</f>
      </c>
    </row>
    <row r="23" spans="1:47" x14ac:dyDescent="0.25">
      <c r="A23" s="17">
        <f>IF(MONTH(DATE(Jahr,5,19))=5,DATE(Jahr,5,19),"")</f>
      </c>
      <c r="B23" s="13">
        <f>IF(A23="","",CHOOSE(WEEKDAY(A23,2),"Mo","Di","Mi","Do","Fr","Sa","So"))</f>
      </c>
      <c r="C23" s="18"/>
      <c r="D23" s="18"/>
      <c r="E23" s="7"/>
      <c r="F23" s="7"/>
      <c r="G23" s="7"/>
      <c r="H23" s="19"/>
      <c r="I23" s="19"/>
      <c r="J23" s="19"/>
      <c r="K23" s="9"/>
      <c r="L23" s="20">
        <f>IF(OR(AD23=0,AF23&lt;&gt;"",AND(W23=1,V23&gt;0,OR(T23=1,U23=1))),"",AE23/1440)</f>
      </c>
      <c r="M23" s="21">
        <f>IF(OR(AD23=0,AF23&lt;&gt;""),"",AJ23)</f>
      </c>
      <c r="N23" s="21">
        <f>IF(AK23=0,"",AK23)</f>
      </c>
      <c r="O23" s="21">
        <f>IF(OR(AD23=0,AF23&lt;&gt;""),"",AJ23-AK23)</f>
      </c>
      <c r="P23" s="21">
        <f>IF(AND(AD23=1,AF23="",V23=2),AI23,"")</f>
      </c>
      <c r="Q23" s="21">
        <f>IF(OR($A23="",N(K23)=0),"",ROUND(K23*KmSatz,2))</f>
      </c>
      <c r="R23" s="22">
        <f>IF(AF23&amp;AL23="","",LEFT(AF23&amp;AL23,LEN(AF23&amp;AL23)-2))</f>
      </c>
      <c r="S23" s="1"/>
      <c r="T23" s="1">
        <f>IF(AND($A23&lt;&gt;"",ISNUMBER(C23)),1,0)</f>
      </c>
      <c r="U23" s="1">
        <f>IF(AND($A23&lt;&gt;"",ISNUMBER(D23)),1,0)</f>
      </c>
      <c r="V23" s="1">
        <f>IF($A23="",0,IF(E23="ja",1,IF(E23="Pauschale",2,0)))</f>
      </c>
      <c r="W23" s="1">
        <f>IF($A23="",0,IF(AU23&gt;0,1,0))</f>
      </c>
      <c r="X23" s="1">
        <f>IF(AND(T23=1,W23=0),1,0)</f>
      </c>
      <c r="Y23" s="1">
        <f>IF(AND(AS23=1,AT23=0,AU23=0),1,0)</f>
      </c>
      <c r="Z23" s="1">
        <f>IF(AND(Y23=1,T23=0,U23=1,V23=0),1,0)</f>
      </c>
      <c r="AA23" s="1">
        <f>IF(AND(X23=1,U23=0,V23=0,AN23=0,AO23=1,AP23=0),1,0)</f>
      </c>
      <c r="AB23" s="1">
        <f>IF(OR(W23=1,Z23=1),0,IF(T23=1,C23,0))</f>
      </c>
      <c r="AC23" s="1">
        <f>IF(OR(V23&gt;0,AA23=1),1,IF(U23=1,D23,1))</f>
      </c>
      <c r="AD23" s="1">
        <f>IF($A23="",0,IF(OR(T23=1,U23=1,V23&gt;0,W23=1),1,0))</f>
      </c>
      <c r="AE23" s="1">
        <f>IF(AD23=0,0,ROUND((AC23-AB23)*1440,0))</f>
      </c>
      <c r="AF23" s="1">
        <f>IF(AD23=0,"",IF(AND(F23&lt;&gt;"",ISNA(MATCH(F23,PauschLand,0))),"Land nicht in der Liste; ","")&amp;IF(AND(T23=0,W23=0,Z23=0),"Beginn fehlt; ","")&amp;IF(AND(V23=0,U23=0,AA23=0),"Ende fehlt; ","")&amp;IF(AND(X23=1,U23=1,V23=0,N(D23)&lt;N(C23)),"Ende vor Beginn (über Mitternacht: Ende in die Zeile des Folgetags); ",""))</f>
      </c>
      <c r="AG23" s="1">
        <f>IF(AD23=0,0,IFERROR(VLOOKUP(IF(F23="","Deutschland",F23),PauschTab,2,FALSE),0))</f>
      </c>
      <c r="AH23" s="1">
        <f>IF(AD23=0,0,IFERROR(VLOOKUP(IF(F23="","Deutschland",F23),PauschTab,3,FALSE),0))</f>
      </c>
      <c r="AI23" s="1">
        <f>IF(AD23=0,0,IFERROR(VLOOKUP(IF(F23="","Deutschland",F23),PauschTab,4,FALSE),0))</f>
      </c>
      <c r="AJ23" s="1">
        <f>IF(OR(AD23=0,AF23&lt;&gt;""),0,IF(AND(W23=1,V23&gt;0),IF(OR(T23=1,U23=1),AH23,AG23),IF(OR(W23=1,V23&gt;0),AH23,IF(AA23=1,IF(AND(AE23+AQ23&gt;480,AE23&gt;=AQ23),AH23,0),IF(Z23=1,IF(AND(AR23+AE23&gt;480,AE23&gt;AR23),AH23,0),IF(AE23&gt;480,AH23,0))))))</f>
      </c>
      <c r="AK23" s="1">
        <f>MIN(AJ23,AM23)</f>
      </c>
      <c r="AL23" s="1">
        <f>IF(OR(AD23=0,AF23&lt;&gt;""),"",IF(AND(W23=0,V23=0,AA23=0,Z23=0,AE23&lt;=480),"nicht mehr als 8 Std.; ","")&amp;IF(AA23=1,IF(AJ23&gt;0,"über Mitternacht, zusammen "&amp;TEXT((AE23+AQ23)/1440,"[h]:mm")&amp;" Std.; ",IF(AE23+AQ23&gt;480,"über Mitternacht: Pauschale am Folgetag; ","über Mitternacht, zusammen nicht mehr als 8 Std.; ")),"")&amp;IF(Z23=1,IF(AJ23&gt;0,"über Mitternacht, zusammen "&amp;TEXT((AR23+AE23)/1440,"[h]:mm")&amp;" Std.; ",IF(AR23+AE23&gt;480,"über Mitternacht: Pauschale am Vortag; ","über Mitternacht, zusammen nicht mehr als 8 Std.; ")),"")&amp;IF(AND(W23=1,V23&gt;0,OR(T23=1,U23=1)),"zwischendurch zu Hause: An- und Abreisetag; ","")&amp;IF(AND(W23=1,V23=0,T23=1),"Beginn leer lassen: unterwegs seit dem Vortag; ","")&amp;IF(AND(W23=0,V23&gt;0,U23=1),"Ende leer lassen: Übernachtung; ","")&amp;IF(AND(AJ23&gt;0,AM23&gt;AJ23),"Kürzung auf die Pauschale begrenzt; ",""))</f>
      </c>
      <c r="AM23" s="1">
        <f>ROUND(AG23*(IF(H23&lt;&gt;"",0.2,0)+IF(I23&lt;&gt;"",0.4,0)+IF(J23&lt;&gt;"",0.4,0)),2)</f>
      </c>
      <c r="AN23" s="1">
        <f>IF($A24="",'Juni'!$T$5,T24)</f>
      </c>
      <c r="AO23" s="1">
        <f>IF($A24="",'Juni'!$U$5,U24)</f>
      </c>
      <c r="AP23" s="1">
        <f>IF($A24="",'Juni'!$V$5,V24)</f>
      </c>
      <c r="AQ23" s="1">
        <f>IF($A24="",'Juni'!$AE$5,AE24)</f>
      </c>
      <c r="AR23" s="1">
        <f>AE22</f>
      </c>
      <c r="AS23" s="1">
        <f>X22</f>
      </c>
      <c r="AT23" s="1">
        <f>U22</f>
      </c>
      <c r="AU23" s="1">
        <f>V22</f>
      </c>
    </row>
    <row r="24" spans="1:47" x14ac:dyDescent="0.25">
      <c r="A24" s="17">
        <f>IF(MONTH(DATE(Jahr,5,20))=5,DATE(Jahr,5,20),"")</f>
      </c>
      <c r="B24" s="13">
        <f>IF(A24="","",CHOOSE(WEEKDAY(A24,2),"Mo","Di","Mi","Do","Fr","Sa","So"))</f>
      </c>
      <c r="C24" s="18"/>
      <c r="D24" s="18"/>
      <c r="E24" s="7"/>
      <c r="F24" s="7"/>
      <c r="G24" s="7"/>
      <c r="H24" s="19"/>
      <c r="I24" s="19"/>
      <c r="J24" s="19"/>
      <c r="K24" s="9"/>
      <c r="L24" s="20">
        <f>IF(OR(AD24=0,AF24&lt;&gt;"",AND(W24=1,V24&gt;0,OR(T24=1,U24=1))),"",AE24/1440)</f>
      </c>
      <c r="M24" s="21">
        <f>IF(OR(AD24=0,AF24&lt;&gt;""),"",AJ24)</f>
      </c>
      <c r="N24" s="21">
        <f>IF(AK24=0,"",AK24)</f>
      </c>
      <c r="O24" s="21">
        <f>IF(OR(AD24=0,AF24&lt;&gt;""),"",AJ24-AK24)</f>
      </c>
      <c r="P24" s="21">
        <f>IF(AND(AD24=1,AF24="",V24=2),AI24,"")</f>
      </c>
      <c r="Q24" s="21">
        <f>IF(OR($A24="",N(K24)=0),"",ROUND(K24*KmSatz,2))</f>
      </c>
      <c r="R24" s="22">
        <f>IF(AF24&amp;AL24="","",LEFT(AF24&amp;AL24,LEN(AF24&amp;AL24)-2))</f>
      </c>
      <c r="S24" s="1"/>
      <c r="T24" s="1">
        <f>IF(AND($A24&lt;&gt;"",ISNUMBER(C24)),1,0)</f>
      </c>
      <c r="U24" s="1">
        <f>IF(AND($A24&lt;&gt;"",ISNUMBER(D24)),1,0)</f>
      </c>
      <c r="V24" s="1">
        <f>IF($A24="",0,IF(E24="ja",1,IF(E24="Pauschale",2,0)))</f>
      </c>
      <c r="W24" s="1">
        <f>IF($A24="",0,IF(AU24&gt;0,1,0))</f>
      </c>
      <c r="X24" s="1">
        <f>IF(AND(T24=1,W24=0),1,0)</f>
      </c>
      <c r="Y24" s="1">
        <f>IF(AND(AS24=1,AT24=0,AU24=0),1,0)</f>
      </c>
      <c r="Z24" s="1">
        <f>IF(AND(Y24=1,T24=0,U24=1,V24=0),1,0)</f>
      </c>
      <c r="AA24" s="1">
        <f>IF(AND(X24=1,U24=0,V24=0,AN24=0,AO24=1,AP24=0),1,0)</f>
      </c>
      <c r="AB24" s="1">
        <f>IF(OR(W24=1,Z24=1),0,IF(T24=1,C24,0))</f>
      </c>
      <c r="AC24" s="1">
        <f>IF(OR(V24&gt;0,AA24=1),1,IF(U24=1,D24,1))</f>
      </c>
      <c r="AD24" s="1">
        <f>IF($A24="",0,IF(OR(T24=1,U24=1,V24&gt;0,W24=1),1,0))</f>
      </c>
      <c r="AE24" s="1">
        <f>IF(AD24=0,0,ROUND((AC24-AB24)*1440,0))</f>
      </c>
      <c r="AF24" s="1">
        <f>IF(AD24=0,"",IF(AND(F24&lt;&gt;"",ISNA(MATCH(F24,PauschLand,0))),"Land nicht in der Liste; ","")&amp;IF(AND(T24=0,W24=0,Z24=0),"Beginn fehlt; ","")&amp;IF(AND(V24=0,U24=0,AA24=0),"Ende fehlt; ","")&amp;IF(AND(X24=1,U24=1,V24=0,N(D24)&lt;N(C24)),"Ende vor Beginn (über Mitternacht: Ende in die Zeile des Folgetags); ",""))</f>
      </c>
      <c r="AG24" s="1">
        <f>IF(AD24=0,0,IFERROR(VLOOKUP(IF(F24="","Deutschland",F24),PauschTab,2,FALSE),0))</f>
      </c>
      <c r="AH24" s="1">
        <f>IF(AD24=0,0,IFERROR(VLOOKUP(IF(F24="","Deutschland",F24),PauschTab,3,FALSE),0))</f>
      </c>
      <c r="AI24" s="1">
        <f>IF(AD24=0,0,IFERROR(VLOOKUP(IF(F24="","Deutschland",F24),PauschTab,4,FALSE),0))</f>
      </c>
      <c r="AJ24" s="1">
        <f>IF(OR(AD24=0,AF24&lt;&gt;""),0,IF(AND(W24=1,V24&gt;0),IF(OR(T24=1,U24=1),AH24,AG24),IF(OR(W24=1,V24&gt;0),AH24,IF(AA24=1,IF(AND(AE24+AQ24&gt;480,AE24&gt;=AQ24),AH24,0),IF(Z24=1,IF(AND(AR24+AE24&gt;480,AE24&gt;AR24),AH24,0),IF(AE24&gt;480,AH24,0))))))</f>
      </c>
      <c r="AK24" s="1">
        <f>MIN(AJ24,AM24)</f>
      </c>
      <c r="AL24" s="1">
        <f>IF(OR(AD24=0,AF24&lt;&gt;""),"",IF(AND(W24=0,V24=0,AA24=0,Z24=0,AE24&lt;=480),"nicht mehr als 8 Std.; ","")&amp;IF(AA24=1,IF(AJ24&gt;0,"über Mitternacht, zusammen "&amp;TEXT((AE24+AQ24)/1440,"[h]:mm")&amp;" Std.; ",IF(AE24+AQ24&gt;480,"über Mitternacht: Pauschale am Folgetag; ","über Mitternacht, zusammen nicht mehr als 8 Std.; ")),"")&amp;IF(Z24=1,IF(AJ24&gt;0,"über Mitternacht, zusammen "&amp;TEXT((AR24+AE24)/1440,"[h]:mm")&amp;" Std.; ",IF(AR24+AE24&gt;480,"über Mitternacht: Pauschale am Vortag; ","über Mitternacht, zusammen nicht mehr als 8 Std.; ")),"")&amp;IF(AND(W24=1,V24&gt;0,OR(T24=1,U24=1)),"zwischendurch zu Hause: An- und Abreisetag; ","")&amp;IF(AND(W24=1,V24=0,T24=1),"Beginn leer lassen: unterwegs seit dem Vortag; ","")&amp;IF(AND(W24=0,V24&gt;0,U24=1),"Ende leer lassen: Übernachtung; ","")&amp;IF(AND(AJ24&gt;0,AM24&gt;AJ24),"Kürzung auf die Pauschale begrenzt; ",""))</f>
      </c>
      <c r="AM24" s="1">
        <f>ROUND(AG24*(IF(H24&lt;&gt;"",0.2,0)+IF(I24&lt;&gt;"",0.4,0)+IF(J24&lt;&gt;"",0.4,0)),2)</f>
      </c>
      <c r="AN24" s="1">
        <f>IF($A25="",'Juni'!$T$5,T25)</f>
      </c>
      <c r="AO24" s="1">
        <f>IF($A25="",'Juni'!$U$5,U25)</f>
      </c>
      <c r="AP24" s="1">
        <f>IF($A25="",'Juni'!$V$5,V25)</f>
      </c>
      <c r="AQ24" s="1">
        <f>IF($A25="",'Juni'!$AE$5,AE25)</f>
      </c>
      <c r="AR24" s="1">
        <f>AE23</f>
      </c>
      <c r="AS24" s="1">
        <f>X23</f>
      </c>
      <c r="AT24" s="1">
        <f>U23</f>
      </c>
      <c r="AU24" s="1">
        <f>V23</f>
      </c>
    </row>
    <row r="25" spans="1:47" x14ac:dyDescent="0.25">
      <c r="A25" s="17">
        <f>IF(MONTH(DATE(Jahr,5,21))=5,DATE(Jahr,5,21),"")</f>
      </c>
      <c r="B25" s="13">
        <f>IF(A25="","",CHOOSE(WEEKDAY(A25,2),"Mo","Di","Mi","Do","Fr","Sa","So"))</f>
      </c>
      <c r="C25" s="18"/>
      <c r="D25" s="18"/>
      <c r="E25" s="7"/>
      <c r="F25" s="7"/>
      <c r="G25" s="7"/>
      <c r="H25" s="19"/>
      <c r="I25" s="19"/>
      <c r="J25" s="19"/>
      <c r="K25" s="9"/>
      <c r="L25" s="20">
        <f>IF(OR(AD25=0,AF25&lt;&gt;"",AND(W25=1,V25&gt;0,OR(T25=1,U25=1))),"",AE25/1440)</f>
      </c>
      <c r="M25" s="21">
        <f>IF(OR(AD25=0,AF25&lt;&gt;""),"",AJ25)</f>
      </c>
      <c r="N25" s="21">
        <f>IF(AK25=0,"",AK25)</f>
      </c>
      <c r="O25" s="21">
        <f>IF(OR(AD25=0,AF25&lt;&gt;""),"",AJ25-AK25)</f>
      </c>
      <c r="P25" s="21">
        <f>IF(AND(AD25=1,AF25="",V25=2),AI25,"")</f>
      </c>
      <c r="Q25" s="21">
        <f>IF(OR($A25="",N(K25)=0),"",ROUND(K25*KmSatz,2))</f>
      </c>
      <c r="R25" s="22">
        <f>IF(AF25&amp;AL25="","",LEFT(AF25&amp;AL25,LEN(AF25&amp;AL25)-2))</f>
      </c>
      <c r="S25" s="1"/>
      <c r="T25" s="1">
        <f>IF(AND($A25&lt;&gt;"",ISNUMBER(C25)),1,0)</f>
      </c>
      <c r="U25" s="1">
        <f>IF(AND($A25&lt;&gt;"",ISNUMBER(D25)),1,0)</f>
      </c>
      <c r="V25" s="1">
        <f>IF($A25="",0,IF(E25="ja",1,IF(E25="Pauschale",2,0)))</f>
      </c>
      <c r="W25" s="1">
        <f>IF($A25="",0,IF(AU25&gt;0,1,0))</f>
      </c>
      <c r="X25" s="1">
        <f>IF(AND(T25=1,W25=0),1,0)</f>
      </c>
      <c r="Y25" s="1">
        <f>IF(AND(AS25=1,AT25=0,AU25=0),1,0)</f>
      </c>
      <c r="Z25" s="1">
        <f>IF(AND(Y25=1,T25=0,U25=1,V25=0),1,0)</f>
      </c>
      <c r="AA25" s="1">
        <f>IF(AND(X25=1,U25=0,V25=0,AN25=0,AO25=1,AP25=0),1,0)</f>
      </c>
      <c r="AB25" s="1">
        <f>IF(OR(W25=1,Z25=1),0,IF(T25=1,C25,0))</f>
      </c>
      <c r="AC25" s="1">
        <f>IF(OR(V25&gt;0,AA25=1),1,IF(U25=1,D25,1))</f>
      </c>
      <c r="AD25" s="1">
        <f>IF($A25="",0,IF(OR(T25=1,U25=1,V25&gt;0,W25=1),1,0))</f>
      </c>
      <c r="AE25" s="1">
        <f>IF(AD25=0,0,ROUND((AC25-AB25)*1440,0))</f>
      </c>
      <c r="AF25" s="1">
        <f>IF(AD25=0,"",IF(AND(F25&lt;&gt;"",ISNA(MATCH(F25,PauschLand,0))),"Land nicht in der Liste; ","")&amp;IF(AND(T25=0,W25=0,Z25=0),"Beginn fehlt; ","")&amp;IF(AND(V25=0,U25=0,AA25=0),"Ende fehlt; ","")&amp;IF(AND(X25=1,U25=1,V25=0,N(D25)&lt;N(C25)),"Ende vor Beginn (über Mitternacht: Ende in die Zeile des Folgetags); ",""))</f>
      </c>
      <c r="AG25" s="1">
        <f>IF(AD25=0,0,IFERROR(VLOOKUP(IF(F25="","Deutschland",F25),PauschTab,2,FALSE),0))</f>
      </c>
      <c r="AH25" s="1">
        <f>IF(AD25=0,0,IFERROR(VLOOKUP(IF(F25="","Deutschland",F25),PauschTab,3,FALSE),0))</f>
      </c>
      <c r="AI25" s="1">
        <f>IF(AD25=0,0,IFERROR(VLOOKUP(IF(F25="","Deutschland",F25),PauschTab,4,FALSE),0))</f>
      </c>
      <c r="AJ25" s="1">
        <f>IF(OR(AD25=0,AF25&lt;&gt;""),0,IF(AND(W25=1,V25&gt;0),IF(OR(T25=1,U25=1),AH25,AG25),IF(OR(W25=1,V25&gt;0),AH25,IF(AA25=1,IF(AND(AE25+AQ25&gt;480,AE25&gt;=AQ25),AH25,0),IF(Z25=1,IF(AND(AR25+AE25&gt;480,AE25&gt;AR25),AH25,0),IF(AE25&gt;480,AH25,0))))))</f>
      </c>
      <c r="AK25" s="1">
        <f>MIN(AJ25,AM25)</f>
      </c>
      <c r="AL25" s="1">
        <f>IF(OR(AD25=0,AF25&lt;&gt;""),"",IF(AND(W25=0,V25=0,AA25=0,Z25=0,AE25&lt;=480),"nicht mehr als 8 Std.; ","")&amp;IF(AA25=1,IF(AJ25&gt;0,"über Mitternacht, zusammen "&amp;TEXT((AE25+AQ25)/1440,"[h]:mm")&amp;" Std.; ",IF(AE25+AQ25&gt;480,"über Mitternacht: Pauschale am Folgetag; ","über Mitternacht, zusammen nicht mehr als 8 Std.; ")),"")&amp;IF(Z25=1,IF(AJ25&gt;0,"über Mitternacht, zusammen "&amp;TEXT((AR25+AE25)/1440,"[h]:mm")&amp;" Std.; ",IF(AR25+AE25&gt;480,"über Mitternacht: Pauschale am Vortag; ","über Mitternacht, zusammen nicht mehr als 8 Std.; ")),"")&amp;IF(AND(W25=1,V25&gt;0,OR(T25=1,U25=1)),"zwischendurch zu Hause: An- und Abreisetag; ","")&amp;IF(AND(W25=1,V25=0,T25=1),"Beginn leer lassen: unterwegs seit dem Vortag; ","")&amp;IF(AND(W25=0,V25&gt;0,U25=1),"Ende leer lassen: Übernachtung; ","")&amp;IF(AND(AJ25&gt;0,AM25&gt;AJ25),"Kürzung auf die Pauschale begrenzt; ",""))</f>
      </c>
      <c r="AM25" s="1">
        <f>ROUND(AG25*(IF(H25&lt;&gt;"",0.2,0)+IF(I25&lt;&gt;"",0.4,0)+IF(J25&lt;&gt;"",0.4,0)),2)</f>
      </c>
      <c r="AN25" s="1">
        <f>IF($A26="",'Juni'!$T$5,T26)</f>
      </c>
      <c r="AO25" s="1">
        <f>IF($A26="",'Juni'!$U$5,U26)</f>
      </c>
      <c r="AP25" s="1">
        <f>IF($A26="",'Juni'!$V$5,V26)</f>
      </c>
      <c r="AQ25" s="1">
        <f>IF($A26="",'Juni'!$AE$5,AE26)</f>
      </c>
      <c r="AR25" s="1">
        <f>AE24</f>
      </c>
      <c r="AS25" s="1">
        <f>X24</f>
      </c>
      <c r="AT25" s="1">
        <f>U24</f>
      </c>
      <c r="AU25" s="1">
        <f>V24</f>
      </c>
    </row>
    <row r="26" spans="1:47" x14ac:dyDescent="0.25">
      <c r="A26" s="17">
        <f>IF(MONTH(DATE(Jahr,5,22))=5,DATE(Jahr,5,22),"")</f>
      </c>
      <c r="B26" s="13">
        <f>IF(A26="","",CHOOSE(WEEKDAY(A26,2),"Mo","Di","Mi","Do","Fr","Sa","So"))</f>
      </c>
      <c r="C26" s="18"/>
      <c r="D26" s="18"/>
      <c r="E26" s="7"/>
      <c r="F26" s="7"/>
      <c r="G26" s="7"/>
      <c r="H26" s="19"/>
      <c r="I26" s="19"/>
      <c r="J26" s="19"/>
      <c r="K26" s="9"/>
      <c r="L26" s="20">
        <f>IF(OR(AD26=0,AF26&lt;&gt;"",AND(W26=1,V26&gt;0,OR(T26=1,U26=1))),"",AE26/1440)</f>
      </c>
      <c r="M26" s="21">
        <f>IF(OR(AD26=0,AF26&lt;&gt;""),"",AJ26)</f>
      </c>
      <c r="N26" s="21">
        <f>IF(AK26=0,"",AK26)</f>
      </c>
      <c r="O26" s="21">
        <f>IF(OR(AD26=0,AF26&lt;&gt;""),"",AJ26-AK26)</f>
      </c>
      <c r="P26" s="21">
        <f>IF(AND(AD26=1,AF26="",V26=2),AI26,"")</f>
      </c>
      <c r="Q26" s="21">
        <f>IF(OR($A26="",N(K26)=0),"",ROUND(K26*KmSatz,2))</f>
      </c>
      <c r="R26" s="22">
        <f>IF(AF26&amp;AL26="","",LEFT(AF26&amp;AL26,LEN(AF26&amp;AL26)-2))</f>
      </c>
      <c r="S26" s="1"/>
      <c r="T26" s="1">
        <f>IF(AND($A26&lt;&gt;"",ISNUMBER(C26)),1,0)</f>
      </c>
      <c r="U26" s="1">
        <f>IF(AND($A26&lt;&gt;"",ISNUMBER(D26)),1,0)</f>
      </c>
      <c r="V26" s="1">
        <f>IF($A26="",0,IF(E26="ja",1,IF(E26="Pauschale",2,0)))</f>
      </c>
      <c r="W26" s="1">
        <f>IF($A26="",0,IF(AU26&gt;0,1,0))</f>
      </c>
      <c r="X26" s="1">
        <f>IF(AND(T26=1,W26=0),1,0)</f>
      </c>
      <c r="Y26" s="1">
        <f>IF(AND(AS26=1,AT26=0,AU26=0),1,0)</f>
      </c>
      <c r="Z26" s="1">
        <f>IF(AND(Y26=1,T26=0,U26=1,V26=0),1,0)</f>
      </c>
      <c r="AA26" s="1">
        <f>IF(AND(X26=1,U26=0,V26=0,AN26=0,AO26=1,AP26=0),1,0)</f>
      </c>
      <c r="AB26" s="1">
        <f>IF(OR(W26=1,Z26=1),0,IF(T26=1,C26,0))</f>
      </c>
      <c r="AC26" s="1">
        <f>IF(OR(V26&gt;0,AA26=1),1,IF(U26=1,D26,1))</f>
      </c>
      <c r="AD26" s="1">
        <f>IF($A26="",0,IF(OR(T26=1,U26=1,V26&gt;0,W26=1),1,0))</f>
      </c>
      <c r="AE26" s="1">
        <f>IF(AD26=0,0,ROUND((AC26-AB26)*1440,0))</f>
      </c>
      <c r="AF26" s="1">
        <f>IF(AD26=0,"",IF(AND(F26&lt;&gt;"",ISNA(MATCH(F26,PauschLand,0))),"Land nicht in der Liste; ","")&amp;IF(AND(T26=0,W26=0,Z26=0),"Beginn fehlt; ","")&amp;IF(AND(V26=0,U26=0,AA26=0),"Ende fehlt; ","")&amp;IF(AND(X26=1,U26=1,V26=0,N(D26)&lt;N(C26)),"Ende vor Beginn (über Mitternacht: Ende in die Zeile des Folgetags); ",""))</f>
      </c>
      <c r="AG26" s="1">
        <f>IF(AD26=0,0,IFERROR(VLOOKUP(IF(F26="","Deutschland",F26),PauschTab,2,FALSE),0))</f>
      </c>
      <c r="AH26" s="1">
        <f>IF(AD26=0,0,IFERROR(VLOOKUP(IF(F26="","Deutschland",F26),PauschTab,3,FALSE),0))</f>
      </c>
      <c r="AI26" s="1">
        <f>IF(AD26=0,0,IFERROR(VLOOKUP(IF(F26="","Deutschland",F26),PauschTab,4,FALSE),0))</f>
      </c>
      <c r="AJ26" s="1">
        <f>IF(OR(AD26=0,AF26&lt;&gt;""),0,IF(AND(W26=1,V26&gt;0),IF(OR(T26=1,U26=1),AH26,AG26),IF(OR(W26=1,V26&gt;0),AH26,IF(AA26=1,IF(AND(AE26+AQ26&gt;480,AE26&gt;=AQ26),AH26,0),IF(Z26=1,IF(AND(AR26+AE26&gt;480,AE26&gt;AR26),AH26,0),IF(AE26&gt;480,AH26,0))))))</f>
      </c>
      <c r="AK26" s="1">
        <f>MIN(AJ26,AM26)</f>
      </c>
      <c r="AL26" s="1">
        <f>IF(OR(AD26=0,AF26&lt;&gt;""),"",IF(AND(W26=0,V26=0,AA26=0,Z26=0,AE26&lt;=480),"nicht mehr als 8 Std.; ","")&amp;IF(AA26=1,IF(AJ26&gt;0,"über Mitternacht, zusammen "&amp;TEXT((AE26+AQ26)/1440,"[h]:mm")&amp;" Std.; ",IF(AE26+AQ26&gt;480,"über Mitternacht: Pauschale am Folgetag; ","über Mitternacht, zusammen nicht mehr als 8 Std.; ")),"")&amp;IF(Z26=1,IF(AJ26&gt;0,"über Mitternacht, zusammen "&amp;TEXT((AR26+AE26)/1440,"[h]:mm")&amp;" Std.; ",IF(AR26+AE26&gt;480,"über Mitternacht: Pauschale am Vortag; ","über Mitternacht, zusammen nicht mehr als 8 Std.; ")),"")&amp;IF(AND(W26=1,V26&gt;0,OR(T26=1,U26=1)),"zwischendurch zu Hause: An- und Abreisetag; ","")&amp;IF(AND(W26=1,V26=0,T26=1),"Beginn leer lassen: unterwegs seit dem Vortag; ","")&amp;IF(AND(W26=0,V26&gt;0,U26=1),"Ende leer lassen: Übernachtung; ","")&amp;IF(AND(AJ26&gt;0,AM26&gt;AJ26),"Kürzung auf die Pauschale begrenzt; ",""))</f>
      </c>
      <c r="AM26" s="1">
        <f>ROUND(AG26*(IF(H26&lt;&gt;"",0.2,0)+IF(I26&lt;&gt;"",0.4,0)+IF(J26&lt;&gt;"",0.4,0)),2)</f>
      </c>
      <c r="AN26" s="1">
        <f>IF($A27="",'Juni'!$T$5,T27)</f>
      </c>
      <c r="AO26" s="1">
        <f>IF($A27="",'Juni'!$U$5,U27)</f>
      </c>
      <c r="AP26" s="1">
        <f>IF($A27="",'Juni'!$V$5,V27)</f>
      </c>
      <c r="AQ26" s="1">
        <f>IF($A27="",'Juni'!$AE$5,AE27)</f>
      </c>
      <c r="AR26" s="1">
        <f>AE25</f>
      </c>
      <c r="AS26" s="1">
        <f>X25</f>
      </c>
      <c r="AT26" s="1">
        <f>U25</f>
      </c>
      <c r="AU26" s="1">
        <f>V25</f>
      </c>
    </row>
    <row r="27" spans="1:47" x14ac:dyDescent="0.25">
      <c r="A27" s="17">
        <f>IF(MONTH(DATE(Jahr,5,23))=5,DATE(Jahr,5,23),"")</f>
      </c>
      <c r="B27" s="13">
        <f>IF(A27="","",CHOOSE(WEEKDAY(A27,2),"Mo","Di","Mi","Do","Fr","Sa","So"))</f>
      </c>
      <c r="C27" s="18"/>
      <c r="D27" s="18"/>
      <c r="E27" s="7"/>
      <c r="F27" s="7"/>
      <c r="G27" s="7"/>
      <c r="H27" s="19"/>
      <c r="I27" s="19"/>
      <c r="J27" s="19"/>
      <c r="K27" s="9"/>
      <c r="L27" s="20">
        <f>IF(OR(AD27=0,AF27&lt;&gt;"",AND(W27=1,V27&gt;0,OR(T27=1,U27=1))),"",AE27/1440)</f>
      </c>
      <c r="M27" s="21">
        <f>IF(OR(AD27=0,AF27&lt;&gt;""),"",AJ27)</f>
      </c>
      <c r="N27" s="21">
        <f>IF(AK27=0,"",AK27)</f>
      </c>
      <c r="O27" s="21">
        <f>IF(OR(AD27=0,AF27&lt;&gt;""),"",AJ27-AK27)</f>
      </c>
      <c r="P27" s="21">
        <f>IF(AND(AD27=1,AF27="",V27=2),AI27,"")</f>
      </c>
      <c r="Q27" s="21">
        <f>IF(OR($A27="",N(K27)=0),"",ROUND(K27*KmSatz,2))</f>
      </c>
      <c r="R27" s="22">
        <f>IF(AF27&amp;AL27="","",LEFT(AF27&amp;AL27,LEN(AF27&amp;AL27)-2))</f>
      </c>
      <c r="S27" s="1"/>
      <c r="T27" s="1">
        <f>IF(AND($A27&lt;&gt;"",ISNUMBER(C27)),1,0)</f>
      </c>
      <c r="U27" s="1">
        <f>IF(AND($A27&lt;&gt;"",ISNUMBER(D27)),1,0)</f>
      </c>
      <c r="V27" s="1">
        <f>IF($A27="",0,IF(E27="ja",1,IF(E27="Pauschale",2,0)))</f>
      </c>
      <c r="W27" s="1">
        <f>IF($A27="",0,IF(AU27&gt;0,1,0))</f>
      </c>
      <c r="X27" s="1">
        <f>IF(AND(T27=1,W27=0),1,0)</f>
      </c>
      <c r="Y27" s="1">
        <f>IF(AND(AS27=1,AT27=0,AU27=0),1,0)</f>
      </c>
      <c r="Z27" s="1">
        <f>IF(AND(Y27=1,T27=0,U27=1,V27=0),1,0)</f>
      </c>
      <c r="AA27" s="1">
        <f>IF(AND(X27=1,U27=0,V27=0,AN27=0,AO27=1,AP27=0),1,0)</f>
      </c>
      <c r="AB27" s="1">
        <f>IF(OR(W27=1,Z27=1),0,IF(T27=1,C27,0))</f>
      </c>
      <c r="AC27" s="1">
        <f>IF(OR(V27&gt;0,AA27=1),1,IF(U27=1,D27,1))</f>
      </c>
      <c r="AD27" s="1">
        <f>IF($A27="",0,IF(OR(T27=1,U27=1,V27&gt;0,W27=1),1,0))</f>
      </c>
      <c r="AE27" s="1">
        <f>IF(AD27=0,0,ROUND((AC27-AB27)*1440,0))</f>
      </c>
      <c r="AF27" s="1">
        <f>IF(AD27=0,"",IF(AND(F27&lt;&gt;"",ISNA(MATCH(F27,PauschLand,0))),"Land nicht in der Liste; ","")&amp;IF(AND(T27=0,W27=0,Z27=0),"Beginn fehlt; ","")&amp;IF(AND(V27=0,U27=0,AA27=0),"Ende fehlt; ","")&amp;IF(AND(X27=1,U27=1,V27=0,N(D27)&lt;N(C27)),"Ende vor Beginn (über Mitternacht: Ende in die Zeile des Folgetags); ",""))</f>
      </c>
      <c r="AG27" s="1">
        <f>IF(AD27=0,0,IFERROR(VLOOKUP(IF(F27="","Deutschland",F27),PauschTab,2,FALSE),0))</f>
      </c>
      <c r="AH27" s="1">
        <f>IF(AD27=0,0,IFERROR(VLOOKUP(IF(F27="","Deutschland",F27),PauschTab,3,FALSE),0))</f>
      </c>
      <c r="AI27" s="1">
        <f>IF(AD27=0,0,IFERROR(VLOOKUP(IF(F27="","Deutschland",F27),PauschTab,4,FALSE),0))</f>
      </c>
      <c r="AJ27" s="1">
        <f>IF(OR(AD27=0,AF27&lt;&gt;""),0,IF(AND(W27=1,V27&gt;0),IF(OR(T27=1,U27=1),AH27,AG27),IF(OR(W27=1,V27&gt;0),AH27,IF(AA27=1,IF(AND(AE27+AQ27&gt;480,AE27&gt;=AQ27),AH27,0),IF(Z27=1,IF(AND(AR27+AE27&gt;480,AE27&gt;AR27),AH27,0),IF(AE27&gt;480,AH27,0))))))</f>
      </c>
      <c r="AK27" s="1">
        <f>MIN(AJ27,AM27)</f>
      </c>
      <c r="AL27" s="1">
        <f>IF(OR(AD27=0,AF27&lt;&gt;""),"",IF(AND(W27=0,V27=0,AA27=0,Z27=0,AE27&lt;=480),"nicht mehr als 8 Std.; ","")&amp;IF(AA27=1,IF(AJ27&gt;0,"über Mitternacht, zusammen "&amp;TEXT((AE27+AQ27)/1440,"[h]:mm")&amp;" Std.; ",IF(AE27+AQ27&gt;480,"über Mitternacht: Pauschale am Folgetag; ","über Mitternacht, zusammen nicht mehr als 8 Std.; ")),"")&amp;IF(Z27=1,IF(AJ27&gt;0,"über Mitternacht, zusammen "&amp;TEXT((AR27+AE27)/1440,"[h]:mm")&amp;" Std.; ",IF(AR27+AE27&gt;480,"über Mitternacht: Pauschale am Vortag; ","über Mitternacht, zusammen nicht mehr als 8 Std.; ")),"")&amp;IF(AND(W27=1,V27&gt;0,OR(T27=1,U27=1)),"zwischendurch zu Hause: An- und Abreisetag; ","")&amp;IF(AND(W27=1,V27=0,T27=1),"Beginn leer lassen: unterwegs seit dem Vortag; ","")&amp;IF(AND(W27=0,V27&gt;0,U27=1),"Ende leer lassen: Übernachtung; ","")&amp;IF(AND(AJ27&gt;0,AM27&gt;AJ27),"Kürzung auf die Pauschale begrenzt; ",""))</f>
      </c>
      <c r="AM27" s="1">
        <f>ROUND(AG27*(IF(H27&lt;&gt;"",0.2,0)+IF(I27&lt;&gt;"",0.4,0)+IF(J27&lt;&gt;"",0.4,0)),2)</f>
      </c>
      <c r="AN27" s="1">
        <f>IF($A28="",'Juni'!$T$5,T28)</f>
      </c>
      <c r="AO27" s="1">
        <f>IF($A28="",'Juni'!$U$5,U28)</f>
      </c>
      <c r="AP27" s="1">
        <f>IF($A28="",'Juni'!$V$5,V28)</f>
      </c>
      <c r="AQ27" s="1">
        <f>IF($A28="",'Juni'!$AE$5,AE28)</f>
      </c>
      <c r="AR27" s="1">
        <f>AE26</f>
      </c>
      <c r="AS27" s="1">
        <f>X26</f>
      </c>
      <c r="AT27" s="1">
        <f>U26</f>
      </c>
      <c r="AU27" s="1">
        <f>V26</f>
      </c>
    </row>
    <row r="28" spans="1:47" x14ac:dyDescent="0.25">
      <c r="A28" s="17">
        <f>IF(MONTH(DATE(Jahr,5,24))=5,DATE(Jahr,5,24),"")</f>
      </c>
      <c r="B28" s="13">
        <f>IF(A28="","",CHOOSE(WEEKDAY(A28,2),"Mo","Di","Mi","Do","Fr","Sa","So"))</f>
      </c>
      <c r="C28" s="18"/>
      <c r="D28" s="18"/>
      <c r="E28" s="7"/>
      <c r="F28" s="7"/>
      <c r="G28" s="7"/>
      <c r="H28" s="19"/>
      <c r="I28" s="19"/>
      <c r="J28" s="19"/>
      <c r="K28" s="9"/>
      <c r="L28" s="20">
        <f>IF(OR(AD28=0,AF28&lt;&gt;"",AND(W28=1,V28&gt;0,OR(T28=1,U28=1))),"",AE28/1440)</f>
      </c>
      <c r="M28" s="21">
        <f>IF(OR(AD28=0,AF28&lt;&gt;""),"",AJ28)</f>
      </c>
      <c r="N28" s="21">
        <f>IF(AK28=0,"",AK28)</f>
      </c>
      <c r="O28" s="21">
        <f>IF(OR(AD28=0,AF28&lt;&gt;""),"",AJ28-AK28)</f>
      </c>
      <c r="P28" s="21">
        <f>IF(AND(AD28=1,AF28="",V28=2),AI28,"")</f>
      </c>
      <c r="Q28" s="21">
        <f>IF(OR($A28="",N(K28)=0),"",ROUND(K28*KmSatz,2))</f>
      </c>
      <c r="R28" s="22">
        <f>IF(AF28&amp;AL28="","",LEFT(AF28&amp;AL28,LEN(AF28&amp;AL28)-2))</f>
      </c>
      <c r="S28" s="1"/>
      <c r="T28" s="1">
        <f>IF(AND($A28&lt;&gt;"",ISNUMBER(C28)),1,0)</f>
      </c>
      <c r="U28" s="1">
        <f>IF(AND($A28&lt;&gt;"",ISNUMBER(D28)),1,0)</f>
      </c>
      <c r="V28" s="1">
        <f>IF($A28="",0,IF(E28="ja",1,IF(E28="Pauschale",2,0)))</f>
      </c>
      <c r="W28" s="1">
        <f>IF($A28="",0,IF(AU28&gt;0,1,0))</f>
      </c>
      <c r="X28" s="1">
        <f>IF(AND(T28=1,W28=0),1,0)</f>
      </c>
      <c r="Y28" s="1">
        <f>IF(AND(AS28=1,AT28=0,AU28=0),1,0)</f>
      </c>
      <c r="Z28" s="1">
        <f>IF(AND(Y28=1,T28=0,U28=1,V28=0),1,0)</f>
      </c>
      <c r="AA28" s="1">
        <f>IF(AND(X28=1,U28=0,V28=0,AN28=0,AO28=1,AP28=0),1,0)</f>
      </c>
      <c r="AB28" s="1">
        <f>IF(OR(W28=1,Z28=1),0,IF(T28=1,C28,0))</f>
      </c>
      <c r="AC28" s="1">
        <f>IF(OR(V28&gt;0,AA28=1),1,IF(U28=1,D28,1))</f>
      </c>
      <c r="AD28" s="1">
        <f>IF($A28="",0,IF(OR(T28=1,U28=1,V28&gt;0,W28=1),1,0))</f>
      </c>
      <c r="AE28" s="1">
        <f>IF(AD28=0,0,ROUND((AC28-AB28)*1440,0))</f>
      </c>
      <c r="AF28" s="1">
        <f>IF(AD28=0,"",IF(AND(F28&lt;&gt;"",ISNA(MATCH(F28,PauschLand,0))),"Land nicht in der Liste; ","")&amp;IF(AND(T28=0,W28=0,Z28=0),"Beginn fehlt; ","")&amp;IF(AND(V28=0,U28=0,AA28=0),"Ende fehlt; ","")&amp;IF(AND(X28=1,U28=1,V28=0,N(D28)&lt;N(C28)),"Ende vor Beginn (über Mitternacht: Ende in die Zeile des Folgetags); ",""))</f>
      </c>
      <c r="AG28" s="1">
        <f>IF(AD28=0,0,IFERROR(VLOOKUP(IF(F28="","Deutschland",F28),PauschTab,2,FALSE),0))</f>
      </c>
      <c r="AH28" s="1">
        <f>IF(AD28=0,0,IFERROR(VLOOKUP(IF(F28="","Deutschland",F28),PauschTab,3,FALSE),0))</f>
      </c>
      <c r="AI28" s="1">
        <f>IF(AD28=0,0,IFERROR(VLOOKUP(IF(F28="","Deutschland",F28),PauschTab,4,FALSE),0))</f>
      </c>
      <c r="AJ28" s="1">
        <f>IF(OR(AD28=0,AF28&lt;&gt;""),0,IF(AND(W28=1,V28&gt;0),IF(OR(T28=1,U28=1),AH28,AG28),IF(OR(W28=1,V28&gt;0),AH28,IF(AA28=1,IF(AND(AE28+AQ28&gt;480,AE28&gt;=AQ28),AH28,0),IF(Z28=1,IF(AND(AR28+AE28&gt;480,AE28&gt;AR28),AH28,0),IF(AE28&gt;480,AH28,0))))))</f>
      </c>
      <c r="AK28" s="1">
        <f>MIN(AJ28,AM28)</f>
      </c>
      <c r="AL28" s="1">
        <f>IF(OR(AD28=0,AF28&lt;&gt;""),"",IF(AND(W28=0,V28=0,AA28=0,Z28=0,AE28&lt;=480),"nicht mehr als 8 Std.; ","")&amp;IF(AA28=1,IF(AJ28&gt;0,"über Mitternacht, zusammen "&amp;TEXT((AE28+AQ28)/1440,"[h]:mm")&amp;" Std.; ",IF(AE28+AQ28&gt;480,"über Mitternacht: Pauschale am Folgetag; ","über Mitternacht, zusammen nicht mehr als 8 Std.; ")),"")&amp;IF(Z28=1,IF(AJ28&gt;0,"über Mitternacht, zusammen "&amp;TEXT((AR28+AE28)/1440,"[h]:mm")&amp;" Std.; ",IF(AR28+AE28&gt;480,"über Mitternacht: Pauschale am Vortag; ","über Mitternacht, zusammen nicht mehr als 8 Std.; ")),"")&amp;IF(AND(W28=1,V28&gt;0,OR(T28=1,U28=1)),"zwischendurch zu Hause: An- und Abreisetag; ","")&amp;IF(AND(W28=1,V28=0,T28=1),"Beginn leer lassen: unterwegs seit dem Vortag; ","")&amp;IF(AND(W28=0,V28&gt;0,U28=1),"Ende leer lassen: Übernachtung; ","")&amp;IF(AND(AJ28&gt;0,AM28&gt;AJ28),"Kürzung auf die Pauschale begrenzt; ",""))</f>
      </c>
      <c r="AM28" s="1">
        <f>ROUND(AG28*(IF(H28&lt;&gt;"",0.2,0)+IF(I28&lt;&gt;"",0.4,0)+IF(J28&lt;&gt;"",0.4,0)),2)</f>
      </c>
      <c r="AN28" s="1">
        <f>IF($A29="",'Juni'!$T$5,T29)</f>
      </c>
      <c r="AO28" s="1">
        <f>IF($A29="",'Juni'!$U$5,U29)</f>
      </c>
      <c r="AP28" s="1">
        <f>IF($A29="",'Juni'!$V$5,V29)</f>
      </c>
      <c r="AQ28" s="1">
        <f>IF($A29="",'Juni'!$AE$5,AE29)</f>
      </c>
      <c r="AR28" s="1">
        <f>AE27</f>
      </c>
      <c r="AS28" s="1">
        <f>X27</f>
      </c>
      <c r="AT28" s="1">
        <f>U27</f>
      </c>
      <c r="AU28" s="1">
        <f>V27</f>
      </c>
    </row>
    <row r="29" spans="1:47" x14ac:dyDescent="0.25">
      <c r="A29" s="17">
        <f>IF(MONTH(DATE(Jahr,5,25))=5,DATE(Jahr,5,25),"")</f>
      </c>
      <c r="B29" s="13">
        <f>IF(A29="","",CHOOSE(WEEKDAY(A29,2),"Mo","Di","Mi","Do","Fr","Sa","So"))</f>
      </c>
      <c r="C29" s="18"/>
      <c r="D29" s="18"/>
      <c r="E29" s="7"/>
      <c r="F29" s="7"/>
      <c r="G29" s="7"/>
      <c r="H29" s="19"/>
      <c r="I29" s="19"/>
      <c r="J29" s="19"/>
      <c r="K29" s="9"/>
      <c r="L29" s="20">
        <f>IF(OR(AD29=0,AF29&lt;&gt;"",AND(W29=1,V29&gt;0,OR(T29=1,U29=1))),"",AE29/1440)</f>
      </c>
      <c r="M29" s="21">
        <f>IF(OR(AD29=0,AF29&lt;&gt;""),"",AJ29)</f>
      </c>
      <c r="N29" s="21">
        <f>IF(AK29=0,"",AK29)</f>
      </c>
      <c r="O29" s="21">
        <f>IF(OR(AD29=0,AF29&lt;&gt;""),"",AJ29-AK29)</f>
      </c>
      <c r="P29" s="21">
        <f>IF(AND(AD29=1,AF29="",V29=2),AI29,"")</f>
      </c>
      <c r="Q29" s="21">
        <f>IF(OR($A29="",N(K29)=0),"",ROUND(K29*KmSatz,2))</f>
      </c>
      <c r="R29" s="22">
        <f>IF(AF29&amp;AL29="","",LEFT(AF29&amp;AL29,LEN(AF29&amp;AL29)-2))</f>
      </c>
      <c r="S29" s="1"/>
      <c r="T29" s="1">
        <f>IF(AND($A29&lt;&gt;"",ISNUMBER(C29)),1,0)</f>
      </c>
      <c r="U29" s="1">
        <f>IF(AND($A29&lt;&gt;"",ISNUMBER(D29)),1,0)</f>
      </c>
      <c r="V29" s="1">
        <f>IF($A29="",0,IF(E29="ja",1,IF(E29="Pauschale",2,0)))</f>
      </c>
      <c r="W29" s="1">
        <f>IF($A29="",0,IF(AU29&gt;0,1,0))</f>
      </c>
      <c r="X29" s="1">
        <f>IF(AND(T29=1,W29=0),1,0)</f>
      </c>
      <c r="Y29" s="1">
        <f>IF(AND(AS29=1,AT29=0,AU29=0),1,0)</f>
      </c>
      <c r="Z29" s="1">
        <f>IF(AND(Y29=1,T29=0,U29=1,V29=0),1,0)</f>
      </c>
      <c r="AA29" s="1">
        <f>IF(AND(X29=1,U29=0,V29=0,AN29=0,AO29=1,AP29=0),1,0)</f>
      </c>
      <c r="AB29" s="1">
        <f>IF(OR(W29=1,Z29=1),0,IF(T29=1,C29,0))</f>
      </c>
      <c r="AC29" s="1">
        <f>IF(OR(V29&gt;0,AA29=1),1,IF(U29=1,D29,1))</f>
      </c>
      <c r="AD29" s="1">
        <f>IF($A29="",0,IF(OR(T29=1,U29=1,V29&gt;0,W29=1),1,0))</f>
      </c>
      <c r="AE29" s="1">
        <f>IF(AD29=0,0,ROUND((AC29-AB29)*1440,0))</f>
      </c>
      <c r="AF29" s="1">
        <f>IF(AD29=0,"",IF(AND(F29&lt;&gt;"",ISNA(MATCH(F29,PauschLand,0))),"Land nicht in der Liste; ","")&amp;IF(AND(T29=0,W29=0,Z29=0),"Beginn fehlt; ","")&amp;IF(AND(V29=0,U29=0,AA29=0),"Ende fehlt; ","")&amp;IF(AND(X29=1,U29=1,V29=0,N(D29)&lt;N(C29)),"Ende vor Beginn (über Mitternacht: Ende in die Zeile des Folgetags); ",""))</f>
      </c>
      <c r="AG29" s="1">
        <f>IF(AD29=0,0,IFERROR(VLOOKUP(IF(F29="","Deutschland",F29),PauschTab,2,FALSE),0))</f>
      </c>
      <c r="AH29" s="1">
        <f>IF(AD29=0,0,IFERROR(VLOOKUP(IF(F29="","Deutschland",F29),PauschTab,3,FALSE),0))</f>
      </c>
      <c r="AI29" s="1">
        <f>IF(AD29=0,0,IFERROR(VLOOKUP(IF(F29="","Deutschland",F29),PauschTab,4,FALSE),0))</f>
      </c>
      <c r="AJ29" s="1">
        <f>IF(OR(AD29=0,AF29&lt;&gt;""),0,IF(AND(W29=1,V29&gt;0),IF(OR(T29=1,U29=1),AH29,AG29),IF(OR(W29=1,V29&gt;0),AH29,IF(AA29=1,IF(AND(AE29+AQ29&gt;480,AE29&gt;=AQ29),AH29,0),IF(Z29=1,IF(AND(AR29+AE29&gt;480,AE29&gt;AR29),AH29,0),IF(AE29&gt;480,AH29,0))))))</f>
      </c>
      <c r="AK29" s="1">
        <f>MIN(AJ29,AM29)</f>
      </c>
      <c r="AL29" s="1">
        <f>IF(OR(AD29=0,AF29&lt;&gt;""),"",IF(AND(W29=0,V29=0,AA29=0,Z29=0,AE29&lt;=480),"nicht mehr als 8 Std.; ","")&amp;IF(AA29=1,IF(AJ29&gt;0,"über Mitternacht, zusammen "&amp;TEXT((AE29+AQ29)/1440,"[h]:mm")&amp;" Std.; ",IF(AE29+AQ29&gt;480,"über Mitternacht: Pauschale am Folgetag; ","über Mitternacht, zusammen nicht mehr als 8 Std.; ")),"")&amp;IF(Z29=1,IF(AJ29&gt;0,"über Mitternacht, zusammen "&amp;TEXT((AR29+AE29)/1440,"[h]:mm")&amp;" Std.; ",IF(AR29+AE29&gt;480,"über Mitternacht: Pauschale am Vortag; ","über Mitternacht, zusammen nicht mehr als 8 Std.; ")),"")&amp;IF(AND(W29=1,V29&gt;0,OR(T29=1,U29=1)),"zwischendurch zu Hause: An- und Abreisetag; ","")&amp;IF(AND(W29=1,V29=0,T29=1),"Beginn leer lassen: unterwegs seit dem Vortag; ","")&amp;IF(AND(W29=0,V29&gt;0,U29=1),"Ende leer lassen: Übernachtung; ","")&amp;IF(AND(AJ29&gt;0,AM29&gt;AJ29),"Kürzung auf die Pauschale begrenzt; ",""))</f>
      </c>
      <c r="AM29" s="1">
        <f>ROUND(AG29*(IF(H29&lt;&gt;"",0.2,0)+IF(I29&lt;&gt;"",0.4,0)+IF(J29&lt;&gt;"",0.4,0)),2)</f>
      </c>
      <c r="AN29" s="1">
        <f>IF($A30="",'Juni'!$T$5,T30)</f>
      </c>
      <c r="AO29" s="1">
        <f>IF($A30="",'Juni'!$U$5,U30)</f>
      </c>
      <c r="AP29" s="1">
        <f>IF($A30="",'Juni'!$V$5,V30)</f>
      </c>
      <c r="AQ29" s="1">
        <f>IF($A30="",'Juni'!$AE$5,AE30)</f>
      </c>
      <c r="AR29" s="1">
        <f>AE28</f>
      </c>
      <c r="AS29" s="1">
        <f>X28</f>
      </c>
      <c r="AT29" s="1">
        <f>U28</f>
      </c>
      <c r="AU29" s="1">
        <f>V28</f>
      </c>
    </row>
    <row r="30" spans="1:47" x14ac:dyDescent="0.25">
      <c r="A30" s="17">
        <f>IF(MONTH(DATE(Jahr,5,26))=5,DATE(Jahr,5,26),"")</f>
      </c>
      <c r="B30" s="13">
        <f>IF(A30="","",CHOOSE(WEEKDAY(A30,2),"Mo","Di","Mi","Do","Fr","Sa","So"))</f>
      </c>
      <c r="C30" s="18"/>
      <c r="D30" s="18"/>
      <c r="E30" s="7"/>
      <c r="F30" s="7"/>
      <c r="G30" s="7"/>
      <c r="H30" s="19"/>
      <c r="I30" s="19"/>
      <c r="J30" s="19"/>
      <c r="K30" s="9"/>
      <c r="L30" s="20">
        <f>IF(OR(AD30=0,AF30&lt;&gt;"",AND(W30=1,V30&gt;0,OR(T30=1,U30=1))),"",AE30/1440)</f>
      </c>
      <c r="M30" s="21">
        <f>IF(OR(AD30=0,AF30&lt;&gt;""),"",AJ30)</f>
      </c>
      <c r="N30" s="21">
        <f>IF(AK30=0,"",AK30)</f>
      </c>
      <c r="O30" s="21">
        <f>IF(OR(AD30=0,AF30&lt;&gt;""),"",AJ30-AK30)</f>
      </c>
      <c r="P30" s="21">
        <f>IF(AND(AD30=1,AF30="",V30=2),AI30,"")</f>
      </c>
      <c r="Q30" s="21">
        <f>IF(OR($A30="",N(K30)=0),"",ROUND(K30*KmSatz,2))</f>
      </c>
      <c r="R30" s="22">
        <f>IF(AF30&amp;AL30="","",LEFT(AF30&amp;AL30,LEN(AF30&amp;AL30)-2))</f>
      </c>
      <c r="S30" s="1"/>
      <c r="T30" s="1">
        <f>IF(AND($A30&lt;&gt;"",ISNUMBER(C30)),1,0)</f>
      </c>
      <c r="U30" s="1">
        <f>IF(AND($A30&lt;&gt;"",ISNUMBER(D30)),1,0)</f>
      </c>
      <c r="V30" s="1">
        <f>IF($A30="",0,IF(E30="ja",1,IF(E30="Pauschale",2,0)))</f>
      </c>
      <c r="W30" s="1">
        <f>IF($A30="",0,IF(AU30&gt;0,1,0))</f>
      </c>
      <c r="X30" s="1">
        <f>IF(AND(T30=1,W30=0),1,0)</f>
      </c>
      <c r="Y30" s="1">
        <f>IF(AND(AS30=1,AT30=0,AU30=0),1,0)</f>
      </c>
      <c r="Z30" s="1">
        <f>IF(AND(Y30=1,T30=0,U30=1,V30=0),1,0)</f>
      </c>
      <c r="AA30" s="1">
        <f>IF(AND(X30=1,U30=0,V30=0,AN30=0,AO30=1,AP30=0),1,0)</f>
      </c>
      <c r="AB30" s="1">
        <f>IF(OR(W30=1,Z30=1),0,IF(T30=1,C30,0))</f>
      </c>
      <c r="AC30" s="1">
        <f>IF(OR(V30&gt;0,AA30=1),1,IF(U30=1,D30,1))</f>
      </c>
      <c r="AD30" s="1">
        <f>IF($A30="",0,IF(OR(T30=1,U30=1,V30&gt;0,W30=1),1,0))</f>
      </c>
      <c r="AE30" s="1">
        <f>IF(AD30=0,0,ROUND((AC30-AB30)*1440,0))</f>
      </c>
      <c r="AF30" s="1">
        <f>IF(AD30=0,"",IF(AND(F30&lt;&gt;"",ISNA(MATCH(F30,PauschLand,0))),"Land nicht in der Liste; ","")&amp;IF(AND(T30=0,W30=0,Z30=0),"Beginn fehlt; ","")&amp;IF(AND(V30=0,U30=0,AA30=0),"Ende fehlt; ","")&amp;IF(AND(X30=1,U30=1,V30=0,N(D30)&lt;N(C30)),"Ende vor Beginn (über Mitternacht: Ende in die Zeile des Folgetags); ",""))</f>
      </c>
      <c r="AG30" s="1">
        <f>IF(AD30=0,0,IFERROR(VLOOKUP(IF(F30="","Deutschland",F30),PauschTab,2,FALSE),0))</f>
      </c>
      <c r="AH30" s="1">
        <f>IF(AD30=0,0,IFERROR(VLOOKUP(IF(F30="","Deutschland",F30),PauschTab,3,FALSE),0))</f>
      </c>
      <c r="AI30" s="1">
        <f>IF(AD30=0,0,IFERROR(VLOOKUP(IF(F30="","Deutschland",F30),PauschTab,4,FALSE),0))</f>
      </c>
      <c r="AJ30" s="1">
        <f>IF(OR(AD30=0,AF30&lt;&gt;""),0,IF(AND(W30=1,V30&gt;0),IF(OR(T30=1,U30=1),AH30,AG30),IF(OR(W30=1,V30&gt;0),AH30,IF(AA30=1,IF(AND(AE30+AQ30&gt;480,AE30&gt;=AQ30),AH30,0),IF(Z30=1,IF(AND(AR30+AE30&gt;480,AE30&gt;AR30),AH30,0),IF(AE30&gt;480,AH30,0))))))</f>
      </c>
      <c r="AK30" s="1">
        <f>MIN(AJ30,AM30)</f>
      </c>
      <c r="AL30" s="1">
        <f>IF(OR(AD30=0,AF30&lt;&gt;""),"",IF(AND(W30=0,V30=0,AA30=0,Z30=0,AE30&lt;=480),"nicht mehr als 8 Std.; ","")&amp;IF(AA30=1,IF(AJ30&gt;0,"über Mitternacht, zusammen "&amp;TEXT((AE30+AQ30)/1440,"[h]:mm")&amp;" Std.; ",IF(AE30+AQ30&gt;480,"über Mitternacht: Pauschale am Folgetag; ","über Mitternacht, zusammen nicht mehr als 8 Std.; ")),"")&amp;IF(Z30=1,IF(AJ30&gt;0,"über Mitternacht, zusammen "&amp;TEXT((AR30+AE30)/1440,"[h]:mm")&amp;" Std.; ",IF(AR30+AE30&gt;480,"über Mitternacht: Pauschale am Vortag; ","über Mitternacht, zusammen nicht mehr als 8 Std.; ")),"")&amp;IF(AND(W30=1,V30&gt;0,OR(T30=1,U30=1)),"zwischendurch zu Hause: An- und Abreisetag; ","")&amp;IF(AND(W30=1,V30=0,T30=1),"Beginn leer lassen: unterwegs seit dem Vortag; ","")&amp;IF(AND(W30=0,V30&gt;0,U30=1),"Ende leer lassen: Übernachtung; ","")&amp;IF(AND(AJ30&gt;0,AM30&gt;AJ30),"Kürzung auf die Pauschale begrenzt; ",""))</f>
      </c>
      <c r="AM30" s="1">
        <f>ROUND(AG30*(IF(H30&lt;&gt;"",0.2,0)+IF(I30&lt;&gt;"",0.4,0)+IF(J30&lt;&gt;"",0.4,0)),2)</f>
      </c>
      <c r="AN30" s="1">
        <f>IF($A31="",'Juni'!$T$5,T31)</f>
      </c>
      <c r="AO30" s="1">
        <f>IF($A31="",'Juni'!$U$5,U31)</f>
      </c>
      <c r="AP30" s="1">
        <f>IF($A31="",'Juni'!$V$5,V31)</f>
      </c>
      <c r="AQ30" s="1">
        <f>IF($A31="",'Juni'!$AE$5,AE31)</f>
      </c>
      <c r="AR30" s="1">
        <f>AE29</f>
      </c>
      <c r="AS30" s="1">
        <f>X29</f>
      </c>
      <c r="AT30" s="1">
        <f>U29</f>
      </c>
      <c r="AU30" s="1">
        <f>V29</f>
      </c>
    </row>
    <row r="31" spans="1:47" x14ac:dyDescent="0.25">
      <c r="A31" s="17">
        <f>IF(MONTH(DATE(Jahr,5,27))=5,DATE(Jahr,5,27),"")</f>
      </c>
      <c r="B31" s="13">
        <f>IF(A31="","",CHOOSE(WEEKDAY(A31,2),"Mo","Di","Mi","Do","Fr","Sa","So"))</f>
      </c>
      <c r="C31" s="18"/>
      <c r="D31" s="18"/>
      <c r="E31" s="7"/>
      <c r="F31" s="7"/>
      <c r="G31" s="7"/>
      <c r="H31" s="19"/>
      <c r="I31" s="19"/>
      <c r="J31" s="19"/>
      <c r="K31" s="9"/>
      <c r="L31" s="20">
        <f>IF(OR(AD31=0,AF31&lt;&gt;"",AND(W31=1,V31&gt;0,OR(T31=1,U31=1))),"",AE31/1440)</f>
      </c>
      <c r="M31" s="21">
        <f>IF(OR(AD31=0,AF31&lt;&gt;""),"",AJ31)</f>
      </c>
      <c r="N31" s="21">
        <f>IF(AK31=0,"",AK31)</f>
      </c>
      <c r="O31" s="21">
        <f>IF(OR(AD31=0,AF31&lt;&gt;""),"",AJ31-AK31)</f>
      </c>
      <c r="P31" s="21">
        <f>IF(AND(AD31=1,AF31="",V31=2),AI31,"")</f>
      </c>
      <c r="Q31" s="21">
        <f>IF(OR($A31="",N(K31)=0),"",ROUND(K31*KmSatz,2))</f>
      </c>
      <c r="R31" s="22">
        <f>IF(AF31&amp;AL31="","",LEFT(AF31&amp;AL31,LEN(AF31&amp;AL31)-2))</f>
      </c>
      <c r="S31" s="1"/>
      <c r="T31" s="1">
        <f>IF(AND($A31&lt;&gt;"",ISNUMBER(C31)),1,0)</f>
      </c>
      <c r="U31" s="1">
        <f>IF(AND($A31&lt;&gt;"",ISNUMBER(D31)),1,0)</f>
      </c>
      <c r="V31" s="1">
        <f>IF($A31="",0,IF(E31="ja",1,IF(E31="Pauschale",2,0)))</f>
      </c>
      <c r="W31" s="1">
        <f>IF($A31="",0,IF(AU31&gt;0,1,0))</f>
      </c>
      <c r="X31" s="1">
        <f>IF(AND(T31=1,W31=0),1,0)</f>
      </c>
      <c r="Y31" s="1">
        <f>IF(AND(AS31=1,AT31=0,AU31=0),1,0)</f>
      </c>
      <c r="Z31" s="1">
        <f>IF(AND(Y31=1,T31=0,U31=1,V31=0),1,0)</f>
      </c>
      <c r="AA31" s="1">
        <f>IF(AND(X31=1,U31=0,V31=0,AN31=0,AO31=1,AP31=0),1,0)</f>
      </c>
      <c r="AB31" s="1">
        <f>IF(OR(W31=1,Z31=1),0,IF(T31=1,C31,0))</f>
      </c>
      <c r="AC31" s="1">
        <f>IF(OR(V31&gt;0,AA31=1),1,IF(U31=1,D31,1))</f>
      </c>
      <c r="AD31" s="1">
        <f>IF($A31="",0,IF(OR(T31=1,U31=1,V31&gt;0,W31=1),1,0))</f>
      </c>
      <c r="AE31" s="1">
        <f>IF(AD31=0,0,ROUND((AC31-AB31)*1440,0))</f>
      </c>
      <c r="AF31" s="1">
        <f>IF(AD31=0,"",IF(AND(F31&lt;&gt;"",ISNA(MATCH(F31,PauschLand,0))),"Land nicht in der Liste; ","")&amp;IF(AND(T31=0,W31=0,Z31=0),"Beginn fehlt; ","")&amp;IF(AND(V31=0,U31=0,AA31=0),"Ende fehlt; ","")&amp;IF(AND(X31=1,U31=1,V31=0,N(D31)&lt;N(C31)),"Ende vor Beginn (über Mitternacht: Ende in die Zeile des Folgetags); ",""))</f>
      </c>
      <c r="AG31" s="1">
        <f>IF(AD31=0,0,IFERROR(VLOOKUP(IF(F31="","Deutschland",F31),PauschTab,2,FALSE),0))</f>
      </c>
      <c r="AH31" s="1">
        <f>IF(AD31=0,0,IFERROR(VLOOKUP(IF(F31="","Deutschland",F31),PauschTab,3,FALSE),0))</f>
      </c>
      <c r="AI31" s="1">
        <f>IF(AD31=0,0,IFERROR(VLOOKUP(IF(F31="","Deutschland",F31),PauschTab,4,FALSE),0))</f>
      </c>
      <c r="AJ31" s="1">
        <f>IF(OR(AD31=0,AF31&lt;&gt;""),0,IF(AND(W31=1,V31&gt;0),IF(OR(T31=1,U31=1),AH31,AG31),IF(OR(W31=1,V31&gt;0),AH31,IF(AA31=1,IF(AND(AE31+AQ31&gt;480,AE31&gt;=AQ31),AH31,0),IF(Z31=1,IF(AND(AR31+AE31&gt;480,AE31&gt;AR31),AH31,0),IF(AE31&gt;480,AH31,0))))))</f>
      </c>
      <c r="AK31" s="1">
        <f>MIN(AJ31,AM31)</f>
      </c>
      <c r="AL31" s="1">
        <f>IF(OR(AD31=0,AF31&lt;&gt;""),"",IF(AND(W31=0,V31=0,AA31=0,Z31=0,AE31&lt;=480),"nicht mehr als 8 Std.; ","")&amp;IF(AA31=1,IF(AJ31&gt;0,"über Mitternacht, zusammen "&amp;TEXT((AE31+AQ31)/1440,"[h]:mm")&amp;" Std.; ",IF(AE31+AQ31&gt;480,"über Mitternacht: Pauschale am Folgetag; ","über Mitternacht, zusammen nicht mehr als 8 Std.; ")),"")&amp;IF(Z31=1,IF(AJ31&gt;0,"über Mitternacht, zusammen "&amp;TEXT((AR31+AE31)/1440,"[h]:mm")&amp;" Std.; ",IF(AR31+AE31&gt;480,"über Mitternacht: Pauschale am Vortag; ","über Mitternacht, zusammen nicht mehr als 8 Std.; ")),"")&amp;IF(AND(W31=1,V31&gt;0,OR(T31=1,U31=1)),"zwischendurch zu Hause: An- und Abreisetag; ","")&amp;IF(AND(W31=1,V31=0,T31=1),"Beginn leer lassen: unterwegs seit dem Vortag; ","")&amp;IF(AND(W31=0,V31&gt;0,U31=1),"Ende leer lassen: Übernachtung; ","")&amp;IF(AND(AJ31&gt;0,AM31&gt;AJ31),"Kürzung auf die Pauschale begrenzt; ",""))</f>
      </c>
      <c r="AM31" s="1">
        <f>ROUND(AG31*(IF(H31&lt;&gt;"",0.2,0)+IF(I31&lt;&gt;"",0.4,0)+IF(J31&lt;&gt;"",0.4,0)),2)</f>
      </c>
      <c r="AN31" s="1">
        <f>IF($A32="",'Juni'!$T$5,T32)</f>
      </c>
      <c r="AO31" s="1">
        <f>IF($A32="",'Juni'!$U$5,U32)</f>
      </c>
      <c r="AP31" s="1">
        <f>IF($A32="",'Juni'!$V$5,V32)</f>
      </c>
      <c r="AQ31" s="1">
        <f>IF($A32="",'Juni'!$AE$5,AE32)</f>
      </c>
      <c r="AR31" s="1">
        <f>AE30</f>
      </c>
      <c r="AS31" s="1">
        <f>X30</f>
      </c>
      <c r="AT31" s="1">
        <f>U30</f>
      </c>
      <c r="AU31" s="1">
        <f>V30</f>
      </c>
    </row>
    <row r="32" spans="1:47" x14ac:dyDescent="0.25">
      <c r="A32" s="17">
        <f>IF(MONTH(DATE(Jahr,5,28))=5,DATE(Jahr,5,28),"")</f>
      </c>
      <c r="B32" s="13">
        <f>IF(A32="","",CHOOSE(WEEKDAY(A32,2),"Mo","Di","Mi","Do","Fr","Sa","So"))</f>
      </c>
      <c r="C32" s="18"/>
      <c r="D32" s="18"/>
      <c r="E32" s="7"/>
      <c r="F32" s="7"/>
      <c r="G32" s="7"/>
      <c r="H32" s="19"/>
      <c r="I32" s="19"/>
      <c r="J32" s="19"/>
      <c r="K32" s="9"/>
      <c r="L32" s="20">
        <f>IF(OR(AD32=0,AF32&lt;&gt;"",AND(W32=1,V32&gt;0,OR(T32=1,U32=1))),"",AE32/1440)</f>
      </c>
      <c r="M32" s="21">
        <f>IF(OR(AD32=0,AF32&lt;&gt;""),"",AJ32)</f>
      </c>
      <c r="N32" s="21">
        <f>IF(AK32=0,"",AK32)</f>
      </c>
      <c r="O32" s="21">
        <f>IF(OR(AD32=0,AF32&lt;&gt;""),"",AJ32-AK32)</f>
      </c>
      <c r="P32" s="21">
        <f>IF(AND(AD32=1,AF32="",V32=2),AI32,"")</f>
      </c>
      <c r="Q32" s="21">
        <f>IF(OR($A32="",N(K32)=0),"",ROUND(K32*KmSatz,2))</f>
      </c>
      <c r="R32" s="22">
        <f>IF(AF32&amp;AL32="","",LEFT(AF32&amp;AL32,LEN(AF32&amp;AL32)-2))</f>
      </c>
      <c r="S32" s="1"/>
      <c r="T32" s="1">
        <f>IF(AND($A32&lt;&gt;"",ISNUMBER(C32)),1,0)</f>
      </c>
      <c r="U32" s="1">
        <f>IF(AND($A32&lt;&gt;"",ISNUMBER(D32)),1,0)</f>
      </c>
      <c r="V32" s="1">
        <f>IF($A32="",0,IF(E32="ja",1,IF(E32="Pauschale",2,0)))</f>
      </c>
      <c r="W32" s="1">
        <f>IF($A32="",0,IF(AU32&gt;0,1,0))</f>
      </c>
      <c r="X32" s="1">
        <f>IF(AND(T32=1,W32=0),1,0)</f>
      </c>
      <c r="Y32" s="1">
        <f>IF(AND(AS32=1,AT32=0,AU32=0),1,0)</f>
      </c>
      <c r="Z32" s="1">
        <f>IF(AND(Y32=1,T32=0,U32=1,V32=0),1,0)</f>
      </c>
      <c r="AA32" s="1">
        <f>IF(AND(X32=1,U32=0,V32=0,AN32=0,AO32=1,AP32=0),1,0)</f>
      </c>
      <c r="AB32" s="1">
        <f>IF(OR(W32=1,Z32=1),0,IF(T32=1,C32,0))</f>
      </c>
      <c r="AC32" s="1">
        <f>IF(OR(V32&gt;0,AA32=1),1,IF(U32=1,D32,1))</f>
      </c>
      <c r="AD32" s="1">
        <f>IF($A32="",0,IF(OR(T32=1,U32=1,V32&gt;0,W32=1),1,0))</f>
      </c>
      <c r="AE32" s="1">
        <f>IF(AD32=0,0,ROUND((AC32-AB32)*1440,0))</f>
      </c>
      <c r="AF32" s="1">
        <f>IF(AD32=0,"",IF(AND(F32&lt;&gt;"",ISNA(MATCH(F32,PauschLand,0))),"Land nicht in der Liste; ","")&amp;IF(AND(T32=0,W32=0,Z32=0),"Beginn fehlt; ","")&amp;IF(AND(V32=0,U32=0,AA32=0),"Ende fehlt; ","")&amp;IF(AND(X32=1,U32=1,V32=0,N(D32)&lt;N(C32)),"Ende vor Beginn (über Mitternacht: Ende in die Zeile des Folgetags); ",""))</f>
      </c>
      <c r="AG32" s="1">
        <f>IF(AD32=0,0,IFERROR(VLOOKUP(IF(F32="","Deutschland",F32),PauschTab,2,FALSE),0))</f>
      </c>
      <c r="AH32" s="1">
        <f>IF(AD32=0,0,IFERROR(VLOOKUP(IF(F32="","Deutschland",F32),PauschTab,3,FALSE),0))</f>
      </c>
      <c r="AI32" s="1">
        <f>IF(AD32=0,0,IFERROR(VLOOKUP(IF(F32="","Deutschland",F32),PauschTab,4,FALSE),0))</f>
      </c>
      <c r="AJ32" s="1">
        <f>IF(OR(AD32=0,AF32&lt;&gt;""),0,IF(AND(W32=1,V32&gt;0),IF(OR(T32=1,U32=1),AH32,AG32),IF(OR(W32=1,V32&gt;0),AH32,IF(AA32=1,IF(AND(AE32+AQ32&gt;480,AE32&gt;=AQ32),AH32,0),IF(Z32=1,IF(AND(AR32+AE32&gt;480,AE32&gt;AR32),AH32,0),IF(AE32&gt;480,AH32,0))))))</f>
      </c>
      <c r="AK32" s="1">
        <f>MIN(AJ32,AM32)</f>
      </c>
      <c r="AL32" s="1">
        <f>IF(OR(AD32=0,AF32&lt;&gt;""),"",IF(AND(W32=0,V32=0,AA32=0,Z32=0,AE32&lt;=480),"nicht mehr als 8 Std.; ","")&amp;IF(AA32=1,IF(AJ32&gt;0,"über Mitternacht, zusammen "&amp;TEXT((AE32+AQ32)/1440,"[h]:mm")&amp;" Std.; ",IF(AE32+AQ32&gt;480,"über Mitternacht: Pauschale am Folgetag; ","über Mitternacht, zusammen nicht mehr als 8 Std.; ")),"")&amp;IF(Z32=1,IF(AJ32&gt;0,"über Mitternacht, zusammen "&amp;TEXT((AR32+AE32)/1440,"[h]:mm")&amp;" Std.; ",IF(AR32+AE32&gt;480,"über Mitternacht: Pauschale am Vortag; ","über Mitternacht, zusammen nicht mehr als 8 Std.; ")),"")&amp;IF(AND(W32=1,V32&gt;0,OR(T32=1,U32=1)),"zwischendurch zu Hause: An- und Abreisetag; ","")&amp;IF(AND(W32=1,V32=0,T32=1),"Beginn leer lassen: unterwegs seit dem Vortag; ","")&amp;IF(AND(W32=0,V32&gt;0,U32=1),"Ende leer lassen: Übernachtung; ","")&amp;IF(AND(AJ32&gt;0,AM32&gt;AJ32),"Kürzung auf die Pauschale begrenzt; ",""))</f>
      </c>
      <c r="AM32" s="1">
        <f>ROUND(AG32*(IF(H32&lt;&gt;"",0.2,0)+IF(I32&lt;&gt;"",0.4,0)+IF(J32&lt;&gt;"",0.4,0)),2)</f>
      </c>
      <c r="AN32" s="1">
        <f>IF($A33="",'Juni'!$T$5,T33)</f>
      </c>
      <c r="AO32" s="1">
        <f>IF($A33="",'Juni'!$U$5,U33)</f>
      </c>
      <c r="AP32" s="1">
        <f>IF($A33="",'Juni'!$V$5,V33)</f>
      </c>
      <c r="AQ32" s="1">
        <f>IF($A33="",'Juni'!$AE$5,AE33)</f>
      </c>
      <c r="AR32" s="1">
        <f>AE31</f>
      </c>
      <c r="AS32" s="1">
        <f>X31</f>
      </c>
      <c r="AT32" s="1">
        <f>U31</f>
      </c>
      <c r="AU32" s="1">
        <f>V31</f>
      </c>
    </row>
    <row r="33" spans="1:47" x14ac:dyDescent="0.25">
      <c r="A33" s="17">
        <f>IF(MONTH(DATE(Jahr,5,29))=5,DATE(Jahr,5,29),"")</f>
      </c>
      <c r="B33" s="13">
        <f>IF(A33="","",CHOOSE(WEEKDAY(A33,2),"Mo","Di","Mi","Do","Fr","Sa","So"))</f>
      </c>
      <c r="C33" s="18"/>
      <c r="D33" s="18"/>
      <c r="E33" s="7"/>
      <c r="F33" s="7"/>
      <c r="G33" s="7"/>
      <c r="H33" s="19"/>
      <c r="I33" s="19"/>
      <c r="J33" s="19"/>
      <c r="K33" s="9"/>
      <c r="L33" s="20">
        <f>IF(OR(AD33=0,AF33&lt;&gt;"",AND(W33=1,V33&gt;0,OR(T33=1,U33=1))),"",AE33/1440)</f>
      </c>
      <c r="M33" s="21">
        <f>IF(OR(AD33=0,AF33&lt;&gt;""),"",AJ33)</f>
      </c>
      <c r="N33" s="21">
        <f>IF(AK33=0,"",AK33)</f>
      </c>
      <c r="O33" s="21">
        <f>IF(OR(AD33=0,AF33&lt;&gt;""),"",AJ33-AK33)</f>
      </c>
      <c r="P33" s="21">
        <f>IF(AND(AD33=1,AF33="",V33=2),AI33,"")</f>
      </c>
      <c r="Q33" s="21">
        <f>IF(OR($A33="",N(K33)=0),"",ROUND(K33*KmSatz,2))</f>
      </c>
      <c r="R33" s="22">
        <f>IF(AF33&amp;AL33="","",LEFT(AF33&amp;AL33,LEN(AF33&amp;AL33)-2))</f>
      </c>
      <c r="S33" s="1"/>
      <c r="T33" s="1">
        <f>IF(AND($A33&lt;&gt;"",ISNUMBER(C33)),1,0)</f>
      </c>
      <c r="U33" s="1">
        <f>IF(AND($A33&lt;&gt;"",ISNUMBER(D33)),1,0)</f>
      </c>
      <c r="V33" s="1">
        <f>IF($A33="",0,IF(E33="ja",1,IF(E33="Pauschale",2,0)))</f>
      </c>
      <c r="W33" s="1">
        <f>IF($A33="",0,IF(AU33&gt;0,1,0))</f>
      </c>
      <c r="X33" s="1">
        <f>IF(AND(T33=1,W33=0),1,0)</f>
      </c>
      <c r="Y33" s="1">
        <f>IF(AND(AS33=1,AT33=0,AU33=0),1,0)</f>
      </c>
      <c r="Z33" s="1">
        <f>IF(AND(Y33=1,T33=0,U33=1,V33=0),1,0)</f>
      </c>
      <c r="AA33" s="1">
        <f>IF(AND(X33=1,U33=0,V33=0,AN33=0,AO33=1,AP33=0),1,0)</f>
      </c>
      <c r="AB33" s="1">
        <f>IF(OR(W33=1,Z33=1),0,IF(T33=1,C33,0))</f>
      </c>
      <c r="AC33" s="1">
        <f>IF(OR(V33&gt;0,AA33=1),1,IF(U33=1,D33,1))</f>
      </c>
      <c r="AD33" s="1">
        <f>IF($A33="",0,IF(OR(T33=1,U33=1,V33&gt;0,W33=1),1,0))</f>
      </c>
      <c r="AE33" s="1">
        <f>IF(AD33=0,0,ROUND((AC33-AB33)*1440,0))</f>
      </c>
      <c r="AF33" s="1">
        <f>IF(AD33=0,"",IF(AND(F33&lt;&gt;"",ISNA(MATCH(F33,PauschLand,0))),"Land nicht in der Liste; ","")&amp;IF(AND(T33=0,W33=0,Z33=0),"Beginn fehlt; ","")&amp;IF(AND(V33=0,U33=0,AA33=0),"Ende fehlt; ","")&amp;IF(AND(X33=1,U33=1,V33=0,N(D33)&lt;N(C33)),"Ende vor Beginn (über Mitternacht: Ende in die Zeile des Folgetags); ",""))</f>
      </c>
      <c r="AG33" s="1">
        <f>IF(AD33=0,0,IFERROR(VLOOKUP(IF(F33="","Deutschland",F33),PauschTab,2,FALSE),0))</f>
      </c>
      <c r="AH33" s="1">
        <f>IF(AD33=0,0,IFERROR(VLOOKUP(IF(F33="","Deutschland",F33),PauschTab,3,FALSE),0))</f>
      </c>
      <c r="AI33" s="1">
        <f>IF(AD33=0,0,IFERROR(VLOOKUP(IF(F33="","Deutschland",F33),PauschTab,4,FALSE),0))</f>
      </c>
      <c r="AJ33" s="1">
        <f>IF(OR(AD33=0,AF33&lt;&gt;""),0,IF(AND(W33=1,V33&gt;0),IF(OR(T33=1,U33=1),AH33,AG33),IF(OR(W33=1,V33&gt;0),AH33,IF(AA33=1,IF(AND(AE33+AQ33&gt;480,AE33&gt;=AQ33),AH33,0),IF(Z33=1,IF(AND(AR33+AE33&gt;480,AE33&gt;AR33),AH33,0),IF(AE33&gt;480,AH33,0))))))</f>
      </c>
      <c r="AK33" s="1">
        <f>MIN(AJ33,AM33)</f>
      </c>
      <c r="AL33" s="1">
        <f>IF(OR(AD33=0,AF33&lt;&gt;""),"",IF(AND(W33=0,V33=0,AA33=0,Z33=0,AE33&lt;=480),"nicht mehr als 8 Std.; ","")&amp;IF(AA33=1,IF(AJ33&gt;0,"über Mitternacht, zusammen "&amp;TEXT((AE33+AQ33)/1440,"[h]:mm")&amp;" Std.; ",IF(AE33+AQ33&gt;480,"über Mitternacht: Pauschale am Folgetag; ","über Mitternacht, zusammen nicht mehr als 8 Std.; ")),"")&amp;IF(Z33=1,IF(AJ33&gt;0,"über Mitternacht, zusammen "&amp;TEXT((AR33+AE33)/1440,"[h]:mm")&amp;" Std.; ",IF(AR33+AE33&gt;480,"über Mitternacht: Pauschale am Vortag; ","über Mitternacht, zusammen nicht mehr als 8 Std.; ")),"")&amp;IF(AND(W33=1,V33&gt;0,OR(T33=1,U33=1)),"zwischendurch zu Hause: An- und Abreisetag; ","")&amp;IF(AND(W33=1,V33=0,T33=1),"Beginn leer lassen: unterwegs seit dem Vortag; ","")&amp;IF(AND(W33=0,V33&gt;0,U33=1),"Ende leer lassen: Übernachtung; ","")&amp;IF(AND(AJ33&gt;0,AM33&gt;AJ33),"Kürzung auf die Pauschale begrenzt; ",""))</f>
      </c>
      <c r="AM33" s="1">
        <f>ROUND(AG33*(IF(H33&lt;&gt;"",0.2,0)+IF(I33&lt;&gt;"",0.4,0)+IF(J33&lt;&gt;"",0.4,0)),2)</f>
      </c>
      <c r="AN33" s="1">
        <f>IF($A34="",'Juni'!$T$5,T34)</f>
      </c>
      <c r="AO33" s="1">
        <f>IF($A34="",'Juni'!$U$5,U34)</f>
      </c>
      <c r="AP33" s="1">
        <f>IF($A34="",'Juni'!$V$5,V34)</f>
      </c>
      <c r="AQ33" s="1">
        <f>IF($A34="",'Juni'!$AE$5,AE34)</f>
      </c>
      <c r="AR33" s="1">
        <f>AE32</f>
      </c>
      <c r="AS33" s="1">
        <f>X32</f>
      </c>
      <c r="AT33" s="1">
        <f>U32</f>
      </c>
      <c r="AU33" s="1">
        <f>V32</f>
      </c>
    </row>
    <row r="34" spans="1:47" x14ac:dyDescent="0.25">
      <c r="A34" s="17">
        <f>IF(MONTH(DATE(Jahr,5,30))=5,DATE(Jahr,5,30),"")</f>
      </c>
      <c r="B34" s="13">
        <f>IF(A34="","",CHOOSE(WEEKDAY(A34,2),"Mo","Di","Mi","Do","Fr","Sa","So"))</f>
      </c>
      <c r="C34" s="18"/>
      <c r="D34" s="18"/>
      <c r="E34" s="7"/>
      <c r="F34" s="7"/>
      <c r="G34" s="7"/>
      <c r="H34" s="19"/>
      <c r="I34" s="19"/>
      <c r="J34" s="19"/>
      <c r="K34" s="9"/>
      <c r="L34" s="20">
        <f>IF(OR(AD34=0,AF34&lt;&gt;"",AND(W34=1,V34&gt;0,OR(T34=1,U34=1))),"",AE34/1440)</f>
      </c>
      <c r="M34" s="21">
        <f>IF(OR(AD34=0,AF34&lt;&gt;""),"",AJ34)</f>
      </c>
      <c r="N34" s="21">
        <f>IF(AK34=0,"",AK34)</f>
      </c>
      <c r="O34" s="21">
        <f>IF(OR(AD34=0,AF34&lt;&gt;""),"",AJ34-AK34)</f>
      </c>
      <c r="P34" s="21">
        <f>IF(AND(AD34=1,AF34="",V34=2),AI34,"")</f>
      </c>
      <c r="Q34" s="21">
        <f>IF(OR($A34="",N(K34)=0),"",ROUND(K34*KmSatz,2))</f>
      </c>
      <c r="R34" s="22">
        <f>IF(AF34&amp;AL34="","",LEFT(AF34&amp;AL34,LEN(AF34&amp;AL34)-2))</f>
      </c>
      <c r="S34" s="1"/>
      <c r="T34" s="1">
        <f>IF(AND($A34&lt;&gt;"",ISNUMBER(C34)),1,0)</f>
      </c>
      <c r="U34" s="1">
        <f>IF(AND($A34&lt;&gt;"",ISNUMBER(D34)),1,0)</f>
      </c>
      <c r="V34" s="1">
        <f>IF($A34="",0,IF(E34="ja",1,IF(E34="Pauschale",2,0)))</f>
      </c>
      <c r="W34" s="1">
        <f>IF($A34="",0,IF(AU34&gt;0,1,0))</f>
      </c>
      <c r="X34" s="1">
        <f>IF(AND(T34=1,W34=0),1,0)</f>
      </c>
      <c r="Y34" s="1">
        <f>IF(AND(AS34=1,AT34=0,AU34=0),1,0)</f>
      </c>
      <c r="Z34" s="1">
        <f>IF(AND(Y34=1,T34=0,U34=1,V34=0),1,0)</f>
      </c>
      <c r="AA34" s="1">
        <f>IF(AND(X34=1,U34=0,V34=0,AN34=0,AO34=1,AP34=0),1,0)</f>
      </c>
      <c r="AB34" s="1">
        <f>IF(OR(W34=1,Z34=1),0,IF(T34=1,C34,0))</f>
      </c>
      <c r="AC34" s="1">
        <f>IF(OR(V34&gt;0,AA34=1),1,IF(U34=1,D34,1))</f>
      </c>
      <c r="AD34" s="1">
        <f>IF($A34="",0,IF(OR(T34=1,U34=1,V34&gt;0,W34=1),1,0))</f>
      </c>
      <c r="AE34" s="1">
        <f>IF(AD34=0,0,ROUND((AC34-AB34)*1440,0))</f>
      </c>
      <c r="AF34" s="1">
        <f>IF(AD34=0,"",IF(AND(F34&lt;&gt;"",ISNA(MATCH(F34,PauschLand,0))),"Land nicht in der Liste; ","")&amp;IF(AND(T34=0,W34=0,Z34=0),"Beginn fehlt; ","")&amp;IF(AND(V34=0,U34=0,AA34=0),"Ende fehlt; ","")&amp;IF(AND(X34=1,U34=1,V34=0,N(D34)&lt;N(C34)),"Ende vor Beginn (über Mitternacht: Ende in die Zeile des Folgetags); ",""))</f>
      </c>
      <c r="AG34" s="1">
        <f>IF(AD34=0,0,IFERROR(VLOOKUP(IF(F34="","Deutschland",F34),PauschTab,2,FALSE),0))</f>
      </c>
      <c r="AH34" s="1">
        <f>IF(AD34=0,0,IFERROR(VLOOKUP(IF(F34="","Deutschland",F34),PauschTab,3,FALSE),0))</f>
      </c>
      <c r="AI34" s="1">
        <f>IF(AD34=0,0,IFERROR(VLOOKUP(IF(F34="","Deutschland",F34),PauschTab,4,FALSE),0))</f>
      </c>
      <c r="AJ34" s="1">
        <f>IF(OR(AD34=0,AF34&lt;&gt;""),0,IF(AND(W34=1,V34&gt;0),IF(OR(T34=1,U34=1),AH34,AG34),IF(OR(W34=1,V34&gt;0),AH34,IF(AA34=1,IF(AND(AE34+AQ34&gt;480,AE34&gt;=AQ34),AH34,0),IF(Z34=1,IF(AND(AR34+AE34&gt;480,AE34&gt;AR34),AH34,0),IF(AE34&gt;480,AH34,0))))))</f>
      </c>
      <c r="AK34" s="1">
        <f>MIN(AJ34,AM34)</f>
      </c>
      <c r="AL34" s="1">
        <f>IF(OR(AD34=0,AF34&lt;&gt;""),"",IF(AND(W34=0,V34=0,AA34=0,Z34=0,AE34&lt;=480),"nicht mehr als 8 Std.; ","")&amp;IF(AA34=1,IF(AJ34&gt;0,"über Mitternacht, zusammen "&amp;TEXT((AE34+AQ34)/1440,"[h]:mm")&amp;" Std.; ",IF(AE34+AQ34&gt;480,"über Mitternacht: Pauschale am Folgetag; ","über Mitternacht, zusammen nicht mehr als 8 Std.; ")),"")&amp;IF(Z34=1,IF(AJ34&gt;0,"über Mitternacht, zusammen "&amp;TEXT((AR34+AE34)/1440,"[h]:mm")&amp;" Std.; ",IF(AR34+AE34&gt;480,"über Mitternacht: Pauschale am Vortag; ","über Mitternacht, zusammen nicht mehr als 8 Std.; ")),"")&amp;IF(AND(W34=1,V34&gt;0,OR(T34=1,U34=1)),"zwischendurch zu Hause: An- und Abreisetag; ","")&amp;IF(AND(W34=1,V34=0,T34=1),"Beginn leer lassen: unterwegs seit dem Vortag; ","")&amp;IF(AND(W34=0,V34&gt;0,U34=1),"Ende leer lassen: Übernachtung; ","")&amp;IF(AND(AJ34&gt;0,AM34&gt;AJ34),"Kürzung auf die Pauschale begrenzt; ",""))</f>
      </c>
      <c r="AM34" s="1">
        <f>ROUND(AG34*(IF(H34&lt;&gt;"",0.2,0)+IF(I34&lt;&gt;"",0.4,0)+IF(J34&lt;&gt;"",0.4,0)),2)</f>
      </c>
      <c r="AN34" s="1">
        <f>IF($A35="",'Juni'!$T$5,T35)</f>
      </c>
      <c r="AO34" s="1">
        <f>IF($A35="",'Juni'!$U$5,U35)</f>
      </c>
      <c r="AP34" s="1">
        <f>IF($A35="",'Juni'!$V$5,V35)</f>
      </c>
      <c r="AQ34" s="1">
        <f>IF($A35="",'Juni'!$AE$5,AE35)</f>
      </c>
      <c r="AR34" s="1">
        <f>AE33</f>
      </c>
      <c r="AS34" s="1">
        <f>X33</f>
      </c>
      <c r="AT34" s="1">
        <f>U33</f>
      </c>
      <c r="AU34" s="1">
        <f>V33</f>
      </c>
    </row>
    <row r="35" spans="1:47" x14ac:dyDescent="0.25">
      <c r="A35" s="17">
        <f>IF(MONTH(DATE(Jahr,5,31))=5,DATE(Jahr,5,31),"")</f>
      </c>
      <c r="B35" s="13">
        <f>IF(A35="","",CHOOSE(WEEKDAY(A35,2),"Mo","Di","Mi","Do","Fr","Sa","So"))</f>
      </c>
      <c r="C35" s="18"/>
      <c r="D35" s="18"/>
      <c r="E35" s="7"/>
      <c r="F35" s="7"/>
      <c r="G35" s="7"/>
      <c r="H35" s="19"/>
      <c r="I35" s="19"/>
      <c r="J35" s="19"/>
      <c r="K35" s="9"/>
      <c r="L35" s="20">
        <f>IF(OR(AD35=0,AF35&lt;&gt;"",AND(W35=1,V35&gt;0,OR(T35=1,U35=1))),"",AE35/1440)</f>
      </c>
      <c r="M35" s="21">
        <f>IF(OR(AD35=0,AF35&lt;&gt;""),"",AJ35)</f>
      </c>
      <c r="N35" s="21">
        <f>IF(AK35=0,"",AK35)</f>
      </c>
      <c r="O35" s="21">
        <f>IF(OR(AD35=0,AF35&lt;&gt;""),"",AJ35-AK35)</f>
      </c>
      <c r="P35" s="21">
        <f>IF(AND(AD35=1,AF35="",V35=2),AI35,"")</f>
      </c>
      <c r="Q35" s="21">
        <f>IF(OR($A35="",N(K35)=0),"",ROUND(K35*KmSatz,2))</f>
      </c>
      <c r="R35" s="22">
        <f>IF(AF35&amp;AL35="","",LEFT(AF35&amp;AL35,LEN(AF35&amp;AL35)-2))</f>
      </c>
      <c r="S35" s="1"/>
      <c r="T35" s="1">
        <f>IF(AND($A35&lt;&gt;"",ISNUMBER(C35)),1,0)</f>
      </c>
      <c r="U35" s="1">
        <f>IF(AND($A35&lt;&gt;"",ISNUMBER(D35)),1,0)</f>
      </c>
      <c r="V35" s="1">
        <f>IF($A35="",0,IF(E35="ja",1,IF(E35="Pauschale",2,0)))</f>
      </c>
      <c r="W35" s="1">
        <f>IF($A35="",0,IF(AU35&gt;0,1,0))</f>
      </c>
      <c r="X35" s="1">
        <f>IF(AND(T35=1,W35=0),1,0)</f>
      </c>
      <c r="Y35" s="1">
        <f>IF(AND(AS35=1,AT35=0,AU35=0),1,0)</f>
      </c>
      <c r="Z35" s="1">
        <f>IF(AND(Y35=1,T35=0,U35=1,V35=0),1,0)</f>
      </c>
      <c r="AA35" s="1">
        <f>IF(AND(X35=1,U35=0,V35=0,AN35=0,AO35=1,AP35=0),1,0)</f>
      </c>
      <c r="AB35" s="1">
        <f>IF(OR(W35=1,Z35=1),0,IF(T35=1,C35,0))</f>
      </c>
      <c r="AC35" s="1">
        <f>IF(OR(V35&gt;0,AA35=1),1,IF(U35=1,D35,1))</f>
      </c>
      <c r="AD35" s="1">
        <f>IF($A35="",0,IF(OR(T35=1,U35=1,V35&gt;0,W35=1),1,0))</f>
      </c>
      <c r="AE35" s="1">
        <f>IF(AD35=0,0,ROUND((AC35-AB35)*1440,0))</f>
      </c>
      <c r="AF35" s="1">
        <f>IF(AD35=0,"",IF(AND(F35&lt;&gt;"",ISNA(MATCH(F35,PauschLand,0))),"Land nicht in der Liste; ","")&amp;IF(AND(T35=0,W35=0,Z35=0),"Beginn fehlt; ","")&amp;IF(AND(V35=0,U35=0,AA35=0),"Ende fehlt; ","")&amp;IF(AND(X35=1,U35=1,V35=0,N(D35)&lt;N(C35)),"Ende vor Beginn (über Mitternacht: Ende in die Zeile des Folgetags); ",""))</f>
      </c>
      <c r="AG35" s="1">
        <f>IF(AD35=0,0,IFERROR(VLOOKUP(IF(F35="","Deutschland",F35),PauschTab,2,FALSE),0))</f>
      </c>
      <c r="AH35" s="1">
        <f>IF(AD35=0,0,IFERROR(VLOOKUP(IF(F35="","Deutschland",F35),PauschTab,3,FALSE),0))</f>
      </c>
      <c r="AI35" s="1">
        <f>IF(AD35=0,0,IFERROR(VLOOKUP(IF(F35="","Deutschland",F35),PauschTab,4,FALSE),0))</f>
      </c>
      <c r="AJ35" s="1">
        <f>IF(OR(AD35=0,AF35&lt;&gt;""),0,IF(AND(W35=1,V35&gt;0),IF(OR(T35=1,U35=1),AH35,AG35),IF(OR(W35=1,V35&gt;0),AH35,IF(AA35=1,IF(AND(AE35+AQ35&gt;480,AE35&gt;=AQ35),AH35,0),IF(Z35=1,IF(AND(AR35+AE35&gt;480,AE35&gt;AR35),AH35,0),IF(AE35&gt;480,AH35,0))))))</f>
      </c>
      <c r="AK35" s="1">
        <f>MIN(AJ35,AM35)</f>
      </c>
      <c r="AL35" s="1">
        <f>IF(OR(AD35=0,AF35&lt;&gt;""),"",IF(AND(W35=0,V35=0,AA35=0,Z35=0,AE35&lt;=480),"nicht mehr als 8 Std.; ","")&amp;IF(AA35=1,IF(AJ35&gt;0,"über Mitternacht, zusammen "&amp;TEXT((AE35+AQ35)/1440,"[h]:mm")&amp;" Std.; ",IF(AE35+AQ35&gt;480,"über Mitternacht: Pauschale am Folgetag; ","über Mitternacht, zusammen nicht mehr als 8 Std.; ")),"")&amp;IF(Z35=1,IF(AJ35&gt;0,"über Mitternacht, zusammen "&amp;TEXT((AR35+AE35)/1440,"[h]:mm")&amp;" Std.; ",IF(AR35+AE35&gt;480,"über Mitternacht: Pauschale am Vortag; ","über Mitternacht, zusammen nicht mehr als 8 Std.; ")),"")&amp;IF(AND(W35=1,V35&gt;0,OR(T35=1,U35=1)),"zwischendurch zu Hause: An- und Abreisetag; ","")&amp;IF(AND(W35=1,V35=0,T35=1),"Beginn leer lassen: unterwegs seit dem Vortag; ","")&amp;IF(AND(W35=0,V35&gt;0,U35=1),"Ende leer lassen: Übernachtung; ","")&amp;IF(AND(AJ35&gt;0,AM35&gt;AJ35),"Kürzung auf die Pauschale begrenzt; ",""))</f>
      </c>
      <c r="AM35" s="1">
        <f>ROUND(AG35*(IF(H35&lt;&gt;"",0.2,0)+IF(I35&lt;&gt;"",0.4,0)+IF(J35&lt;&gt;"",0.4,0)),2)</f>
      </c>
      <c r="AN35" s="1">
        <f>'Juni'!$T$5</f>
      </c>
      <c r="AO35" s="1">
        <f>'Juni'!$U$5</f>
      </c>
      <c r="AP35" s="1">
        <f>'Juni'!$V$5</f>
      </c>
      <c r="AQ35" s="1">
        <f>'Juni'!$AE$5</f>
      </c>
      <c r="AR35" s="1">
        <f>AE34</f>
      </c>
      <c r="AS35" s="1">
        <f>X34</f>
      </c>
      <c r="AT35" s="1">
        <f>U34</f>
      </c>
      <c r="AU35" s="1">
        <f>V34</f>
      </c>
    </row>
    <row r="37" spans="1:21" x14ac:dyDescent="0.25">
      <c r="A37" s="23">
        <f>"Abrechnung Mai "&amp;Jahr</f>
      </c>
      <c r="B37" s="1"/>
      <c r="C37" s="1"/>
      <c r="D37" s="1"/>
      <c r="E37" s="1"/>
      <c r="F37" s="1"/>
      <c r="G37" s="1"/>
      <c r="H37" s="1"/>
      <c r="I37" s="1"/>
      <c r="J37" s="1"/>
      <c r="K37" s="23">
        <f>"Buchung ("&amp;Kontenrahmen&amp;IF(Vorsteuerabzug="nein",", ohne Vorsteuer","")&amp;")"</f>
      </c>
      <c r="L37" s="1"/>
      <c r="M37" s="1"/>
      <c r="N37" s="1"/>
      <c r="O37" s="1"/>
      <c r="P37" s="1"/>
      <c r="Q37" s="1"/>
      <c r="R37" s="1"/>
      <c r="S37" s="1"/>
      <c r="T37" s="1">
        <f>COUNTIF(AD5:AD35,1)</f>
      </c>
      <c r="U37" s="1">
        <f>SUM(K5:K35)</f>
      </c>
    </row>
    <row r="38" spans="1:19" x14ac:dyDescent="0.25">
      <c r="A38" s="6" t="s">
        <v>49</v>
      </c>
      <c r="B38" s="6"/>
      <c r="C38" s="6"/>
      <c r="D38" s="6"/>
      <c r="E38" s="6"/>
      <c r="F38" s="6"/>
      <c r="G38" s="24">
        <f>SUM(O5:O35)</f>
      </c>
      <c r="H38" s="1"/>
      <c r="I38" s="1"/>
      <c r="J38" s="1"/>
      <c r="K38" s="25">
        <f>KtoVerpflegung</f>
      </c>
      <c r="L38" s="1" t="s">
        <v>49</v>
      </c>
      <c r="M38" s="1"/>
      <c r="N38" s="1"/>
      <c r="O38" s="1"/>
      <c r="P38" s="1"/>
      <c r="Q38" s="1"/>
      <c r="R38" s="26">
        <f>S38</f>
      </c>
      <c r="S38" s="1">
        <f>G38</f>
      </c>
    </row>
    <row r="39" spans="1:19" x14ac:dyDescent="0.25">
      <c r="A39" s="6" t="s">
        <v>75</v>
      </c>
      <c r="B39" s="6"/>
      <c r="C39" s="6"/>
      <c r="D39" s="6"/>
      <c r="E39" s="6"/>
      <c r="F39" s="6"/>
      <c r="G39" s="24">
        <f>SUMIFS(Belege!$O$5:$O$304,Belege!$L$5:$L$304,5,Belege!$C$5:$C$304,"Übernachtung")+SUM(P5:P35)</f>
      </c>
      <c r="H39" s="1"/>
      <c r="I39" s="1"/>
      <c r="J39" s="1"/>
      <c r="K39" s="25">
        <f>KtoUebernachtung</f>
      </c>
      <c r="L39" s="1" t="s">
        <v>50</v>
      </c>
      <c r="M39" s="1"/>
      <c r="N39" s="1"/>
      <c r="O39" s="1"/>
      <c r="P39" s="1"/>
      <c r="Q39" s="1"/>
      <c r="R39" s="26">
        <f>S39</f>
      </c>
      <c r="S39" s="1">
        <f>IF(Vorsteuerabzug="nein",SUMIFS(Belege!$O$5:$O$304,Belege!$L$5:$L$304,5,Belege!$C$5:$C$304,"Übernachtung"),SUMIFS(Belege!$P$5:$P$304,Belege!$L$5:$L$304,5,Belege!$C$5:$C$304,"Übernachtung"))+SUM(P5:P35)</f>
      </c>
    </row>
    <row r="40" spans="1:19" x14ac:dyDescent="0.25">
      <c r="A40" s="6" t="s">
        <v>76</v>
      </c>
      <c r="B40" s="6"/>
      <c r="C40" s="6"/>
      <c r="D40" s="6"/>
      <c r="E40" s="6"/>
      <c r="F40" s="6"/>
      <c r="G40" s="24">
        <f>SUMIFS(Belege!$O$5:$O$304,Belege!$L$5:$L$304,5,Belege!$C$5:$C$304,"Fahrtkosten")</f>
      </c>
      <c r="H40" s="1"/>
      <c r="I40" s="1"/>
      <c r="J40" s="1"/>
      <c r="K40" s="25">
        <f>KtoFahrtkosten</f>
      </c>
      <c r="L40" s="1" t="s">
        <v>51</v>
      </c>
      <c r="M40" s="1"/>
      <c r="N40" s="1"/>
      <c r="O40" s="1"/>
      <c r="P40" s="1"/>
      <c r="Q40" s="1"/>
      <c r="R40" s="26">
        <f>S40</f>
      </c>
      <c r="S40" s="1">
        <f>IF(Vorsteuerabzug="nein",SUMIFS(Belege!$O$5:$O$304,Belege!$L$5:$L$304,5,Belege!$C$5:$C$304,"Fahrtkosten"),SUMIFS(Belege!$P$5:$P$304,Belege!$L$5:$L$304,5,Belege!$C$5:$C$304,"Fahrtkosten"))</f>
      </c>
    </row>
    <row r="41" spans="1:19" x14ac:dyDescent="0.25">
      <c r="A41" s="6">
        <f>"Kilometergeld ("&amp;SUM(K5:K35)&amp;" km zu "&amp;IF(KmSatz=0.2,"0,20","0,30")&amp;" €)"</f>
      </c>
      <c r="B41" s="6"/>
      <c r="C41" s="6"/>
      <c r="D41" s="6"/>
      <c r="E41" s="6"/>
      <c r="F41" s="6"/>
      <c r="G41" s="24">
        <f>SUM(Q5:Q35)</f>
      </c>
      <c r="H41" s="1"/>
      <c r="I41" s="1"/>
      <c r="J41" s="1"/>
      <c r="K41" s="25">
        <f>KtoKilometergeld</f>
      </c>
      <c r="L41" s="1" t="s">
        <v>52</v>
      </c>
      <c r="M41" s="1"/>
      <c r="N41" s="1"/>
      <c r="O41" s="1"/>
      <c r="P41" s="1"/>
      <c r="Q41" s="1"/>
      <c r="R41" s="26">
        <f>S41</f>
      </c>
      <c r="S41" s="1">
        <f>G41</f>
      </c>
    </row>
    <row r="42" spans="1:19" x14ac:dyDescent="0.25">
      <c r="A42" s="6" t="s">
        <v>77</v>
      </c>
      <c r="B42" s="6"/>
      <c r="C42" s="6"/>
      <c r="D42" s="6"/>
      <c r="E42" s="6"/>
      <c r="F42" s="6"/>
      <c r="G42" s="24">
        <f>SUMIFS(Belege!$O$5:$O$304,Belege!$L$5:$L$304,5,Belege!$C$5:$C$304,"Nebenkosten")</f>
      </c>
      <c r="H42" s="1"/>
      <c r="I42" s="1"/>
      <c r="J42" s="1"/>
      <c r="K42" s="25">
        <f>KtoNebenkosten</f>
      </c>
      <c r="L42" s="1" t="s">
        <v>53</v>
      </c>
      <c r="M42" s="1"/>
      <c r="N42" s="1"/>
      <c r="O42" s="1"/>
      <c r="P42" s="1"/>
      <c r="Q42" s="1"/>
      <c r="R42" s="26">
        <f>S42</f>
      </c>
      <c r="S42" s="1">
        <f>IF(Vorsteuerabzug="nein",SUMIFS(Belege!$O$5:$O$304,Belege!$L$5:$L$304,5,Belege!$C$5:$C$304,"Nebenkosten"),SUMIFS(Belege!$P$5:$P$304,Belege!$L$5:$L$304,5,Belege!$C$5:$C$304,"Nebenkosten"))</f>
      </c>
    </row>
    <row r="43" spans="1:19" x14ac:dyDescent="0.25">
      <c r="A43" s="11" t="s">
        <v>78</v>
      </c>
      <c r="B43" s="11"/>
      <c r="C43" s="11"/>
      <c r="D43" s="11"/>
      <c r="E43" s="11"/>
      <c r="F43" s="11"/>
      <c r="G43" s="27">
        <f>SUM(G38:G42)</f>
      </c>
      <c r="H43" s="1"/>
      <c r="I43" s="1"/>
      <c r="J43" s="1"/>
      <c r="K43" s="25">
        <f>KtoVSt7</f>
      </c>
      <c r="L43" s="1" t="s">
        <v>54</v>
      </c>
      <c r="M43" s="1"/>
      <c r="N43" s="1"/>
      <c r="O43" s="1"/>
      <c r="P43" s="1"/>
      <c r="Q43" s="1"/>
      <c r="R43" s="26">
        <f>IF(Vorsteuerabzug="nein","",S43)</f>
      </c>
      <c r="S43" s="1">
        <f>IF(Vorsteuerabzug="nein",0,SUMIFS(Belege!$Q$5:$Q$304,Belege!$L$5:$L$304,5,Belege!$M$5:$M$304,0.07))</f>
      </c>
    </row>
    <row r="44" spans="1:19" x14ac:dyDescent="0.25">
      <c r="A44" s="6" t="s">
        <v>79</v>
      </c>
      <c r="B44" s="6"/>
      <c r="C44" s="6"/>
      <c r="D44" s="6"/>
      <c r="E44" s="6"/>
      <c r="F44" s="6"/>
      <c r="G44" s="28"/>
      <c r="H44" s="1"/>
      <c r="I44" s="1"/>
      <c r="J44" s="1"/>
      <c r="K44" s="25">
        <f>KtoVSt19</f>
      </c>
      <c r="L44" s="1" t="s">
        <v>55</v>
      </c>
      <c r="M44" s="1"/>
      <c r="N44" s="1"/>
      <c r="O44" s="1"/>
      <c r="P44" s="1"/>
      <c r="Q44" s="1"/>
      <c r="R44" s="26">
        <f>IF(Vorsteuerabzug="nein","",S44)</f>
      </c>
      <c r="S44" s="1">
        <f>IF(Vorsteuerabzug="nein",0,SUMIFS(Belege!$Q$5:$Q$304,Belege!$L$5:$L$304,5,Belege!$M$5:$M$304,0.19))</f>
      </c>
    </row>
    <row r="45" spans="1:18" x14ac:dyDescent="0.25">
      <c r="A45" s="11" t="s">
        <v>80</v>
      </c>
      <c r="B45" s="11"/>
      <c r="C45" s="11"/>
      <c r="D45" s="11"/>
      <c r="E45" s="11"/>
      <c r="F45" s="11"/>
      <c r="G45" s="27">
        <f>G43-N(G44)</f>
      </c>
      <c r="H45" s="1"/>
      <c r="I45" s="1"/>
      <c r="J45" s="1"/>
      <c r="K45" s="11" t="s">
        <v>81</v>
      </c>
      <c r="L45" s="11"/>
      <c r="M45" s="11"/>
      <c r="N45" s="11"/>
      <c r="O45" s="11"/>
      <c r="P45" s="11"/>
      <c r="Q45" s="11"/>
      <c r="R45" s="27">
        <f>SUM(S38:S44)</f>
      </c>
    </row>
    <row r="46" spans="1:7" x14ac:dyDescent="0.25">
      <c r="A46" s="29" t="s">
        <v>82</v>
      </c>
      <c r="B46" s="29"/>
      <c r="C46" s="29"/>
      <c r="D46" s="29"/>
      <c r="E46" s="29"/>
      <c r="F46" s="29"/>
      <c r="G46" s="30">
        <f>SUMIFS(Belege!$E$5:$E$304,Belege!$L$5:$L$304,5,Belege!$N$5:$N$304,0)</f>
      </c>
    </row>
    <row r="49" spans="1:18" x14ac:dyDescent="0.25">
      <c r="A49" s="31"/>
      <c r="B49" s="31"/>
      <c r="C49" s="31"/>
      <c r="D49" s="31"/>
      <c r="E49" s="31"/>
      <c r="F49" s="31"/>
      <c r="G49" s="31"/>
      <c r="H49" s="31"/>
      <c r="I49" s="31"/>
      <c r="J49" s="31"/>
      <c r="K49" s="31"/>
      <c r="M49" s="31"/>
      <c r="N49" s="31"/>
      <c r="O49" s="31"/>
      <c r="P49" s="31"/>
      <c r="Q49" s="31"/>
      <c r="R49" s="31"/>
    </row>
    <row r="50" spans="1:13" x14ac:dyDescent="0.25">
      <c r="A50" s="32" t="s">
        <v>83</v>
      </c>
      <c r="B50" s="1"/>
      <c r="C50" s="1"/>
      <c r="D50" s="1"/>
      <c r="E50" s="1"/>
      <c r="F50" s="1"/>
      <c r="G50" s="32" t="s">
        <v>84</v>
      </c>
      <c r="H50" s="1"/>
      <c r="I50" s="1"/>
      <c r="J50" s="1"/>
      <c r="K50" s="1"/>
      <c r="L50" s="1"/>
      <c r="M50" s="32" t="s">
        <v>85</v>
      </c>
    </row>
  </sheetData>
  <sheetProtection sheet="1" formatCells="0" formatColumns="0" formatRows="0"/>
  <mergeCells count="17">
    <mergeCell ref="A38:F38"/>
    <mergeCell ref="L38:Q38"/>
    <mergeCell ref="A39:F39"/>
    <mergeCell ref="L39:Q39"/>
    <mergeCell ref="A40:F40"/>
    <mergeCell ref="L40:Q40"/>
    <mergeCell ref="A41:F41"/>
    <mergeCell ref="L41:Q41"/>
    <mergeCell ref="A42:F42"/>
    <mergeCell ref="L42:Q42"/>
    <mergeCell ref="A43:F43"/>
    <mergeCell ref="L43:Q43"/>
    <mergeCell ref="A44:F44"/>
    <mergeCell ref="L44:Q44"/>
    <mergeCell ref="A45:F45"/>
    <mergeCell ref="K45:Q45"/>
    <mergeCell ref="A46:F46"/>
  </mergeCells>
  <conditionalFormatting sqref="A5:Q35">
    <cfRule type="expression" dxfId="24" priority="1">
      <formula>$A5=""</formula>
    </cfRule>
    <cfRule type="expression" dxfId="25" priority="2">
      <formula>WEEKDAY($A5,2)&gt;5</formula>
    </cfRule>
  </conditionalFormatting>
  <conditionalFormatting sqref="R5:R35">
    <cfRule type="expression" dxfId="26" priority="3">
      <formula>$A5=""</formula>
    </cfRule>
    <cfRule type="expression" dxfId="27" priority="4">
      <formula>AND($AF5&lt;&gt;"",WEEKDAY($A5,2)&gt;5)</formula>
    </cfRule>
    <cfRule type="expression" dxfId="28" priority="5">
      <formula>$AF5&lt;&gt;""</formula>
    </cfRule>
    <cfRule type="expression" dxfId="29" priority="6">
      <formula>WEEKDAY($A5,2)&gt;5</formula>
    </cfRule>
  </conditionalFormatting>
  <dataValidations count="11">
    <dataValidation type="decimal" allowBlank="1" showErrorMessage="1" errorTitle="Uhrzeit" error="Bitte als Uhrzeit hh:mm eingeben, z. B. 7:30 oder 16:45." sqref="C10:D35">
      <formula1>0</formula1>
      <formula2>0.99999</formula2>
    </dataValidation>
    <dataValidation type="decimal" allowBlank="1" showErrorMessage="1" errorTitle="Uhrzeit" error="Bitte als Uhrzeit hh:mm eingeben, z. B. 7:30 oder 16:45." sqref="C5:D35">
      <formula1>0</formula1>
      <formula2>0.99999</formula2>
    </dataValidation>
    <dataValidation type="list" allowBlank="1" showErrorMessage="1" errorTitle="Übernachtung" error="Bitte aus der Liste wählen." sqref="E10:E35">
      <formula1>"ja,Pauschale"</formula1>
    </dataValidation>
    <dataValidation type="list" allowBlank="1" showErrorMessage="1" errorTitle="Übernachtung" error="Bitte aus der Liste wählen." sqref="E5:E35">
      <formula1>"ja,Pauschale"</formula1>
    </dataValidation>
    <dataValidation type="list" allowBlank="1" showErrorMessage="1" errorTitle="Land / Ort" error="Bitte aus der Liste wählen; nicht aufgeführte Länder: Luxemburg." sqref="F10:F35">
      <formula1>Pauschalen!$A$4:$A$218</formula1>
    </dataValidation>
    <dataValidation type="list" allowBlank="1" showErrorMessage="1" errorTitle="Land / Ort" error="Bitte aus der Liste wählen; nicht aufgeführte Länder: Luxemburg." sqref="F5:F35">
      <formula1>Pauschalen!$A$4:$A$218</formula1>
    </dataValidation>
    <dataValidation type="decimal" allowBlank="1" showErrorMessage="1" errorTitle="Vorschuss" error="Bitte einen Betrag in Euro eintragen." sqref="G44">
      <formula1>0</formula1>
      <formula2>99999</formula2>
    </dataValidation>
    <dataValidation type="list" allowBlank="1" showErrorMessage="1" errorTitle="Mahlzeit" error="Bitte aus der Liste wählen." sqref="H10:J35">
      <formula1>"x"</formula1>
    </dataValidation>
    <dataValidation type="list" allowBlank="1" showErrorMessage="1" errorTitle="Mahlzeit" error="Bitte aus der Liste wählen." sqref="H5:J35">
      <formula1>"x"</formula1>
    </dataValidation>
    <dataValidation type="whole" allowBlank="1" showErrorMessage="1" errorTitle="Kilometer" error="Bitte die gefahrenen Kilometer als ganze Zahl eintragen." sqref="K10:K35">
      <formula1>0</formula1>
      <formula2>5000</formula2>
    </dataValidation>
    <dataValidation type="whole" allowBlank="1" showErrorMessage="1" errorTitle="Kilometer" error="Bitte die gefahrenen Kilometer als ganze Zahl eintragen." sqref="K5:K35">
      <formula1>0</formula1>
      <formula2>5000</formula2>
    </dataValidation>
  </dataValidations>
  <pageMargins left="0.4" right="0.4" top="0.5" bottom="0.5" header="0.2" footer="0.2"/>
  <pageSetup paperSize="9" orientation="landscape"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0"/>
  <sheetViews>
    <sheetView workbookViewId="0" showGridLines="0">
      <pane xSplit="2" ySplit="4" topLeftCell="C5" activePane="bottomRight" state="frozen"/>
      <selection pane="bottomRight"/>
    </sheetView>
  </sheetViews>
  <sheetFormatPr defaultRowHeight="15" outlineLevelRow="0" outlineLevelCol="0" x14ac:dyDescent="55"/>
  <cols>
    <col min="1" max="1" width="7" customWidth="1"/>
    <col min="2" max="2" width="4" customWidth="1"/>
    <col min="3" max="4" width="6.5" customWidth="1"/>
    <col min="5" max="5" width="10" customWidth="1"/>
    <col min="6" max="6" width="18" customWidth="1"/>
    <col min="7" max="7" width="24" customWidth="1"/>
    <col min="8" max="10" width="5.5" customWidth="1"/>
    <col min="11" max="11" width="8" customWidth="1"/>
    <col min="14" max="14" width="8.5" customWidth="1"/>
    <col min="15" max="15" width="10.5" customWidth="1"/>
    <col min="16" max="16" width="12" customWidth="1"/>
    <col min="17" max="17" width="10" customWidth="1"/>
    <col min="18" max="18" width="36" customWidth="1"/>
    <col min="19" max="19" width="9" hidden="1" customWidth="1"/>
    <col min="20" max="20" width="9" hidden="1" customWidth="1"/>
    <col min="21" max="21" width="9" hidden="1" customWidth="1"/>
    <col min="22" max="22" width="9" hidden="1" customWidth="1"/>
    <col min="23" max="23" width="9" hidden="1" customWidth="1"/>
    <col min="24" max="24" width="9" hidden="1" customWidth="1"/>
    <col min="25" max="25" width="9" hidden="1" customWidth="1"/>
    <col min="26" max="26" width="9" hidden="1" customWidth="1"/>
    <col min="27" max="27" width="9" hidden="1" customWidth="1"/>
    <col min="28" max="28" width="9" hidden="1" customWidth="1"/>
    <col min="29" max="29" width="9" hidden="1" customWidth="1"/>
    <col min="30" max="30" width="9" hidden="1" customWidth="1"/>
    <col min="31" max="31" width="9" hidden="1" customWidth="1"/>
    <col min="32" max="32" width="9" hidden="1" customWidth="1"/>
    <col min="33" max="33" width="9" hidden="1" customWidth="1"/>
    <col min="34" max="34" width="9" hidden="1" customWidth="1"/>
    <col min="35" max="35" width="9" hidden="1" customWidth="1"/>
    <col min="36" max="36" width="9" hidden="1" customWidth="1"/>
    <col min="37" max="37" width="9" hidden="1" customWidth="1"/>
    <col min="38" max="38" width="9" hidden="1" customWidth="1"/>
    <col min="39" max="39" width="9" hidden="1" customWidth="1"/>
    <col min="40" max="40" width="9" hidden="1" customWidth="1"/>
    <col min="41" max="41" width="9" hidden="1" customWidth="1"/>
    <col min="42" max="42" width="9" hidden="1" customWidth="1"/>
    <col min="43" max="43" width="9" hidden="1" customWidth="1"/>
    <col min="44" max="44" width="9" hidden="1" customWidth="1"/>
    <col min="45" max="45" width="9" hidden="1" customWidth="1"/>
    <col min="46" max="46" width="9" hidden="1" customWidth="1"/>
    <col min="47" max="47" width="9" hidden="1" customWidth="1"/>
  </cols>
  <sheetData>
    <row r="1" spans="1:1" x14ac:dyDescent="0.25">
      <c r="A1" s="5">
        <f>"Reisekostenabrechnung Juni "&amp;Jahr</f>
      </c>
    </row>
    <row r="2" spans="1:1" x14ac:dyDescent="0.25">
      <c r="A2" s="6">
        <f>"Name: "&amp;IF(MitarbeiterName="","…",MitarbeiterName)&amp;IF(Personalnummer="",""," · Personalnr. "&amp;Personalnummer)&amp;IF(Kostenstelle="",""," · "&amp;Kostenstelle)&amp;IF(Firma="",""," · "&amp;Firma)</f>
      </c>
    </row>
    <row r="3" spans="1:1" x14ac:dyDescent="0.25">
      <c r="A3" s="16">
        <f>IF(Jahr&lt;&gt;2026,"Die Pauschalen in dieser Datei gelten für 2026. ","")&amp;IF(MitarbeiterName="","Bitte in den Einstellungen den Namen eintragen.","")</f>
      </c>
    </row>
    <row r="4" ht="40" customHeight="1" spans="1:18" x14ac:dyDescent="0.25">
      <c r="A4" s="12" t="s">
        <v>57</v>
      </c>
      <c r="B4" s="12" t="s">
        <v>58</v>
      </c>
      <c r="C4" s="12" t="s">
        <v>59</v>
      </c>
      <c r="D4" s="12" t="s">
        <v>60</v>
      </c>
      <c r="E4" s="12" t="s">
        <v>61</v>
      </c>
      <c r="F4" s="12" t="s">
        <v>62</v>
      </c>
      <c r="G4" s="12" t="s">
        <v>63</v>
      </c>
      <c r="H4" s="12" t="s">
        <v>64</v>
      </c>
      <c r="I4" s="12" t="s">
        <v>65</v>
      </c>
      <c r="J4" s="12" t="s">
        <v>66</v>
      </c>
      <c r="K4" s="12" t="s">
        <v>67</v>
      </c>
      <c r="L4" s="12" t="s">
        <v>68</v>
      </c>
      <c r="M4" s="12" t="s">
        <v>69</v>
      </c>
      <c r="N4" s="12" t="s">
        <v>70</v>
      </c>
      <c r="O4" s="12" t="s">
        <v>71</v>
      </c>
      <c r="P4" s="12" t="s">
        <v>72</v>
      </c>
      <c r="Q4" s="12" t="s">
        <v>73</v>
      </c>
      <c r="R4" s="12" t="s">
        <v>74</v>
      </c>
    </row>
    <row r="5" spans="1:47" x14ac:dyDescent="0.25">
      <c r="A5" s="17">
        <f>IF(MONTH(DATE(Jahr,6,1))=6,DATE(Jahr,6,1),"")</f>
      </c>
      <c r="B5" s="13">
        <f>IF(A5="","",CHOOSE(WEEKDAY(A5,2),"Mo","Di","Mi","Do","Fr","Sa","So"))</f>
      </c>
      <c r="C5" s="18"/>
      <c r="D5" s="18"/>
      <c r="E5" s="7"/>
      <c r="F5" s="7"/>
      <c r="G5" s="7"/>
      <c r="H5" s="19"/>
      <c r="I5" s="19"/>
      <c r="J5" s="19"/>
      <c r="K5" s="9"/>
      <c r="L5" s="20">
        <f>IF(OR(AD5=0,AF5&lt;&gt;"",AND(W5=1,V5&gt;0,OR(T5=1,U5=1))),"",AE5/1440)</f>
      </c>
      <c r="M5" s="21">
        <f>IF(OR(AD5=0,AF5&lt;&gt;""),"",AJ5)</f>
      </c>
      <c r="N5" s="21">
        <f>IF(AK5=0,"",AK5)</f>
      </c>
      <c r="O5" s="21">
        <f>IF(OR(AD5=0,AF5&lt;&gt;""),"",AJ5-AK5)</f>
      </c>
      <c r="P5" s="21">
        <f>IF(AND(AD5=1,AF5="",V5=2),AI5,"")</f>
      </c>
      <c r="Q5" s="21">
        <f>IF(OR($A5="",N(K5)=0),"",ROUND(K5*KmSatz,2))</f>
      </c>
      <c r="R5" s="22">
        <f>IF(AF5&amp;AL5="","",LEFT(AF5&amp;AL5,LEN(AF5&amp;AL5)-2))</f>
      </c>
      <c r="S5" s="1"/>
      <c r="T5" s="1">
        <f>IF(AND($A5&lt;&gt;"",ISNUMBER(C5)),1,0)</f>
      </c>
      <c r="U5" s="1">
        <f>IF(AND($A5&lt;&gt;"",ISNUMBER(D5)),1,0)</f>
      </c>
      <c r="V5" s="1">
        <f>IF($A5="",0,IF(E5="ja",1,IF(E5="Pauschale",2,0)))</f>
      </c>
      <c r="W5" s="1">
        <f>IF($A5="",0,IF(AU5&gt;0,1,0))</f>
      </c>
      <c r="X5" s="1">
        <f>IF(AND(T5=1,W5=0),1,0)</f>
      </c>
      <c r="Y5" s="1">
        <f>IF(AND(AS5=1,AT5=0,AU5=0),1,0)</f>
      </c>
      <c r="Z5" s="1">
        <f>IF(AND(Y5=1,T5=0,U5=1,V5=0),1,0)</f>
      </c>
      <c r="AA5" s="1">
        <f>IF(AND(X5=1,U5=0,V5=0,AN5=0,AO5=1,AP5=0),1,0)</f>
      </c>
      <c r="AB5" s="1">
        <f>IF(OR(W5=1,Z5=1),0,IF(T5=1,C5,0))</f>
      </c>
      <c r="AC5" s="1">
        <f>IF(OR(V5&gt;0,AA5=1),1,IF(U5=1,D5,1))</f>
      </c>
      <c r="AD5" s="1">
        <f>IF($A5="",0,IF(OR(T5=1,U5=1,V5&gt;0,W5=1),1,0))</f>
      </c>
      <c r="AE5" s="1">
        <f>IF(AD5=0,0,ROUND((AC5-AB5)*1440,0))</f>
      </c>
      <c r="AF5" s="1">
        <f>IF(AD5=0,"",IF(AND(F5&lt;&gt;"",ISNA(MATCH(F5,PauschLand,0))),"Land nicht in der Liste; ","")&amp;IF(AND(T5=0,W5=0,Z5=0),"Beginn fehlt; ","")&amp;IF(AND(V5=0,U5=0,AA5=0),"Ende fehlt; ","")&amp;IF(AND(X5=1,U5=1,V5=0,N(D5)&lt;N(C5)),"Ende vor Beginn (über Mitternacht: Ende in die Zeile des Folgetags); ",""))</f>
      </c>
      <c r="AG5" s="1">
        <f>IF(AD5=0,0,IFERROR(VLOOKUP(IF(F5="","Deutschland",F5),PauschTab,2,FALSE),0))</f>
      </c>
      <c r="AH5" s="1">
        <f>IF(AD5=0,0,IFERROR(VLOOKUP(IF(F5="","Deutschland",F5),PauschTab,3,FALSE),0))</f>
      </c>
      <c r="AI5" s="1">
        <f>IF(AD5=0,0,IFERROR(VLOOKUP(IF(F5="","Deutschland",F5),PauschTab,4,FALSE),0))</f>
      </c>
      <c r="AJ5" s="1">
        <f>IF(OR(AD5=0,AF5&lt;&gt;""),0,IF(AND(W5=1,V5&gt;0),IF(OR(T5=1,U5=1),AH5,AG5),IF(OR(W5=1,V5&gt;0),AH5,IF(AA5=1,IF(AND(AE5+AQ5&gt;480,AE5&gt;=AQ5),AH5,0),IF(Z5=1,IF(AND(AR5+AE5&gt;480,AE5&gt;AR5),AH5,0),IF(AE5&gt;480,AH5,0))))))</f>
      </c>
      <c r="AK5" s="1">
        <f>MIN(AJ5,AM5)</f>
      </c>
      <c r="AL5" s="1">
        <f>IF(OR(AD5=0,AF5&lt;&gt;""),"",IF(AND(W5=0,V5=0,AA5=0,Z5=0,AE5&lt;=480),"nicht mehr als 8 Std.; ","")&amp;IF(AA5=1,IF(AJ5&gt;0,"über Mitternacht, zusammen "&amp;TEXT((AE5+AQ5)/1440,"[h]:mm")&amp;" Std.; ",IF(AE5+AQ5&gt;480,"über Mitternacht: Pauschale am Folgetag; ","über Mitternacht, zusammen nicht mehr als 8 Std.; ")),"")&amp;IF(Z5=1,IF(AJ5&gt;0,"über Mitternacht, zusammen "&amp;TEXT((AR5+AE5)/1440,"[h]:mm")&amp;" Std.; ",IF(AR5+AE5&gt;480,"über Mitternacht: Pauschale am Vortag; ","über Mitternacht, zusammen nicht mehr als 8 Std.; ")),"")&amp;IF(AND(W5=1,V5&gt;0,OR(T5=1,U5=1)),"zwischendurch zu Hause: An- und Abreisetag; ","")&amp;IF(AND(W5=1,V5=0,T5=1),"Beginn leer lassen: unterwegs seit dem Vortag; ","")&amp;IF(AND(W5=0,V5&gt;0,U5=1),"Ende leer lassen: Übernachtung; ","")&amp;IF(AND(AJ5&gt;0,AM5&gt;AJ5),"Kürzung auf die Pauschale begrenzt; ",""))</f>
      </c>
      <c r="AM5" s="1">
        <f>ROUND(AG5*(IF(H5&lt;&gt;"",0.2,0)+IF(I5&lt;&gt;"",0.4,0)+IF(J5&lt;&gt;"",0.4,0)),2)</f>
      </c>
      <c r="AN5" s="1">
        <f>IF($A6="",'Juli'!$T$5,T6)</f>
      </c>
      <c r="AO5" s="1">
        <f>IF($A6="",'Juli'!$U$5,U6)</f>
      </c>
      <c r="AP5" s="1">
        <f>IF($A6="",'Juli'!$V$5,V6)</f>
      </c>
      <c r="AQ5" s="1">
        <f>IF($A6="",'Juli'!$AE$5,AE6)</f>
      </c>
      <c r="AR5" s="1">
        <f>INDEX('Mai'!$AE$5:$AE$35,DAY(DATE(Jahr,6,0)))</f>
      </c>
      <c r="AS5" s="1">
        <f>INDEX('Mai'!$X$5:$X$35,DAY(DATE(Jahr,6,0)))</f>
      </c>
      <c r="AT5" s="1">
        <f>INDEX('Mai'!$U$5:$U$35,DAY(DATE(Jahr,6,0)))</f>
      </c>
      <c r="AU5" s="1">
        <f>INDEX('Mai'!$V$5:$V$35,DAY(DATE(Jahr,6,0)))</f>
      </c>
    </row>
    <row r="6" spans="1:47" x14ac:dyDescent="0.25">
      <c r="A6" s="17">
        <f>IF(MONTH(DATE(Jahr,6,2))=6,DATE(Jahr,6,2),"")</f>
      </c>
      <c r="B6" s="13">
        <f>IF(A6="","",CHOOSE(WEEKDAY(A6,2),"Mo","Di","Mi","Do","Fr","Sa","So"))</f>
      </c>
      <c r="C6" s="18"/>
      <c r="D6" s="18"/>
      <c r="E6" s="7"/>
      <c r="F6" s="7"/>
      <c r="G6" s="7"/>
      <c r="H6" s="19"/>
      <c r="I6" s="19"/>
      <c r="J6" s="19"/>
      <c r="K6" s="9"/>
      <c r="L6" s="20">
        <f>IF(OR(AD6=0,AF6&lt;&gt;"",AND(W6=1,V6&gt;0,OR(T6=1,U6=1))),"",AE6/1440)</f>
      </c>
      <c r="M6" s="21">
        <f>IF(OR(AD6=0,AF6&lt;&gt;""),"",AJ6)</f>
      </c>
      <c r="N6" s="21">
        <f>IF(AK6=0,"",AK6)</f>
      </c>
      <c r="O6" s="21">
        <f>IF(OR(AD6=0,AF6&lt;&gt;""),"",AJ6-AK6)</f>
      </c>
      <c r="P6" s="21">
        <f>IF(AND(AD6=1,AF6="",V6=2),AI6,"")</f>
      </c>
      <c r="Q6" s="21">
        <f>IF(OR($A6="",N(K6)=0),"",ROUND(K6*KmSatz,2))</f>
      </c>
      <c r="R6" s="22">
        <f>IF(AF6&amp;AL6="","",LEFT(AF6&amp;AL6,LEN(AF6&amp;AL6)-2))</f>
      </c>
      <c r="S6" s="1"/>
      <c r="T6" s="1">
        <f>IF(AND($A6&lt;&gt;"",ISNUMBER(C6)),1,0)</f>
      </c>
      <c r="U6" s="1">
        <f>IF(AND($A6&lt;&gt;"",ISNUMBER(D6)),1,0)</f>
      </c>
      <c r="V6" s="1">
        <f>IF($A6="",0,IF(E6="ja",1,IF(E6="Pauschale",2,0)))</f>
      </c>
      <c r="W6" s="1">
        <f>IF($A6="",0,IF(AU6&gt;0,1,0))</f>
      </c>
      <c r="X6" s="1">
        <f>IF(AND(T6=1,W6=0),1,0)</f>
      </c>
      <c r="Y6" s="1">
        <f>IF(AND(AS6=1,AT6=0,AU6=0),1,0)</f>
      </c>
      <c r="Z6" s="1">
        <f>IF(AND(Y6=1,T6=0,U6=1,V6=0),1,0)</f>
      </c>
      <c r="AA6" s="1">
        <f>IF(AND(X6=1,U6=0,V6=0,AN6=0,AO6=1,AP6=0),1,0)</f>
      </c>
      <c r="AB6" s="1">
        <f>IF(OR(W6=1,Z6=1),0,IF(T6=1,C6,0))</f>
      </c>
      <c r="AC6" s="1">
        <f>IF(OR(V6&gt;0,AA6=1),1,IF(U6=1,D6,1))</f>
      </c>
      <c r="AD6" s="1">
        <f>IF($A6="",0,IF(OR(T6=1,U6=1,V6&gt;0,W6=1),1,0))</f>
      </c>
      <c r="AE6" s="1">
        <f>IF(AD6=0,0,ROUND((AC6-AB6)*1440,0))</f>
      </c>
      <c r="AF6" s="1">
        <f>IF(AD6=0,"",IF(AND(F6&lt;&gt;"",ISNA(MATCH(F6,PauschLand,0))),"Land nicht in der Liste; ","")&amp;IF(AND(T6=0,W6=0,Z6=0),"Beginn fehlt; ","")&amp;IF(AND(V6=0,U6=0,AA6=0),"Ende fehlt; ","")&amp;IF(AND(X6=1,U6=1,V6=0,N(D6)&lt;N(C6)),"Ende vor Beginn (über Mitternacht: Ende in die Zeile des Folgetags); ",""))</f>
      </c>
      <c r="AG6" s="1">
        <f>IF(AD6=0,0,IFERROR(VLOOKUP(IF(F6="","Deutschland",F6),PauschTab,2,FALSE),0))</f>
      </c>
      <c r="AH6" s="1">
        <f>IF(AD6=0,0,IFERROR(VLOOKUP(IF(F6="","Deutschland",F6),PauschTab,3,FALSE),0))</f>
      </c>
      <c r="AI6" s="1">
        <f>IF(AD6=0,0,IFERROR(VLOOKUP(IF(F6="","Deutschland",F6),PauschTab,4,FALSE),0))</f>
      </c>
      <c r="AJ6" s="1">
        <f>IF(OR(AD6=0,AF6&lt;&gt;""),0,IF(AND(W6=1,V6&gt;0),IF(OR(T6=1,U6=1),AH6,AG6),IF(OR(W6=1,V6&gt;0),AH6,IF(AA6=1,IF(AND(AE6+AQ6&gt;480,AE6&gt;=AQ6),AH6,0),IF(Z6=1,IF(AND(AR6+AE6&gt;480,AE6&gt;AR6),AH6,0),IF(AE6&gt;480,AH6,0))))))</f>
      </c>
      <c r="AK6" s="1">
        <f>MIN(AJ6,AM6)</f>
      </c>
      <c r="AL6" s="1">
        <f>IF(OR(AD6=0,AF6&lt;&gt;""),"",IF(AND(W6=0,V6=0,AA6=0,Z6=0,AE6&lt;=480),"nicht mehr als 8 Std.; ","")&amp;IF(AA6=1,IF(AJ6&gt;0,"über Mitternacht, zusammen "&amp;TEXT((AE6+AQ6)/1440,"[h]:mm")&amp;" Std.; ",IF(AE6+AQ6&gt;480,"über Mitternacht: Pauschale am Folgetag; ","über Mitternacht, zusammen nicht mehr als 8 Std.; ")),"")&amp;IF(Z6=1,IF(AJ6&gt;0,"über Mitternacht, zusammen "&amp;TEXT((AR6+AE6)/1440,"[h]:mm")&amp;" Std.; ",IF(AR6+AE6&gt;480,"über Mitternacht: Pauschale am Vortag; ","über Mitternacht, zusammen nicht mehr als 8 Std.; ")),"")&amp;IF(AND(W6=1,V6&gt;0,OR(T6=1,U6=1)),"zwischendurch zu Hause: An- und Abreisetag; ","")&amp;IF(AND(W6=1,V6=0,T6=1),"Beginn leer lassen: unterwegs seit dem Vortag; ","")&amp;IF(AND(W6=0,V6&gt;0,U6=1),"Ende leer lassen: Übernachtung; ","")&amp;IF(AND(AJ6&gt;0,AM6&gt;AJ6),"Kürzung auf die Pauschale begrenzt; ",""))</f>
      </c>
      <c r="AM6" s="1">
        <f>ROUND(AG6*(IF(H6&lt;&gt;"",0.2,0)+IF(I6&lt;&gt;"",0.4,0)+IF(J6&lt;&gt;"",0.4,0)),2)</f>
      </c>
      <c r="AN6" s="1">
        <f>IF($A7="",'Juli'!$T$5,T7)</f>
      </c>
      <c r="AO6" s="1">
        <f>IF($A7="",'Juli'!$U$5,U7)</f>
      </c>
      <c r="AP6" s="1">
        <f>IF($A7="",'Juli'!$V$5,V7)</f>
      </c>
      <c r="AQ6" s="1">
        <f>IF($A7="",'Juli'!$AE$5,AE7)</f>
      </c>
      <c r="AR6" s="1">
        <f>AE5</f>
      </c>
      <c r="AS6" s="1">
        <f>X5</f>
      </c>
      <c r="AT6" s="1">
        <f>U5</f>
      </c>
      <c r="AU6" s="1">
        <f>V5</f>
      </c>
    </row>
    <row r="7" spans="1:47" x14ac:dyDescent="0.25">
      <c r="A7" s="17">
        <f>IF(MONTH(DATE(Jahr,6,3))=6,DATE(Jahr,6,3),"")</f>
      </c>
      <c r="B7" s="13">
        <f>IF(A7="","",CHOOSE(WEEKDAY(A7,2),"Mo","Di","Mi","Do","Fr","Sa","So"))</f>
      </c>
      <c r="C7" s="18"/>
      <c r="D7" s="18"/>
      <c r="E7" s="7"/>
      <c r="F7" s="7"/>
      <c r="G7" s="7"/>
      <c r="H7" s="19"/>
      <c r="I7" s="19"/>
      <c r="J7" s="19"/>
      <c r="K7" s="9"/>
      <c r="L7" s="20">
        <f>IF(OR(AD7=0,AF7&lt;&gt;"",AND(W7=1,V7&gt;0,OR(T7=1,U7=1))),"",AE7/1440)</f>
      </c>
      <c r="M7" s="21">
        <f>IF(OR(AD7=0,AF7&lt;&gt;""),"",AJ7)</f>
      </c>
      <c r="N7" s="21">
        <f>IF(AK7=0,"",AK7)</f>
      </c>
      <c r="O7" s="21">
        <f>IF(OR(AD7=0,AF7&lt;&gt;""),"",AJ7-AK7)</f>
      </c>
      <c r="P7" s="21">
        <f>IF(AND(AD7=1,AF7="",V7=2),AI7,"")</f>
      </c>
      <c r="Q7" s="21">
        <f>IF(OR($A7="",N(K7)=0),"",ROUND(K7*KmSatz,2))</f>
      </c>
      <c r="R7" s="22">
        <f>IF(AF7&amp;AL7="","",LEFT(AF7&amp;AL7,LEN(AF7&amp;AL7)-2))</f>
      </c>
      <c r="S7" s="1"/>
      <c r="T7" s="1">
        <f>IF(AND($A7&lt;&gt;"",ISNUMBER(C7)),1,0)</f>
      </c>
      <c r="U7" s="1">
        <f>IF(AND($A7&lt;&gt;"",ISNUMBER(D7)),1,0)</f>
      </c>
      <c r="V7" s="1">
        <f>IF($A7="",0,IF(E7="ja",1,IF(E7="Pauschale",2,0)))</f>
      </c>
      <c r="W7" s="1">
        <f>IF($A7="",0,IF(AU7&gt;0,1,0))</f>
      </c>
      <c r="X7" s="1">
        <f>IF(AND(T7=1,W7=0),1,0)</f>
      </c>
      <c r="Y7" s="1">
        <f>IF(AND(AS7=1,AT7=0,AU7=0),1,0)</f>
      </c>
      <c r="Z7" s="1">
        <f>IF(AND(Y7=1,T7=0,U7=1,V7=0),1,0)</f>
      </c>
      <c r="AA7" s="1">
        <f>IF(AND(X7=1,U7=0,V7=0,AN7=0,AO7=1,AP7=0),1,0)</f>
      </c>
      <c r="AB7" s="1">
        <f>IF(OR(W7=1,Z7=1),0,IF(T7=1,C7,0))</f>
      </c>
      <c r="AC7" s="1">
        <f>IF(OR(V7&gt;0,AA7=1),1,IF(U7=1,D7,1))</f>
      </c>
      <c r="AD7" s="1">
        <f>IF($A7="",0,IF(OR(T7=1,U7=1,V7&gt;0,W7=1),1,0))</f>
      </c>
      <c r="AE7" s="1">
        <f>IF(AD7=0,0,ROUND((AC7-AB7)*1440,0))</f>
      </c>
      <c r="AF7" s="1">
        <f>IF(AD7=0,"",IF(AND(F7&lt;&gt;"",ISNA(MATCH(F7,PauschLand,0))),"Land nicht in der Liste; ","")&amp;IF(AND(T7=0,W7=0,Z7=0),"Beginn fehlt; ","")&amp;IF(AND(V7=0,U7=0,AA7=0),"Ende fehlt; ","")&amp;IF(AND(X7=1,U7=1,V7=0,N(D7)&lt;N(C7)),"Ende vor Beginn (über Mitternacht: Ende in die Zeile des Folgetags); ",""))</f>
      </c>
      <c r="AG7" s="1">
        <f>IF(AD7=0,0,IFERROR(VLOOKUP(IF(F7="","Deutschland",F7),PauschTab,2,FALSE),0))</f>
      </c>
      <c r="AH7" s="1">
        <f>IF(AD7=0,0,IFERROR(VLOOKUP(IF(F7="","Deutschland",F7),PauschTab,3,FALSE),0))</f>
      </c>
      <c r="AI7" s="1">
        <f>IF(AD7=0,0,IFERROR(VLOOKUP(IF(F7="","Deutschland",F7),PauschTab,4,FALSE),0))</f>
      </c>
      <c r="AJ7" s="1">
        <f>IF(OR(AD7=0,AF7&lt;&gt;""),0,IF(AND(W7=1,V7&gt;0),IF(OR(T7=1,U7=1),AH7,AG7),IF(OR(W7=1,V7&gt;0),AH7,IF(AA7=1,IF(AND(AE7+AQ7&gt;480,AE7&gt;=AQ7),AH7,0),IF(Z7=1,IF(AND(AR7+AE7&gt;480,AE7&gt;AR7),AH7,0),IF(AE7&gt;480,AH7,0))))))</f>
      </c>
      <c r="AK7" s="1">
        <f>MIN(AJ7,AM7)</f>
      </c>
      <c r="AL7" s="1">
        <f>IF(OR(AD7=0,AF7&lt;&gt;""),"",IF(AND(W7=0,V7=0,AA7=0,Z7=0,AE7&lt;=480),"nicht mehr als 8 Std.; ","")&amp;IF(AA7=1,IF(AJ7&gt;0,"über Mitternacht, zusammen "&amp;TEXT((AE7+AQ7)/1440,"[h]:mm")&amp;" Std.; ",IF(AE7+AQ7&gt;480,"über Mitternacht: Pauschale am Folgetag; ","über Mitternacht, zusammen nicht mehr als 8 Std.; ")),"")&amp;IF(Z7=1,IF(AJ7&gt;0,"über Mitternacht, zusammen "&amp;TEXT((AR7+AE7)/1440,"[h]:mm")&amp;" Std.; ",IF(AR7+AE7&gt;480,"über Mitternacht: Pauschale am Vortag; ","über Mitternacht, zusammen nicht mehr als 8 Std.; ")),"")&amp;IF(AND(W7=1,V7&gt;0,OR(T7=1,U7=1)),"zwischendurch zu Hause: An- und Abreisetag; ","")&amp;IF(AND(W7=1,V7=0,T7=1),"Beginn leer lassen: unterwegs seit dem Vortag; ","")&amp;IF(AND(W7=0,V7&gt;0,U7=1),"Ende leer lassen: Übernachtung; ","")&amp;IF(AND(AJ7&gt;0,AM7&gt;AJ7),"Kürzung auf die Pauschale begrenzt; ",""))</f>
      </c>
      <c r="AM7" s="1">
        <f>ROUND(AG7*(IF(H7&lt;&gt;"",0.2,0)+IF(I7&lt;&gt;"",0.4,0)+IF(J7&lt;&gt;"",0.4,0)),2)</f>
      </c>
      <c r="AN7" s="1">
        <f>IF($A8="",'Juli'!$T$5,T8)</f>
      </c>
      <c r="AO7" s="1">
        <f>IF($A8="",'Juli'!$U$5,U8)</f>
      </c>
      <c r="AP7" s="1">
        <f>IF($A8="",'Juli'!$V$5,V8)</f>
      </c>
      <c r="AQ7" s="1">
        <f>IF($A8="",'Juli'!$AE$5,AE8)</f>
      </c>
      <c r="AR7" s="1">
        <f>AE6</f>
      </c>
      <c r="AS7" s="1">
        <f>X6</f>
      </c>
      <c r="AT7" s="1">
        <f>U6</f>
      </c>
      <c r="AU7" s="1">
        <f>V6</f>
      </c>
    </row>
    <row r="8" spans="1:47" x14ac:dyDescent="0.25">
      <c r="A8" s="17">
        <f>IF(MONTH(DATE(Jahr,6,4))=6,DATE(Jahr,6,4),"")</f>
      </c>
      <c r="B8" s="13">
        <f>IF(A8="","",CHOOSE(WEEKDAY(A8,2),"Mo","Di","Mi","Do","Fr","Sa","So"))</f>
      </c>
      <c r="C8" s="18"/>
      <c r="D8" s="18"/>
      <c r="E8" s="7"/>
      <c r="F8" s="7"/>
      <c r="G8" s="7"/>
      <c r="H8" s="19"/>
      <c r="I8" s="19"/>
      <c r="J8" s="19"/>
      <c r="K8" s="9"/>
      <c r="L8" s="20">
        <f>IF(OR(AD8=0,AF8&lt;&gt;"",AND(W8=1,V8&gt;0,OR(T8=1,U8=1))),"",AE8/1440)</f>
      </c>
      <c r="M8" s="21">
        <f>IF(OR(AD8=0,AF8&lt;&gt;""),"",AJ8)</f>
      </c>
      <c r="N8" s="21">
        <f>IF(AK8=0,"",AK8)</f>
      </c>
      <c r="O8" s="21">
        <f>IF(OR(AD8=0,AF8&lt;&gt;""),"",AJ8-AK8)</f>
      </c>
      <c r="P8" s="21">
        <f>IF(AND(AD8=1,AF8="",V8=2),AI8,"")</f>
      </c>
      <c r="Q8" s="21">
        <f>IF(OR($A8="",N(K8)=0),"",ROUND(K8*KmSatz,2))</f>
      </c>
      <c r="R8" s="22">
        <f>IF(AF8&amp;AL8="","",LEFT(AF8&amp;AL8,LEN(AF8&amp;AL8)-2))</f>
      </c>
      <c r="S8" s="1"/>
      <c r="T8" s="1">
        <f>IF(AND($A8&lt;&gt;"",ISNUMBER(C8)),1,0)</f>
      </c>
      <c r="U8" s="1">
        <f>IF(AND($A8&lt;&gt;"",ISNUMBER(D8)),1,0)</f>
      </c>
      <c r="V8" s="1">
        <f>IF($A8="",0,IF(E8="ja",1,IF(E8="Pauschale",2,0)))</f>
      </c>
      <c r="W8" s="1">
        <f>IF($A8="",0,IF(AU8&gt;0,1,0))</f>
      </c>
      <c r="X8" s="1">
        <f>IF(AND(T8=1,W8=0),1,0)</f>
      </c>
      <c r="Y8" s="1">
        <f>IF(AND(AS8=1,AT8=0,AU8=0),1,0)</f>
      </c>
      <c r="Z8" s="1">
        <f>IF(AND(Y8=1,T8=0,U8=1,V8=0),1,0)</f>
      </c>
      <c r="AA8" s="1">
        <f>IF(AND(X8=1,U8=0,V8=0,AN8=0,AO8=1,AP8=0),1,0)</f>
      </c>
      <c r="AB8" s="1">
        <f>IF(OR(W8=1,Z8=1),0,IF(T8=1,C8,0))</f>
      </c>
      <c r="AC8" s="1">
        <f>IF(OR(V8&gt;0,AA8=1),1,IF(U8=1,D8,1))</f>
      </c>
      <c r="AD8" s="1">
        <f>IF($A8="",0,IF(OR(T8=1,U8=1,V8&gt;0,W8=1),1,0))</f>
      </c>
      <c r="AE8" s="1">
        <f>IF(AD8=0,0,ROUND((AC8-AB8)*1440,0))</f>
      </c>
      <c r="AF8" s="1">
        <f>IF(AD8=0,"",IF(AND(F8&lt;&gt;"",ISNA(MATCH(F8,PauschLand,0))),"Land nicht in der Liste; ","")&amp;IF(AND(T8=0,W8=0,Z8=0),"Beginn fehlt; ","")&amp;IF(AND(V8=0,U8=0,AA8=0),"Ende fehlt; ","")&amp;IF(AND(X8=1,U8=1,V8=0,N(D8)&lt;N(C8)),"Ende vor Beginn (über Mitternacht: Ende in die Zeile des Folgetags); ",""))</f>
      </c>
      <c r="AG8" s="1">
        <f>IF(AD8=0,0,IFERROR(VLOOKUP(IF(F8="","Deutschland",F8),PauschTab,2,FALSE),0))</f>
      </c>
      <c r="AH8" s="1">
        <f>IF(AD8=0,0,IFERROR(VLOOKUP(IF(F8="","Deutschland",F8),PauschTab,3,FALSE),0))</f>
      </c>
      <c r="AI8" s="1">
        <f>IF(AD8=0,0,IFERROR(VLOOKUP(IF(F8="","Deutschland",F8),PauschTab,4,FALSE),0))</f>
      </c>
      <c r="AJ8" s="1">
        <f>IF(OR(AD8=0,AF8&lt;&gt;""),0,IF(AND(W8=1,V8&gt;0),IF(OR(T8=1,U8=1),AH8,AG8),IF(OR(W8=1,V8&gt;0),AH8,IF(AA8=1,IF(AND(AE8+AQ8&gt;480,AE8&gt;=AQ8),AH8,0),IF(Z8=1,IF(AND(AR8+AE8&gt;480,AE8&gt;AR8),AH8,0),IF(AE8&gt;480,AH8,0))))))</f>
      </c>
      <c r="AK8" s="1">
        <f>MIN(AJ8,AM8)</f>
      </c>
      <c r="AL8" s="1">
        <f>IF(OR(AD8=0,AF8&lt;&gt;""),"",IF(AND(W8=0,V8=0,AA8=0,Z8=0,AE8&lt;=480),"nicht mehr als 8 Std.; ","")&amp;IF(AA8=1,IF(AJ8&gt;0,"über Mitternacht, zusammen "&amp;TEXT((AE8+AQ8)/1440,"[h]:mm")&amp;" Std.; ",IF(AE8+AQ8&gt;480,"über Mitternacht: Pauschale am Folgetag; ","über Mitternacht, zusammen nicht mehr als 8 Std.; ")),"")&amp;IF(Z8=1,IF(AJ8&gt;0,"über Mitternacht, zusammen "&amp;TEXT((AR8+AE8)/1440,"[h]:mm")&amp;" Std.; ",IF(AR8+AE8&gt;480,"über Mitternacht: Pauschale am Vortag; ","über Mitternacht, zusammen nicht mehr als 8 Std.; ")),"")&amp;IF(AND(W8=1,V8&gt;0,OR(T8=1,U8=1)),"zwischendurch zu Hause: An- und Abreisetag; ","")&amp;IF(AND(W8=1,V8=0,T8=1),"Beginn leer lassen: unterwegs seit dem Vortag; ","")&amp;IF(AND(W8=0,V8&gt;0,U8=1),"Ende leer lassen: Übernachtung; ","")&amp;IF(AND(AJ8&gt;0,AM8&gt;AJ8),"Kürzung auf die Pauschale begrenzt; ",""))</f>
      </c>
      <c r="AM8" s="1">
        <f>ROUND(AG8*(IF(H8&lt;&gt;"",0.2,0)+IF(I8&lt;&gt;"",0.4,0)+IF(J8&lt;&gt;"",0.4,0)),2)</f>
      </c>
      <c r="AN8" s="1">
        <f>IF($A9="",'Juli'!$T$5,T9)</f>
      </c>
      <c r="AO8" s="1">
        <f>IF($A9="",'Juli'!$U$5,U9)</f>
      </c>
      <c r="AP8" s="1">
        <f>IF($A9="",'Juli'!$V$5,V9)</f>
      </c>
      <c r="AQ8" s="1">
        <f>IF($A9="",'Juli'!$AE$5,AE9)</f>
      </c>
      <c r="AR8" s="1">
        <f>AE7</f>
      </c>
      <c r="AS8" s="1">
        <f>X7</f>
      </c>
      <c r="AT8" s="1">
        <f>U7</f>
      </c>
      <c r="AU8" s="1">
        <f>V7</f>
      </c>
    </row>
    <row r="9" spans="1:47" x14ac:dyDescent="0.25">
      <c r="A9" s="17">
        <f>IF(MONTH(DATE(Jahr,6,5))=6,DATE(Jahr,6,5),"")</f>
      </c>
      <c r="B9" s="13">
        <f>IF(A9="","",CHOOSE(WEEKDAY(A9,2),"Mo","Di","Mi","Do","Fr","Sa","So"))</f>
      </c>
      <c r="C9" s="18"/>
      <c r="D9" s="18"/>
      <c r="E9" s="7"/>
      <c r="F9" s="7"/>
      <c r="G9" s="7"/>
      <c r="H9" s="19"/>
      <c r="I9" s="19"/>
      <c r="J9" s="19"/>
      <c r="K9" s="9"/>
      <c r="L9" s="20">
        <f>IF(OR(AD9=0,AF9&lt;&gt;"",AND(W9=1,V9&gt;0,OR(T9=1,U9=1))),"",AE9/1440)</f>
      </c>
      <c r="M9" s="21">
        <f>IF(OR(AD9=0,AF9&lt;&gt;""),"",AJ9)</f>
      </c>
      <c r="N9" s="21">
        <f>IF(AK9=0,"",AK9)</f>
      </c>
      <c r="O9" s="21">
        <f>IF(OR(AD9=0,AF9&lt;&gt;""),"",AJ9-AK9)</f>
      </c>
      <c r="P9" s="21">
        <f>IF(AND(AD9=1,AF9="",V9=2),AI9,"")</f>
      </c>
      <c r="Q9" s="21">
        <f>IF(OR($A9="",N(K9)=0),"",ROUND(K9*KmSatz,2))</f>
      </c>
      <c r="R9" s="22">
        <f>IF(AF9&amp;AL9="","",LEFT(AF9&amp;AL9,LEN(AF9&amp;AL9)-2))</f>
      </c>
      <c r="S9" s="1"/>
      <c r="T9" s="1">
        <f>IF(AND($A9&lt;&gt;"",ISNUMBER(C9)),1,0)</f>
      </c>
      <c r="U9" s="1">
        <f>IF(AND($A9&lt;&gt;"",ISNUMBER(D9)),1,0)</f>
      </c>
      <c r="V9" s="1">
        <f>IF($A9="",0,IF(E9="ja",1,IF(E9="Pauschale",2,0)))</f>
      </c>
      <c r="W9" s="1">
        <f>IF($A9="",0,IF(AU9&gt;0,1,0))</f>
      </c>
      <c r="X9" s="1">
        <f>IF(AND(T9=1,W9=0),1,0)</f>
      </c>
      <c r="Y9" s="1">
        <f>IF(AND(AS9=1,AT9=0,AU9=0),1,0)</f>
      </c>
      <c r="Z9" s="1">
        <f>IF(AND(Y9=1,T9=0,U9=1,V9=0),1,0)</f>
      </c>
      <c r="AA9" s="1">
        <f>IF(AND(X9=1,U9=0,V9=0,AN9=0,AO9=1,AP9=0),1,0)</f>
      </c>
      <c r="AB9" s="1">
        <f>IF(OR(W9=1,Z9=1),0,IF(T9=1,C9,0))</f>
      </c>
      <c r="AC9" s="1">
        <f>IF(OR(V9&gt;0,AA9=1),1,IF(U9=1,D9,1))</f>
      </c>
      <c r="AD9" s="1">
        <f>IF($A9="",0,IF(OR(T9=1,U9=1,V9&gt;0,W9=1),1,0))</f>
      </c>
      <c r="AE9" s="1">
        <f>IF(AD9=0,0,ROUND((AC9-AB9)*1440,0))</f>
      </c>
      <c r="AF9" s="1">
        <f>IF(AD9=0,"",IF(AND(F9&lt;&gt;"",ISNA(MATCH(F9,PauschLand,0))),"Land nicht in der Liste; ","")&amp;IF(AND(T9=0,W9=0,Z9=0),"Beginn fehlt; ","")&amp;IF(AND(V9=0,U9=0,AA9=0),"Ende fehlt; ","")&amp;IF(AND(X9=1,U9=1,V9=0,N(D9)&lt;N(C9)),"Ende vor Beginn (über Mitternacht: Ende in die Zeile des Folgetags); ",""))</f>
      </c>
      <c r="AG9" s="1">
        <f>IF(AD9=0,0,IFERROR(VLOOKUP(IF(F9="","Deutschland",F9),PauschTab,2,FALSE),0))</f>
      </c>
      <c r="AH9" s="1">
        <f>IF(AD9=0,0,IFERROR(VLOOKUP(IF(F9="","Deutschland",F9),PauschTab,3,FALSE),0))</f>
      </c>
      <c r="AI9" s="1">
        <f>IF(AD9=0,0,IFERROR(VLOOKUP(IF(F9="","Deutschland",F9),PauschTab,4,FALSE),0))</f>
      </c>
      <c r="AJ9" s="1">
        <f>IF(OR(AD9=0,AF9&lt;&gt;""),0,IF(AND(W9=1,V9&gt;0),IF(OR(T9=1,U9=1),AH9,AG9),IF(OR(W9=1,V9&gt;0),AH9,IF(AA9=1,IF(AND(AE9+AQ9&gt;480,AE9&gt;=AQ9),AH9,0),IF(Z9=1,IF(AND(AR9+AE9&gt;480,AE9&gt;AR9),AH9,0),IF(AE9&gt;480,AH9,0))))))</f>
      </c>
      <c r="AK9" s="1">
        <f>MIN(AJ9,AM9)</f>
      </c>
      <c r="AL9" s="1">
        <f>IF(OR(AD9=0,AF9&lt;&gt;""),"",IF(AND(W9=0,V9=0,AA9=0,Z9=0,AE9&lt;=480),"nicht mehr als 8 Std.; ","")&amp;IF(AA9=1,IF(AJ9&gt;0,"über Mitternacht, zusammen "&amp;TEXT((AE9+AQ9)/1440,"[h]:mm")&amp;" Std.; ",IF(AE9+AQ9&gt;480,"über Mitternacht: Pauschale am Folgetag; ","über Mitternacht, zusammen nicht mehr als 8 Std.; ")),"")&amp;IF(Z9=1,IF(AJ9&gt;0,"über Mitternacht, zusammen "&amp;TEXT((AR9+AE9)/1440,"[h]:mm")&amp;" Std.; ",IF(AR9+AE9&gt;480,"über Mitternacht: Pauschale am Vortag; ","über Mitternacht, zusammen nicht mehr als 8 Std.; ")),"")&amp;IF(AND(W9=1,V9&gt;0,OR(T9=1,U9=1)),"zwischendurch zu Hause: An- und Abreisetag; ","")&amp;IF(AND(W9=1,V9=0,T9=1),"Beginn leer lassen: unterwegs seit dem Vortag; ","")&amp;IF(AND(W9=0,V9&gt;0,U9=1),"Ende leer lassen: Übernachtung; ","")&amp;IF(AND(AJ9&gt;0,AM9&gt;AJ9),"Kürzung auf die Pauschale begrenzt; ",""))</f>
      </c>
      <c r="AM9" s="1">
        <f>ROUND(AG9*(IF(H9&lt;&gt;"",0.2,0)+IF(I9&lt;&gt;"",0.4,0)+IF(J9&lt;&gt;"",0.4,0)),2)</f>
      </c>
      <c r="AN9" s="1">
        <f>IF($A10="",'Juli'!$T$5,T10)</f>
      </c>
      <c r="AO9" s="1">
        <f>IF($A10="",'Juli'!$U$5,U10)</f>
      </c>
      <c r="AP9" s="1">
        <f>IF($A10="",'Juli'!$V$5,V10)</f>
      </c>
      <c r="AQ9" s="1">
        <f>IF($A10="",'Juli'!$AE$5,AE10)</f>
      </c>
      <c r="AR9" s="1">
        <f>AE8</f>
      </c>
      <c r="AS9" s="1">
        <f>X8</f>
      </c>
      <c r="AT9" s="1">
        <f>U8</f>
      </c>
      <c r="AU9" s="1">
        <f>V8</f>
      </c>
    </row>
    <row r="10" spans="1:47" x14ac:dyDescent="0.25">
      <c r="A10" s="17">
        <f>IF(MONTH(DATE(Jahr,6,6))=6,DATE(Jahr,6,6),"")</f>
      </c>
      <c r="B10" s="13">
        <f>IF(A10="","",CHOOSE(WEEKDAY(A10,2),"Mo","Di","Mi","Do","Fr","Sa","So"))</f>
      </c>
      <c r="C10" s="18"/>
      <c r="D10" s="18"/>
      <c r="E10" s="7"/>
      <c r="F10" s="7"/>
      <c r="G10" s="7"/>
      <c r="H10" s="19"/>
      <c r="I10" s="19"/>
      <c r="J10" s="19"/>
      <c r="K10" s="9"/>
      <c r="L10" s="20">
        <f>IF(OR(AD10=0,AF10&lt;&gt;"",AND(W10=1,V10&gt;0,OR(T10=1,U10=1))),"",AE10/1440)</f>
      </c>
      <c r="M10" s="21">
        <f>IF(OR(AD10=0,AF10&lt;&gt;""),"",AJ10)</f>
      </c>
      <c r="N10" s="21">
        <f>IF(AK10=0,"",AK10)</f>
      </c>
      <c r="O10" s="21">
        <f>IF(OR(AD10=0,AF10&lt;&gt;""),"",AJ10-AK10)</f>
      </c>
      <c r="P10" s="21">
        <f>IF(AND(AD10=1,AF10="",V10=2),AI10,"")</f>
      </c>
      <c r="Q10" s="21">
        <f>IF(OR($A10="",N(K10)=0),"",ROUND(K10*KmSatz,2))</f>
      </c>
      <c r="R10" s="22">
        <f>IF(AF10&amp;AL10="","",LEFT(AF10&amp;AL10,LEN(AF10&amp;AL10)-2))</f>
      </c>
      <c r="S10" s="1"/>
      <c r="T10" s="1">
        <f>IF(AND($A10&lt;&gt;"",ISNUMBER(C10)),1,0)</f>
      </c>
      <c r="U10" s="1">
        <f>IF(AND($A10&lt;&gt;"",ISNUMBER(D10)),1,0)</f>
      </c>
      <c r="V10" s="1">
        <f>IF($A10="",0,IF(E10="ja",1,IF(E10="Pauschale",2,0)))</f>
      </c>
      <c r="W10" s="1">
        <f>IF($A10="",0,IF(AU10&gt;0,1,0))</f>
      </c>
      <c r="X10" s="1">
        <f>IF(AND(T10=1,W10=0),1,0)</f>
      </c>
      <c r="Y10" s="1">
        <f>IF(AND(AS10=1,AT10=0,AU10=0),1,0)</f>
      </c>
      <c r="Z10" s="1">
        <f>IF(AND(Y10=1,T10=0,U10=1,V10=0),1,0)</f>
      </c>
      <c r="AA10" s="1">
        <f>IF(AND(X10=1,U10=0,V10=0,AN10=0,AO10=1,AP10=0),1,0)</f>
      </c>
      <c r="AB10" s="1">
        <f>IF(OR(W10=1,Z10=1),0,IF(T10=1,C10,0))</f>
      </c>
      <c r="AC10" s="1">
        <f>IF(OR(V10&gt;0,AA10=1),1,IF(U10=1,D10,1))</f>
      </c>
      <c r="AD10" s="1">
        <f>IF($A10="",0,IF(OR(T10=1,U10=1,V10&gt;0,W10=1),1,0))</f>
      </c>
      <c r="AE10" s="1">
        <f>IF(AD10=0,0,ROUND((AC10-AB10)*1440,0))</f>
      </c>
      <c r="AF10" s="1">
        <f>IF(AD10=0,"",IF(AND(F10&lt;&gt;"",ISNA(MATCH(F10,PauschLand,0))),"Land nicht in der Liste; ","")&amp;IF(AND(T10=0,W10=0,Z10=0),"Beginn fehlt; ","")&amp;IF(AND(V10=0,U10=0,AA10=0),"Ende fehlt; ","")&amp;IF(AND(X10=1,U10=1,V10=0,N(D10)&lt;N(C10)),"Ende vor Beginn (über Mitternacht: Ende in die Zeile des Folgetags); ",""))</f>
      </c>
      <c r="AG10" s="1">
        <f>IF(AD10=0,0,IFERROR(VLOOKUP(IF(F10="","Deutschland",F10),PauschTab,2,FALSE),0))</f>
      </c>
      <c r="AH10" s="1">
        <f>IF(AD10=0,0,IFERROR(VLOOKUP(IF(F10="","Deutschland",F10),PauschTab,3,FALSE),0))</f>
      </c>
      <c r="AI10" s="1">
        <f>IF(AD10=0,0,IFERROR(VLOOKUP(IF(F10="","Deutschland",F10),PauschTab,4,FALSE),0))</f>
      </c>
      <c r="AJ10" s="1">
        <f>IF(OR(AD10=0,AF10&lt;&gt;""),0,IF(AND(W10=1,V10&gt;0),IF(OR(T10=1,U10=1),AH10,AG10),IF(OR(W10=1,V10&gt;0),AH10,IF(AA10=1,IF(AND(AE10+AQ10&gt;480,AE10&gt;=AQ10),AH10,0),IF(Z10=1,IF(AND(AR10+AE10&gt;480,AE10&gt;AR10),AH10,0),IF(AE10&gt;480,AH10,0))))))</f>
      </c>
      <c r="AK10" s="1">
        <f>MIN(AJ10,AM10)</f>
      </c>
      <c r="AL10" s="1">
        <f>IF(OR(AD10=0,AF10&lt;&gt;""),"",IF(AND(W10=0,V10=0,AA10=0,Z10=0,AE10&lt;=480),"nicht mehr als 8 Std.; ","")&amp;IF(AA10=1,IF(AJ10&gt;0,"über Mitternacht, zusammen "&amp;TEXT((AE10+AQ10)/1440,"[h]:mm")&amp;" Std.; ",IF(AE10+AQ10&gt;480,"über Mitternacht: Pauschale am Folgetag; ","über Mitternacht, zusammen nicht mehr als 8 Std.; ")),"")&amp;IF(Z10=1,IF(AJ10&gt;0,"über Mitternacht, zusammen "&amp;TEXT((AR10+AE10)/1440,"[h]:mm")&amp;" Std.; ",IF(AR10+AE10&gt;480,"über Mitternacht: Pauschale am Vortag; ","über Mitternacht, zusammen nicht mehr als 8 Std.; ")),"")&amp;IF(AND(W10=1,V10&gt;0,OR(T10=1,U10=1)),"zwischendurch zu Hause: An- und Abreisetag; ","")&amp;IF(AND(W10=1,V10=0,T10=1),"Beginn leer lassen: unterwegs seit dem Vortag; ","")&amp;IF(AND(W10=0,V10&gt;0,U10=1),"Ende leer lassen: Übernachtung; ","")&amp;IF(AND(AJ10&gt;0,AM10&gt;AJ10),"Kürzung auf die Pauschale begrenzt; ",""))</f>
      </c>
      <c r="AM10" s="1">
        <f>ROUND(AG10*(IF(H10&lt;&gt;"",0.2,0)+IF(I10&lt;&gt;"",0.4,0)+IF(J10&lt;&gt;"",0.4,0)),2)</f>
      </c>
      <c r="AN10" s="1">
        <f>IF($A11="",'Juli'!$T$5,T11)</f>
      </c>
      <c r="AO10" s="1">
        <f>IF($A11="",'Juli'!$U$5,U11)</f>
      </c>
      <c r="AP10" s="1">
        <f>IF($A11="",'Juli'!$V$5,V11)</f>
      </c>
      <c r="AQ10" s="1">
        <f>IF($A11="",'Juli'!$AE$5,AE11)</f>
      </c>
      <c r="AR10" s="1">
        <f>AE9</f>
      </c>
      <c r="AS10" s="1">
        <f>X9</f>
      </c>
      <c r="AT10" s="1">
        <f>U9</f>
      </c>
      <c r="AU10" s="1">
        <f>V9</f>
      </c>
    </row>
    <row r="11" spans="1:47" x14ac:dyDescent="0.25">
      <c r="A11" s="17">
        <f>IF(MONTH(DATE(Jahr,6,7))=6,DATE(Jahr,6,7),"")</f>
      </c>
      <c r="B11" s="13">
        <f>IF(A11="","",CHOOSE(WEEKDAY(A11,2),"Mo","Di","Mi","Do","Fr","Sa","So"))</f>
      </c>
      <c r="C11" s="18"/>
      <c r="D11" s="18"/>
      <c r="E11" s="7"/>
      <c r="F11" s="7"/>
      <c r="G11" s="7"/>
      <c r="H11" s="19"/>
      <c r="I11" s="19"/>
      <c r="J11" s="19"/>
      <c r="K11" s="9"/>
      <c r="L11" s="20">
        <f>IF(OR(AD11=0,AF11&lt;&gt;"",AND(W11=1,V11&gt;0,OR(T11=1,U11=1))),"",AE11/1440)</f>
      </c>
      <c r="M11" s="21">
        <f>IF(OR(AD11=0,AF11&lt;&gt;""),"",AJ11)</f>
      </c>
      <c r="N11" s="21">
        <f>IF(AK11=0,"",AK11)</f>
      </c>
      <c r="O11" s="21">
        <f>IF(OR(AD11=0,AF11&lt;&gt;""),"",AJ11-AK11)</f>
      </c>
      <c r="P11" s="21">
        <f>IF(AND(AD11=1,AF11="",V11=2),AI11,"")</f>
      </c>
      <c r="Q11" s="21">
        <f>IF(OR($A11="",N(K11)=0),"",ROUND(K11*KmSatz,2))</f>
      </c>
      <c r="R11" s="22">
        <f>IF(AF11&amp;AL11="","",LEFT(AF11&amp;AL11,LEN(AF11&amp;AL11)-2))</f>
      </c>
      <c r="S11" s="1"/>
      <c r="T11" s="1">
        <f>IF(AND($A11&lt;&gt;"",ISNUMBER(C11)),1,0)</f>
      </c>
      <c r="U11" s="1">
        <f>IF(AND($A11&lt;&gt;"",ISNUMBER(D11)),1,0)</f>
      </c>
      <c r="V11" s="1">
        <f>IF($A11="",0,IF(E11="ja",1,IF(E11="Pauschale",2,0)))</f>
      </c>
      <c r="W11" s="1">
        <f>IF($A11="",0,IF(AU11&gt;0,1,0))</f>
      </c>
      <c r="X11" s="1">
        <f>IF(AND(T11=1,W11=0),1,0)</f>
      </c>
      <c r="Y11" s="1">
        <f>IF(AND(AS11=1,AT11=0,AU11=0),1,0)</f>
      </c>
      <c r="Z11" s="1">
        <f>IF(AND(Y11=1,T11=0,U11=1,V11=0),1,0)</f>
      </c>
      <c r="AA11" s="1">
        <f>IF(AND(X11=1,U11=0,V11=0,AN11=0,AO11=1,AP11=0),1,0)</f>
      </c>
      <c r="AB11" s="1">
        <f>IF(OR(W11=1,Z11=1),0,IF(T11=1,C11,0))</f>
      </c>
      <c r="AC11" s="1">
        <f>IF(OR(V11&gt;0,AA11=1),1,IF(U11=1,D11,1))</f>
      </c>
      <c r="AD11" s="1">
        <f>IF($A11="",0,IF(OR(T11=1,U11=1,V11&gt;0,W11=1),1,0))</f>
      </c>
      <c r="AE11" s="1">
        <f>IF(AD11=0,0,ROUND((AC11-AB11)*1440,0))</f>
      </c>
      <c r="AF11" s="1">
        <f>IF(AD11=0,"",IF(AND(F11&lt;&gt;"",ISNA(MATCH(F11,PauschLand,0))),"Land nicht in der Liste; ","")&amp;IF(AND(T11=0,W11=0,Z11=0),"Beginn fehlt; ","")&amp;IF(AND(V11=0,U11=0,AA11=0),"Ende fehlt; ","")&amp;IF(AND(X11=1,U11=1,V11=0,N(D11)&lt;N(C11)),"Ende vor Beginn (über Mitternacht: Ende in die Zeile des Folgetags); ",""))</f>
      </c>
      <c r="AG11" s="1">
        <f>IF(AD11=0,0,IFERROR(VLOOKUP(IF(F11="","Deutschland",F11),PauschTab,2,FALSE),0))</f>
      </c>
      <c r="AH11" s="1">
        <f>IF(AD11=0,0,IFERROR(VLOOKUP(IF(F11="","Deutschland",F11),PauschTab,3,FALSE),0))</f>
      </c>
      <c r="AI11" s="1">
        <f>IF(AD11=0,0,IFERROR(VLOOKUP(IF(F11="","Deutschland",F11),PauschTab,4,FALSE),0))</f>
      </c>
      <c r="AJ11" s="1">
        <f>IF(OR(AD11=0,AF11&lt;&gt;""),0,IF(AND(W11=1,V11&gt;0),IF(OR(T11=1,U11=1),AH11,AG11),IF(OR(W11=1,V11&gt;0),AH11,IF(AA11=1,IF(AND(AE11+AQ11&gt;480,AE11&gt;=AQ11),AH11,0),IF(Z11=1,IF(AND(AR11+AE11&gt;480,AE11&gt;AR11),AH11,0),IF(AE11&gt;480,AH11,0))))))</f>
      </c>
      <c r="AK11" s="1">
        <f>MIN(AJ11,AM11)</f>
      </c>
      <c r="AL11" s="1">
        <f>IF(OR(AD11=0,AF11&lt;&gt;""),"",IF(AND(W11=0,V11=0,AA11=0,Z11=0,AE11&lt;=480),"nicht mehr als 8 Std.; ","")&amp;IF(AA11=1,IF(AJ11&gt;0,"über Mitternacht, zusammen "&amp;TEXT((AE11+AQ11)/1440,"[h]:mm")&amp;" Std.; ",IF(AE11+AQ11&gt;480,"über Mitternacht: Pauschale am Folgetag; ","über Mitternacht, zusammen nicht mehr als 8 Std.; ")),"")&amp;IF(Z11=1,IF(AJ11&gt;0,"über Mitternacht, zusammen "&amp;TEXT((AR11+AE11)/1440,"[h]:mm")&amp;" Std.; ",IF(AR11+AE11&gt;480,"über Mitternacht: Pauschale am Vortag; ","über Mitternacht, zusammen nicht mehr als 8 Std.; ")),"")&amp;IF(AND(W11=1,V11&gt;0,OR(T11=1,U11=1)),"zwischendurch zu Hause: An- und Abreisetag; ","")&amp;IF(AND(W11=1,V11=0,T11=1),"Beginn leer lassen: unterwegs seit dem Vortag; ","")&amp;IF(AND(W11=0,V11&gt;0,U11=1),"Ende leer lassen: Übernachtung; ","")&amp;IF(AND(AJ11&gt;0,AM11&gt;AJ11),"Kürzung auf die Pauschale begrenzt; ",""))</f>
      </c>
      <c r="AM11" s="1">
        <f>ROUND(AG11*(IF(H11&lt;&gt;"",0.2,0)+IF(I11&lt;&gt;"",0.4,0)+IF(J11&lt;&gt;"",0.4,0)),2)</f>
      </c>
      <c r="AN11" s="1">
        <f>IF($A12="",'Juli'!$T$5,T12)</f>
      </c>
      <c r="AO11" s="1">
        <f>IF($A12="",'Juli'!$U$5,U12)</f>
      </c>
      <c r="AP11" s="1">
        <f>IF($A12="",'Juli'!$V$5,V12)</f>
      </c>
      <c r="AQ11" s="1">
        <f>IF($A12="",'Juli'!$AE$5,AE12)</f>
      </c>
      <c r="AR11" s="1">
        <f>AE10</f>
      </c>
      <c r="AS11" s="1">
        <f>X10</f>
      </c>
      <c r="AT11" s="1">
        <f>U10</f>
      </c>
      <c r="AU11" s="1">
        <f>V10</f>
      </c>
    </row>
    <row r="12" spans="1:47" x14ac:dyDescent="0.25">
      <c r="A12" s="17">
        <f>IF(MONTH(DATE(Jahr,6,8))=6,DATE(Jahr,6,8),"")</f>
      </c>
      <c r="B12" s="13">
        <f>IF(A12="","",CHOOSE(WEEKDAY(A12,2),"Mo","Di","Mi","Do","Fr","Sa","So"))</f>
      </c>
      <c r="C12" s="18"/>
      <c r="D12" s="18"/>
      <c r="E12" s="7"/>
      <c r="F12" s="7"/>
      <c r="G12" s="7"/>
      <c r="H12" s="19"/>
      <c r="I12" s="19"/>
      <c r="J12" s="19"/>
      <c r="K12" s="9"/>
      <c r="L12" s="20">
        <f>IF(OR(AD12=0,AF12&lt;&gt;"",AND(W12=1,V12&gt;0,OR(T12=1,U12=1))),"",AE12/1440)</f>
      </c>
      <c r="M12" s="21">
        <f>IF(OR(AD12=0,AF12&lt;&gt;""),"",AJ12)</f>
      </c>
      <c r="N12" s="21">
        <f>IF(AK12=0,"",AK12)</f>
      </c>
      <c r="O12" s="21">
        <f>IF(OR(AD12=0,AF12&lt;&gt;""),"",AJ12-AK12)</f>
      </c>
      <c r="P12" s="21">
        <f>IF(AND(AD12=1,AF12="",V12=2),AI12,"")</f>
      </c>
      <c r="Q12" s="21">
        <f>IF(OR($A12="",N(K12)=0),"",ROUND(K12*KmSatz,2))</f>
      </c>
      <c r="R12" s="22">
        <f>IF(AF12&amp;AL12="","",LEFT(AF12&amp;AL12,LEN(AF12&amp;AL12)-2))</f>
      </c>
      <c r="S12" s="1"/>
      <c r="T12" s="1">
        <f>IF(AND($A12&lt;&gt;"",ISNUMBER(C12)),1,0)</f>
      </c>
      <c r="U12" s="1">
        <f>IF(AND($A12&lt;&gt;"",ISNUMBER(D12)),1,0)</f>
      </c>
      <c r="V12" s="1">
        <f>IF($A12="",0,IF(E12="ja",1,IF(E12="Pauschale",2,0)))</f>
      </c>
      <c r="W12" s="1">
        <f>IF($A12="",0,IF(AU12&gt;0,1,0))</f>
      </c>
      <c r="X12" s="1">
        <f>IF(AND(T12=1,W12=0),1,0)</f>
      </c>
      <c r="Y12" s="1">
        <f>IF(AND(AS12=1,AT12=0,AU12=0),1,0)</f>
      </c>
      <c r="Z12" s="1">
        <f>IF(AND(Y12=1,T12=0,U12=1,V12=0),1,0)</f>
      </c>
      <c r="AA12" s="1">
        <f>IF(AND(X12=1,U12=0,V12=0,AN12=0,AO12=1,AP12=0),1,0)</f>
      </c>
      <c r="AB12" s="1">
        <f>IF(OR(W12=1,Z12=1),0,IF(T12=1,C12,0))</f>
      </c>
      <c r="AC12" s="1">
        <f>IF(OR(V12&gt;0,AA12=1),1,IF(U12=1,D12,1))</f>
      </c>
      <c r="AD12" s="1">
        <f>IF($A12="",0,IF(OR(T12=1,U12=1,V12&gt;0,W12=1),1,0))</f>
      </c>
      <c r="AE12" s="1">
        <f>IF(AD12=0,0,ROUND((AC12-AB12)*1440,0))</f>
      </c>
      <c r="AF12" s="1">
        <f>IF(AD12=0,"",IF(AND(F12&lt;&gt;"",ISNA(MATCH(F12,PauschLand,0))),"Land nicht in der Liste; ","")&amp;IF(AND(T12=0,W12=0,Z12=0),"Beginn fehlt; ","")&amp;IF(AND(V12=0,U12=0,AA12=0),"Ende fehlt; ","")&amp;IF(AND(X12=1,U12=1,V12=0,N(D12)&lt;N(C12)),"Ende vor Beginn (über Mitternacht: Ende in die Zeile des Folgetags); ",""))</f>
      </c>
      <c r="AG12" s="1">
        <f>IF(AD12=0,0,IFERROR(VLOOKUP(IF(F12="","Deutschland",F12),PauschTab,2,FALSE),0))</f>
      </c>
      <c r="AH12" s="1">
        <f>IF(AD12=0,0,IFERROR(VLOOKUP(IF(F12="","Deutschland",F12),PauschTab,3,FALSE),0))</f>
      </c>
      <c r="AI12" s="1">
        <f>IF(AD12=0,0,IFERROR(VLOOKUP(IF(F12="","Deutschland",F12),PauschTab,4,FALSE),0))</f>
      </c>
      <c r="AJ12" s="1">
        <f>IF(OR(AD12=0,AF12&lt;&gt;""),0,IF(AND(W12=1,V12&gt;0),IF(OR(T12=1,U12=1),AH12,AG12),IF(OR(W12=1,V12&gt;0),AH12,IF(AA12=1,IF(AND(AE12+AQ12&gt;480,AE12&gt;=AQ12),AH12,0),IF(Z12=1,IF(AND(AR12+AE12&gt;480,AE12&gt;AR12),AH12,0),IF(AE12&gt;480,AH12,0))))))</f>
      </c>
      <c r="AK12" s="1">
        <f>MIN(AJ12,AM12)</f>
      </c>
      <c r="AL12" s="1">
        <f>IF(OR(AD12=0,AF12&lt;&gt;""),"",IF(AND(W12=0,V12=0,AA12=0,Z12=0,AE12&lt;=480),"nicht mehr als 8 Std.; ","")&amp;IF(AA12=1,IF(AJ12&gt;0,"über Mitternacht, zusammen "&amp;TEXT((AE12+AQ12)/1440,"[h]:mm")&amp;" Std.; ",IF(AE12+AQ12&gt;480,"über Mitternacht: Pauschale am Folgetag; ","über Mitternacht, zusammen nicht mehr als 8 Std.; ")),"")&amp;IF(Z12=1,IF(AJ12&gt;0,"über Mitternacht, zusammen "&amp;TEXT((AR12+AE12)/1440,"[h]:mm")&amp;" Std.; ",IF(AR12+AE12&gt;480,"über Mitternacht: Pauschale am Vortag; ","über Mitternacht, zusammen nicht mehr als 8 Std.; ")),"")&amp;IF(AND(W12=1,V12&gt;0,OR(T12=1,U12=1)),"zwischendurch zu Hause: An- und Abreisetag; ","")&amp;IF(AND(W12=1,V12=0,T12=1),"Beginn leer lassen: unterwegs seit dem Vortag; ","")&amp;IF(AND(W12=0,V12&gt;0,U12=1),"Ende leer lassen: Übernachtung; ","")&amp;IF(AND(AJ12&gt;0,AM12&gt;AJ12),"Kürzung auf die Pauschale begrenzt; ",""))</f>
      </c>
      <c r="AM12" s="1">
        <f>ROUND(AG12*(IF(H12&lt;&gt;"",0.2,0)+IF(I12&lt;&gt;"",0.4,0)+IF(J12&lt;&gt;"",0.4,0)),2)</f>
      </c>
      <c r="AN12" s="1">
        <f>IF($A13="",'Juli'!$T$5,T13)</f>
      </c>
      <c r="AO12" s="1">
        <f>IF($A13="",'Juli'!$U$5,U13)</f>
      </c>
      <c r="AP12" s="1">
        <f>IF($A13="",'Juli'!$V$5,V13)</f>
      </c>
      <c r="AQ12" s="1">
        <f>IF($A13="",'Juli'!$AE$5,AE13)</f>
      </c>
      <c r="AR12" s="1">
        <f>AE11</f>
      </c>
      <c r="AS12" s="1">
        <f>X11</f>
      </c>
      <c r="AT12" s="1">
        <f>U11</f>
      </c>
      <c r="AU12" s="1">
        <f>V11</f>
      </c>
    </row>
    <row r="13" spans="1:47" x14ac:dyDescent="0.25">
      <c r="A13" s="17">
        <f>IF(MONTH(DATE(Jahr,6,9))=6,DATE(Jahr,6,9),"")</f>
      </c>
      <c r="B13" s="13">
        <f>IF(A13="","",CHOOSE(WEEKDAY(A13,2),"Mo","Di","Mi","Do","Fr","Sa","So"))</f>
      </c>
      <c r="C13" s="18"/>
      <c r="D13" s="18"/>
      <c r="E13" s="7"/>
      <c r="F13" s="7"/>
      <c r="G13" s="7"/>
      <c r="H13" s="19"/>
      <c r="I13" s="19"/>
      <c r="J13" s="19"/>
      <c r="K13" s="9"/>
      <c r="L13" s="20">
        <f>IF(OR(AD13=0,AF13&lt;&gt;"",AND(W13=1,V13&gt;0,OR(T13=1,U13=1))),"",AE13/1440)</f>
      </c>
      <c r="M13" s="21">
        <f>IF(OR(AD13=0,AF13&lt;&gt;""),"",AJ13)</f>
      </c>
      <c r="N13" s="21">
        <f>IF(AK13=0,"",AK13)</f>
      </c>
      <c r="O13" s="21">
        <f>IF(OR(AD13=0,AF13&lt;&gt;""),"",AJ13-AK13)</f>
      </c>
      <c r="P13" s="21">
        <f>IF(AND(AD13=1,AF13="",V13=2),AI13,"")</f>
      </c>
      <c r="Q13" s="21">
        <f>IF(OR($A13="",N(K13)=0),"",ROUND(K13*KmSatz,2))</f>
      </c>
      <c r="R13" s="22">
        <f>IF(AF13&amp;AL13="","",LEFT(AF13&amp;AL13,LEN(AF13&amp;AL13)-2))</f>
      </c>
      <c r="S13" s="1"/>
      <c r="T13" s="1">
        <f>IF(AND($A13&lt;&gt;"",ISNUMBER(C13)),1,0)</f>
      </c>
      <c r="U13" s="1">
        <f>IF(AND($A13&lt;&gt;"",ISNUMBER(D13)),1,0)</f>
      </c>
      <c r="V13" s="1">
        <f>IF($A13="",0,IF(E13="ja",1,IF(E13="Pauschale",2,0)))</f>
      </c>
      <c r="W13" s="1">
        <f>IF($A13="",0,IF(AU13&gt;0,1,0))</f>
      </c>
      <c r="X13" s="1">
        <f>IF(AND(T13=1,W13=0),1,0)</f>
      </c>
      <c r="Y13" s="1">
        <f>IF(AND(AS13=1,AT13=0,AU13=0),1,0)</f>
      </c>
      <c r="Z13" s="1">
        <f>IF(AND(Y13=1,T13=0,U13=1,V13=0),1,0)</f>
      </c>
      <c r="AA13" s="1">
        <f>IF(AND(X13=1,U13=0,V13=0,AN13=0,AO13=1,AP13=0),1,0)</f>
      </c>
      <c r="AB13" s="1">
        <f>IF(OR(W13=1,Z13=1),0,IF(T13=1,C13,0))</f>
      </c>
      <c r="AC13" s="1">
        <f>IF(OR(V13&gt;0,AA13=1),1,IF(U13=1,D13,1))</f>
      </c>
      <c r="AD13" s="1">
        <f>IF($A13="",0,IF(OR(T13=1,U13=1,V13&gt;0,W13=1),1,0))</f>
      </c>
      <c r="AE13" s="1">
        <f>IF(AD13=0,0,ROUND((AC13-AB13)*1440,0))</f>
      </c>
      <c r="AF13" s="1">
        <f>IF(AD13=0,"",IF(AND(F13&lt;&gt;"",ISNA(MATCH(F13,PauschLand,0))),"Land nicht in der Liste; ","")&amp;IF(AND(T13=0,W13=0,Z13=0),"Beginn fehlt; ","")&amp;IF(AND(V13=0,U13=0,AA13=0),"Ende fehlt; ","")&amp;IF(AND(X13=1,U13=1,V13=0,N(D13)&lt;N(C13)),"Ende vor Beginn (über Mitternacht: Ende in die Zeile des Folgetags); ",""))</f>
      </c>
      <c r="AG13" s="1">
        <f>IF(AD13=0,0,IFERROR(VLOOKUP(IF(F13="","Deutschland",F13),PauschTab,2,FALSE),0))</f>
      </c>
      <c r="AH13" s="1">
        <f>IF(AD13=0,0,IFERROR(VLOOKUP(IF(F13="","Deutschland",F13),PauschTab,3,FALSE),0))</f>
      </c>
      <c r="AI13" s="1">
        <f>IF(AD13=0,0,IFERROR(VLOOKUP(IF(F13="","Deutschland",F13),PauschTab,4,FALSE),0))</f>
      </c>
      <c r="AJ13" s="1">
        <f>IF(OR(AD13=0,AF13&lt;&gt;""),0,IF(AND(W13=1,V13&gt;0),IF(OR(T13=1,U13=1),AH13,AG13),IF(OR(W13=1,V13&gt;0),AH13,IF(AA13=1,IF(AND(AE13+AQ13&gt;480,AE13&gt;=AQ13),AH13,0),IF(Z13=1,IF(AND(AR13+AE13&gt;480,AE13&gt;AR13),AH13,0),IF(AE13&gt;480,AH13,0))))))</f>
      </c>
      <c r="AK13" s="1">
        <f>MIN(AJ13,AM13)</f>
      </c>
      <c r="AL13" s="1">
        <f>IF(OR(AD13=0,AF13&lt;&gt;""),"",IF(AND(W13=0,V13=0,AA13=0,Z13=0,AE13&lt;=480),"nicht mehr als 8 Std.; ","")&amp;IF(AA13=1,IF(AJ13&gt;0,"über Mitternacht, zusammen "&amp;TEXT((AE13+AQ13)/1440,"[h]:mm")&amp;" Std.; ",IF(AE13+AQ13&gt;480,"über Mitternacht: Pauschale am Folgetag; ","über Mitternacht, zusammen nicht mehr als 8 Std.; ")),"")&amp;IF(Z13=1,IF(AJ13&gt;0,"über Mitternacht, zusammen "&amp;TEXT((AR13+AE13)/1440,"[h]:mm")&amp;" Std.; ",IF(AR13+AE13&gt;480,"über Mitternacht: Pauschale am Vortag; ","über Mitternacht, zusammen nicht mehr als 8 Std.; ")),"")&amp;IF(AND(W13=1,V13&gt;0,OR(T13=1,U13=1)),"zwischendurch zu Hause: An- und Abreisetag; ","")&amp;IF(AND(W13=1,V13=0,T13=1),"Beginn leer lassen: unterwegs seit dem Vortag; ","")&amp;IF(AND(W13=0,V13&gt;0,U13=1),"Ende leer lassen: Übernachtung; ","")&amp;IF(AND(AJ13&gt;0,AM13&gt;AJ13),"Kürzung auf die Pauschale begrenzt; ",""))</f>
      </c>
      <c r="AM13" s="1">
        <f>ROUND(AG13*(IF(H13&lt;&gt;"",0.2,0)+IF(I13&lt;&gt;"",0.4,0)+IF(J13&lt;&gt;"",0.4,0)),2)</f>
      </c>
      <c r="AN13" s="1">
        <f>IF($A14="",'Juli'!$T$5,T14)</f>
      </c>
      <c r="AO13" s="1">
        <f>IF($A14="",'Juli'!$U$5,U14)</f>
      </c>
      <c r="AP13" s="1">
        <f>IF($A14="",'Juli'!$V$5,V14)</f>
      </c>
      <c r="AQ13" s="1">
        <f>IF($A14="",'Juli'!$AE$5,AE14)</f>
      </c>
      <c r="AR13" s="1">
        <f>AE12</f>
      </c>
      <c r="AS13" s="1">
        <f>X12</f>
      </c>
      <c r="AT13" s="1">
        <f>U12</f>
      </c>
      <c r="AU13" s="1">
        <f>V12</f>
      </c>
    </row>
    <row r="14" spans="1:47" x14ac:dyDescent="0.25">
      <c r="A14" s="17">
        <f>IF(MONTH(DATE(Jahr,6,10))=6,DATE(Jahr,6,10),"")</f>
      </c>
      <c r="B14" s="13">
        <f>IF(A14="","",CHOOSE(WEEKDAY(A14,2),"Mo","Di","Mi","Do","Fr","Sa","So"))</f>
      </c>
      <c r="C14" s="18"/>
      <c r="D14" s="18"/>
      <c r="E14" s="7"/>
      <c r="F14" s="7"/>
      <c r="G14" s="7"/>
      <c r="H14" s="19"/>
      <c r="I14" s="19"/>
      <c r="J14" s="19"/>
      <c r="K14" s="9"/>
      <c r="L14" s="20">
        <f>IF(OR(AD14=0,AF14&lt;&gt;"",AND(W14=1,V14&gt;0,OR(T14=1,U14=1))),"",AE14/1440)</f>
      </c>
      <c r="M14" s="21">
        <f>IF(OR(AD14=0,AF14&lt;&gt;""),"",AJ14)</f>
      </c>
      <c r="N14" s="21">
        <f>IF(AK14=0,"",AK14)</f>
      </c>
      <c r="O14" s="21">
        <f>IF(OR(AD14=0,AF14&lt;&gt;""),"",AJ14-AK14)</f>
      </c>
      <c r="P14" s="21">
        <f>IF(AND(AD14=1,AF14="",V14=2),AI14,"")</f>
      </c>
      <c r="Q14" s="21">
        <f>IF(OR($A14="",N(K14)=0),"",ROUND(K14*KmSatz,2))</f>
      </c>
      <c r="R14" s="22">
        <f>IF(AF14&amp;AL14="","",LEFT(AF14&amp;AL14,LEN(AF14&amp;AL14)-2))</f>
      </c>
      <c r="S14" s="1"/>
      <c r="T14" s="1">
        <f>IF(AND($A14&lt;&gt;"",ISNUMBER(C14)),1,0)</f>
      </c>
      <c r="U14" s="1">
        <f>IF(AND($A14&lt;&gt;"",ISNUMBER(D14)),1,0)</f>
      </c>
      <c r="V14" s="1">
        <f>IF($A14="",0,IF(E14="ja",1,IF(E14="Pauschale",2,0)))</f>
      </c>
      <c r="W14" s="1">
        <f>IF($A14="",0,IF(AU14&gt;0,1,0))</f>
      </c>
      <c r="X14" s="1">
        <f>IF(AND(T14=1,W14=0),1,0)</f>
      </c>
      <c r="Y14" s="1">
        <f>IF(AND(AS14=1,AT14=0,AU14=0),1,0)</f>
      </c>
      <c r="Z14" s="1">
        <f>IF(AND(Y14=1,T14=0,U14=1,V14=0),1,0)</f>
      </c>
      <c r="AA14" s="1">
        <f>IF(AND(X14=1,U14=0,V14=0,AN14=0,AO14=1,AP14=0),1,0)</f>
      </c>
      <c r="AB14" s="1">
        <f>IF(OR(W14=1,Z14=1),0,IF(T14=1,C14,0))</f>
      </c>
      <c r="AC14" s="1">
        <f>IF(OR(V14&gt;0,AA14=1),1,IF(U14=1,D14,1))</f>
      </c>
      <c r="AD14" s="1">
        <f>IF($A14="",0,IF(OR(T14=1,U14=1,V14&gt;0,W14=1),1,0))</f>
      </c>
      <c r="AE14" s="1">
        <f>IF(AD14=0,0,ROUND((AC14-AB14)*1440,0))</f>
      </c>
      <c r="AF14" s="1">
        <f>IF(AD14=0,"",IF(AND(F14&lt;&gt;"",ISNA(MATCH(F14,PauschLand,0))),"Land nicht in der Liste; ","")&amp;IF(AND(T14=0,W14=0,Z14=0),"Beginn fehlt; ","")&amp;IF(AND(V14=0,U14=0,AA14=0),"Ende fehlt; ","")&amp;IF(AND(X14=1,U14=1,V14=0,N(D14)&lt;N(C14)),"Ende vor Beginn (über Mitternacht: Ende in die Zeile des Folgetags); ",""))</f>
      </c>
      <c r="AG14" s="1">
        <f>IF(AD14=0,0,IFERROR(VLOOKUP(IF(F14="","Deutschland",F14),PauschTab,2,FALSE),0))</f>
      </c>
      <c r="AH14" s="1">
        <f>IF(AD14=0,0,IFERROR(VLOOKUP(IF(F14="","Deutschland",F14),PauschTab,3,FALSE),0))</f>
      </c>
      <c r="AI14" s="1">
        <f>IF(AD14=0,0,IFERROR(VLOOKUP(IF(F14="","Deutschland",F14),PauschTab,4,FALSE),0))</f>
      </c>
      <c r="AJ14" s="1">
        <f>IF(OR(AD14=0,AF14&lt;&gt;""),0,IF(AND(W14=1,V14&gt;0),IF(OR(T14=1,U14=1),AH14,AG14),IF(OR(W14=1,V14&gt;0),AH14,IF(AA14=1,IF(AND(AE14+AQ14&gt;480,AE14&gt;=AQ14),AH14,0),IF(Z14=1,IF(AND(AR14+AE14&gt;480,AE14&gt;AR14),AH14,0),IF(AE14&gt;480,AH14,0))))))</f>
      </c>
      <c r="AK14" s="1">
        <f>MIN(AJ14,AM14)</f>
      </c>
      <c r="AL14" s="1">
        <f>IF(OR(AD14=0,AF14&lt;&gt;""),"",IF(AND(W14=0,V14=0,AA14=0,Z14=0,AE14&lt;=480),"nicht mehr als 8 Std.; ","")&amp;IF(AA14=1,IF(AJ14&gt;0,"über Mitternacht, zusammen "&amp;TEXT((AE14+AQ14)/1440,"[h]:mm")&amp;" Std.; ",IF(AE14+AQ14&gt;480,"über Mitternacht: Pauschale am Folgetag; ","über Mitternacht, zusammen nicht mehr als 8 Std.; ")),"")&amp;IF(Z14=1,IF(AJ14&gt;0,"über Mitternacht, zusammen "&amp;TEXT((AR14+AE14)/1440,"[h]:mm")&amp;" Std.; ",IF(AR14+AE14&gt;480,"über Mitternacht: Pauschale am Vortag; ","über Mitternacht, zusammen nicht mehr als 8 Std.; ")),"")&amp;IF(AND(W14=1,V14&gt;0,OR(T14=1,U14=1)),"zwischendurch zu Hause: An- und Abreisetag; ","")&amp;IF(AND(W14=1,V14=0,T14=1),"Beginn leer lassen: unterwegs seit dem Vortag; ","")&amp;IF(AND(W14=0,V14&gt;0,U14=1),"Ende leer lassen: Übernachtung; ","")&amp;IF(AND(AJ14&gt;0,AM14&gt;AJ14),"Kürzung auf die Pauschale begrenzt; ",""))</f>
      </c>
      <c r="AM14" s="1">
        <f>ROUND(AG14*(IF(H14&lt;&gt;"",0.2,0)+IF(I14&lt;&gt;"",0.4,0)+IF(J14&lt;&gt;"",0.4,0)),2)</f>
      </c>
      <c r="AN14" s="1">
        <f>IF($A15="",'Juli'!$T$5,T15)</f>
      </c>
      <c r="AO14" s="1">
        <f>IF($A15="",'Juli'!$U$5,U15)</f>
      </c>
      <c r="AP14" s="1">
        <f>IF($A15="",'Juli'!$V$5,V15)</f>
      </c>
      <c r="AQ14" s="1">
        <f>IF($A15="",'Juli'!$AE$5,AE15)</f>
      </c>
      <c r="AR14" s="1">
        <f>AE13</f>
      </c>
      <c r="AS14" s="1">
        <f>X13</f>
      </c>
      <c r="AT14" s="1">
        <f>U13</f>
      </c>
      <c r="AU14" s="1">
        <f>V13</f>
      </c>
    </row>
    <row r="15" spans="1:47" x14ac:dyDescent="0.25">
      <c r="A15" s="17">
        <f>IF(MONTH(DATE(Jahr,6,11))=6,DATE(Jahr,6,11),"")</f>
      </c>
      <c r="B15" s="13">
        <f>IF(A15="","",CHOOSE(WEEKDAY(A15,2),"Mo","Di","Mi","Do","Fr","Sa","So"))</f>
      </c>
      <c r="C15" s="18"/>
      <c r="D15" s="18"/>
      <c r="E15" s="7"/>
      <c r="F15" s="7"/>
      <c r="G15" s="7"/>
      <c r="H15" s="19"/>
      <c r="I15" s="19"/>
      <c r="J15" s="19"/>
      <c r="K15" s="9"/>
      <c r="L15" s="20">
        <f>IF(OR(AD15=0,AF15&lt;&gt;"",AND(W15=1,V15&gt;0,OR(T15=1,U15=1))),"",AE15/1440)</f>
      </c>
      <c r="M15" s="21">
        <f>IF(OR(AD15=0,AF15&lt;&gt;""),"",AJ15)</f>
      </c>
      <c r="N15" s="21">
        <f>IF(AK15=0,"",AK15)</f>
      </c>
      <c r="O15" s="21">
        <f>IF(OR(AD15=0,AF15&lt;&gt;""),"",AJ15-AK15)</f>
      </c>
      <c r="P15" s="21">
        <f>IF(AND(AD15=1,AF15="",V15=2),AI15,"")</f>
      </c>
      <c r="Q15" s="21">
        <f>IF(OR($A15="",N(K15)=0),"",ROUND(K15*KmSatz,2))</f>
      </c>
      <c r="R15" s="22">
        <f>IF(AF15&amp;AL15="","",LEFT(AF15&amp;AL15,LEN(AF15&amp;AL15)-2))</f>
      </c>
      <c r="S15" s="1"/>
      <c r="T15" s="1">
        <f>IF(AND($A15&lt;&gt;"",ISNUMBER(C15)),1,0)</f>
      </c>
      <c r="U15" s="1">
        <f>IF(AND($A15&lt;&gt;"",ISNUMBER(D15)),1,0)</f>
      </c>
      <c r="V15" s="1">
        <f>IF($A15="",0,IF(E15="ja",1,IF(E15="Pauschale",2,0)))</f>
      </c>
      <c r="W15" s="1">
        <f>IF($A15="",0,IF(AU15&gt;0,1,0))</f>
      </c>
      <c r="X15" s="1">
        <f>IF(AND(T15=1,W15=0),1,0)</f>
      </c>
      <c r="Y15" s="1">
        <f>IF(AND(AS15=1,AT15=0,AU15=0),1,0)</f>
      </c>
      <c r="Z15" s="1">
        <f>IF(AND(Y15=1,T15=0,U15=1,V15=0),1,0)</f>
      </c>
      <c r="AA15" s="1">
        <f>IF(AND(X15=1,U15=0,V15=0,AN15=0,AO15=1,AP15=0),1,0)</f>
      </c>
      <c r="AB15" s="1">
        <f>IF(OR(W15=1,Z15=1),0,IF(T15=1,C15,0))</f>
      </c>
      <c r="AC15" s="1">
        <f>IF(OR(V15&gt;0,AA15=1),1,IF(U15=1,D15,1))</f>
      </c>
      <c r="AD15" s="1">
        <f>IF($A15="",0,IF(OR(T15=1,U15=1,V15&gt;0,W15=1),1,0))</f>
      </c>
      <c r="AE15" s="1">
        <f>IF(AD15=0,0,ROUND((AC15-AB15)*1440,0))</f>
      </c>
      <c r="AF15" s="1">
        <f>IF(AD15=0,"",IF(AND(F15&lt;&gt;"",ISNA(MATCH(F15,PauschLand,0))),"Land nicht in der Liste; ","")&amp;IF(AND(T15=0,W15=0,Z15=0),"Beginn fehlt; ","")&amp;IF(AND(V15=0,U15=0,AA15=0),"Ende fehlt; ","")&amp;IF(AND(X15=1,U15=1,V15=0,N(D15)&lt;N(C15)),"Ende vor Beginn (über Mitternacht: Ende in die Zeile des Folgetags); ",""))</f>
      </c>
      <c r="AG15" s="1">
        <f>IF(AD15=0,0,IFERROR(VLOOKUP(IF(F15="","Deutschland",F15),PauschTab,2,FALSE),0))</f>
      </c>
      <c r="AH15" s="1">
        <f>IF(AD15=0,0,IFERROR(VLOOKUP(IF(F15="","Deutschland",F15),PauschTab,3,FALSE),0))</f>
      </c>
      <c r="AI15" s="1">
        <f>IF(AD15=0,0,IFERROR(VLOOKUP(IF(F15="","Deutschland",F15),PauschTab,4,FALSE),0))</f>
      </c>
      <c r="AJ15" s="1">
        <f>IF(OR(AD15=0,AF15&lt;&gt;""),0,IF(AND(W15=1,V15&gt;0),IF(OR(T15=1,U15=1),AH15,AG15),IF(OR(W15=1,V15&gt;0),AH15,IF(AA15=1,IF(AND(AE15+AQ15&gt;480,AE15&gt;=AQ15),AH15,0),IF(Z15=1,IF(AND(AR15+AE15&gt;480,AE15&gt;AR15),AH15,0),IF(AE15&gt;480,AH15,0))))))</f>
      </c>
      <c r="AK15" s="1">
        <f>MIN(AJ15,AM15)</f>
      </c>
      <c r="AL15" s="1">
        <f>IF(OR(AD15=0,AF15&lt;&gt;""),"",IF(AND(W15=0,V15=0,AA15=0,Z15=0,AE15&lt;=480),"nicht mehr als 8 Std.; ","")&amp;IF(AA15=1,IF(AJ15&gt;0,"über Mitternacht, zusammen "&amp;TEXT((AE15+AQ15)/1440,"[h]:mm")&amp;" Std.; ",IF(AE15+AQ15&gt;480,"über Mitternacht: Pauschale am Folgetag; ","über Mitternacht, zusammen nicht mehr als 8 Std.; ")),"")&amp;IF(Z15=1,IF(AJ15&gt;0,"über Mitternacht, zusammen "&amp;TEXT((AR15+AE15)/1440,"[h]:mm")&amp;" Std.; ",IF(AR15+AE15&gt;480,"über Mitternacht: Pauschale am Vortag; ","über Mitternacht, zusammen nicht mehr als 8 Std.; ")),"")&amp;IF(AND(W15=1,V15&gt;0,OR(T15=1,U15=1)),"zwischendurch zu Hause: An- und Abreisetag; ","")&amp;IF(AND(W15=1,V15=0,T15=1),"Beginn leer lassen: unterwegs seit dem Vortag; ","")&amp;IF(AND(W15=0,V15&gt;0,U15=1),"Ende leer lassen: Übernachtung; ","")&amp;IF(AND(AJ15&gt;0,AM15&gt;AJ15),"Kürzung auf die Pauschale begrenzt; ",""))</f>
      </c>
      <c r="AM15" s="1">
        <f>ROUND(AG15*(IF(H15&lt;&gt;"",0.2,0)+IF(I15&lt;&gt;"",0.4,0)+IF(J15&lt;&gt;"",0.4,0)),2)</f>
      </c>
      <c r="AN15" s="1">
        <f>IF($A16="",'Juli'!$T$5,T16)</f>
      </c>
      <c r="AO15" s="1">
        <f>IF($A16="",'Juli'!$U$5,U16)</f>
      </c>
      <c r="AP15" s="1">
        <f>IF($A16="",'Juli'!$V$5,V16)</f>
      </c>
      <c r="AQ15" s="1">
        <f>IF($A16="",'Juli'!$AE$5,AE16)</f>
      </c>
      <c r="AR15" s="1">
        <f>AE14</f>
      </c>
      <c r="AS15" s="1">
        <f>X14</f>
      </c>
      <c r="AT15" s="1">
        <f>U14</f>
      </c>
      <c r="AU15" s="1">
        <f>V14</f>
      </c>
    </row>
    <row r="16" spans="1:47" x14ac:dyDescent="0.25">
      <c r="A16" s="17">
        <f>IF(MONTH(DATE(Jahr,6,12))=6,DATE(Jahr,6,12),"")</f>
      </c>
      <c r="B16" s="13">
        <f>IF(A16="","",CHOOSE(WEEKDAY(A16,2),"Mo","Di","Mi","Do","Fr","Sa","So"))</f>
      </c>
      <c r="C16" s="18"/>
      <c r="D16" s="18"/>
      <c r="E16" s="7"/>
      <c r="F16" s="7"/>
      <c r="G16" s="7"/>
      <c r="H16" s="19"/>
      <c r="I16" s="19"/>
      <c r="J16" s="19"/>
      <c r="K16" s="9"/>
      <c r="L16" s="20">
        <f>IF(OR(AD16=0,AF16&lt;&gt;"",AND(W16=1,V16&gt;0,OR(T16=1,U16=1))),"",AE16/1440)</f>
      </c>
      <c r="M16" s="21">
        <f>IF(OR(AD16=0,AF16&lt;&gt;""),"",AJ16)</f>
      </c>
      <c r="N16" s="21">
        <f>IF(AK16=0,"",AK16)</f>
      </c>
      <c r="O16" s="21">
        <f>IF(OR(AD16=0,AF16&lt;&gt;""),"",AJ16-AK16)</f>
      </c>
      <c r="P16" s="21">
        <f>IF(AND(AD16=1,AF16="",V16=2),AI16,"")</f>
      </c>
      <c r="Q16" s="21">
        <f>IF(OR($A16="",N(K16)=0),"",ROUND(K16*KmSatz,2))</f>
      </c>
      <c r="R16" s="22">
        <f>IF(AF16&amp;AL16="","",LEFT(AF16&amp;AL16,LEN(AF16&amp;AL16)-2))</f>
      </c>
      <c r="S16" s="1"/>
      <c r="T16" s="1">
        <f>IF(AND($A16&lt;&gt;"",ISNUMBER(C16)),1,0)</f>
      </c>
      <c r="U16" s="1">
        <f>IF(AND($A16&lt;&gt;"",ISNUMBER(D16)),1,0)</f>
      </c>
      <c r="V16" s="1">
        <f>IF($A16="",0,IF(E16="ja",1,IF(E16="Pauschale",2,0)))</f>
      </c>
      <c r="W16" s="1">
        <f>IF($A16="",0,IF(AU16&gt;0,1,0))</f>
      </c>
      <c r="X16" s="1">
        <f>IF(AND(T16=1,W16=0),1,0)</f>
      </c>
      <c r="Y16" s="1">
        <f>IF(AND(AS16=1,AT16=0,AU16=0),1,0)</f>
      </c>
      <c r="Z16" s="1">
        <f>IF(AND(Y16=1,T16=0,U16=1,V16=0),1,0)</f>
      </c>
      <c r="AA16" s="1">
        <f>IF(AND(X16=1,U16=0,V16=0,AN16=0,AO16=1,AP16=0),1,0)</f>
      </c>
      <c r="AB16" s="1">
        <f>IF(OR(W16=1,Z16=1),0,IF(T16=1,C16,0))</f>
      </c>
      <c r="AC16" s="1">
        <f>IF(OR(V16&gt;0,AA16=1),1,IF(U16=1,D16,1))</f>
      </c>
      <c r="AD16" s="1">
        <f>IF($A16="",0,IF(OR(T16=1,U16=1,V16&gt;0,W16=1),1,0))</f>
      </c>
      <c r="AE16" s="1">
        <f>IF(AD16=0,0,ROUND((AC16-AB16)*1440,0))</f>
      </c>
      <c r="AF16" s="1">
        <f>IF(AD16=0,"",IF(AND(F16&lt;&gt;"",ISNA(MATCH(F16,PauschLand,0))),"Land nicht in der Liste; ","")&amp;IF(AND(T16=0,W16=0,Z16=0),"Beginn fehlt; ","")&amp;IF(AND(V16=0,U16=0,AA16=0),"Ende fehlt; ","")&amp;IF(AND(X16=1,U16=1,V16=0,N(D16)&lt;N(C16)),"Ende vor Beginn (über Mitternacht: Ende in die Zeile des Folgetags); ",""))</f>
      </c>
      <c r="AG16" s="1">
        <f>IF(AD16=0,0,IFERROR(VLOOKUP(IF(F16="","Deutschland",F16),PauschTab,2,FALSE),0))</f>
      </c>
      <c r="AH16" s="1">
        <f>IF(AD16=0,0,IFERROR(VLOOKUP(IF(F16="","Deutschland",F16),PauschTab,3,FALSE),0))</f>
      </c>
      <c r="AI16" s="1">
        <f>IF(AD16=0,0,IFERROR(VLOOKUP(IF(F16="","Deutschland",F16),PauschTab,4,FALSE),0))</f>
      </c>
      <c r="AJ16" s="1">
        <f>IF(OR(AD16=0,AF16&lt;&gt;""),0,IF(AND(W16=1,V16&gt;0),IF(OR(T16=1,U16=1),AH16,AG16),IF(OR(W16=1,V16&gt;0),AH16,IF(AA16=1,IF(AND(AE16+AQ16&gt;480,AE16&gt;=AQ16),AH16,0),IF(Z16=1,IF(AND(AR16+AE16&gt;480,AE16&gt;AR16),AH16,0),IF(AE16&gt;480,AH16,0))))))</f>
      </c>
      <c r="AK16" s="1">
        <f>MIN(AJ16,AM16)</f>
      </c>
      <c r="AL16" s="1">
        <f>IF(OR(AD16=0,AF16&lt;&gt;""),"",IF(AND(W16=0,V16=0,AA16=0,Z16=0,AE16&lt;=480),"nicht mehr als 8 Std.; ","")&amp;IF(AA16=1,IF(AJ16&gt;0,"über Mitternacht, zusammen "&amp;TEXT((AE16+AQ16)/1440,"[h]:mm")&amp;" Std.; ",IF(AE16+AQ16&gt;480,"über Mitternacht: Pauschale am Folgetag; ","über Mitternacht, zusammen nicht mehr als 8 Std.; ")),"")&amp;IF(Z16=1,IF(AJ16&gt;0,"über Mitternacht, zusammen "&amp;TEXT((AR16+AE16)/1440,"[h]:mm")&amp;" Std.; ",IF(AR16+AE16&gt;480,"über Mitternacht: Pauschale am Vortag; ","über Mitternacht, zusammen nicht mehr als 8 Std.; ")),"")&amp;IF(AND(W16=1,V16&gt;0,OR(T16=1,U16=1)),"zwischendurch zu Hause: An- und Abreisetag; ","")&amp;IF(AND(W16=1,V16=0,T16=1),"Beginn leer lassen: unterwegs seit dem Vortag; ","")&amp;IF(AND(W16=0,V16&gt;0,U16=1),"Ende leer lassen: Übernachtung; ","")&amp;IF(AND(AJ16&gt;0,AM16&gt;AJ16),"Kürzung auf die Pauschale begrenzt; ",""))</f>
      </c>
      <c r="AM16" s="1">
        <f>ROUND(AG16*(IF(H16&lt;&gt;"",0.2,0)+IF(I16&lt;&gt;"",0.4,0)+IF(J16&lt;&gt;"",0.4,0)),2)</f>
      </c>
      <c r="AN16" s="1">
        <f>IF($A17="",'Juli'!$T$5,T17)</f>
      </c>
      <c r="AO16" s="1">
        <f>IF($A17="",'Juli'!$U$5,U17)</f>
      </c>
      <c r="AP16" s="1">
        <f>IF($A17="",'Juli'!$V$5,V17)</f>
      </c>
      <c r="AQ16" s="1">
        <f>IF($A17="",'Juli'!$AE$5,AE17)</f>
      </c>
      <c r="AR16" s="1">
        <f>AE15</f>
      </c>
      <c r="AS16" s="1">
        <f>X15</f>
      </c>
      <c r="AT16" s="1">
        <f>U15</f>
      </c>
      <c r="AU16" s="1">
        <f>V15</f>
      </c>
    </row>
    <row r="17" spans="1:47" x14ac:dyDescent="0.25">
      <c r="A17" s="17">
        <f>IF(MONTH(DATE(Jahr,6,13))=6,DATE(Jahr,6,13),"")</f>
      </c>
      <c r="B17" s="13">
        <f>IF(A17="","",CHOOSE(WEEKDAY(A17,2),"Mo","Di","Mi","Do","Fr","Sa","So"))</f>
      </c>
      <c r="C17" s="18"/>
      <c r="D17" s="18"/>
      <c r="E17" s="7"/>
      <c r="F17" s="7"/>
      <c r="G17" s="7"/>
      <c r="H17" s="19"/>
      <c r="I17" s="19"/>
      <c r="J17" s="19"/>
      <c r="K17" s="9"/>
      <c r="L17" s="20">
        <f>IF(OR(AD17=0,AF17&lt;&gt;"",AND(W17=1,V17&gt;0,OR(T17=1,U17=1))),"",AE17/1440)</f>
      </c>
      <c r="M17" s="21">
        <f>IF(OR(AD17=0,AF17&lt;&gt;""),"",AJ17)</f>
      </c>
      <c r="N17" s="21">
        <f>IF(AK17=0,"",AK17)</f>
      </c>
      <c r="O17" s="21">
        <f>IF(OR(AD17=0,AF17&lt;&gt;""),"",AJ17-AK17)</f>
      </c>
      <c r="P17" s="21">
        <f>IF(AND(AD17=1,AF17="",V17=2),AI17,"")</f>
      </c>
      <c r="Q17" s="21">
        <f>IF(OR($A17="",N(K17)=0),"",ROUND(K17*KmSatz,2))</f>
      </c>
      <c r="R17" s="22">
        <f>IF(AF17&amp;AL17="","",LEFT(AF17&amp;AL17,LEN(AF17&amp;AL17)-2))</f>
      </c>
      <c r="S17" s="1"/>
      <c r="T17" s="1">
        <f>IF(AND($A17&lt;&gt;"",ISNUMBER(C17)),1,0)</f>
      </c>
      <c r="U17" s="1">
        <f>IF(AND($A17&lt;&gt;"",ISNUMBER(D17)),1,0)</f>
      </c>
      <c r="V17" s="1">
        <f>IF($A17="",0,IF(E17="ja",1,IF(E17="Pauschale",2,0)))</f>
      </c>
      <c r="W17" s="1">
        <f>IF($A17="",0,IF(AU17&gt;0,1,0))</f>
      </c>
      <c r="X17" s="1">
        <f>IF(AND(T17=1,W17=0),1,0)</f>
      </c>
      <c r="Y17" s="1">
        <f>IF(AND(AS17=1,AT17=0,AU17=0),1,0)</f>
      </c>
      <c r="Z17" s="1">
        <f>IF(AND(Y17=1,T17=0,U17=1,V17=0),1,0)</f>
      </c>
      <c r="AA17" s="1">
        <f>IF(AND(X17=1,U17=0,V17=0,AN17=0,AO17=1,AP17=0),1,0)</f>
      </c>
      <c r="AB17" s="1">
        <f>IF(OR(W17=1,Z17=1),0,IF(T17=1,C17,0))</f>
      </c>
      <c r="AC17" s="1">
        <f>IF(OR(V17&gt;0,AA17=1),1,IF(U17=1,D17,1))</f>
      </c>
      <c r="AD17" s="1">
        <f>IF($A17="",0,IF(OR(T17=1,U17=1,V17&gt;0,W17=1),1,0))</f>
      </c>
      <c r="AE17" s="1">
        <f>IF(AD17=0,0,ROUND((AC17-AB17)*1440,0))</f>
      </c>
      <c r="AF17" s="1">
        <f>IF(AD17=0,"",IF(AND(F17&lt;&gt;"",ISNA(MATCH(F17,PauschLand,0))),"Land nicht in der Liste; ","")&amp;IF(AND(T17=0,W17=0,Z17=0),"Beginn fehlt; ","")&amp;IF(AND(V17=0,U17=0,AA17=0),"Ende fehlt; ","")&amp;IF(AND(X17=1,U17=1,V17=0,N(D17)&lt;N(C17)),"Ende vor Beginn (über Mitternacht: Ende in die Zeile des Folgetags); ",""))</f>
      </c>
      <c r="AG17" s="1">
        <f>IF(AD17=0,0,IFERROR(VLOOKUP(IF(F17="","Deutschland",F17),PauschTab,2,FALSE),0))</f>
      </c>
      <c r="AH17" s="1">
        <f>IF(AD17=0,0,IFERROR(VLOOKUP(IF(F17="","Deutschland",F17),PauschTab,3,FALSE),0))</f>
      </c>
      <c r="AI17" s="1">
        <f>IF(AD17=0,0,IFERROR(VLOOKUP(IF(F17="","Deutschland",F17),PauschTab,4,FALSE),0))</f>
      </c>
      <c r="AJ17" s="1">
        <f>IF(OR(AD17=0,AF17&lt;&gt;""),0,IF(AND(W17=1,V17&gt;0),IF(OR(T17=1,U17=1),AH17,AG17),IF(OR(W17=1,V17&gt;0),AH17,IF(AA17=1,IF(AND(AE17+AQ17&gt;480,AE17&gt;=AQ17),AH17,0),IF(Z17=1,IF(AND(AR17+AE17&gt;480,AE17&gt;AR17),AH17,0),IF(AE17&gt;480,AH17,0))))))</f>
      </c>
      <c r="AK17" s="1">
        <f>MIN(AJ17,AM17)</f>
      </c>
      <c r="AL17" s="1">
        <f>IF(OR(AD17=0,AF17&lt;&gt;""),"",IF(AND(W17=0,V17=0,AA17=0,Z17=0,AE17&lt;=480),"nicht mehr als 8 Std.; ","")&amp;IF(AA17=1,IF(AJ17&gt;0,"über Mitternacht, zusammen "&amp;TEXT((AE17+AQ17)/1440,"[h]:mm")&amp;" Std.; ",IF(AE17+AQ17&gt;480,"über Mitternacht: Pauschale am Folgetag; ","über Mitternacht, zusammen nicht mehr als 8 Std.; ")),"")&amp;IF(Z17=1,IF(AJ17&gt;0,"über Mitternacht, zusammen "&amp;TEXT((AR17+AE17)/1440,"[h]:mm")&amp;" Std.; ",IF(AR17+AE17&gt;480,"über Mitternacht: Pauschale am Vortag; ","über Mitternacht, zusammen nicht mehr als 8 Std.; ")),"")&amp;IF(AND(W17=1,V17&gt;0,OR(T17=1,U17=1)),"zwischendurch zu Hause: An- und Abreisetag; ","")&amp;IF(AND(W17=1,V17=0,T17=1),"Beginn leer lassen: unterwegs seit dem Vortag; ","")&amp;IF(AND(W17=0,V17&gt;0,U17=1),"Ende leer lassen: Übernachtung; ","")&amp;IF(AND(AJ17&gt;0,AM17&gt;AJ17),"Kürzung auf die Pauschale begrenzt; ",""))</f>
      </c>
      <c r="AM17" s="1">
        <f>ROUND(AG17*(IF(H17&lt;&gt;"",0.2,0)+IF(I17&lt;&gt;"",0.4,0)+IF(J17&lt;&gt;"",0.4,0)),2)</f>
      </c>
      <c r="AN17" s="1">
        <f>IF($A18="",'Juli'!$T$5,T18)</f>
      </c>
      <c r="AO17" s="1">
        <f>IF($A18="",'Juli'!$U$5,U18)</f>
      </c>
      <c r="AP17" s="1">
        <f>IF($A18="",'Juli'!$V$5,V18)</f>
      </c>
      <c r="AQ17" s="1">
        <f>IF($A18="",'Juli'!$AE$5,AE18)</f>
      </c>
      <c r="AR17" s="1">
        <f>AE16</f>
      </c>
      <c r="AS17" s="1">
        <f>X16</f>
      </c>
      <c r="AT17" s="1">
        <f>U16</f>
      </c>
      <c r="AU17" s="1">
        <f>V16</f>
      </c>
    </row>
    <row r="18" spans="1:47" x14ac:dyDescent="0.25">
      <c r="A18" s="17">
        <f>IF(MONTH(DATE(Jahr,6,14))=6,DATE(Jahr,6,14),"")</f>
      </c>
      <c r="B18" s="13">
        <f>IF(A18="","",CHOOSE(WEEKDAY(A18,2),"Mo","Di","Mi","Do","Fr","Sa","So"))</f>
      </c>
      <c r="C18" s="18"/>
      <c r="D18" s="18"/>
      <c r="E18" s="7"/>
      <c r="F18" s="7"/>
      <c r="G18" s="7"/>
      <c r="H18" s="19"/>
      <c r="I18" s="19"/>
      <c r="J18" s="19"/>
      <c r="K18" s="9"/>
      <c r="L18" s="20">
        <f>IF(OR(AD18=0,AF18&lt;&gt;"",AND(W18=1,V18&gt;0,OR(T18=1,U18=1))),"",AE18/1440)</f>
      </c>
      <c r="M18" s="21">
        <f>IF(OR(AD18=0,AF18&lt;&gt;""),"",AJ18)</f>
      </c>
      <c r="N18" s="21">
        <f>IF(AK18=0,"",AK18)</f>
      </c>
      <c r="O18" s="21">
        <f>IF(OR(AD18=0,AF18&lt;&gt;""),"",AJ18-AK18)</f>
      </c>
      <c r="P18" s="21">
        <f>IF(AND(AD18=1,AF18="",V18=2),AI18,"")</f>
      </c>
      <c r="Q18" s="21">
        <f>IF(OR($A18="",N(K18)=0),"",ROUND(K18*KmSatz,2))</f>
      </c>
      <c r="R18" s="22">
        <f>IF(AF18&amp;AL18="","",LEFT(AF18&amp;AL18,LEN(AF18&amp;AL18)-2))</f>
      </c>
      <c r="S18" s="1"/>
      <c r="T18" s="1">
        <f>IF(AND($A18&lt;&gt;"",ISNUMBER(C18)),1,0)</f>
      </c>
      <c r="U18" s="1">
        <f>IF(AND($A18&lt;&gt;"",ISNUMBER(D18)),1,0)</f>
      </c>
      <c r="V18" s="1">
        <f>IF($A18="",0,IF(E18="ja",1,IF(E18="Pauschale",2,0)))</f>
      </c>
      <c r="W18" s="1">
        <f>IF($A18="",0,IF(AU18&gt;0,1,0))</f>
      </c>
      <c r="X18" s="1">
        <f>IF(AND(T18=1,W18=0),1,0)</f>
      </c>
      <c r="Y18" s="1">
        <f>IF(AND(AS18=1,AT18=0,AU18=0),1,0)</f>
      </c>
      <c r="Z18" s="1">
        <f>IF(AND(Y18=1,T18=0,U18=1,V18=0),1,0)</f>
      </c>
      <c r="AA18" s="1">
        <f>IF(AND(X18=1,U18=0,V18=0,AN18=0,AO18=1,AP18=0),1,0)</f>
      </c>
      <c r="AB18" s="1">
        <f>IF(OR(W18=1,Z18=1),0,IF(T18=1,C18,0))</f>
      </c>
      <c r="AC18" s="1">
        <f>IF(OR(V18&gt;0,AA18=1),1,IF(U18=1,D18,1))</f>
      </c>
      <c r="AD18" s="1">
        <f>IF($A18="",0,IF(OR(T18=1,U18=1,V18&gt;0,W18=1),1,0))</f>
      </c>
      <c r="AE18" s="1">
        <f>IF(AD18=0,0,ROUND((AC18-AB18)*1440,0))</f>
      </c>
      <c r="AF18" s="1">
        <f>IF(AD18=0,"",IF(AND(F18&lt;&gt;"",ISNA(MATCH(F18,PauschLand,0))),"Land nicht in der Liste; ","")&amp;IF(AND(T18=0,W18=0,Z18=0),"Beginn fehlt; ","")&amp;IF(AND(V18=0,U18=0,AA18=0),"Ende fehlt; ","")&amp;IF(AND(X18=1,U18=1,V18=0,N(D18)&lt;N(C18)),"Ende vor Beginn (über Mitternacht: Ende in die Zeile des Folgetags); ",""))</f>
      </c>
      <c r="AG18" s="1">
        <f>IF(AD18=0,0,IFERROR(VLOOKUP(IF(F18="","Deutschland",F18),PauschTab,2,FALSE),0))</f>
      </c>
      <c r="AH18" s="1">
        <f>IF(AD18=0,0,IFERROR(VLOOKUP(IF(F18="","Deutschland",F18),PauschTab,3,FALSE),0))</f>
      </c>
      <c r="AI18" s="1">
        <f>IF(AD18=0,0,IFERROR(VLOOKUP(IF(F18="","Deutschland",F18),PauschTab,4,FALSE),0))</f>
      </c>
      <c r="AJ18" s="1">
        <f>IF(OR(AD18=0,AF18&lt;&gt;""),0,IF(AND(W18=1,V18&gt;0),IF(OR(T18=1,U18=1),AH18,AG18),IF(OR(W18=1,V18&gt;0),AH18,IF(AA18=1,IF(AND(AE18+AQ18&gt;480,AE18&gt;=AQ18),AH18,0),IF(Z18=1,IF(AND(AR18+AE18&gt;480,AE18&gt;AR18),AH18,0),IF(AE18&gt;480,AH18,0))))))</f>
      </c>
      <c r="AK18" s="1">
        <f>MIN(AJ18,AM18)</f>
      </c>
      <c r="AL18" s="1">
        <f>IF(OR(AD18=0,AF18&lt;&gt;""),"",IF(AND(W18=0,V18=0,AA18=0,Z18=0,AE18&lt;=480),"nicht mehr als 8 Std.; ","")&amp;IF(AA18=1,IF(AJ18&gt;0,"über Mitternacht, zusammen "&amp;TEXT((AE18+AQ18)/1440,"[h]:mm")&amp;" Std.; ",IF(AE18+AQ18&gt;480,"über Mitternacht: Pauschale am Folgetag; ","über Mitternacht, zusammen nicht mehr als 8 Std.; ")),"")&amp;IF(Z18=1,IF(AJ18&gt;0,"über Mitternacht, zusammen "&amp;TEXT((AR18+AE18)/1440,"[h]:mm")&amp;" Std.; ",IF(AR18+AE18&gt;480,"über Mitternacht: Pauschale am Vortag; ","über Mitternacht, zusammen nicht mehr als 8 Std.; ")),"")&amp;IF(AND(W18=1,V18&gt;0,OR(T18=1,U18=1)),"zwischendurch zu Hause: An- und Abreisetag; ","")&amp;IF(AND(W18=1,V18=0,T18=1),"Beginn leer lassen: unterwegs seit dem Vortag; ","")&amp;IF(AND(W18=0,V18&gt;0,U18=1),"Ende leer lassen: Übernachtung; ","")&amp;IF(AND(AJ18&gt;0,AM18&gt;AJ18),"Kürzung auf die Pauschale begrenzt; ",""))</f>
      </c>
      <c r="AM18" s="1">
        <f>ROUND(AG18*(IF(H18&lt;&gt;"",0.2,0)+IF(I18&lt;&gt;"",0.4,0)+IF(J18&lt;&gt;"",0.4,0)),2)</f>
      </c>
      <c r="AN18" s="1">
        <f>IF($A19="",'Juli'!$T$5,T19)</f>
      </c>
      <c r="AO18" s="1">
        <f>IF($A19="",'Juli'!$U$5,U19)</f>
      </c>
      <c r="AP18" s="1">
        <f>IF($A19="",'Juli'!$V$5,V19)</f>
      </c>
      <c r="AQ18" s="1">
        <f>IF($A19="",'Juli'!$AE$5,AE19)</f>
      </c>
      <c r="AR18" s="1">
        <f>AE17</f>
      </c>
      <c r="AS18" s="1">
        <f>X17</f>
      </c>
      <c r="AT18" s="1">
        <f>U17</f>
      </c>
      <c r="AU18" s="1">
        <f>V17</f>
      </c>
    </row>
    <row r="19" spans="1:47" x14ac:dyDescent="0.25">
      <c r="A19" s="17">
        <f>IF(MONTH(DATE(Jahr,6,15))=6,DATE(Jahr,6,15),"")</f>
      </c>
      <c r="B19" s="13">
        <f>IF(A19="","",CHOOSE(WEEKDAY(A19,2),"Mo","Di","Mi","Do","Fr","Sa","So"))</f>
      </c>
      <c r="C19" s="18"/>
      <c r="D19" s="18"/>
      <c r="E19" s="7"/>
      <c r="F19" s="7"/>
      <c r="G19" s="7"/>
      <c r="H19" s="19"/>
      <c r="I19" s="19"/>
      <c r="J19" s="19"/>
      <c r="K19" s="9"/>
      <c r="L19" s="20">
        <f>IF(OR(AD19=0,AF19&lt;&gt;"",AND(W19=1,V19&gt;0,OR(T19=1,U19=1))),"",AE19/1440)</f>
      </c>
      <c r="M19" s="21">
        <f>IF(OR(AD19=0,AF19&lt;&gt;""),"",AJ19)</f>
      </c>
      <c r="N19" s="21">
        <f>IF(AK19=0,"",AK19)</f>
      </c>
      <c r="O19" s="21">
        <f>IF(OR(AD19=0,AF19&lt;&gt;""),"",AJ19-AK19)</f>
      </c>
      <c r="P19" s="21">
        <f>IF(AND(AD19=1,AF19="",V19=2),AI19,"")</f>
      </c>
      <c r="Q19" s="21">
        <f>IF(OR($A19="",N(K19)=0),"",ROUND(K19*KmSatz,2))</f>
      </c>
      <c r="R19" s="22">
        <f>IF(AF19&amp;AL19="","",LEFT(AF19&amp;AL19,LEN(AF19&amp;AL19)-2))</f>
      </c>
      <c r="S19" s="1"/>
      <c r="T19" s="1">
        <f>IF(AND($A19&lt;&gt;"",ISNUMBER(C19)),1,0)</f>
      </c>
      <c r="U19" s="1">
        <f>IF(AND($A19&lt;&gt;"",ISNUMBER(D19)),1,0)</f>
      </c>
      <c r="V19" s="1">
        <f>IF($A19="",0,IF(E19="ja",1,IF(E19="Pauschale",2,0)))</f>
      </c>
      <c r="W19" s="1">
        <f>IF($A19="",0,IF(AU19&gt;0,1,0))</f>
      </c>
      <c r="X19" s="1">
        <f>IF(AND(T19=1,W19=0),1,0)</f>
      </c>
      <c r="Y19" s="1">
        <f>IF(AND(AS19=1,AT19=0,AU19=0),1,0)</f>
      </c>
      <c r="Z19" s="1">
        <f>IF(AND(Y19=1,T19=0,U19=1,V19=0),1,0)</f>
      </c>
      <c r="AA19" s="1">
        <f>IF(AND(X19=1,U19=0,V19=0,AN19=0,AO19=1,AP19=0),1,0)</f>
      </c>
      <c r="AB19" s="1">
        <f>IF(OR(W19=1,Z19=1),0,IF(T19=1,C19,0))</f>
      </c>
      <c r="AC19" s="1">
        <f>IF(OR(V19&gt;0,AA19=1),1,IF(U19=1,D19,1))</f>
      </c>
      <c r="AD19" s="1">
        <f>IF($A19="",0,IF(OR(T19=1,U19=1,V19&gt;0,W19=1),1,0))</f>
      </c>
      <c r="AE19" s="1">
        <f>IF(AD19=0,0,ROUND((AC19-AB19)*1440,0))</f>
      </c>
      <c r="AF19" s="1">
        <f>IF(AD19=0,"",IF(AND(F19&lt;&gt;"",ISNA(MATCH(F19,PauschLand,0))),"Land nicht in der Liste; ","")&amp;IF(AND(T19=0,W19=0,Z19=0),"Beginn fehlt; ","")&amp;IF(AND(V19=0,U19=0,AA19=0),"Ende fehlt; ","")&amp;IF(AND(X19=1,U19=1,V19=0,N(D19)&lt;N(C19)),"Ende vor Beginn (über Mitternacht: Ende in die Zeile des Folgetags); ",""))</f>
      </c>
      <c r="AG19" s="1">
        <f>IF(AD19=0,0,IFERROR(VLOOKUP(IF(F19="","Deutschland",F19),PauschTab,2,FALSE),0))</f>
      </c>
      <c r="AH19" s="1">
        <f>IF(AD19=0,0,IFERROR(VLOOKUP(IF(F19="","Deutschland",F19),PauschTab,3,FALSE),0))</f>
      </c>
      <c r="AI19" s="1">
        <f>IF(AD19=0,0,IFERROR(VLOOKUP(IF(F19="","Deutschland",F19),PauschTab,4,FALSE),0))</f>
      </c>
      <c r="AJ19" s="1">
        <f>IF(OR(AD19=0,AF19&lt;&gt;""),0,IF(AND(W19=1,V19&gt;0),IF(OR(T19=1,U19=1),AH19,AG19),IF(OR(W19=1,V19&gt;0),AH19,IF(AA19=1,IF(AND(AE19+AQ19&gt;480,AE19&gt;=AQ19),AH19,0),IF(Z19=1,IF(AND(AR19+AE19&gt;480,AE19&gt;AR19),AH19,0),IF(AE19&gt;480,AH19,0))))))</f>
      </c>
      <c r="AK19" s="1">
        <f>MIN(AJ19,AM19)</f>
      </c>
      <c r="AL19" s="1">
        <f>IF(OR(AD19=0,AF19&lt;&gt;""),"",IF(AND(W19=0,V19=0,AA19=0,Z19=0,AE19&lt;=480),"nicht mehr als 8 Std.; ","")&amp;IF(AA19=1,IF(AJ19&gt;0,"über Mitternacht, zusammen "&amp;TEXT((AE19+AQ19)/1440,"[h]:mm")&amp;" Std.; ",IF(AE19+AQ19&gt;480,"über Mitternacht: Pauschale am Folgetag; ","über Mitternacht, zusammen nicht mehr als 8 Std.; ")),"")&amp;IF(Z19=1,IF(AJ19&gt;0,"über Mitternacht, zusammen "&amp;TEXT((AR19+AE19)/1440,"[h]:mm")&amp;" Std.; ",IF(AR19+AE19&gt;480,"über Mitternacht: Pauschale am Vortag; ","über Mitternacht, zusammen nicht mehr als 8 Std.; ")),"")&amp;IF(AND(W19=1,V19&gt;0,OR(T19=1,U19=1)),"zwischendurch zu Hause: An- und Abreisetag; ","")&amp;IF(AND(W19=1,V19=0,T19=1),"Beginn leer lassen: unterwegs seit dem Vortag; ","")&amp;IF(AND(W19=0,V19&gt;0,U19=1),"Ende leer lassen: Übernachtung; ","")&amp;IF(AND(AJ19&gt;0,AM19&gt;AJ19),"Kürzung auf die Pauschale begrenzt; ",""))</f>
      </c>
      <c r="AM19" s="1">
        <f>ROUND(AG19*(IF(H19&lt;&gt;"",0.2,0)+IF(I19&lt;&gt;"",0.4,0)+IF(J19&lt;&gt;"",0.4,0)),2)</f>
      </c>
      <c r="AN19" s="1">
        <f>IF($A20="",'Juli'!$T$5,T20)</f>
      </c>
      <c r="AO19" s="1">
        <f>IF($A20="",'Juli'!$U$5,U20)</f>
      </c>
      <c r="AP19" s="1">
        <f>IF($A20="",'Juli'!$V$5,V20)</f>
      </c>
      <c r="AQ19" s="1">
        <f>IF($A20="",'Juli'!$AE$5,AE20)</f>
      </c>
      <c r="AR19" s="1">
        <f>AE18</f>
      </c>
      <c r="AS19" s="1">
        <f>X18</f>
      </c>
      <c r="AT19" s="1">
        <f>U18</f>
      </c>
      <c r="AU19" s="1">
        <f>V18</f>
      </c>
    </row>
    <row r="20" spans="1:47" x14ac:dyDescent="0.25">
      <c r="A20" s="17">
        <f>IF(MONTH(DATE(Jahr,6,16))=6,DATE(Jahr,6,16),"")</f>
      </c>
      <c r="B20" s="13">
        <f>IF(A20="","",CHOOSE(WEEKDAY(A20,2),"Mo","Di","Mi","Do","Fr","Sa","So"))</f>
      </c>
      <c r="C20" s="18"/>
      <c r="D20" s="18"/>
      <c r="E20" s="7"/>
      <c r="F20" s="7"/>
      <c r="G20" s="7"/>
      <c r="H20" s="19"/>
      <c r="I20" s="19"/>
      <c r="J20" s="19"/>
      <c r="K20" s="9"/>
      <c r="L20" s="20">
        <f>IF(OR(AD20=0,AF20&lt;&gt;"",AND(W20=1,V20&gt;0,OR(T20=1,U20=1))),"",AE20/1440)</f>
      </c>
      <c r="M20" s="21">
        <f>IF(OR(AD20=0,AF20&lt;&gt;""),"",AJ20)</f>
      </c>
      <c r="N20" s="21">
        <f>IF(AK20=0,"",AK20)</f>
      </c>
      <c r="O20" s="21">
        <f>IF(OR(AD20=0,AF20&lt;&gt;""),"",AJ20-AK20)</f>
      </c>
      <c r="P20" s="21">
        <f>IF(AND(AD20=1,AF20="",V20=2),AI20,"")</f>
      </c>
      <c r="Q20" s="21">
        <f>IF(OR($A20="",N(K20)=0),"",ROUND(K20*KmSatz,2))</f>
      </c>
      <c r="R20" s="22">
        <f>IF(AF20&amp;AL20="","",LEFT(AF20&amp;AL20,LEN(AF20&amp;AL20)-2))</f>
      </c>
      <c r="S20" s="1"/>
      <c r="T20" s="1">
        <f>IF(AND($A20&lt;&gt;"",ISNUMBER(C20)),1,0)</f>
      </c>
      <c r="U20" s="1">
        <f>IF(AND($A20&lt;&gt;"",ISNUMBER(D20)),1,0)</f>
      </c>
      <c r="V20" s="1">
        <f>IF($A20="",0,IF(E20="ja",1,IF(E20="Pauschale",2,0)))</f>
      </c>
      <c r="W20" s="1">
        <f>IF($A20="",0,IF(AU20&gt;0,1,0))</f>
      </c>
      <c r="X20" s="1">
        <f>IF(AND(T20=1,W20=0),1,0)</f>
      </c>
      <c r="Y20" s="1">
        <f>IF(AND(AS20=1,AT20=0,AU20=0),1,0)</f>
      </c>
      <c r="Z20" s="1">
        <f>IF(AND(Y20=1,T20=0,U20=1,V20=0),1,0)</f>
      </c>
      <c r="AA20" s="1">
        <f>IF(AND(X20=1,U20=0,V20=0,AN20=0,AO20=1,AP20=0),1,0)</f>
      </c>
      <c r="AB20" s="1">
        <f>IF(OR(W20=1,Z20=1),0,IF(T20=1,C20,0))</f>
      </c>
      <c r="AC20" s="1">
        <f>IF(OR(V20&gt;0,AA20=1),1,IF(U20=1,D20,1))</f>
      </c>
      <c r="AD20" s="1">
        <f>IF($A20="",0,IF(OR(T20=1,U20=1,V20&gt;0,W20=1),1,0))</f>
      </c>
      <c r="AE20" s="1">
        <f>IF(AD20=0,0,ROUND((AC20-AB20)*1440,0))</f>
      </c>
      <c r="AF20" s="1">
        <f>IF(AD20=0,"",IF(AND(F20&lt;&gt;"",ISNA(MATCH(F20,PauschLand,0))),"Land nicht in der Liste; ","")&amp;IF(AND(T20=0,W20=0,Z20=0),"Beginn fehlt; ","")&amp;IF(AND(V20=0,U20=0,AA20=0),"Ende fehlt; ","")&amp;IF(AND(X20=1,U20=1,V20=0,N(D20)&lt;N(C20)),"Ende vor Beginn (über Mitternacht: Ende in die Zeile des Folgetags); ",""))</f>
      </c>
      <c r="AG20" s="1">
        <f>IF(AD20=0,0,IFERROR(VLOOKUP(IF(F20="","Deutschland",F20),PauschTab,2,FALSE),0))</f>
      </c>
      <c r="AH20" s="1">
        <f>IF(AD20=0,0,IFERROR(VLOOKUP(IF(F20="","Deutschland",F20),PauschTab,3,FALSE),0))</f>
      </c>
      <c r="AI20" s="1">
        <f>IF(AD20=0,0,IFERROR(VLOOKUP(IF(F20="","Deutschland",F20),PauschTab,4,FALSE),0))</f>
      </c>
      <c r="AJ20" s="1">
        <f>IF(OR(AD20=0,AF20&lt;&gt;""),0,IF(AND(W20=1,V20&gt;0),IF(OR(T20=1,U20=1),AH20,AG20),IF(OR(W20=1,V20&gt;0),AH20,IF(AA20=1,IF(AND(AE20+AQ20&gt;480,AE20&gt;=AQ20),AH20,0),IF(Z20=1,IF(AND(AR20+AE20&gt;480,AE20&gt;AR20),AH20,0),IF(AE20&gt;480,AH20,0))))))</f>
      </c>
      <c r="AK20" s="1">
        <f>MIN(AJ20,AM20)</f>
      </c>
      <c r="AL20" s="1">
        <f>IF(OR(AD20=0,AF20&lt;&gt;""),"",IF(AND(W20=0,V20=0,AA20=0,Z20=0,AE20&lt;=480),"nicht mehr als 8 Std.; ","")&amp;IF(AA20=1,IF(AJ20&gt;0,"über Mitternacht, zusammen "&amp;TEXT((AE20+AQ20)/1440,"[h]:mm")&amp;" Std.; ",IF(AE20+AQ20&gt;480,"über Mitternacht: Pauschale am Folgetag; ","über Mitternacht, zusammen nicht mehr als 8 Std.; ")),"")&amp;IF(Z20=1,IF(AJ20&gt;0,"über Mitternacht, zusammen "&amp;TEXT((AR20+AE20)/1440,"[h]:mm")&amp;" Std.; ",IF(AR20+AE20&gt;480,"über Mitternacht: Pauschale am Vortag; ","über Mitternacht, zusammen nicht mehr als 8 Std.; ")),"")&amp;IF(AND(W20=1,V20&gt;0,OR(T20=1,U20=1)),"zwischendurch zu Hause: An- und Abreisetag; ","")&amp;IF(AND(W20=1,V20=0,T20=1),"Beginn leer lassen: unterwegs seit dem Vortag; ","")&amp;IF(AND(W20=0,V20&gt;0,U20=1),"Ende leer lassen: Übernachtung; ","")&amp;IF(AND(AJ20&gt;0,AM20&gt;AJ20),"Kürzung auf die Pauschale begrenzt; ",""))</f>
      </c>
      <c r="AM20" s="1">
        <f>ROUND(AG20*(IF(H20&lt;&gt;"",0.2,0)+IF(I20&lt;&gt;"",0.4,0)+IF(J20&lt;&gt;"",0.4,0)),2)</f>
      </c>
      <c r="AN20" s="1">
        <f>IF($A21="",'Juli'!$T$5,T21)</f>
      </c>
      <c r="AO20" s="1">
        <f>IF($A21="",'Juli'!$U$5,U21)</f>
      </c>
      <c r="AP20" s="1">
        <f>IF($A21="",'Juli'!$V$5,V21)</f>
      </c>
      <c r="AQ20" s="1">
        <f>IF($A21="",'Juli'!$AE$5,AE21)</f>
      </c>
      <c r="AR20" s="1">
        <f>AE19</f>
      </c>
      <c r="AS20" s="1">
        <f>X19</f>
      </c>
      <c r="AT20" s="1">
        <f>U19</f>
      </c>
      <c r="AU20" s="1">
        <f>V19</f>
      </c>
    </row>
    <row r="21" spans="1:47" x14ac:dyDescent="0.25">
      <c r="A21" s="17">
        <f>IF(MONTH(DATE(Jahr,6,17))=6,DATE(Jahr,6,17),"")</f>
      </c>
      <c r="B21" s="13">
        <f>IF(A21="","",CHOOSE(WEEKDAY(A21,2),"Mo","Di","Mi","Do","Fr","Sa","So"))</f>
      </c>
      <c r="C21" s="18"/>
      <c r="D21" s="18"/>
      <c r="E21" s="7"/>
      <c r="F21" s="7"/>
      <c r="G21" s="7"/>
      <c r="H21" s="19"/>
      <c r="I21" s="19"/>
      <c r="J21" s="19"/>
      <c r="K21" s="9"/>
      <c r="L21" s="20">
        <f>IF(OR(AD21=0,AF21&lt;&gt;"",AND(W21=1,V21&gt;0,OR(T21=1,U21=1))),"",AE21/1440)</f>
      </c>
      <c r="M21" s="21">
        <f>IF(OR(AD21=0,AF21&lt;&gt;""),"",AJ21)</f>
      </c>
      <c r="N21" s="21">
        <f>IF(AK21=0,"",AK21)</f>
      </c>
      <c r="O21" s="21">
        <f>IF(OR(AD21=0,AF21&lt;&gt;""),"",AJ21-AK21)</f>
      </c>
      <c r="P21" s="21">
        <f>IF(AND(AD21=1,AF21="",V21=2),AI21,"")</f>
      </c>
      <c r="Q21" s="21">
        <f>IF(OR($A21="",N(K21)=0),"",ROUND(K21*KmSatz,2))</f>
      </c>
      <c r="R21" s="22">
        <f>IF(AF21&amp;AL21="","",LEFT(AF21&amp;AL21,LEN(AF21&amp;AL21)-2))</f>
      </c>
      <c r="S21" s="1"/>
      <c r="T21" s="1">
        <f>IF(AND($A21&lt;&gt;"",ISNUMBER(C21)),1,0)</f>
      </c>
      <c r="U21" s="1">
        <f>IF(AND($A21&lt;&gt;"",ISNUMBER(D21)),1,0)</f>
      </c>
      <c r="V21" s="1">
        <f>IF($A21="",0,IF(E21="ja",1,IF(E21="Pauschale",2,0)))</f>
      </c>
      <c r="W21" s="1">
        <f>IF($A21="",0,IF(AU21&gt;0,1,0))</f>
      </c>
      <c r="X21" s="1">
        <f>IF(AND(T21=1,W21=0),1,0)</f>
      </c>
      <c r="Y21" s="1">
        <f>IF(AND(AS21=1,AT21=0,AU21=0),1,0)</f>
      </c>
      <c r="Z21" s="1">
        <f>IF(AND(Y21=1,T21=0,U21=1,V21=0),1,0)</f>
      </c>
      <c r="AA21" s="1">
        <f>IF(AND(X21=1,U21=0,V21=0,AN21=0,AO21=1,AP21=0),1,0)</f>
      </c>
      <c r="AB21" s="1">
        <f>IF(OR(W21=1,Z21=1),0,IF(T21=1,C21,0))</f>
      </c>
      <c r="AC21" s="1">
        <f>IF(OR(V21&gt;0,AA21=1),1,IF(U21=1,D21,1))</f>
      </c>
      <c r="AD21" s="1">
        <f>IF($A21="",0,IF(OR(T21=1,U21=1,V21&gt;0,W21=1),1,0))</f>
      </c>
      <c r="AE21" s="1">
        <f>IF(AD21=0,0,ROUND((AC21-AB21)*1440,0))</f>
      </c>
      <c r="AF21" s="1">
        <f>IF(AD21=0,"",IF(AND(F21&lt;&gt;"",ISNA(MATCH(F21,PauschLand,0))),"Land nicht in der Liste; ","")&amp;IF(AND(T21=0,W21=0,Z21=0),"Beginn fehlt; ","")&amp;IF(AND(V21=0,U21=0,AA21=0),"Ende fehlt; ","")&amp;IF(AND(X21=1,U21=1,V21=0,N(D21)&lt;N(C21)),"Ende vor Beginn (über Mitternacht: Ende in die Zeile des Folgetags); ",""))</f>
      </c>
      <c r="AG21" s="1">
        <f>IF(AD21=0,0,IFERROR(VLOOKUP(IF(F21="","Deutschland",F21),PauschTab,2,FALSE),0))</f>
      </c>
      <c r="AH21" s="1">
        <f>IF(AD21=0,0,IFERROR(VLOOKUP(IF(F21="","Deutschland",F21),PauschTab,3,FALSE),0))</f>
      </c>
      <c r="AI21" s="1">
        <f>IF(AD21=0,0,IFERROR(VLOOKUP(IF(F21="","Deutschland",F21),PauschTab,4,FALSE),0))</f>
      </c>
      <c r="AJ21" s="1">
        <f>IF(OR(AD21=0,AF21&lt;&gt;""),0,IF(AND(W21=1,V21&gt;0),IF(OR(T21=1,U21=1),AH21,AG21),IF(OR(W21=1,V21&gt;0),AH21,IF(AA21=1,IF(AND(AE21+AQ21&gt;480,AE21&gt;=AQ21),AH21,0),IF(Z21=1,IF(AND(AR21+AE21&gt;480,AE21&gt;AR21),AH21,0),IF(AE21&gt;480,AH21,0))))))</f>
      </c>
      <c r="AK21" s="1">
        <f>MIN(AJ21,AM21)</f>
      </c>
      <c r="AL21" s="1">
        <f>IF(OR(AD21=0,AF21&lt;&gt;""),"",IF(AND(W21=0,V21=0,AA21=0,Z21=0,AE21&lt;=480),"nicht mehr als 8 Std.; ","")&amp;IF(AA21=1,IF(AJ21&gt;0,"über Mitternacht, zusammen "&amp;TEXT((AE21+AQ21)/1440,"[h]:mm")&amp;" Std.; ",IF(AE21+AQ21&gt;480,"über Mitternacht: Pauschale am Folgetag; ","über Mitternacht, zusammen nicht mehr als 8 Std.; ")),"")&amp;IF(Z21=1,IF(AJ21&gt;0,"über Mitternacht, zusammen "&amp;TEXT((AR21+AE21)/1440,"[h]:mm")&amp;" Std.; ",IF(AR21+AE21&gt;480,"über Mitternacht: Pauschale am Vortag; ","über Mitternacht, zusammen nicht mehr als 8 Std.; ")),"")&amp;IF(AND(W21=1,V21&gt;0,OR(T21=1,U21=1)),"zwischendurch zu Hause: An- und Abreisetag; ","")&amp;IF(AND(W21=1,V21=0,T21=1),"Beginn leer lassen: unterwegs seit dem Vortag; ","")&amp;IF(AND(W21=0,V21&gt;0,U21=1),"Ende leer lassen: Übernachtung; ","")&amp;IF(AND(AJ21&gt;0,AM21&gt;AJ21),"Kürzung auf die Pauschale begrenzt; ",""))</f>
      </c>
      <c r="AM21" s="1">
        <f>ROUND(AG21*(IF(H21&lt;&gt;"",0.2,0)+IF(I21&lt;&gt;"",0.4,0)+IF(J21&lt;&gt;"",0.4,0)),2)</f>
      </c>
      <c r="AN21" s="1">
        <f>IF($A22="",'Juli'!$T$5,T22)</f>
      </c>
      <c r="AO21" s="1">
        <f>IF($A22="",'Juli'!$U$5,U22)</f>
      </c>
      <c r="AP21" s="1">
        <f>IF($A22="",'Juli'!$V$5,V22)</f>
      </c>
      <c r="AQ21" s="1">
        <f>IF($A22="",'Juli'!$AE$5,AE22)</f>
      </c>
      <c r="AR21" s="1">
        <f>AE20</f>
      </c>
      <c r="AS21" s="1">
        <f>X20</f>
      </c>
      <c r="AT21" s="1">
        <f>U20</f>
      </c>
      <c r="AU21" s="1">
        <f>V20</f>
      </c>
    </row>
    <row r="22" spans="1:47" x14ac:dyDescent="0.25">
      <c r="A22" s="17">
        <f>IF(MONTH(DATE(Jahr,6,18))=6,DATE(Jahr,6,18),"")</f>
      </c>
      <c r="B22" s="13">
        <f>IF(A22="","",CHOOSE(WEEKDAY(A22,2),"Mo","Di","Mi","Do","Fr","Sa","So"))</f>
      </c>
      <c r="C22" s="18"/>
      <c r="D22" s="18"/>
      <c r="E22" s="7"/>
      <c r="F22" s="7"/>
      <c r="G22" s="7"/>
      <c r="H22" s="19"/>
      <c r="I22" s="19"/>
      <c r="J22" s="19"/>
      <c r="K22" s="9"/>
      <c r="L22" s="20">
        <f>IF(OR(AD22=0,AF22&lt;&gt;"",AND(W22=1,V22&gt;0,OR(T22=1,U22=1))),"",AE22/1440)</f>
      </c>
      <c r="M22" s="21">
        <f>IF(OR(AD22=0,AF22&lt;&gt;""),"",AJ22)</f>
      </c>
      <c r="N22" s="21">
        <f>IF(AK22=0,"",AK22)</f>
      </c>
      <c r="O22" s="21">
        <f>IF(OR(AD22=0,AF22&lt;&gt;""),"",AJ22-AK22)</f>
      </c>
      <c r="P22" s="21">
        <f>IF(AND(AD22=1,AF22="",V22=2),AI22,"")</f>
      </c>
      <c r="Q22" s="21">
        <f>IF(OR($A22="",N(K22)=0),"",ROUND(K22*KmSatz,2))</f>
      </c>
      <c r="R22" s="22">
        <f>IF(AF22&amp;AL22="","",LEFT(AF22&amp;AL22,LEN(AF22&amp;AL22)-2))</f>
      </c>
      <c r="S22" s="1"/>
      <c r="T22" s="1">
        <f>IF(AND($A22&lt;&gt;"",ISNUMBER(C22)),1,0)</f>
      </c>
      <c r="U22" s="1">
        <f>IF(AND($A22&lt;&gt;"",ISNUMBER(D22)),1,0)</f>
      </c>
      <c r="V22" s="1">
        <f>IF($A22="",0,IF(E22="ja",1,IF(E22="Pauschale",2,0)))</f>
      </c>
      <c r="W22" s="1">
        <f>IF($A22="",0,IF(AU22&gt;0,1,0))</f>
      </c>
      <c r="X22" s="1">
        <f>IF(AND(T22=1,W22=0),1,0)</f>
      </c>
      <c r="Y22" s="1">
        <f>IF(AND(AS22=1,AT22=0,AU22=0),1,0)</f>
      </c>
      <c r="Z22" s="1">
        <f>IF(AND(Y22=1,T22=0,U22=1,V22=0),1,0)</f>
      </c>
      <c r="AA22" s="1">
        <f>IF(AND(X22=1,U22=0,V22=0,AN22=0,AO22=1,AP22=0),1,0)</f>
      </c>
      <c r="AB22" s="1">
        <f>IF(OR(W22=1,Z22=1),0,IF(T22=1,C22,0))</f>
      </c>
      <c r="AC22" s="1">
        <f>IF(OR(V22&gt;0,AA22=1),1,IF(U22=1,D22,1))</f>
      </c>
      <c r="AD22" s="1">
        <f>IF($A22="",0,IF(OR(T22=1,U22=1,V22&gt;0,W22=1),1,0))</f>
      </c>
      <c r="AE22" s="1">
        <f>IF(AD22=0,0,ROUND((AC22-AB22)*1440,0))</f>
      </c>
      <c r="AF22" s="1">
        <f>IF(AD22=0,"",IF(AND(F22&lt;&gt;"",ISNA(MATCH(F22,PauschLand,0))),"Land nicht in der Liste; ","")&amp;IF(AND(T22=0,W22=0,Z22=0),"Beginn fehlt; ","")&amp;IF(AND(V22=0,U22=0,AA22=0),"Ende fehlt; ","")&amp;IF(AND(X22=1,U22=1,V22=0,N(D22)&lt;N(C22)),"Ende vor Beginn (über Mitternacht: Ende in die Zeile des Folgetags); ",""))</f>
      </c>
      <c r="AG22" s="1">
        <f>IF(AD22=0,0,IFERROR(VLOOKUP(IF(F22="","Deutschland",F22),PauschTab,2,FALSE),0))</f>
      </c>
      <c r="AH22" s="1">
        <f>IF(AD22=0,0,IFERROR(VLOOKUP(IF(F22="","Deutschland",F22),PauschTab,3,FALSE),0))</f>
      </c>
      <c r="AI22" s="1">
        <f>IF(AD22=0,0,IFERROR(VLOOKUP(IF(F22="","Deutschland",F22),PauschTab,4,FALSE),0))</f>
      </c>
      <c r="AJ22" s="1">
        <f>IF(OR(AD22=0,AF22&lt;&gt;""),0,IF(AND(W22=1,V22&gt;0),IF(OR(T22=1,U22=1),AH22,AG22),IF(OR(W22=1,V22&gt;0),AH22,IF(AA22=1,IF(AND(AE22+AQ22&gt;480,AE22&gt;=AQ22),AH22,0),IF(Z22=1,IF(AND(AR22+AE22&gt;480,AE22&gt;AR22),AH22,0),IF(AE22&gt;480,AH22,0))))))</f>
      </c>
      <c r="AK22" s="1">
        <f>MIN(AJ22,AM22)</f>
      </c>
      <c r="AL22" s="1">
        <f>IF(OR(AD22=0,AF22&lt;&gt;""),"",IF(AND(W22=0,V22=0,AA22=0,Z22=0,AE22&lt;=480),"nicht mehr als 8 Std.; ","")&amp;IF(AA22=1,IF(AJ22&gt;0,"über Mitternacht, zusammen "&amp;TEXT((AE22+AQ22)/1440,"[h]:mm")&amp;" Std.; ",IF(AE22+AQ22&gt;480,"über Mitternacht: Pauschale am Folgetag; ","über Mitternacht, zusammen nicht mehr als 8 Std.; ")),"")&amp;IF(Z22=1,IF(AJ22&gt;0,"über Mitternacht, zusammen "&amp;TEXT((AR22+AE22)/1440,"[h]:mm")&amp;" Std.; ",IF(AR22+AE22&gt;480,"über Mitternacht: Pauschale am Vortag; ","über Mitternacht, zusammen nicht mehr als 8 Std.; ")),"")&amp;IF(AND(W22=1,V22&gt;0,OR(T22=1,U22=1)),"zwischendurch zu Hause: An- und Abreisetag; ","")&amp;IF(AND(W22=1,V22=0,T22=1),"Beginn leer lassen: unterwegs seit dem Vortag; ","")&amp;IF(AND(W22=0,V22&gt;0,U22=1),"Ende leer lassen: Übernachtung; ","")&amp;IF(AND(AJ22&gt;0,AM22&gt;AJ22),"Kürzung auf die Pauschale begrenzt; ",""))</f>
      </c>
      <c r="AM22" s="1">
        <f>ROUND(AG22*(IF(H22&lt;&gt;"",0.2,0)+IF(I22&lt;&gt;"",0.4,0)+IF(J22&lt;&gt;"",0.4,0)),2)</f>
      </c>
      <c r="AN22" s="1">
        <f>IF($A23="",'Juli'!$T$5,T23)</f>
      </c>
      <c r="AO22" s="1">
        <f>IF($A23="",'Juli'!$U$5,U23)</f>
      </c>
      <c r="AP22" s="1">
        <f>IF($A23="",'Juli'!$V$5,V23)</f>
      </c>
      <c r="AQ22" s="1">
        <f>IF($A23="",'Juli'!$AE$5,AE23)</f>
      </c>
      <c r="AR22" s="1">
        <f>AE21</f>
      </c>
      <c r="AS22" s="1">
        <f>X21</f>
      </c>
      <c r="AT22" s="1">
        <f>U21</f>
      </c>
      <c r="AU22" s="1">
        <f>V21</f>
      </c>
    </row>
    <row r="23" spans="1:47" x14ac:dyDescent="0.25">
      <c r="A23" s="17">
        <f>IF(MONTH(DATE(Jahr,6,19))=6,DATE(Jahr,6,19),"")</f>
      </c>
      <c r="B23" s="13">
        <f>IF(A23="","",CHOOSE(WEEKDAY(A23,2),"Mo","Di","Mi","Do","Fr","Sa","So"))</f>
      </c>
      <c r="C23" s="18"/>
      <c r="D23" s="18"/>
      <c r="E23" s="7"/>
      <c r="F23" s="7"/>
      <c r="G23" s="7"/>
      <c r="H23" s="19"/>
      <c r="I23" s="19"/>
      <c r="J23" s="19"/>
      <c r="K23" s="9"/>
      <c r="L23" s="20">
        <f>IF(OR(AD23=0,AF23&lt;&gt;"",AND(W23=1,V23&gt;0,OR(T23=1,U23=1))),"",AE23/1440)</f>
      </c>
      <c r="M23" s="21">
        <f>IF(OR(AD23=0,AF23&lt;&gt;""),"",AJ23)</f>
      </c>
      <c r="N23" s="21">
        <f>IF(AK23=0,"",AK23)</f>
      </c>
      <c r="O23" s="21">
        <f>IF(OR(AD23=0,AF23&lt;&gt;""),"",AJ23-AK23)</f>
      </c>
      <c r="P23" s="21">
        <f>IF(AND(AD23=1,AF23="",V23=2),AI23,"")</f>
      </c>
      <c r="Q23" s="21">
        <f>IF(OR($A23="",N(K23)=0),"",ROUND(K23*KmSatz,2))</f>
      </c>
      <c r="R23" s="22">
        <f>IF(AF23&amp;AL23="","",LEFT(AF23&amp;AL23,LEN(AF23&amp;AL23)-2))</f>
      </c>
      <c r="S23" s="1"/>
      <c r="T23" s="1">
        <f>IF(AND($A23&lt;&gt;"",ISNUMBER(C23)),1,0)</f>
      </c>
      <c r="U23" s="1">
        <f>IF(AND($A23&lt;&gt;"",ISNUMBER(D23)),1,0)</f>
      </c>
      <c r="V23" s="1">
        <f>IF($A23="",0,IF(E23="ja",1,IF(E23="Pauschale",2,0)))</f>
      </c>
      <c r="W23" s="1">
        <f>IF($A23="",0,IF(AU23&gt;0,1,0))</f>
      </c>
      <c r="X23" s="1">
        <f>IF(AND(T23=1,W23=0),1,0)</f>
      </c>
      <c r="Y23" s="1">
        <f>IF(AND(AS23=1,AT23=0,AU23=0),1,0)</f>
      </c>
      <c r="Z23" s="1">
        <f>IF(AND(Y23=1,T23=0,U23=1,V23=0),1,0)</f>
      </c>
      <c r="AA23" s="1">
        <f>IF(AND(X23=1,U23=0,V23=0,AN23=0,AO23=1,AP23=0),1,0)</f>
      </c>
      <c r="AB23" s="1">
        <f>IF(OR(W23=1,Z23=1),0,IF(T23=1,C23,0))</f>
      </c>
      <c r="AC23" s="1">
        <f>IF(OR(V23&gt;0,AA23=1),1,IF(U23=1,D23,1))</f>
      </c>
      <c r="AD23" s="1">
        <f>IF($A23="",0,IF(OR(T23=1,U23=1,V23&gt;0,W23=1),1,0))</f>
      </c>
      <c r="AE23" s="1">
        <f>IF(AD23=0,0,ROUND((AC23-AB23)*1440,0))</f>
      </c>
      <c r="AF23" s="1">
        <f>IF(AD23=0,"",IF(AND(F23&lt;&gt;"",ISNA(MATCH(F23,PauschLand,0))),"Land nicht in der Liste; ","")&amp;IF(AND(T23=0,W23=0,Z23=0),"Beginn fehlt; ","")&amp;IF(AND(V23=0,U23=0,AA23=0),"Ende fehlt; ","")&amp;IF(AND(X23=1,U23=1,V23=0,N(D23)&lt;N(C23)),"Ende vor Beginn (über Mitternacht: Ende in die Zeile des Folgetags); ",""))</f>
      </c>
      <c r="AG23" s="1">
        <f>IF(AD23=0,0,IFERROR(VLOOKUP(IF(F23="","Deutschland",F23),PauschTab,2,FALSE),0))</f>
      </c>
      <c r="AH23" s="1">
        <f>IF(AD23=0,0,IFERROR(VLOOKUP(IF(F23="","Deutschland",F23),PauschTab,3,FALSE),0))</f>
      </c>
      <c r="AI23" s="1">
        <f>IF(AD23=0,0,IFERROR(VLOOKUP(IF(F23="","Deutschland",F23),PauschTab,4,FALSE),0))</f>
      </c>
      <c r="AJ23" s="1">
        <f>IF(OR(AD23=0,AF23&lt;&gt;""),0,IF(AND(W23=1,V23&gt;0),IF(OR(T23=1,U23=1),AH23,AG23),IF(OR(W23=1,V23&gt;0),AH23,IF(AA23=1,IF(AND(AE23+AQ23&gt;480,AE23&gt;=AQ23),AH23,0),IF(Z23=1,IF(AND(AR23+AE23&gt;480,AE23&gt;AR23),AH23,0),IF(AE23&gt;480,AH23,0))))))</f>
      </c>
      <c r="AK23" s="1">
        <f>MIN(AJ23,AM23)</f>
      </c>
      <c r="AL23" s="1">
        <f>IF(OR(AD23=0,AF23&lt;&gt;""),"",IF(AND(W23=0,V23=0,AA23=0,Z23=0,AE23&lt;=480),"nicht mehr als 8 Std.; ","")&amp;IF(AA23=1,IF(AJ23&gt;0,"über Mitternacht, zusammen "&amp;TEXT((AE23+AQ23)/1440,"[h]:mm")&amp;" Std.; ",IF(AE23+AQ23&gt;480,"über Mitternacht: Pauschale am Folgetag; ","über Mitternacht, zusammen nicht mehr als 8 Std.; ")),"")&amp;IF(Z23=1,IF(AJ23&gt;0,"über Mitternacht, zusammen "&amp;TEXT((AR23+AE23)/1440,"[h]:mm")&amp;" Std.; ",IF(AR23+AE23&gt;480,"über Mitternacht: Pauschale am Vortag; ","über Mitternacht, zusammen nicht mehr als 8 Std.; ")),"")&amp;IF(AND(W23=1,V23&gt;0,OR(T23=1,U23=1)),"zwischendurch zu Hause: An- und Abreisetag; ","")&amp;IF(AND(W23=1,V23=0,T23=1),"Beginn leer lassen: unterwegs seit dem Vortag; ","")&amp;IF(AND(W23=0,V23&gt;0,U23=1),"Ende leer lassen: Übernachtung; ","")&amp;IF(AND(AJ23&gt;0,AM23&gt;AJ23),"Kürzung auf die Pauschale begrenzt; ",""))</f>
      </c>
      <c r="AM23" s="1">
        <f>ROUND(AG23*(IF(H23&lt;&gt;"",0.2,0)+IF(I23&lt;&gt;"",0.4,0)+IF(J23&lt;&gt;"",0.4,0)),2)</f>
      </c>
      <c r="AN23" s="1">
        <f>IF($A24="",'Juli'!$T$5,T24)</f>
      </c>
      <c r="AO23" s="1">
        <f>IF($A24="",'Juli'!$U$5,U24)</f>
      </c>
      <c r="AP23" s="1">
        <f>IF($A24="",'Juli'!$V$5,V24)</f>
      </c>
      <c r="AQ23" s="1">
        <f>IF($A24="",'Juli'!$AE$5,AE24)</f>
      </c>
      <c r="AR23" s="1">
        <f>AE22</f>
      </c>
      <c r="AS23" s="1">
        <f>X22</f>
      </c>
      <c r="AT23" s="1">
        <f>U22</f>
      </c>
      <c r="AU23" s="1">
        <f>V22</f>
      </c>
    </row>
    <row r="24" spans="1:47" x14ac:dyDescent="0.25">
      <c r="A24" s="17">
        <f>IF(MONTH(DATE(Jahr,6,20))=6,DATE(Jahr,6,20),"")</f>
      </c>
      <c r="B24" s="13">
        <f>IF(A24="","",CHOOSE(WEEKDAY(A24,2),"Mo","Di","Mi","Do","Fr","Sa","So"))</f>
      </c>
      <c r="C24" s="18"/>
      <c r="D24" s="18"/>
      <c r="E24" s="7"/>
      <c r="F24" s="7"/>
      <c r="G24" s="7"/>
      <c r="H24" s="19"/>
      <c r="I24" s="19"/>
      <c r="J24" s="19"/>
      <c r="K24" s="9"/>
      <c r="L24" s="20">
        <f>IF(OR(AD24=0,AF24&lt;&gt;"",AND(W24=1,V24&gt;0,OR(T24=1,U24=1))),"",AE24/1440)</f>
      </c>
      <c r="M24" s="21">
        <f>IF(OR(AD24=0,AF24&lt;&gt;""),"",AJ24)</f>
      </c>
      <c r="N24" s="21">
        <f>IF(AK24=0,"",AK24)</f>
      </c>
      <c r="O24" s="21">
        <f>IF(OR(AD24=0,AF24&lt;&gt;""),"",AJ24-AK24)</f>
      </c>
      <c r="P24" s="21">
        <f>IF(AND(AD24=1,AF24="",V24=2),AI24,"")</f>
      </c>
      <c r="Q24" s="21">
        <f>IF(OR($A24="",N(K24)=0),"",ROUND(K24*KmSatz,2))</f>
      </c>
      <c r="R24" s="22">
        <f>IF(AF24&amp;AL24="","",LEFT(AF24&amp;AL24,LEN(AF24&amp;AL24)-2))</f>
      </c>
      <c r="S24" s="1"/>
      <c r="T24" s="1">
        <f>IF(AND($A24&lt;&gt;"",ISNUMBER(C24)),1,0)</f>
      </c>
      <c r="U24" s="1">
        <f>IF(AND($A24&lt;&gt;"",ISNUMBER(D24)),1,0)</f>
      </c>
      <c r="V24" s="1">
        <f>IF($A24="",0,IF(E24="ja",1,IF(E24="Pauschale",2,0)))</f>
      </c>
      <c r="W24" s="1">
        <f>IF($A24="",0,IF(AU24&gt;0,1,0))</f>
      </c>
      <c r="X24" s="1">
        <f>IF(AND(T24=1,W24=0),1,0)</f>
      </c>
      <c r="Y24" s="1">
        <f>IF(AND(AS24=1,AT24=0,AU24=0),1,0)</f>
      </c>
      <c r="Z24" s="1">
        <f>IF(AND(Y24=1,T24=0,U24=1,V24=0),1,0)</f>
      </c>
      <c r="AA24" s="1">
        <f>IF(AND(X24=1,U24=0,V24=0,AN24=0,AO24=1,AP24=0),1,0)</f>
      </c>
      <c r="AB24" s="1">
        <f>IF(OR(W24=1,Z24=1),0,IF(T24=1,C24,0))</f>
      </c>
      <c r="AC24" s="1">
        <f>IF(OR(V24&gt;0,AA24=1),1,IF(U24=1,D24,1))</f>
      </c>
      <c r="AD24" s="1">
        <f>IF($A24="",0,IF(OR(T24=1,U24=1,V24&gt;0,W24=1),1,0))</f>
      </c>
      <c r="AE24" s="1">
        <f>IF(AD24=0,0,ROUND((AC24-AB24)*1440,0))</f>
      </c>
      <c r="AF24" s="1">
        <f>IF(AD24=0,"",IF(AND(F24&lt;&gt;"",ISNA(MATCH(F24,PauschLand,0))),"Land nicht in der Liste; ","")&amp;IF(AND(T24=0,W24=0,Z24=0),"Beginn fehlt; ","")&amp;IF(AND(V24=0,U24=0,AA24=0),"Ende fehlt; ","")&amp;IF(AND(X24=1,U24=1,V24=0,N(D24)&lt;N(C24)),"Ende vor Beginn (über Mitternacht: Ende in die Zeile des Folgetags); ",""))</f>
      </c>
      <c r="AG24" s="1">
        <f>IF(AD24=0,0,IFERROR(VLOOKUP(IF(F24="","Deutschland",F24),PauschTab,2,FALSE),0))</f>
      </c>
      <c r="AH24" s="1">
        <f>IF(AD24=0,0,IFERROR(VLOOKUP(IF(F24="","Deutschland",F24),PauschTab,3,FALSE),0))</f>
      </c>
      <c r="AI24" s="1">
        <f>IF(AD24=0,0,IFERROR(VLOOKUP(IF(F24="","Deutschland",F24),PauschTab,4,FALSE),0))</f>
      </c>
      <c r="AJ24" s="1">
        <f>IF(OR(AD24=0,AF24&lt;&gt;""),0,IF(AND(W24=1,V24&gt;0),IF(OR(T24=1,U24=1),AH24,AG24),IF(OR(W24=1,V24&gt;0),AH24,IF(AA24=1,IF(AND(AE24+AQ24&gt;480,AE24&gt;=AQ24),AH24,0),IF(Z24=1,IF(AND(AR24+AE24&gt;480,AE24&gt;AR24),AH24,0),IF(AE24&gt;480,AH24,0))))))</f>
      </c>
      <c r="AK24" s="1">
        <f>MIN(AJ24,AM24)</f>
      </c>
      <c r="AL24" s="1">
        <f>IF(OR(AD24=0,AF24&lt;&gt;""),"",IF(AND(W24=0,V24=0,AA24=0,Z24=0,AE24&lt;=480),"nicht mehr als 8 Std.; ","")&amp;IF(AA24=1,IF(AJ24&gt;0,"über Mitternacht, zusammen "&amp;TEXT((AE24+AQ24)/1440,"[h]:mm")&amp;" Std.; ",IF(AE24+AQ24&gt;480,"über Mitternacht: Pauschale am Folgetag; ","über Mitternacht, zusammen nicht mehr als 8 Std.; ")),"")&amp;IF(Z24=1,IF(AJ24&gt;0,"über Mitternacht, zusammen "&amp;TEXT((AR24+AE24)/1440,"[h]:mm")&amp;" Std.; ",IF(AR24+AE24&gt;480,"über Mitternacht: Pauschale am Vortag; ","über Mitternacht, zusammen nicht mehr als 8 Std.; ")),"")&amp;IF(AND(W24=1,V24&gt;0,OR(T24=1,U24=1)),"zwischendurch zu Hause: An- und Abreisetag; ","")&amp;IF(AND(W24=1,V24=0,T24=1),"Beginn leer lassen: unterwegs seit dem Vortag; ","")&amp;IF(AND(W24=0,V24&gt;0,U24=1),"Ende leer lassen: Übernachtung; ","")&amp;IF(AND(AJ24&gt;0,AM24&gt;AJ24),"Kürzung auf die Pauschale begrenzt; ",""))</f>
      </c>
      <c r="AM24" s="1">
        <f>ROUND(AG24*(IF(H24&lt;&gt;"",0.2,0)+IF(I24&lt;&gt;"",0.4,0)+IF(J24&lt;&gt;"",0.4,0)),2)</f>
      </c>
      <c r="AN24" s="1">
        <f>IF($A25="",'Juli'!$T$5,T25)</f>
      </c>
      <c r="AO24" s="1">
        <f>IF($A25="",'Juli'!$U$5,U25)</f>
      </c>
      <c r="AP24" s="1">
        <f>IF($A25="",'Juli'!$V$5,V25)</f>
      </c>
      <c r="AQ24" s="1">
        <f>IF($A25="",'Juli'!$AE$5,AE25)</f>
      </c>
      <c r="AR24" s="1">
        <f>AE23</f>
      </c>
      <c r="AS24" s="1">
        <f>X23</f>
      </c>
      <c r="AT24" s="1">
        <f>U23</f>
      </c>
      <c r="AU24" s="1">
        <f>V23</f>
      </c>
    </row>
    <row r="25" spans="1:47" x14ac:dyDescent="0.25">
      <c r="A25" s="17">
        <f>IF(MONTH(DATE(Jahr,6,21))=6,DATE(Jahr,6,21),"")</f>
      </c>
      <c r="B25" s="13">
        <f>IF(A25="","",CHOOSE(WEEKDAY(A25,2),"Mo","Di","Mi","Do","Fr","Sa","So"))</f>
      </c>
      <c r="C25" s="18"/>
      <c r="D25" s="18"/>
      <c r="E25" s="7"/>
      <c r="F25" s="7"/>
      <c r="G25" s="7"/>
      <c r="H25" s="19"/>
      <c r="I25" s="19"/>
      <c r="J25" s="19"/>
      <c r="K25" s="9"/>
      <c r="L25" s="20">
        <f>IF(OR(AD25=0,AF25&lt;&gt;"",AND(W25=1,V25&gt;0,OR(T25=1,U25=1))),"",AE25/1440)</f>
      </c>
      <c r="M25" s="21">
        <f>IF(OR(AD25=0,AF25&lt;&gt;""),"",AJ25)</f>
      </c>
      <c r="N25" s="21">
        <f>IF(AK25=0,"",AK25)</f>
      </c>
      <c r="O25" s="21">
        <f>IF(OR(AD25=0,AF25&lt;&gt;""),"",AJ25-AK25)</f>
      </c>
      <c r="P25" s="21">
        <f>IF(AND(AD25=1,AF25="",V25=2),AI25,"")</f>
      </c>
      <c r="Q25" s="21">
        <f>IF(OR($A25="",N(K25)=0),"",ROUND(K25*KmSatz,2))</f>
      </c>
      <c r="R25" s="22">
        <f>IF(AF25&amp;AL25="","",LEFT(AF25&amp;AL25,LEN(AF25&amp;AL25)-2))</f>
      </c>
      <c r="S25" s="1"/>
      <c r="T25" s="1">
        <f>IF(AND($A25&lt;&gt;"",ISNUMBER(C25)),1,0)</f>
      </c>
      <c r="U25" s="1">
        <f>IF(AND($A25&lt;&gt;"",ISNUMBER(D25)),1,0)</f>
      </c>
      <c r="V25" s="1">
        <f>IF($A25="",0,IF(E25="ja",1,IF(E25="Pauschale",2,0)))</f>
      </c>
      <c r="W25" s="1">
        <f>IF($A25="",0,IF(AU25&gt;0,1,0))</f>
      </c>
      <c r="X25" s="1">
        <f>IF(AND(T25=1,W25=0),1,0)</f>
      </c>
      <c r="Y25" s="1">
        <f>IF(AND(AS25=1,AT25=0,AU25=0),1,0)</f>
      </c>
      <c r="Z25" s="1">
        <f>IF(AND(Y25=1,T25=0,U25=1,V25=0),1,0)</f>
      </c>
      <c r="AA25" s="1">
        <f>IF(AND(X25=1,U25=0,V25=0,AN25=0,AO25=1,AP25=0),1,0)</f>
      </c>
      <c r="AB25" s="1">
        <f>IF(OR(W25=1,Z25=1),0,IF(T25=1,C25,0))</f>
      </c>
      <c r="AC25" s="1">
        <f>IF(OR(V25&gt;0,AA25=1),1,IF(U25=1,D25,1))</f>
      </c>
      <c r="AD25" s="1">
        <f>IF($A25="",0,IF(OR(T25=1,U25=1,V25&gt;0,W25=1),1,0))</f>
      </c>
      <c r="AE25" s="1">
        <f>IF(AD25=0,0,ROUND((AC25-AB25)*1440,0))</f>
      </c>
      <c r="AF25" s="1">
        <f>IF(AD25=0,"",IF(AND(F25&lt;&gt;"",ISNA(MATCH(F25,PauschLand,0))),"Land nicht in der Liste; ","")&amp;IF(AND(T25=0,W25=0,Z25=0),"Beginn fehlt; ","")&amp;IF(AND(V25=0,U25=0,AA25=0),"Ende fehlt; ","")&amp;IF(AND(X25=1,U25=1,V25=0,N(D25)&lt;N(C25)),"Ende vor Beginn (über Mitternacht: Ende in die Zeile des Folgetags); ",""))</f>
      </c>
      <c r="AG25" s="1">
        <f>IF(AD25=0,0,IFERROR(VLOOKUP(IF(F25="","Deutschland",F25),PauschTab,2,FALSE),0))</f>
      </c>
      <c r="AH25" s="1">
        <f>IF(AD25=0,0,IFERROR(VLOOKUP(IF(F25="","Deutschland",F25),PauschTab,3,FALSE),0))</f>
      </c>
      <c r="AI25" s="1">
        <f>IF(AD25=0,0,IFERROR(VLOOKUP(IF(F25="","Deutschland",F25),PauschTab,4,FALSE),0))</f>
      </c>
      <c r="AJ25" s="1">
        <f>IF(OR(AD25=0,AF25&lt;&gt;""),0,IF(AND(W25=1,V25&gt;0),IF(OR(T25=1,U25=1),AH25,AG25),IF(OR(W25=1,V25&gt;0),AH25,IF(AA25=1,IF(AND(AE25+AQ25&gt;480,AE25&gt;=AQ25),AH25,0),IF(Z25=1,IF(AND(AR25+AE25&gt;480,AE25&gt;AR25),AH25,0),IF(AE25&gt;480,AH25,0))))))</f>
      </c>
      <c r="AK25" s="1">
        <f>MIN(AJ25,AM25)</f>
      </c>
      <c r="AL25" s="1">
        <f>IF(OR(AD25=0,AF25&lt;&gt;""),"",IF(AND(W25=0,V25=0,AA25=0,Z25=0,AE25&lt;=480),"nicht mehr als 8 Std.; ","")&amp;IF(AA25=1,IF(AJ25&gt;0,"über Mitternacht, zusammen "&amp;TEXT((AE25+AQ25)/1440,"[h]:mm")&amp;" Std.; ",IF(AE25+AQ25&gt;480,"über Mitternacht: Pauschale am Folgetag; ","über Mitternacht, zusammen nicht mehr als 8 Std.; ")),"")&amp;IF(Z25=1,IF(AJ25&gt;0,"über Mitternacht, zusammen "&amp;TEXT((AR25+AE25)/1440,"[h]:mm")&amp;" Std.; ",IF(AR25+AE25&gt;480,"über Mitternacht: Pauschale am Vortag; ","über Mitternacht, zusammen nicht mehr als 8 Std.; ")),"")&amp;IF(AND(W25=1,V25&gt;0,OR(T25=1,U25=1)),"zwischendurch zu Hause: An- und Abreisetag; ","")&amp;IF(AND(W25=1,V25=0,T25=1),"Beginn leer lassen: unterwegs seit dem Vortag; ","")&amp;IF(AND(W25=0,V25&gt;0,U25=1),"Ende leer lassen: Übernachtung; ","")&amp;IF(AND(AJ25&gt;0,AM25&gt;AJ25),"Kürzung auf die Pauschale begrenzt; ",""))</f>
      </c>
      <c r="AM25" s="1">
        <f>ROUND(AG25*(IF(H25&lt;&gt;"",0.2,0)+IF(I25&lt;&gt;"",0.4,0)+IF(J25&lt;&gt;"",0.4,0)),2)</f>
      </c>
      <c r="AN25" s="1">
        <f>IF($A26="",'Juli'!$T$5,T26)</f>
      </c>
      <c r="AO25" s="1">
        <f>IF($A26="",'Juli'!$U$5,U26)</f>
      </c>
      <c r="AP25" s="1">
        <f>IF($A26="",'Juli'!$V$5,V26)</f>
      </c>
      <c r="AQ25" s="1">
        <f>IF($A26="",'Juli'!$AE$5,AE26)</f>
      </c>
      <c r="AR25" s="1">
        <f>AE24</f>
      </c>
      <c r="AS25" s="1">
        <f>X24</f>
      </c>
      <c r="AT25" s="1">
        <f>U24</f>
      </c>
      <c r="AU25" s="1">
        <f>V24</f>
      </c>
    </row>
    <row r="26" spans="1:47" x14ac:dyDescent="0.25">
      <c r="A26" s="17">
        <f>IF(MONTH(DATE(Jahr,6,22))=6,DATE(Jahr,6,22),"")</f>
      </c>
      <c r="B26" s="13">
        <f>IF(A26="","",CHOOSE(WEEKDAY(A26,2),"Mo","Di","Mi","Do","Fr","Sa","So"))</f>
      </c>
      <c r="C26" s="18"/>
      <c r="D26" s="18"/>
      <c r="E26" s="7"/>
      <c r="F26" s="7"/>
      <c r="G26" s="7"/>
      <c r="H26" s="19"/>
      <c r="I26" s="19"/>
      <c r="J26" s="19"/>
      <c r="K26" s="9"/>
      <c r="L26" s="20">
        <f>IF(OR(AD26=0,AF26&lt;&gt;"",AND(W26=1,V26&gt;0,OR(T26=1,U26=1))),"",AE26/1440)</f>
      </c>
      <c r="M26" s="21">
        <f>IF(OR(AD26=0,AF26&lt;&gt;""),"",AJ26)</f>
      </c>
      <c r="N26" s="21">
        <f>IF(AK26=0,"",AK26)</f>
      </c>
      <c r="O26" s="21">
        <f>IF(OR(AD26=0,AF26&lt;&gt;""),"",AJ26-AK26)</f>
      </c>
      <c r="P26" s="21">
        <f>IF(AND(AD26=1,AF26="",V26=2),AI26,"")</f>
      </c>
      <c r="Q26" s="21">
        <f>IF(OR($A26="",N(K26)=0),"",ROUND(K26*KmSatz,2))</f>
      </c>
      <c r="R26" s="22">
        <f>IF(AF26&amp;AL26="","",LEFT(AF26&amp;AL26,LEN(AF26&amp;AL26)-2))</f>
      </c>
      <c r="S26" s="1"/>
      <c r="T26" s="1">
        <f>IF(AND($A26&lt;&gt;"",ISNUMBER(C26)),1,0)</f>
      </c>
      <c r="U26" s="1">
        <f>IF(AND($A26&lt;&gt;"",ISNUMBER(D26)),1,0)</f>
      </c>
      <c r="V26" s="1">
        <f>IF($A26="",0,IF(E26="ja",1,IF(E26="Pauschale",2,0)))</f>
      </c>
      <c r="W26" s="1">
        <f>IF($A26="",0,IF(AU26&gt;0,1,0))</f>
      </c>
      <c r="X26" s="1">
        <f>IF(AND(T26=1,W26=0),1,0)</f>
      </c>
      <c r="Y26" s="1">
        <f>IF(AND(AS26=1,AT26=0,AU26=0),1,0)</f>
      </c>
      <c r="Z26" s="1">
        <f>IF(AND(Y26=1,T26=0,U26=1,V26=0),1,0)</f>
      </c>
      <c r="AA26" s="1">
        <f>IF(AND(X26=1,U26=0,V26=0,AN26=0,AO26=1,AP26=0),1,0)</f>
      </c>
      <c r="AB26" s="1">
        <f>IF(OR(W26=1,Z26=1),0,IF(T26=1,C26,0))</f>
      </c>
      <c r="AC26" s="1">
        <f>IF(OR(V26&gt;0,AA26=1),1,IF(U26=1,D26,1))</f>
      </c>
      <c r="AD26" s="1">
        <f>IF($A26="",0,IF(OR(T26=1,U26=1,V26&gt;0,W26=1),1,0))</f>
      </c>
      <c r="AE26" s="1">
        <f>IF(AD26=0,0,ROUND((AC26-AB26)*1440,0))</f>
      </c>
      <c r="AF26" s="1">
        <f>IF(AD26=0,"",IF(AND(F26&lt;&gt;"",ISNA(MATCH(F26,PauschLand,0))),"Land nicht in der Liste; ","")&amp;IF(AND(T26=0,W26=0,Z26=0),"Beginn fehlt; ","")&amp;IF(AND(V26=0,U26=0,AA26=0),"Ende fehlt; ","")&amp;IF(AND(X26=1,U26=1,V26=0,N(D26)&lt;N(C26)),"Ende vor Beginn (über Mitternacht: Ende in die Zeile des Folgetags); ",""))</f>
      </c>
      <c r="AG26" s="1">
        <f>IF(AD26=0,0,IFERROR(VLOOKUP(IF(F26="","Deutschland",F26),PauschTab,2,FALSE),0))</f>
      </c>
      <c r="AH26" s="1">
        <f>IF(AD26=0,0,IFERROR(VLOOKUP(IF(F26="","Deutschland",F26),PauschTab,3,FALSE),0))</f>
      </c>
      <c r="AI26" s="1">
        <f>IF(AD26=0,0,IFERROR(VLOOKUP(IF(F26="","Deutschland",F26),PauschTab,4,FALSE),0))</f>
      </c>
      <c r="AJ26" s="1">
        <f>IF(OR(AD26=0,AF26&lt;&gt;""),0,IF(AND(W26=1,V26&gt;0),IF(OR(T26=1,U26=1),AH26,AG26),IF(OR(W26=1,V26&gt;0),AH26,IF(AA26=1,IF(AND(AE26+AQ26&gt;480,AE26&gt;=AQ26),AH26,0),IF(Z26=1,IF(AND(AR26+AE26&gt;480,AE26&gt;AR26),AH26,0),IF(AE26&gt;480,AH26,0))))))</f>
      </c>
      <c r="AK26" s="1">
        <f>MIN(AJ26,AM26)</f>
      </c>
      <c r="AL26" s="1">
        <f>IF(OR(AD26=0,AF26&lt;&gt;""),"",IF(AND(W26=0,V26=0,AA26=0,Z26=0,AE26&lt;=480),"nicht mehr als 8 Std.; ","")&amp;IF(AA26=1,IF(AJ26&gt;0,"über Mitternacht, zusammen "&amp;TEXT((AE26+AQ26)/1440,"[h]:mm")&amp;" Std.; ",IF(AE26+AQ26&gt;480,"über Mitternacht: Pauschale am Folgetag; ","über Mitternacht, zusammen nicht mehr als 8 Std.; ")),"")&amp;IF(Z26=1,IF(AJ26&gt;0,"über Mitternacht, zusammen "&amp;TEXT((AR26+AE26)/1440,"[h]:mm")&amp;" Std.; ",IF(AR26+AE26&gt;480,"über Mitternacht: Pauschale am Vortag; ","über Mitternacht, zusammen nicht mehr als 8 Std.; ")),"")&amp;IF(AND(W26=1,V26&gt;0,OR(T26=1,U26=1)),"zwischendurch zu Hause: An- und Abreisetag; ","")&amp;IF(AND(W26=1,V26=0,T26=1),"Beginn leer lassen: unterwegs seit dem Vortag; ","")&amp;IF(AND(W26=0,V26&gt;0,U26=1),"Ende leer lassen: Übernachtung; ","")&amp;IF(AND(AJ26&gt;0,AM26&gt;AJ26),"Kürzung auf die Pauschale begrenzt; ",""))</f>
      </c>
      <c r="AM26" s="1">
        <f>ROUND(AG26*(IF(H26&lt;&gt;"",0.2,0)+IF(I26&lt;&gt;"",0.4,0)+IF(J26&lt;&gt;"",0.4,0)),2)</f>
      </c>
      <c r="AN26" s="1">
        <f>IF($A27="",'Juli'!$T$5,T27)</f>
      </c>
      <c r="AO26" s="1">
        <f>IF($A27="",'Juli'!$U$5,U27)</f>
      </c>
      <c r="AP26" s="1">
        <f>IF($A27="",'Juli'!$V$5,V27)</f>
      </c>
      <c r="AQ26" s="1">
        <f>IF($A27="",'Juli'!$AE$5,AE27)</f>
      </c>
      <c r="AR26" s="1">
        <f>AE25</f>
      </c>
      <c r="AS26" s="1">
        <f>X25</f>
      </c>
      <c r="AT26" s="1">
        <f>U25</f>
      </c>
      <c r="AU26" s="1">
        <f>V25</f>
      </c>
    </row>
    <row r="27" spans="1:47" x14ac:dyDescent="0.25">
      <c r="A27" s="17">
        <f>IF(MONTH(DATE(Jahr,6,23))=6,DATE(Jahr,6,23),"")</f>
      </c>
      <c r="B27" s="13">
        <f>IF(A27="","",CHOOSE(WEEKDAY(A27,2),"Mo","Di","Mi","Do","Fr","Sa","So"))</f>
      </c>
      <c r="C27" s="18"/>
      <c r="D27" s="18"/>
      <c r="E27" s="7"/>
      <c r="F27" s="7"/>
      <c r="G27" s="7"/>
      <c r="H27" s="19"/>
      <c r="I27" s="19"/>
      <c r="J27" s="19"/>
      <c r="K27" s="9"/>
      <c r="L27" s="20">
        <f>IF(OR(AD27=0,AF27&lt;&gt;"",AND(W27=1,V27&gt;0,OR(T27=1,U27=1))),"",AE27/1440)</f>
      </c>
      <c r="M27" s="21">
        <f>IF(OR(AD27=0,AF27&lt;&gt;""),"",AJ27)</f>
      </c>
      <c r="N27" s="21">
        <f>IF(AK27=0,"",AK27)</f>
      </c>
      <c r="O27" s="21">
        <f>IF(OR(AD27=0,AF27&lt;&gt;""),"",AJ27-AK27)</f>
      </c>
      <c r="P27" s="21">
        <f>IF(AND(AD27=1,AF27="",V27=2),AI27,"")</f>
      </c>
      <c r="Q27" s="21">
        <f>IF(OR($A27="",N(K27)=0),"",ROUND(K27*KmSatz,2))</f>
      </c>
      <c r="R27" s="22">
        <f>IF(AF27&amp;AL27="","",LEFT(AF27&amp;AL27,LEN(AF27&amp;AL27)-2))</f>
      </c>
      <c r="S27" s="1"/>
      <c r="T27" s="1">
        <f>IF(AND($A27&lt;&gt;"",ISNUMBER(C27)),1,0)</f>
      </c>
      <c r="U27" s="1">
        <f>IF(AND($A27&lt;&gt;"",ISNUMBER(D27)),1,0)</f>
      </c>
      <c r="V27" s="1">
        <f>IF($A27="",0,IF(E27="ja",1,IF(E27="Pauschale",2,0)))</f>
      </c>
      <c r="W27" s="1">
        <f>IF($A27="",0,IF(AU27&gt;0,1,0))</f>
      </c>
      <c r="X27" s="1">
        <f>IF(AND(T27=1,W27=0),1,0)</f>
      </c>
      <c r="Y27" s="1">
        <f>IF(AND(AS27=1,AT27=0,AU27=0),1,0)</f>
      </c>
      <c r="Z27" s="1">
        <f>IF(AND(Y27=1,T27=0,U27=1,V27=0),1,0)</f>
      </c>
      <c r="AA27" s="1">
        <f>IF(AND(X27=1,U27=0,V27=0,AN27=0,AO27=1,AP27=0),1,0)</f>
      </c>
      <c r="AB27" s="1">
        <f>IF(OR(W27=1,Z27=1),0,IF(T27=1,C27,0))</f>
      </c>
      <c r="AC27" s="1">
        <f>IF(OR(V27&gt;0,AA27=1),1,IF(U27=1,D27,1))</f>
      </c>
      <c r="AD27" s="1">
        <f>IF($A27="",0,IF(OR(T27=1,U27=1,V27&gt;0,W27=1),1,0))</f>
      </c>
      <c r="AE27" s="1">
        <f>IF(AD27=0,0,ROUND((AC27-AB27)*1440,0))</f>
      </c>
      <c r="AF27" s="1">
        <f>IF(AD27=0,"",IF(AND(F27&lt;&gt;"",ISNA(MATCH(F27,PauschLand,0))),"Land nicht in der Liste; ","")&amp;IF(AND(T27=0,W27=0,Z27=0),"Beginn fehlt; ","")&amp;IF(AND(V27=0,U27=0,AA27=0),"Ende fehlt; ","")&amp;IF(AND(X27=1,U27=1,V27=0,N(D27)&lt;N(C27)),"Ende vor Beginn (über Mitternacht: Ende in die Zeile des Folgetags); ",""))</f>
      </c>
      <c r="AG27" s="1">
        <f>IF(AD27=0,0,IFERROR(VLOOKUP(IF(F27="","Deutschland",F27),PauschTab,2,FALSE),0))</f>
      </c>
      <c r="AH27" s="1">
        <f>IF(AD27=0,0,IFERROR(VLOOKUP(IF(F27="","Deutschland",F27),PauschTab,3,FALSE),0))</f>
      </c>
      <c r="AI27" s="1">
        <f>IF(AD27=0,0,IFERROR(VLOOKUP(IF(F27="","Deutschland",F27),PauschTab,4,FALSE),0))</f>
      </c>
      <c r="AJ27" s="1">
        <f>IF(OR(AD27=0,AF27&lt;&gt;""),0,IF(AND(W27=1,V27&gt;0),IF(OR(T27=1,U27=1),AH27,AG27),IF(OR(W27=1,V27&gt;0),AH27,IF(AA27=1,IF(AND(AE27+AQ27&gt;480,AE27&gt;=AQ27),AH27,0),IF(Z27=1,IF(AND(AR27+AE27&gt;480,AE27&gt;AR27),AH27,0),IF(AE27&gt;480,AH27,0))))))</f>
      </c>
      <c r="AK27" s="1">
        <f>MIN(AJ27,AM27)</f>
      </c>
      <c r="AL27" s="1">
        <f>IF(OR(AD27=0,AF27&lt;&gt;""),"",IF(AND(W27=0,V27=0,AA27=0,Z27=0,AE27&lt;=480),"nicht mehr als 8 Std.; ","")&amp;IF(AA27=1,IF(AJ27&gt;0,"über Mitternacht, zusammen "&amp;TEXT((AE27+AQ27)/1440,"[h]:mm")&amp;" Std.; ",IF(AE27+AQ27&gt;480,"über Mitternacht: Pauschale am Folgetag; ","über Mitternacht, zusammen nicht mehr als 8 Std.; ")),"")&amp;IF(Z27=1,IF(AJ27&gt;0,"über Mitternacht, zusammen "&amp;TEXT((AR27+AE27)/1440,"[h]:mm")&amp;" Std.; ",IF(AR27+AE27&gt;480,"über Mitternacht: Pauschale am Vortag; ","über Mitternacht, zusammen nicht mehr als 8 Std.; ")),"")&amp;IF(AND(W27=1,V27&gt;0,OR(T27=1,U27=1)),"zwischendurch zu Hause: An- und Abreisetag; ","")&amp;IF(AND(W27=1,V27=0,T27=1),"Beginn leer lassen: unterwegs seit dem Vortag; ","")&amp;IF(AND(W27=0,V27&gt;0,U27=1),"Ende leer lassen: Übernachtung; ","")&amp;IF(AND(AJ27&gt;0,AM27&gt;AJ27),"Kürzung auf die Pauschale begrenzt; ",""))</f>
      </c>
      <c r="AM27" s="1">
        <f>ROUND(AG27*(IF(H27&lt;&gt;"",0.2,0)+IF(I27&lt;&gt;"",0.4,0)+IF(J27&lt;&gt;"",0.4,0)),2)</f>
      </c>
      <c r="AN27" s="1">
        <f>IF($A28="",'Juli'!$T$5,T28)</f>
      </c>
      <c r="AO27" s="1">
        <f>IF($A28="",'Juli'!$U$5,U28)</f>
      </c>
      <c r="AP27" s="1">
        <f>IF($A28="",'Juli'!$V$5,V28)</f>
      </c>
      <c r="AQ27" s="1">
        <f>IF($A28="",'Juli'!$AE$5,AE28)</f>
      </c>
      <c r="AR27" s="1">
        <f>AE26</f>
      </c>
      <c r="AS27" s="1">
        <f>X26</f>
      </c>
      <c r="AT27" s="1">
        <f>U26</f>
      </c>
      <c r="AU27" s="1">
        <f>V26</f>
      </c>
    </row>
    <row r="28" spans="1:47" x14ac:dyDescent="0.25">
      <c r="A28" s="17">
        <f>IF(MONTH(DATE(Jahr,6,24))=6,DATE(Jahr,6,24),"")</f>
      </c>
      <c r="B28" s="13">
        <f>IF(A28="","",CHOOSE(WEEKDAY(A28,2),"Mo","Di","Mi","Do","Fr","Sa","So"))</f>
      </c>
      <c r="C28" s="18"/>
      <c r="D28" s="18"/>
      <c r="E28" s="7"/>
      <c r="F28" s="7"/>
      <c r="G28" s="7"/>
      <c r="H28" s="19"/>
      <c r="I28" s="19"/>
      <c r="J28" s="19"/>
      <c r="K28" s="9"/>
      <c r="L28" s="20">
        <f>IF(OR(AD28=0,AF28&lt;&gt;"",AND(W28=1,V28&gt;0,OR(T28=1,U28=1))),"",AE28/1440)</f>
      </c>
      <c r="M28" s="21">
        <f>IF(OR(AD28=0,AF28&lt;&gt;""),"",AJ28)</f>
      </c>
      <c r="N28" s="21">
        <f>IF(AK28=0,"",AK28)</f>
      </c>
      <c r="O28" s="21">
        <f>IF(OR(AD28=0,AF28&lt;&gt;""),"",AJ28-AK28)</f>
      </c>
      <c r="P28" s="21">
        <f>IF(AND(AD28=1,AF28="",V28=2),AI28,"")</f>
      </c>
      <c r="Q28" s="21">
        <f>IF(OR($A28="",N(K28)=0),"",ROUND(K28*KmSatz,2))</f>
      </c>
      <c r="R28" s="22">
        <f>IF(AF28&amp;AL28="","",LEFT(AF28&amp;AL28,LEN(AF28&amp;AL28)-2))</f>
      </c>
      <c r="S28" s="1"/>
      <c r="T28" s="1">
        <f>IF(AND($A28&lt;&gt;"",ISNUMBER(C28)),1,0)</f>
      </c>
      <c r="U28" s="1">
        <f>IF(AND($A28&lt;&gt;"",ISNUMBER(D28)),1,0)</f>
      </c>
      <c r="V28" s="1">
        <f>IF($A28="",0,IF(E28="ja",1,IF(E28="Pauschale",2,0)))</f>
      </c>
      <c r="W28" s="1">
        <f>IF($A28="",0,IF(AU28&gt;0,1,0))</f>
      </c>
      <c r="X28" s="1">
        <f>IF(AND(T28=1,W28=0),1,0)</f>
      </c>
      <c r="Y28" s="1">
        <f>IF(AND(AS28=1,AT28=0,AU28=0),1,0)</f>
      </c>
      <c r="Z28" s="1">
        <f>IF(AND(Y28=1,T28=0,U28=1,V28=0),1,0)</f>
      </c>
      <c r="AA28" s="1">
        <f>IF(AND(X28=1,U28=0,V28=0,AN28=0,AO28=1,AP28=0),1,0)</f>
      </c>
      <c r="AB28" s="1">
        <f>IF(OR(W28=1,Z28=1),0,IF(T28=1,C28,0))</f>
      </c>
      <c r="AC28" s="1">
        <f>IF(OR(V28&gt;0,AA28=1),1,IF(U28=1,D28,1))</f>
      </c>
      <c r="AD28" s="1">
        <f>IF($A28="",0,IF(OR(T28=1,U28=1,V28&gt;0,W28=1),1,0))</f>
      </c>
      <c r="AE28" s="1">
        <f>IF(AD28=0,0,ROUND((AC28-AB28)*1440,0))</f>
      </c>
      <c r="AF28" s="1">
        <f>IF(AD28=0,"",IF(AND(F28&lt;&gt;"",ISNA(MATCH(F28,PauschLand,0))),"Land nicht in der Liste; ","")&amp;IF(AND(T28=0,W28=0,Z28=0),"Beginn fehlt; ","")&amp;IF(AND(V28=0,U28=0,AA28=0),"Ende fehlt; ","")&amp;IF(AND(X28=1,U28=1,V28=0,N(D28)&lt;N(C28)),"Ende vor Beginn (über Mitternacht: Ende in die Zeile des Folgetags); ",""))</f>
      </c>
      <c r="AG28" s="1">
        <f>IF(AD28=0,0,IFERROR(VLOOKUP(IF(F28="","Deutschland",F28),PauschTab,2,FALSE),0))</f>
      </c>
      <c r="AH28" s="1">
        <f>IF(AD28=0,0,IFERROR(VLOOKUP(IF(F28="","Deutschland",F28),PauschTab,3,FALSE),0))</f>
      </c>
      <c r="AI28" s="1">
        <f>IF(AD28=0,0,IFERROR(VLOOKUP(IF(F28="","Deutschland",F28),PauschTab,4,FALSE),0))</f>
      </c>
      <c r="AJ28" s="1">
        <f>IF(OR(AD28=0,AF28&lt;&gt;""),0,IF(AND(W28=1,V28&gt;0),IF(OR(T28=1,U28=1),AH28,AG28),IF(OR(W28=1,V28&gt;0),AH28,IF(AA28=1,IF(AND(AE28+AQ28&gt;480,AE28&gt;=AQ28),AH28,0),IF(Z28=1,IF(AND(AR28+AE28&gt;480,AE28&gt;AR28),AH28,0),IF(AE28&gt;480,AH28,0))))))</f>
      </c>
      <c r="AK28" s="1">
        <f>MIN(AJ28,AM28)</f>
      </c>
      <c r="AL28" s="1">
        <f>IF(OR(AD28=0,AF28&lt;&gt;""),"",IF(AND(W28=0,V28=0,AA28=0,Z28=0,AE28&lt;=480),"nicht mehr als 8 Std.; ","")&amp;IF(AA28=1,IF(AJ28&gt;0,"über Mitternacht, zusammen "&amp;TEXT((AE28+AQ28)/1440,"[h]:mm")&amp;" Std.; ",IF(AE28+AQ28&gt;480,"über Mitternacht: Pauschale am Folgetag; ","über Mitternacht, zusammen nicht mehr als 8 Std.; ")),"")&amp;IF(Z28=1,IF(AJ28&gt;0,"über Mitternacht, zusammen "&amp;TEXT((AR28+AE28)/1440,"[h]:mm")&amp;" Std.; ",IF(AR28+AE28&gt;480,"über Mitternacht: Pauschale am Vortag; ","über Mitternacht, zusammen nicht mehr als 8 Std.; ")),"")&amp;IF(AND(W28=1,V28&gt;0,OR(T28=1,U28=1)),"zwischendurch zu Hause: An- und Abreisetag; ","")&amp;IF(AND(W28=1,V28=0,T28=1),"Beginn leer lassen: unterwegs seit dem Vortag; ","")&amp;IF(AND(W28=0,V28&gt;0,U28=1),"Ende leer lassen: Übernachtung; ","")&amp;IF(AND(AJ28&gt;0,AM28&gt;AJ28),"Kürzung auf die Pauschale begrenzt; ",""))</f>
      </c>
      <c r="AM28" s="1">
        <f>ROUND(AG28*(IF(H28&lt;&gt;"",0.2,0)+IF(I28&lt;&gt;"",0.4,0)+IF(J28&lt;&gt;"",0.4,0)),2)</f>
      </c>
      <c r="AN28" s="1">
        <f>IF($A29="",'Juli'!$T$5,T29)</f>
      </c>
      <c r="AO28" s="1">
        <f>IF($A29="",'Juli'!$U$5,U29)</f>
      </c>
      <c r="AP28" s="1">
        <f>IF($A29="",'Juli'!$V$5,V29)</f>
      </c>
      <c r="AQ28" s="1">
        <f>IF($A29="",'Juli'!$AE$5,AE29)</f>
      </c>
      <c r="AR28" s="1">
        <f>AE27</f>
      </c>
      <c r="AS28" s="1">
        <f>X27</f>
      </c>
      <c r="AT28" s="1">
        <f>U27</f>
      </c>
      <c r="AU28" s="1">
        <f>V27</f>
      </c>
    </row>
    <row r="29" spans="1:47" x14ac:dyDescent="0.25">
      <c r="A29" s="17">
        <f>IF(MONTH(DATE(Jahr,6,25))=6,DATE(Jahr,6,25),"")</f>
      </c>
      <c r="B29" s="13">
        <f>IF(A29="","",CHOOSE(WEEKDAY(A29,2),"Mo","Di","Mi","Do","Fr","Sa","So"))</f>
      </c>
      <c r="C29" s="18"/>
      <c r="D29" s="18"/>
      <c r="E29" s="7"/>
      <c r="F29" s="7"/>
      <c r="G29" s="7"/>
      <c r="H29" s="19"/>
      <c r="I29" s="19"/>
      <c r="J29" s="19"/>
      <c r="K29" s="9"/>
      <c r="L29" s="20">
        <f>IF(OR(AD29=0,AF29&lt;&gt;"",AND(W29=1,V29&gt;0,OR(T29=1,U29=1))),"",AE29/1440)</f>
      </c>
      <c r="M29" s="21">
        <f>IF(OR(AD29=0,AF29&lt;&gt;""),"",AJ29)</f>
      </c>
      <c r="N29" s="21">
        <f>IF(AK29=0,"",AK29)</f>
      </c>
      <c r="O29" s="21">
        <f>IF(OR(AD29=0,AF29&lt;&gt;""),"",AJ29-AK29)</f>
      </c>
      <c r="P29" s="21">
        <f>IF(AND(AD29=1,AF29="",V29=2),AI29,"")</f>
      </c>
      <c r="Q29" s="21">
        <f>IF(OR($A29="",N(K29)=0),"",ROUND(K29*KmSatz,2))</f>
      </c>
      <c r="R29" s="22">
        <f>IF(AF29&amp;AL29="","",LEFT(AF29&amp;AL29,LEN(AF29&amp;AL29)-2))</f>
      </c>
      <c r="S29" s="1"/>
      <c r="T29" s="1">
        <f>IF(AND($A29&lt;&gt;"",ISNUMBER(C29)),1,0)</f>
      </c>
      <c r="U29" s="1">
        <f>IF(AND($A29&lt;&gt;"",ISNUMBER(D29)),1,0)</f>
      </c>
      <c r="V29" s="1">
        <f>IF($A29="",0,IF(E29="ja",1,IF(E29="Pauschale",2,0)))</f>
      </c>
      <c r="W29" s="1">
        <f>IF($A29="",0,IF(AU29&gt;0,1,0))</f>
      </c>
      <c r="X29" s="1">
        <f>IF(AND(T29=1,W29=0),1,0)</f>
      </c>
      <c r="Y29" s="1">
        <f>IF(AND(AS29=1,AT29=0,AU29=0),1,0)</f>
      </c>
      <c r="Z29" s="1">
        <f>IF(AND(Y29=1,T29=0,U29=1,V29=0),1,0)</f>
      </c>
      <c r="AA29" s="1">
        <f>IF(AND(X29=1,U29=0,V29=0,AN29=0,AO29=1,AP29=0),1,0)</f>
      </c>
      <c r="AB29" s="1">
        <f>IF(OR(W29=1,Z29=1),0,IF(T29=1,C29,0))</f>
      </c>
      <c r="AC29" s="1">
        <f>IF(OR(V29&gt;0,AA29=1),1,IF(U29=1,D29,1))</f>
      </c>
      <c r="AD29" s="1">
        <f>IF($A29="",0,IF(OR(T29=1,U29=1,V29&gt;0,W29=1),1,0))</f>
      </c>
      <c r="AE29" s="1">
        <f>IF(AD29=0,0,ROUND((AC29-AB29)*1440,0))</f>
      </c>
      <c r="AF29" s="1">
        <f>IF(AD29=0,"",IF(AND(F29&lt;&gt;"",ISNA(MATCH(F29,PauschLand,0))),"Land nicht in der Liste; ","")&amp;IF(AND(T29=0,W29=0,Z29=0),"Beginn fehlt; ","")&amp;IF(AND(V29=0,U29=0,AA29=0),"Ende fehlt; ","")&amp;IF(AND(X29=1,U29=1,V29=0,N(D29)&lt;N(C29)),"Ende vor Beginn (über Mitternacht: Ende in die Zeile des Folgetags); ",""))</f>
      </c>
      <c r="AG29" s="1">
        <f>IF(AD29=0,0,IFERROR(VLOOKUP(IF(F29="","Deutschland",F29),PauschTab,2,FALSE),0))</f>
      </c>
      <c r="AH29" s="1">
        <f>IF(AD29=0,0,IFERROR(VLOOKUP(IF(F29="","Deutschland",F29),PauschTab,3,FALSE),0))</f>
      </c>
      <c r="AI29" s="1">
        <f>IF(AD29=0,0,IFERROR(VLOOKUP(IF(F29="","Deutschland",F29),PauschTab,4,FALSE),0))</f>
      </c>
      <c r="AJ29" s="1">
        <f>IF(OR(AD29=0,AF29&lt;&gt;""),0,IF(AND(W29=1,V29&gt;0),IF(OR(T29=1,U29=1),AH29,AG29),IF(OR(W29=1,V29&gt;0),AH29,IF(AA29=1,IF(AND(AE29+AQ29&gt;480,AE29&gt;=AQ29),AH29,0),IF(Z29=1,IF(AND(AR29+AE29&gt;480,AE29&gt;AR29),AH29,0),IF(AE29&gt;480,AH29,0))))))</f>
      </c>
      <c r="AK29" s="1">
        <f>MIN(AJ29,AM29)</f>
      </c>
      <c r="AL29" s="1">
        <f>IF(OR(AD29=0,AF29&lt;&gt;""),"",IF(AND(W29=0,V29=0,AA29=0,Z29=0,AE29&lt;=480),"nicht mehr als 8 Std.; ","")&amp;IF(AA29=1,IF(AJ29&gt;0,"über Mitternacht, zusammen "&amp;TEXT((AE29+AQ29)/1440,"[h]:mm")&amp;" Std.; ",IF(AE29+AQ29&gt;480,"über Mitternacht: Pauschale am Folgetag; ","über Mitternacht, zusammen nicht mehr als 8 Std.; ")),"")&amp;IF(Z29=1,IF(AJ29&gt;0,"über Mitternacht, zusammen "&amp;TEXT((AR29+AE29)/1440,"[h]:mm")&amp;" Std.; ",IF(AR29+AE29&gt;480,"über Mitternacht: Pauschale am Vortag; ","über Mitternacht, zusammen nicht mehr als 8 Std.; ")),"")&amp;IF(AND(W29=1,V29&gt;0,OR(T29=1,U29=1)),"zwischendurch zu Hause: An- und Abreisetag; ","")&amp;IF(AND(W29=1,V29=0,T29=1),"Beginn leer lassen: unterwegs seit dem Vortag; ","")&amp;IF(AND(W29=0,V29&gt;0,U29=1),"Ende leer lassen: Übernachtung; ","")&amp;IF(AND(AJ29&gt;0,AM29&gt;AJ29),"Kürzung auf die Pauschale begrenzt; ",""))</f>
      </c>
      <c r="AM29" s="1">
        <f>ROUND(AG29*(IF(H29&lt;&gt;"",0.2,0)+IF(I29&lt;&gt;"",0.4,0)+IF(J29&lt;&gt;"",0.4,0)),2)</f>
      </c>
      <c r="AN29" s="1">
        <f>IF($A30="",'Juli'!$T$5,T30)</f>
      </c>
      <c r="AO29" s="1">
        <f>IF($A30="",'Juli'!$U$5,U30)</f>
      </c>
      <c r="AP29" s="1">
        <f>IF($A30="",'Juli'!$V$5,V30)</f>
      </c>
      <c r="AQ29" s="1">
        <f>IF($A30="",'Juli'!$AE$5,AE30)</f>
      </c>
      <c r="AR29" s="1">
        <f>AE28</f>
      </c>
      <c r="AS29" s="1">
        <f>X28</f>
      </c>
      <c r="AT29" s="1">
        <f>U28</f>
      </c>
      <c r="AU29" s="1">
        <f>V28</f>
      </c>
    </row>
    <row r="30" spans="1:47" x14ac:dyDescent="0.25">
      <c r="A30" s="17">
        <f>IF(MONTH(DATE(Jahr,6,26))=6,DATE(Jahr,6,26),"")</f>
      </c>
      <c r="B30" s="13">
        <f>IF(A30="","",CHOOSE(WEEKDAY(A30,2),"Mo","Di","Mi","Do","Fr","Sa","So"))</f>
      </c>
      <c r="C30" s="18"/>
      <c r="D30" s="18"/>
      <c r="E30" s="7"/>
      <c r="F30" s="7"/>
      <c r="G30" s="7"/>
      <c r="H30" s="19"/>
      <c r="I30" s="19"/>
      <c r="J30" s="19"/>
      <c r="K30" s="9"/>
      <c r="L30" s="20">
        <f>IF(OR(AD30=0,AF30&lt;&gt;"",AND(W30=1,V30&gt;0,OR(T30=1,U30=1))),"",AE30/1440)</f>
      </c>
      <c r="M30" s="21">
        <f>IF(OR(AD30=0,AF30&lt;&gt;""),"",AJ30)</f>
      </c>
      <c r="N30" s="21">
        <f>IF(AK30=0,"",AK30)</f>
      </c>
      <c r="O30" s="21">
        <f>IF(OR(AD30=0,AF30&lt;&gt;""),"",AJ30-AK30)</f>
      </c>
      <c r="P30" s="21">
        <f>IF(AND(AD30=1,AF30="",V30=2),AI30,"")</f>
      </c>
      <c r="Q30" s="21">
        <f>IF(OR($A30="",N(K30)=0),"",ROUND(K30*KmSatz,2))</f>
      </c>
      <c r="R30" s="22">
        <f>IF(AF30&amp;AL30="","",LEFT(AF30&amp;AL30,LEN(AF30&amp;AL30)-2))</f>
      </c>
      <c r="S30" s="1"/>
      <c r="T30" s="1">
        <f>IF(AND($A30&lt;&gt;"",ISNUMBER(C30)),1,0)</f>
      </c>
      <c r="U30" s="1">
        <f>IF(AND($A30&lt;&gt;"",ISNUMBER(D30)),1,0)</f>
      </c>
      <c r="V30" s="1">
        <f>IF($A30="",0,IF(E30="ja",1,IF(E30="Pauschale",2,0)))</f>
      </c>
      <c r="W30" s="1">
        <f>IF($A30="",0,IF(AU30&gt;0,1,0))</f>
      </c>
      <c r="X30" s="1">
        <f>IF(AND(T30=1,W30=0),1,0)</f>
      </c>
      <c r="Y30" s="1">
        <f>IF(AND(AS30=1,AT30=0,AU30=0),1,0)</f>
      </c>
      <c r="Z30" s="1">
        <f>IF(AND(Y30=1,T30=0,U30=1,V30=0),1,0)</f>
      </c>
      <c r="AA30" s="1">
        <f>IF(AND(X30=1,U30=0,V30=0,AN30=0,AO30=1,AP30=0),1,0)</f>
      </c>
      <c r="AB30" s="1">
        <f>IF(OR(W30=1,Z30=1),0,IF(T30=1,C30,0))</f>
      </c>
      <c r="AC30" s="1">
        <f>IF(OR(V30&gt;0,AA30=1),1,IF(U30=1,D30,1))</f>
      </c>
      <c r="AD30" s="1">
        <f>IF($A30="",0,IF(OR(T30=1,U30=1,V30&gt;0,W30=1),1,0))</f>
      </c>
      <c r="AE30" s="1">
        <f>IF(AD30=0,0,ROUND((AC30-AB30)*1440,0))</f>
      </c>
      <c r="AF30" s="1">
        <f>IF(AD30=0,"",IF(AND(F30&lt;&gt;"",ISNA(MATCH(F30,PauschLand,0))),"Land nicht in der Liste; ","")&amp;IF(AND(T30=0,W30=0,Z30=0),"Beginn fehlt; ","")&amp;IF(AND(V30=0,U30=0,AA30=0),"Ende fehlt; ","")&amp;IF(AND(X30=1,U30=1,V30=0,N(D30)&lt;N(C30)),"Ende vor Beginn (über Mitternacht: Ende in die Zeile des Folgetags); ",""))</f>
      </c>
      <c r="AG30" s="1">
        <f>IF(AD30=0,0,IFERROR(VLOOKUP(IF(F30="","Deutschland",F30),PauschTab,2,FALSE),0))</f>
      </c>
      <c r="AH30" s="1">
        <f>IF(AD30=0,0,IFERROR(VLOOKUP(IF(F30="","Deutschland",F30),PauschTab,3,FALSE),0))</f>
      </c>
      <c r="AI30" s="1">
        <f>IF(AD30=0,0,IFERROR(VLOOKUP(IF(F30="","Deutschland",F30),PauschTab,4,FALSE),0))</f>
      </c>
      <c r="AJ30" s="1">
        <f>IF(OR(AD30=0,AF30&lt;&gt;""),0,IF(AND(W30=1,V30&gt;0),IF(OR(T30=1,U30=1),AH30,AG30),IF(OR(W30=1,V30&gt;0),AH30,IF(AA30=1,IF(AND(AE30+AQ30&gt;480,AE30&gt;=AQ30),AH30,0),IF(Z30=1,IF(AND(AR30+AE30&gt;480,AE30&gt;AR30),AH30,0),IF(AE30&gt;480,AH30,0))))))</f>
      </c>
      <c r="AK30" s="1">
        <f>MIN(AJ30,AM30)</f>
      </c>
      <c r="AL30" s="1">
        <f>IF(OR(AD30=0,AF30&lt;&gt;""),"",IF(AND(W30=0,V30=0,AA30=0,Z30=0,AE30&lt;=480),"nicht mehr als 8 Std.; ","")&amp;IF(AA30=1,IF(AJ30&gt;0,"über Mitternacht, zusammen "&amp;TEXT((AE30+AQ30)/1440,"[h]:mm")&amp;" Std.; ",IF(AE30+AQ30&gt;480,"über Mitternacht: Pauschale am Folgetag; ","über Mitternacht, zusammen nicht mehr als 8 Std.; ")),"")&amp;IF(Z30=1,IF(AJ30&gt;0,"über Mitternacht, zusammen "&amp;TEXT((AR30+AE30)/1440,"[h]:mm")&amp;" Std.; ",IF(AR30+AE30&gt;480,"über Mitternacht: Pauschale am Vortag; ","über Mitternacht, zusammen nicht mehr als 8 Std.; ")),"")&amp;IF(AND(W30=1,V30&gt;0,OR(T30=1,U30=1)),"zwischendurch zu Hause: An- und Abreisetag; ","")&amp;IF(AND(W30=1,V30=0,T30=1),"Beginn leer lassen: unterwegs seit dem Vortag; ","")&amp;IF(AND(W30=0,V30&gt;0,U30=1),"Ende leer lassen: Übernachtung; ","")&amp;IF(AND(AJ30&gt;0,AM30&gt;AJ30),"Kürzung auf die Pauschale begrenzt; ",""))</f>
      </c>
      <c r="AM30" s="1">
        <f>ROUND(AG30*(IF(H30&lt;&gt;"",0.2,0)+IF(I30&lt;&gt;"",0.4,0)+IF(J30&lt;&gt;"",0.4,0)),2)</f>
      </c>
      <c r="AN30" s="1">
        <f>IF($A31="",'Juli'!$T$5,T31)</f>
      </c>
      <c r="AO30" s="1">
        <f>IF($A31="",'Juli'!$U$5,U31)</f>
      </c>
      <c r="AP30" s="1">
        <f>IF($A31="",'Juli'!$V$5,V31)</f>
      </c>
      <c r="AQ30" s="1">
        <f>IF($A31="",'Juli'!$AE$5,AE31)</f>
      </c>
      <c r="AR30" s="1">
        <f>AE29</f>
      </c>
      <c r="AS30" s="1">
        <f>X29</f>
      </c>
      <c r="AT30" s="1">
        <f>U29</f>
      </c>
      <c r="AU30" s="1">
        <f>V29</f>
      </c>
    </row>
    <row r="31" spans="1:47" x14ac:dyDescent="0.25">
      <c r="A31" s="17">
        <f>IF(MONTH(DATE(Jahr,6,27))=6,DATE(Jahr,6,27),"")</f>
      </c>
      <c r="B31" s="13">
        <f>IF(A31="","",CHOOSE(WEEKDAY(A31,2),"Mo","Di","Mi","Do","Fr","Sa","So"))</f>
      </c>
      <c r="C31" s="18"/>
      <c r="D31" s="18"/>
      <c r="E31" s="7"/>
      <c r="F31" s="7"/>
      <c r="G31" s="7"/>
      <c r="H31" s="19"/>
      <c r="I31" s="19"/>
      <c r="J31" s="19"/>
      <c r="K31" s="9"/>
      <c r="L31" s="20">
        <f>IF(OR(AD31=0,AF31&lt;&gt;"",AND(W31=1,V31&gt;0,OR(T31=1,U31=1))),"",AE31/1440)</f>
      </c>
      <c r="M31" s="21">
        <f>IF(OR(AD31=0,AF31&lt;&gt;""),"",AJ31)</f>
      </c>
      <c r="N31" s="21">
        <f>IF(AK31=0,"",AK31)</f>
      </c>
      <c r="O31" s="21">
        <f>IF(OR(AD31=0,AF31&lt;&gt;""),"",AJ31-AK31)</f>
      </c>
      <c r="P31" s="21">
        <f>IF(AND(AD31=1,AF31="",V31=2),AI31,"")</f>
      </c>
      <c r="Q31" s="21">
        <f>IF(OR($A31="",N(K31)=0),"",ROUND(K31*KmSatz,2))</f>
      </c>
      <c r="R31" s="22">
        <f>IF(AF31&amp;AL31="","",LEFT(AF31&amp;AL31,LEN(AF31&amp;AL31)-2))</f>
      </c>
      <c r="S31" s="1"/>
      <c r="T31" s="1">
        <f>IF(AND($A31&lt;&gt;"",ISNUMBER(C31)),1,0)</f>
      </c>
      <c r="U31" s="1">
        <f>IF(AND($A31&lt;&gt;"",ISNUMBER(D31)),1,0)</f>
      </c>
      <c r="V31" s="1">
        <f>IF($A31="",0,IF(E31="ja",1,IF(E31="Pauschale",2,0)))</f>
      </c>
      <c r="W31" s="1">
        <f>IF($A31="",0,IF(AU31&gt;0,1,0))</f>
      </c>
      <c r="X31" s="1">
        <f>IF(AND(T31=1,W31=0),1,0)</f>
      </c>
      <c r="Y31" s="1">
        <f>IF(AND(AS31=1,AT31=0,AU31=0),1,0)</f>
      </c>
      <c r="Z31" s="1">
        <f>IF(AND(Y31=1,T31=0,U31=1,V31=0),1,0)</f>
      </c>
      <c r="AA31" s="1">
        <f>IF(AND(X31=1,U31=0,V31=0,AN31=0,AO31=1,AP31=0),1,0)</f>
      </c>
      <c r="AB31" s="1">
        <f>IF(OR(W31=1,Z31=1),0,IF(T31=1,C31,0))</f>
      </c>
      <c r="AC31" s="1">
        <f>IF(OR(V31&gt;0,AA31=1),1,IF(U31=1,D31,1))</f>
      </c>
      <c r="AD31" s="1">
        <f>IF($A31="",0,IF(OR(T31=1,U31=1,V31&gt;0,W31=1),1,0))</f>
      </c>
      <c r="AE31" s="1">
        <f>IF(AD31=0,0,ROUND((AC31-AB31)*1440,0))</f>
      </c>
      <c r="AF31" s="1">
        <f>IF(AD31=0,"",IF(AND(F31&lt;&gt;"",ISNA(MATCH(F31,PauschLand,0))),"Land nicht in der Liste; ","")&amp;IF(AND(T31=0,W31=0,Z31=0),"Beginn fehlt; ","")&amp;IF(AND(V31=0,U31=0,AA31=0),"Ende fehlt; ","")&amp;IF(AND(X31=1,U31=1,V31=0,N(D31)&lt;N(C31)),"Ende vor Beginn (über Mitternacht: Ende in die Zeile des Folgetags); ",""))</f>
      </c>
      <c r="AG31" s="1">
        <f>IF(AD31=0,0,IFERROR(VLOOKUP(IF(F31="","Deutschland",F31),PauschTab,2,FALSE),0))</f>
      </c>
      <c r="AH31" s="1">
        <f>IF(AD31=0,0,IFERROR(VLOOKUP(IF(F31="","Deutschland",F31),PauschTab,3,FALSE),0))</f>
      </c>
      <c r="AI31" s="1">
        <f>IF(AD31=0,0,IFERROR(VLOOKUP(IF(F31="","Deutschland",F31),PauschTab,4,FALSE),0))</f>
      </c>
      <c r="AJ31" s="1">
        <f>IF(OR(AD31=0,AF31&lt;&gt;""),0,IF(AND(W31=1,V31&gt;0),IF(OR(T31=1,U31=1),AH31,AG31),IF(OR(W31=1,V31&gt;0),AH31,IF(AA31=1,IF(AND(AE31+AQ31&gt;480,AE31&gt;=AQ31),AH31,0),IF(Z31=1,IF(AND(AR31+AE31&gt;480,AE31&gt;AR31),AH31,0),IF(AE31&gt;480,AH31,0))))))</f>
      </c>
      <c r="AK31" s="1">
        <f>MIN(AJ31,AM31)</f>
      </c>
      <c r="AL31" s="1">
        <f>IF(OR(AD31=0,AF31&lt;&gt;""),"",IF(AND(W31=0,V31=0,AA31=0,Z31=0,AE31&lt;=480),"nicht mehr als 8 Std.; ","")&amp;IF(AA31=1,IF(AJ31&gt;0,"über Mitternacht, zusammen "&amp;TEXT((AE31+AQ31)/1440,"[h]:mm")&amp;" Std.; ",IF(AE31+AQ31&gt;480,"über Mitternacht: Pauschale am Folgetag; ","über Mitternacht, zusammen nicht mehr als 8 Std.; ")),"")&amp;IF(Z31=1,IF(AJ31&gt;0,"über Mitternacht, zusammen "&amp;TEXT((AR31+AE31)/1440,"[h]:mm")&amp;" Std.; ",IF(AR31+AE31&gt;480,"über Mitternacht: Pauschale am Vortag; ","über Mitternacht, zusammen nicht mehr als 8 Std.; ")),"")&amp;IF(AND(W31=1,V31&gt;0,OR(T31=1,U31=1)),"zwischendurch zu Hause: An- und Abreisetag; ","")&amp;IF(AND(W31=1,V31=0,T31=1),"Beginn leer lassen: unterwegs seit dem Vortag; ","")&amp;IF(AND(W31=0,V31&gt;0,U31=1),"Ende leer lassen: Übernachtung; ","")&amp;IF(AND(AJ31&gt;0,AM31&gt;AJ31),"Kürzung auf die Pauschale begrenzt; ",""))</f>
      </c>
      <c r="AM31" s="1">
        <f>ROUND(AG31*(IF(H31&lt;&gt;"",0.2,0)+IF(I31&lt;&gt;"",0.4,0)+IF(J31&lt;&gt;"",0.4,0)),2)</f>
      </c>
      <c r="AN31" s="1">
        <f>IF($A32="",'Juli'!$T$5,T32)</f>
      </c>
      <c r="AO31" s="1">
        <f>IF($A32="",'Juli'!$U$5,U32)</f>
      </c>
      <c r="AP31" s="1">
        <f>IF($A32="",'Juli'!$V$5,V32)</f>
      </c>
      <c r="AQ31" s="1">
        <f>IF($A32="",'Juli'!$AE$5,AE32)</f>
      </c>
      <c r="AR31" s="1">
        <f>AE30</f>
      </c>
      <c r="AS31" s="1">
        <f>X30</f>
      </c>
      <c r="AT31" s="1">
        <f>U30</f>
      </c>
      <c r="AU31" s="1">
        <f>V30</f>
      </c>
    </row>
    <row r="32" spans="1:47" x14ac:dyDescent="0.25">
      <c r="A32" s="17">
        <f>IF(MONTH(DATE(Jahr,6,28))=6,DATE(Jahr,6,28),"")</f>
      </c>
      <c r="B32" s="13">
        <f>IF(A32="","",CHOOSE(WEEKDAY(A32,2),"Mo","Di","Mi","Do","Fr","Sa","So"))</f>
      </c>
      <c r="C32" s="18"/>
      <c r="D32" s="18"/>
      <c r="E32" s="7"/>
      <c r="F32" s="7"/>
      <c r="G32" s="7"/>
      <c r="H32" s="19"/>
      <c r="I32" s="19"/>
      <c r="J32" s="19"/>
      <c r="K32" s="9"/>
      <c r="L32" s="20">
        <f>IF(OR(AD32=0,AF32&lt;&gt;"",AND(W32=1,V32&gt;0,OR(T32=1,U32=1))),"",AE32/1440)</f>
      </c>
      <c r="M32" s="21">
        <f>IF(OR(AD32=0,AF32&lt;&gt;""),"",AJ32)</f>
      </c>
      <c r="N32" s="21">
        <f>IF(AK32=0,"",AK32)</f>
      </c>
      <c r="O32" s="21">
        <f>IF(OR(AD32=0,AF32&lt;&gt;""),"",AJ32-AK32)</f>
      </c>
      <c r="P32" s="21">
        <f>IF(AND(AD32=1,AF32="",V32=2),AI32,"")</f>
      </c>
      <c r="Q32" s="21">
        <f>IF(OR($A32="",N(K32)=0),"",ROUND(K32*KmSatz,2))</f>
      </c>
      <c r="R32" s="22">
        <f>IF(AF32&amp;AL32="","",LEFT(AF32&amp;AL32,LEN(AF32&amp;AL32)-2))</f>
      </c>
      <c r="S32" s="1"/>
      <c r="T32" s="1">
        <f>IF(AND($A32&lt;&gt;"",ISNUMBER(C32)),1,0)</f>
      </c>
      <c r="U32" s="1">
        <f>IF(AND($A32&lt;&gt;"",ISNUMBER(D32)),1,0)</f>
      </c>
      <c r="V32" s="1">
        <f>IF($A32="",0,IF(E32="ja",1,IF(E32="Pauschale",2,0)))</f>
      </c>
      <c r="W32" s="1">
        <f>IF($A32="",0,IF(AU32&gt;0,1,0))</f>
      </c>
      <c r="X32" s="1">
        <f>IF(AND(T32=1,W32=0),1,0)</f>
      </c>
      <c r="Y32" s="1">
        <f>IF(AND(AS32=1,AT32=0,AU32=0),1,0)</f>
      </c>
      <c r="Z32" s="1">
        <f>IF(AND(Y32=1,T32=0,U32=1,V32=0),1,0)</f>
      </c>
      <c r="AA32" s="1">
        <f>IF(AND(X32=1,U32=0,V32=0,AN32=0,AO32=1,AP32=0),1,0)</f>
      </c>
      <c r="AB32" s="1">
        <f>IF(OR(W32=1,Z32=1),0,IF(T32=1,C32,0))</f>
      </c>
      <c r="AC32" s="1">
        <f>IF(OR(V32&gt;0,AA32=1),1,IF(U32=1,D32,1))</f>
      </c>
      <c r="AD32" s="1">
        <f>IF($A32="",0,IF(OR(T32=1,U32=1,V32&gt;0,W32=1),1,0))</f>
      </c>
      <c r="AE32" s="1">
        <f>IF(AD32=0,0,ROUND((AC32-AB32)*1440,0))</f>
      </c>
      <c r="AF32" s="1">
        <f>IF(AD32=0,"",IF(AND(F32&lt;&gt;"",ISNA(MATCH(F32,PauschLand,0))),"Land nicht in der Liste; ","")&amp;IF(AND(T32=0,W32=0,Z32=0),"Beginn fehlt; ","")&amp;IF(AND(V32=0,U32=0,AA32=0),"Ende fehlt; ","")&amp;IF(AND(X32=1,U32=1,V32=0,N(D32)&lt;N(C32)),"Ende vor Beginn (über Mitternacht: Ende in die Zeile des Folgetags); ",""))</f>
      </c>
      <c r="AG32" s="1">
        <f>IF(AD32=0,0,IFERROR(VLOOKUP(IF(F32="","Deutschland",F32),PauschTab,2,FALSE),0))</f>
      </c>
      <c r="AH32" s="1">
        <f>IF(AD32=0,0,IFERROR(VLOOKUP(IF(F32="","Deutschland",F32),PauschTab,3,FALSE),0))</f>
      </c>
      <c r="AI32" s="1">
        <f>IF(AD32=0,0,IFERROR(VLOOKUP(IF(F32="","Deutschland",F32),PauschTab,4,FALSE),0))</f>
      </c>
      <c r="AJ32" s="1">
        <f>IF(OR(AD32=0,AF32&lt;&gt;""),0,IF(AND(W32=1,V32&gt;0),IF(OR(T32=1,U32=1),AH32,AG32),IF(OR(W32=1,V32&gt;0),AH32,IF(AA32=1,IF(AND(AE32+AQ32&gt;480,AE32&gt;=AQ32),AH32,0),IF(Z32=1,IF(AND(AR32+AE32&gt;480,AE32&gt;AR32),AH32,0),IF(AE32&gt;480,AH32,0))))))</f>
      </c>
      <c r="AK32" s="1">
        <f>MIN(AJ32,AM32)</f>
      </c>
      <c r="AL32" s="1">
        <f>IF(OR(AD32=0,AF32&lt;&gt;""),"",IF(AND(W32=0,V32=0,AA32=0,Z32=0,AE32&lt;=480),"nicht mehr als 8 Std.; ","")&amp;IF(AA32=1,IF(AJ32&gt;0,"über Mitternacht, zusammen "&amp;TEXT((AE32+AQ32)/1440,"[h]:mm")&amp;" Std.; ",IF(AE32+AQ32&gt;480,"über Mitternacht: Pauschale am Folgetag; ","über Mitternacht, zusammen nicht mehr als 8 Std.; ")),"")&amp;IF(Z32=1,IF(AJ32&gt;0,"über Mitternacht, zusammen "&amp;TEXT((AR32+AE32)/1440,"[h]:mm")&amp;" Std.; ",IF(AR32+AE32&gt;480,"über Mitternacht: Pauschale am Vortag; ","über Mitternacht, zusammen nicht mehr als 8 Std.; ")),"")&amp;IF(AND(W32=1,V32&gt;0,OR(T32=1,U32=1)),"zwischendurch zu Hause: An- und Abreisetag; ","")&amp;IF(AND(W32=1,V32=0,T32=1),"Beginn leer lassen: unterwegs seit dem Vortag; ","")&amp;IF(AND(W32=0,V32&gt;0,U32=1),"Ende leer lassen: Übernachtung; ","")&amp;IF(AND(AJ32&gt;0,AM32&gt;AJ32),"Kürzung auf die Pauschale begrenzt; ",""))</f>
      </c>
      <c r="AM32" s="1">
        <f>ROUND(AG32*(IF(H32&lt;&gt;"",0.2,0)+IF(I32&lt;&gt;"",0.4,0)+IF(J32&lt;&gt;"",0.4,0)),2)</f>
      </c>
      <c r="AN32" s="1">
        <f>IF($A33="",'Juli'!$T$5,T33)</f>
      </c>
      <c r="AO32" s="1">
        <f>IF($A33="",'Juli'!$U$5,U33)</f>
      </c>
      <c r="AP32" s="1">
        <f>IF($A33="",'Juli'!$V$5,V33)</f>
      </c>
      <c r="AQ32" s="1">
        <f>IF($A33="",'Juli'!$AE$5,AE33)</f>
      </c>
      <c r="AR32" s="1">
        <f>AE31</f>
      </c>
      <c r="AS32" s="1">
        <f>X31</f>
      </c>
      <c r="AT32" s="1">
        <f>U31</f>
      </c>
      <c r="AU32" s="1">
        <f>V31</f>
      </c>
    </row>
    <row r="33" spans="1:47" x14ac:dyDescent="0.25">
      <c r="A33" s="17">
        <f>IF(MONTH(DATE(Jahr,6,29))=6,DATE(Jahr,6,29),"")</f>
      </c>
      <c r="B33" s="13">
        <f>IF(A33="","",CHOOSE(WEEKDAY(A33,2),"Mo","Di","Mi","Do","Fr","Sa","So"))</f>
      </c>
      <c r="C33" s="18"/>
      <c r="D33" s="18"/>
      <c r="E33" s="7"/>
      <c r="F33" s="7"/>
      <c r="G33" s="7"/>
      <c r="H33" s="19"/>
      <c r="I33" s="19"/>
      <c r="J33" s="19"/>
      <c r="K33" s="9"/>
      <c r="L33" s="20">
        <f>IF(OR(AD33=0,AF33&lt;&gt;"",AND(W33=1,V33&gt;0,OR(T33=1,U33=1))),"",AE33/1440)</f>
      </c>
      <c r="M33" s="21">
        <f>IF(OR(AD33=0,AF33&lt;&gt;""),"",AJ33)</f>
      </c>
      <c r="N33" s="21">
        <f>IF(AK33=0,"",AK33)</f>
      </c>
      <c r="O33" s="21">
        <f>IF(OR(AD33=0,AF33&lt;&gt;""),"",AJ33-AK33)</f>
      </c>
      <c r="P33" s="21">
        <f>IF(AND(AD33=1,AF33="",V33=2),AI33,"")</f>
      </c>
      <c r="Q33" s="21">
        <f>IF(OR($A33="",N(K33)=0),"",ROUND(K33*KmSatz,2))</f>
      </c>
      <c r="R33" s="22">
        <f>IF(AF33&amp;AL33="","",LEFT(AF33&amp;AL33,LEN(AF33&amp;AL33)-2))</f>
      </c>
      <c r="S33" s="1"/>
      <c r="T33" s="1">
        <f>IF(AND($A33&lt;&gt;"",ISNUMBER(C33)),1,0)</f>
      </c>
      <c r="U33" s="1">
        <f>IF(AND($A33&lt;&gt;"",ISNUMBER(D33)),1,0)</f>
      </c>
      <c r="V33" s="1">
        <f>IF($A33="",0,IF(E33="ja",1,IF(E33="Pauschale",2,0)))</f>
      </c>
      <c r="W33" s="1">
        <f>IF($A33="",0,IF(AU33&gt;0,1,0))</f>
      </c>
      <c r="X33" s="1">
        <f>IF(AND(T33=1,W33=0),1,0)</f>
      </c>
      <c r="Y33" s="1">
        <f>IF(AND(AS33=1,AT33=0,AU33=0),1,0)</f>
      </c>
      <c r="Z33" s="1">
        <f>IF(AND(Y33=1,T33=0,U33=1,V33=0),1,0)</f>
      </c>
      <c r="AA33" s="1">
        <f>IF(AND(X33=1,U33=0,V33=0,AN33=0,AO33=1,AP33=0),1,0)</f>
      </c>
      <c r="AB33" s="1">
        <f>IF(OR(W33=1,Z33=1),0,IF(T33=1,C33,0))</f>
      </c>
      <c r="AC33" s="1">
        <f>IF(OR(V33&gt;0,AA33=1),1,IF(U33=1,D33,1))</f>
      </c>
      <c r="AD33" s="1">
        <f>IF($A33="",0,IF(OR(T33=1,U33=1,V33&gt;0,W33=1),1,0))</f>
      </c>
      <c r="AE33" s="1">
        <f>IF(AD33=0,0,ROUND((AC33-AB33)*1440,0))</f>
      </c>
      <c r="AF33" s="1">
        <f>IF(AD33=0,"",IF(AND(F33&lt;&gt;"",ISNA(MATCH(F33,PauschLand,0))),"Land nicht in der Liste; ","")&amp;IF(AND(T33=0,W33=0,Z33=0),"Beginn fehlt; ","")&amp;IF(AND(V33=0,U33=0,AA33=0),"Ende fehlt; ","")&amp;IF(AND(X33=1,U33=1,V33=0,N(D33)&lt;N(C33)),"Ende vor Beginn (über Mitternacht: Ende in die Zeile des Folgetags); ",""))</f>
      </c>
      <c r="AG33" s="1">
        <f>IF(AD33=0,0,IFERROR(VLOOKUP(IF(F33="","Deutschland",F33),PauschTab,2,FALSE),0))</f>
      </c>
      <c r="AH33" s="1">
        <f>IF(AD33=0,0,IFERROR(VLOOKUP(IF(F33="","Deutschland",F33),PauschTab,3,FALSE),0))</f>
      </c>
      <c r="AI33" s="1">
        <f>IF(AD33=0,0,IFERROR(VLOOKUP(IF(F33="","Deutschland",F33),PauschTab,4,FALSE),0))</f>
      </c>
      <c r="AJ33" s="1">
        <f>IF(OR(AD33=0,AF33&lt;&gt;""),0,IF(AND(W33=1,V33&gt;0),IF(OR(T33=1,U33=1),AH33,AG33),IF(OR(W33=1,V33&gt;0),AH33,IF(AA33=1,IF(AND(AE33+AQ33&gt;480,AE33&gt;=AQ33),AH33,0),IF(Z33=1,IF(AND(AR33+AE33&gt;480,AE33&gt;AR33),AH33,0),IF(AE33&gt;480,AH33,0))))))</f>
      </c>
      <c r="AK33" s="1">
        <f>MIN(AJ33,AM33)</f>
      </c>
      <c r="AL33" s="1">
        <f>IF(OR(AD33=0,AF33&lt;&gt;""),"",IF(AND(W33=0,V33=0,AA33=0,Z33=0,AE33&lt;=480),"nicht mehr als 8 Std.; ","")&amp;IF(AA33=1,IF(AJ33&gt;0,"über Mitternacht, zusammen "&amp;TEXT((AE33+AQ33)/1440,"[h]:mm")&amp;" Std.; ",IF(AE33+AQ33&gt;480,"über Mitternacht: Pauschale am Folgetag; ","über Mitternacht, zusammen nicht mehr als 8 Std.; ")),"")&amp;IF(Z33=1,IF(AJ33&gt;0,"über Mitternacht, zusammen "&amp;TEXT((AR33+AE33)/1440,"[h]:mm")&amp;" Std.; ",IF(AR33+AE33&gt;480,"über Mitternacht: Pauschale am Vortag; ","über Mitternacht, zusammen nicht mehr als 8 Std.; ")),"")&amp;IF(AND(W33=1,V33&gt;0,OR(T33=1,U33=1)),"zwischendurch zu Hause: An- und Abreisetag; ","")&amp;IF(AND(W33=1,V33=0,T33=1),"Beginn leer lassen: unterwegs seit dem Vortag; ","")&amp;IF(AND(W33=0,V33&gt;0,U33=1),"Ende leer lassen: Übernachtung; ","")&amp;IF(AND(AJ33&gt;0,AM33&gt;AJ33),"Kürzung auf die Pauschale begrenzt; ",""))</f>
      </c>
      <c r="AM33" s="1">
        <f>ROUND(AG33*(IF(H33&lt;&gt;"",0.2,0)+IF(I33&lt;&gt;"",0.4,0)+IF(J33&lt;&gt;"",0.4,0)),2)</f>
      </c>
      <c r="AN33" s="1">
        <f>IF($A34="",'Juli'!$T$5,T34)</f>
      </c>
      <c r="AO33" s="1">
        <f>IF($A34="",'Juli'!$U$5,U34)</f>
      </c>
      <c r="AP33" s="1">
        <f>IF($A34="",'Juli'!$V$5,V34)</f>
      </c>
      <c r="AQ33" s="1">
        <f>IF($A34="",'Juli'!$AE$5,AE34)</f>
      </c>
      <c r="AR33" s="1">
        <f>AE32</f>
      </c>
      <c r="AS33" s="1">
        <f>X32</f>
      </c>
      <c r="AT33" s="1">
        <f>U32</f>
      </c>
      <c r="AU33" s="1">
        <f>V32</f>
      </c>
    </row>
    <row r="34" spans="1:47" x14ac:dyDescent="0.25">
      <c r="A34" s="17">
        <f>IF(MONTH(DATE(Jahr,6,30))=6,DATE(Jahr,6,30),"")</f>
      </c>
      <c r="B34" s="13">
        <f>IF(A34="","",CHOOSE(WEEKDAY(A34,2),"Mo","Di","Mi","Do","Fr","Sa","So"))</f>
      </c>
      <c r="C34" s="18"/>
      <c r="D34" s="18"/>
      <c r="E34" s="7"/>
      <c r="F34" s="7"/>
      <c r="G34" s="7"/>
      <c r="H34" s="19"/>
      <c r="I34" s="19"/>
      <c r="J34" s="19"/>
      <c r="K34" s="9"/>
      <c r="L34" s="20">
        <f>IF(OR(AD34=0,AF34&lt;&gt;"",AND(W34=1,V34&gt;0,OR(T34=1,U34=1))),"",AE34/1440)</f>
      </c>
      <c r="M34" s="21">
        <f>IF(OR(AD34=0,AF34&lt;&gt;""),"",AJ34)</f>
      </c>
      <c r="N34" s="21">
        <f>IF(AK34=0,"",AK34)</f>
      </c>
      <c r="O34" s="21">
        <f>IF(OR(AD34=0,AF34&lt;&gt;""),"",AJ34-AK34)</f>
      </c>
      <c r="P34" s="21">
        <f>IF(AND(AD34=1,AF34="",V34=2),AI34,"")</f>
      </c>
      <c r="Q34" s="21">
        <f>IF(OR($A34="",N(K34)=0),"",ROUND(K34*KmSatz,2))</f>
      </c>
      <c r="R34" s="22">
        <f>IF(AF34&amp;AL34="","",LEFT(AF34&amp;AL34,LEN(AF34&amp;AL34)-2))</f>
      </c>
      <c r="S34" s="1"/>
      <c r="T34" s="1">
        <f>IF(AND($A34&lt;&gt;"",ISNUMBER(C34)),1,0)</f>
      </c>
      <c r="U34" s="1">
        <f>IF(AND($A34&lt;&gt;"",ISNUMBER(D34)),1,0)</f>
      </c>
      <c r="V34" s="1">
        <f>IF($A34="",0,IF(E34="ja",1,IF(E34="Pauschale",2,0)))</f>
      </c>
      <c r="W34" s="1">
        <f>IF($A34="",0,IF(AU34&gt;0,1,0))</f>
      </c>
      <c r="X34" s="1">
        <f>IF(AND(T34=1,W34=0),1,0)</f>
      </c>
      <c r="Y34" s="1">
        <f>IF(AND(AS34=1,AT34=0,AU34=0),1,0)</f>
      </c>
      <c r="Z34" s="1">
        <f>IF(AND(Y34=1,T34=0,U34=1,V34=0),1,0)</f>
      </c>
      <c r="AA34" s="1">
        <f>IF(AND(X34=1,U34=0,V34=0,AN34=0,AO34=1,AP34=0),1,0)</f>
      </c>
      <c r="AB34" s="1">
        <f>IF(OR(W34=1,Z34=1),0,IF(T34=1,C34,0))</f>
      </c>
      <c r="AC34" s="1">
        <f>IF(OR(V34&gt;0,AA34=1),1,IF(U34=1,D34,1))</f>
      </c>
      <c r="AD34" s="1">
        <f>IF($A34="",0,IF(OR(T34=1,U34=1,V34&gt;0,W34=1),1,0))</f>
      </c>
      <c r="AE34" s="1">
        <f>IF(AD34=0,0,ROUND((AC34-AB34)*1440,0))</f>
      </c>
      <c r="AF34" s="1">
        <f>IF(AD34=0,"",IF(AND(F34&lt;&gt;"",ISNA(MATCH(F34,PauschLand,0))),"Land nicht in der Liste; ","")&amp;IF(AND(T34=0,W34=0,Z34=0),"Beginn fehlt; ","")&amp;IF(AND(V34=0,U34=0,AA34=0),"Ende fehlt; ","")&amp;IF(AND(X34=1,U34=1,V34=0,N(D34)&lt;N(C34)),"Ende vor Beginn (über Mitternacht: Ende in die Zeile des Folgetags); ",""))</f>
      </c>
      <c r="AG34" s="1">
        <f>IF(AD34=0,0,IFERROR(VLOOKUP(IF(F34="","Deutschland",F34),PauschTab,2,FALSE),0))</f>
      </c>
      <c r="AH34" s="1">
        <f>IF(AD34=0,0,IFERROR(VLOOKUP(IF(F34="","Deutschland",F34),PauschTab,3,FALSE),0))</f>
      </c>
      <c r="AI34" s="1">
        <f>IF(AD34=0,0,IFERROR(VLOOKUP(IF(F34="","Deutschland",F34),PauschTab,4,FALSE),0))</f>
      </c>
      <c r="AJ34" s="1">
        <f>IF(OR(AD34=0,AF34&lt;&gt;""),0,IF(AND(W34=1,V34&gt;0),IF(OR(T34=1,U34=1),AH34,AG34),IF(OR(W34=1,V34&gt;0),AH34,IF(AA34=1,IF(AND(AE34+AQ34&gt;480,AE34&gt;=AQ34),AH34,0),IF(Z34=1,IF(AND(AR34+AE34&gt;480,AE34&gt;AR34),AH34,0),IF(AE34&gt;480,AH34,0))))))</f>
      </c>
      <c r="AK34" s="1">
        <f>MIN(AJ34,AM34)</f>
      </c>
      <c r="AL34" s="1">
        <f>IF(OR(AD34=0,AF34&lt;&gt;""),"",IF(AND(W34=0,V34=0,AA34=0,Z34=0,AE34&lt;=480),"nicht mehr als 8 Std.; ","")&amp;IF(AA34=1,IF(AJ34&gt;0,"über Mitternacht, zusammen "&amp;TEXT((AE34+AQ34)/1440,"[h]:mm")&amp;" Std.; ",IF(AE34+AQ34&gt;480,"über Mitternacht: Pauschale am Folgetag; ","über Mitternacht, zusammen nicht mehr als 8 Std.; ")),"")&amp;IF(Z34=1,IF(AJ34&gt;0,"über Mitternacht, zusammen "&amp;TEXT((AR34+AE34)/1440,"[h]:mm")&amp;" Std.; ",IF(AR34+AE34&gt;480,"über Mitternacht: Pauschale am Vortag; ","über Mitternacht, zusammen nicht mehr als 8 Std.; ")),"")&amp;IF(AND(W34=1,V34&gt;0,OR(T34=1,U34=1)),"zwischendurch zu Hause: An- und Abreisetag; ","")&amp;IF(AND(W34=1,V34=0,T34=1),"Beginn leer lassen: unterwegs seit dem Vortag; ","")&amp;IF(AND(W34=0,V34&gt;0,U34=1),"Ende leer lassen: Übernachtung; ","")&amp;IF(AND(AJ34&gt;0,AM34&gt;AJ34),"Kürzung auf die Pauschale begrenzt; ",""))</f>
      </c>
      <c r="AM34" s="1">
        <f>ROUND(AG34*(IF(H34&lt;&gt;"",0.2,0)+IF(I34&lt;&gt;"",0.4,0)+IF(J34&lt;&gt;"",0.4,0)),2)</f>
      </c>
      <c r="AN34" s="1">
        <f>IF($A35="",'Juli'!$T$5,T35)</f>
      </c>
      <c r="AO34" s="1">
        <f>IF($A35="",'Juli'!$U$5,U35)</f>
      </c>
      <c r="AP34" s="1">
        <f>IF($A35="",'Juli'!$V$5,V35)</f>
      </c>
      <c r="AQ34" s="1">
        <f>IF($A35="",'Juli'!$AE$5,AE35)</f>
      </c>
      <c r="AR34" s="1">
        <f>AE33</f>
      </c>
      <c r="AS34" s="1">
        <f>X33</f>
      </c>
      <c r="AT34" s="1">
        <f>U33</f>
      </c>
      <c r="AU34" s="1">
        <f>V33</f>
      </c>
    </row>
    <row r="35" spans="1:47" x14ac:dyDescent="0.25">
      <c r="A35" s="17">
        <f>IF(MONTH(DATE(Jahr,6,31))=6,DATE(Jahr,6,31),"")</f>
      </c>
      <c r="B35" s="13">
        <f>IF(A35="","",CHOOSE(WEEKDAY(A35,2),"Mo","Di","Mi","Do","Fr","Sa","So"))</f>
      </c>
      <c r="C35" s="18"/>
      <c r="D35" s="18"/>
      <c r="E35" s="7"/>
      <c r="F35" s="7"/>
      <c r="G35" s="7"/>
      <c r="H35" s="19"/>
      <c r="I35" s="19"/>
      <c r="J35" s="19"/>
      <c r="K35" s="9"/>
      <c r="L35" s="20">
        <f>IF(OR(AD35=0,AF35&lt;&gt;"",AND(W35=1,V35&gt;0,OR(T35=1,U35=1))),"",AE35/1440)</f>
      </c>
      <c r="M35" s="21">
        <f>IF(OR(AD35=0,AF35&lt;&gt;""),"",AJ35)</f>
      </c>
      <c r="N35" s="21">
        <f>IF(AK35=0,"",AK35)</f>
      </c>
      <c r="O35" s="21">
        <f>IF(OR(AD35=0,AF35&lt;&gt;""),"",AJ35-AK35)</f>
      </c>
      <c r="P35" s="21">
        <f>IF(AND(AD35=1,AF35="",V35=2),AI35,"")</f>
      </c>
      <c r="Q35" s="21">
        <f>IF(OR($A35="",N(K35)=0),"",ROUND(K35*KmSatz,2))</f>
      </c>
      <c r="R35" s="22">
        <f>IF(AF35&amp;AL35="","",LEFT(AF35&amp;AL35,LEN(AF35&amp;AL35)-2))</f>
      </c>
      <c r="S35" s="1"/>
      <c r="T35" s="1">
        <f>IF(AND($A35&lt;&gt;"",ISNUMBER(C35)),1,0)</f>
      </c>
      <c r="U35" s="1">
        <f>IF(AND($A35&lt;&gt;"",ISNUMBER(D35)),1,0)</f>
      </c>
      <c r="V35" s="1">
        <f>IF($A35="",0,IF(E35="ja",1,IF(E35="Pauschale",2,0)))</f>
      </c>
      <c r="W35" s="1">
        <f>IF($A35="",0,IF(AU35&gt;0,1,0))</f>
      </c>
      <c r="X35" s="1">
        <f>IF(AND(T35=1,W35=0),1,0)</f>
      </c>
      <c r="Y35" s="1">
        <f>IF(AND(AS35=1,AT35=0,AU35=0),1,0)</f>
      </c>
      <c r="Z35" s="1">
        <f>IF(AND(Y35=1,T35=0,U35=1,V35=0),1,0)</f>
      </c>
      <c r="AA35" s="1">
        <f>IF(AND(X35=1,U35=0,V35=0,AN35=0,AO35=1,AP35=0),1,0)</f>
      </c>
      <c r="AB35" s="1">
        <f>IF(OR(W35=1,Z35=1),0,IF(T35=1,C35,0))</f>
      </c>
      <c r="AC35" s="1">
        <f>IF(OR(V35&gt;0,AA35=1),1,IF(U35=1,D35,1))</f>
      </c>
      <c r="AD35" s="1">
        <f>IF($A35="",0,IF(OR(T35=1,U35=1,V35&gt;0,W35=1),1,0))</f>
      </c>
      <c r="AE35" s="1">
        <f>IF(AD35=0,0,ROUND((AC35-AB35)*1440,0))</f>
      </c>
      <c r="AF35" s="1">
        <f>IF(AD35=0,"",IF(AND(F35&lt;&gt;"",ISNA(MATCH(F35,PauschLand,0))),"Land nicht in der Liste; ","")&amp;IF(AND(T35=0,W35=0,Z35=0),"Beginn fehlt; ","")&amp;IF(AND(V35=0,U35=0,AA35=0),"Ende fehlt; ","")&amp;IF(AND(X35=1,U35=1,V35=0,N(D35)&lt;N(C35)),"Ende vor Beginn (über Mitternacht: Ende in die Zeile des Folgetags); ",""))</f>
      </c>
      <c r="AG35" s="1">
        <f>IF(AD35=0,0,IFERROR(VLOOKUP(IF(F35="","Deutschland",F35),PauschTab,2,FALSE),0))</f>
      </c>
      <c r="AH35" s="1">
        <f>IF(AD35=0,0,IFERROR(VLOOKUP(IF(F35="","Deutschland",F35),PauschTab,3,FALSE),0))</f>
      </c>
      <c r="AI35" s="1">
        <f>IF(AD35=0,0,IFERROR(VLOOKUP(IF(F35="","Deutschland",F35),PauschTab,4,FALSE),0))</f>
      </c>
      <c r="AJ35" s="1">
        <f>IF(OR(AD35=0,AF35&lt;&gt;""),0,IF(AND(W35=1,V35&gt;0),IF(OR(T35=1,U35=1),AH35,AG35),IF(OR(W35=1,V35&gt;0),AH35,IF(AA35=1,IF(AND(AE35+AQ35&gt;480,AE35&gt;=AQ35),AH35,0),IF(Z35=1,IF(AND(AR35+AE35&gt;480,AE35&gt;AR35),AH35,0),IF(AE35&gt;480,AH35,0))))))</f>
      </c>
      <c r="AK35" s="1">
        <f>MIN(AJ35,AM35)</f>
      </c>
      <c r="AL35" s="1">
        <f>IF(OR(AD35=0,AF35&lt;&gt;""),"",IF(AND(W35=0,V35=0,AA35=0,Z35=0,AE35&lt;=480),"nicht mehr als 8 Std.; ","")&amp;IF(AA35=1,IF(AJ35&gt;0,"über Mitternacht, zusammen "&amp;TEXT((AE35+AQ35)/1440,"[h]:mm")&amp;" Std.; ",IF(AE35+AQ35&gt;480,"über Mitternacht: Pauschale am Folgetag; ","über Mitternacht, zusammen nicht mehr als 8 Std.; ")),"")&amp;IF(Z35=1,IF(AJ35&gt;0,"über Mitternacht, zusammen "&amp;TEXT((AR35+AE35)/1440,"[h]:mm")&amp;" Std.; ",IF(AR35+AE35&gt;480,"über Mitternacht: Pauschale am Vortag; ","über Mitternacht, zusammen nicht mehr als 8 Std.; ")),"")&amp;IF(AND(W35=1,V35&gt;0,OR(T35=1,U35=1)),"zwischendurch zu Hause: An- und Abreisetag; ","")&amp;IF(AND(W35=1,V35=0,T35=1),"Beginn leer lassen: unterwegs seit dem Vortag; ","")&amp;IF(AND(W35=0,V35&gt;0,U35=1),"Ende leer lassen: Übernachtung; ","")&amp;IF(AND(AJ35&gt;0,AM35&gt;AJ35),"Kürzung auf die Pauschale begrenzt; ",""))</f>
      </c>
      <c r="AM35" s="1">
        <f>ROUND(AG35*(IF(H35&lt;&gt;"",0.2,0)+IF(I35&lt;&gt;"",0.4,0)+IF(J35&lt;&gt;"",0.4,0)),2)</f>
      </c>
      <c r="AN35" s="1">
        <f>'Juli'!$T$5</f>
      </c>
      <c r="AO35" s="1">
        <f>'Juli'!$U$5</f>
      </c>
      <c r="AP35" s="1">
        <f>'Juli'!$V$5</f>
      </c>
      <c r="AQ35" s="1">
        <f>'Juli'!$AE$5</f>
      </c>
      <c r="AR35" s="1">
        <f>AE34</f>
      </c>
      <c r="AS35" s="1">
        <f>X34</f>
      </c>
      <c r="AT35" s="1">
        <f>U34</f>
      </c>
      <c r="AU35" s="1">
        <f>V34</f>
      </c>
    </row>
    <row r="37" spans="1:21" x14ac:dyDescent="0.25">
      <c r="A37" s="23">
        <f>"Abrechnung Juni "&amp;Jahr</f>
      </c>
      <c r="B37" s="1"/>
      <c r="C37" s="1"/>
      <c r="D37" s="1"/>
      <c r="E37" s="1"/>
      <c r="F37" s="1"/>
      <c r="G37" s="1"/>
      <c r="H37" s="1"/>
      <c r="I37" s="1"/>
      <c r="J37" s="1"/>
      <c r="K37" s="23">
        <f>"Buchung ("&amp;Kontenrahmen&amp;IF(Vorsteuerabzug="nein",", ohne Vorsteuer","")&amp;")"</f>
      </c>
      <c r="L37" s="1"/>
      <c r="M37" s="1"/>
      <c r="N37" s="1"/>
      <c r="O37" s="1"/>
      <c r="P37" s="1"/>
      <c r="Q37" s="1"/>
      <c r="R37" s="1"/>
      <c r="S37" s="1"/>
      <c r="T37" s="1">
        <f>COUNTIF(AD5:AD35,1)</f>
      </c>
      <c r="U37" s="1">
        <f>SUM(K5:K35)</f>
      </c>
    </row>
    <row r="38" spans="1:19" x14ac:dyDescent="0.25">
      <c r="A38" s="6" t="s">
        <v>49</v>
      </c>
      <c r="B38" s="6"/>
      <c r="C38" s="6"/>
      <c r="D38" s="6"/>
      <c r="E38" s="6"/>
      <c r="F38" s="6"/>
      <c r="G38" s="24">
        <f>SUM(O5:O35)</f>
      </c>
      <c r="H38" s="1"/>
      <c r="I38" s="1"/>
      <c r="J38" s="1"/>
      <c r="K38" s="25">
        <f>KtoVerpflegung</f>
      </c>
      <c r="L38" s="1" t="s">
        <v>49</v>
      </c>
      <c r="M38" s="1"/>
      <c r="N38" s="1"/>
      <c r="O38" s="1"/>
      <c r="P38" s="1"/>
      <c r="Q38" s="1"/>
      <c r="R38" s="26">
        <f>S38</f>
      </c>
      <c r="S38" s="1">
        <f>G38</f>
      </c>
    </row>
    <row r="39" spans="1:19" x14ac:dyDescent="0.25">
      <c r="A39" s="6" t="s">
        <v>75</v>
      </c>
      <c r="B39" s="6"/>
      <c r="C39" s="6"/>
      <c r="D39" s="6"/>
      <c r="E39" s="6"/>
      <c r="F39" s="6"/>
      <c r="G39" s="24">
        <f>SUMIFS(Belege!$O$5:$O$304,Belege!$L$5:$L$304,6,Belege!$C$5:$C$304,"Übernachtung")+SUM(P5:P35)</f>
      </c>
      <c r="H39" s="1"/>
      <c r="I39" s="1"/>
      <c r="J39" s="1"/>
      <c r="K39" s="25">
        <f>KtoUebernachtung</f>
      </c>
      <c r="L39" s="1" t="s">
        <v>50</v>
      </c>
      <c r="M39" s="1"/>
      <c r="N39" s="1"/>
      <c r="O39" s="1"/>
      <c r="P39" s="1"/>
      <c r="Q39" s="1"/>
      <c r="R39" s="26">
        <f>S39</f>
      </c>
      <c r="S39" s="1">
        <f>IF(Vorsteuerabzug="nein",SUMIFS(Belege!$O$5:$O$304,Belege!$L$5:$L$304,6,Belege!$C$5:$C$304,"Übernachtung"),SUMIFS(Belege!$P$5:$P$304,Belege!$L$5:$L$304,6,Belege!$C$5:$C$304,"Übernachtung"))+SUM(P5:P35)</f>
      </c>
    </row>
    <row r="40" spans="1:19" x14ac:dyDescent="0.25">
      <c r="A40" s="6" t="s">
        <v>76</v>
      </c>
      <c r="B40" s="6"/>
      <c r="C40" s="6"/>
      <c r="D40" s="6"/>
      <c r="E40" s="6"/>
      <c r="F40" s="6"/>
      <c r="G40" s="24">
        <f>SUMIFS(Belege!$O$5:$O$304,Belege!$L$5:$L$304,6,Belege!$C$5:$C$304,"Fahrtkosten")</f>
      </c>
      <c r="H40" s="1"/>
      <c r="I40" s="1"/>
      <c r="J40" s="1"/>
      <c r="K40" s="25">
        <f>KtoFahrtkosten</f>
      </c>
      <c r="L40" s="1" t="s">
        <v>51</v>
      </c>
      <c r="M40" s="1"/>
      <c r="N40" s="1"/>
      <c r="O40" s="1"/>
      <c r="P40" s="1"/>
      <c r="Q40" s="1"/>
      <c r="R40" s="26">
        <f>S40</f>
      </c>
      <c r="S40" s="1">
        <f>IF(Vorsteuerabzug="nein",SUMIFS(Belege!$O$5:$O$304,Belege!$L$5:$L$304,6,Belege!$C$5:$C$304,"Fahrtkosten"),SUMIFS(Belege!$P$5:$P$304,Belege!$L$5:$L$304,6,Belege!$C$5:$C$304,"Fahrtkosten"))</f>
      </c>
    </row>
    <row r="41" spans="1:19" x14ac:dyDescent="0.25">
      <c r="A41" s="6">
        <f>"Kilometergeld ("&amp;SUM(K5:K35)&amp;" km zu "&amp;IF(KmSatz=0.2,"0,20","0,30")&amp;" €)"</f>
      </c>
      <c r="B41" s="6"/>
      <c r="C41" s="6"/>
      <c r="D41" s="6"/>
      <c r="E41" s="6"/>
      <c r="F41" s="6"/>
      <c r="G41" s="24">
        <f>SUM(Q5:Q35)</f>
      </c>
      <c r="H41" s="1"/>
      <c r="I41" s="1"/>
      <c r="J41" s="1"/>
      <c r="K41" s="25">
        <f>KtoKilometergeld</f>
      </c>
      <c r="L41" s="1" t="s">
        <v>52</v>
      </c>
      <c r="M41" s="1"/>
      <c r="N41" s="1"/>
      <c r="O41" s="1"/>
      <c r="P41" s="1"/>
      <c r="Q41" s="1"/>
      <c r="R41" s="26">
        <f>S41</f>
      </c>
      <c r="S41" s="1">
        <f>G41</f>
      </c>
    </row>
    <row r="42" spans="1:19" x14ac:dyDescent="0.25">
      <c r="A42" s="6" t="s">
        <v>77</v>
      </c>
      <c r="B42" s="6"/>
      <c r="C42" s="6"/>
      <c r="D42" s="6"/>
      <c r="E42" s="6"/>
      <c r="F42" s="6"/>
      <c r="G42" s="24">
        <f>SUMIFS(Belege!$O$5:$O$304,Belege!$L$5:$L$304,6,Belege!$C$5:$C$304,"Nebenkosten")</f>
      </c>
      <c r="H42" s="1"/>
      <c r="I42" s="1"/>
      <c r="J42" s="1"/>
      <c r="K42" s="25">
        <f>KtoNebenkosten</f>
      </c>
      <c r="L42" s="1" t="s">
        <v>53</v>
      </c>
      <c r="M42" s="1"/>
      <c r="N42" s="1"/>
      <c r="O42" s="1"/>
      <c r="P42" s="1"/>
      <c r="Q42" s="1"/>
      <c r="R42" s="26">
        <f>S42</f>
      </c>
      <c r="S42" s="1">
        <f>IF(Vorsteuerabzug="nein",SUMIFS(Belege!$O$5:$O$304,Belege!$L$5:$L$304,6,Belege!$C$5:$C$304,"Nebenkosten"),SUMIFS(Belege!$P$5:$P$304,Belege!$L$5:$L$304,6,Belege!$C$5:$C$304,"Nebenkosten"))</f>
      </c>
    </row>
    <row r="43" spans="1:19" x14ac:dyDescent="0.25">
      <c r="A43" s="11" t="s">
        <v>78</v>
      </c>
      <c r="B43" s="11"/>
      <c r="C43" s="11"/>
      <c r="D43" s="11"/>
      <c r="E43" s="11"/>
      <c r="F43" s="11"/>
      <c r="G43" s="27">
        <f>SUM(G38:G42)</f>
      </c>
      <c r="H43" s="1"/>
      <c r="I43" s="1"/>
      <c r="J43" s="1"/>
      <c r="K43" s="25">
        <f>KtoVSt7</f>
      </c>
      <c r="L43" s="1" t="s">
        <v>54</v>
      </c>
      <c r="M43" s="1"/>
      <c r="N43" s="1"/>
      <c r="O43" s="1"/>
      <c r="P43" s="1"/>
      <c r="Q43" s="1"/>
      <c r="R43" s="26">
        <f>IF(Vorsteuerabzug="nein","",S43)</f>
      </c>
      <c r="S43" s="1">
        <f>IF(Vorsteuerabzug="nein",0,SUMIFS(Belege!$Q$5:$Q$304,Belege!$L$5:$L$304,6,Belege!$M$5:$M$304,0.07))</f>
      </c>
    </row>
    <row r="44" spans="1:19" x14ac:dyDescent="0.25">
      <c r="A44" s="6" t="s">
        <v>79</v>
      </c>
      <c r="B44" s="6"/>
      <c r="C44" s="6"/>
      <c r="D44" s="6"/>
      <c r="E44" s="6"/>
      <c r="F44" s="6"/>
      <c r="G44" s="28"/>
      <c r="H44" s="1"/>
      <c r="I44" s="1"/>
      <c r="J44" s="1"/>
      <c r="K44" s="25">
        <f>KtoVSt19</f>
      </c>
      <c r="L44" s="1" t="s">
        <v>55</v>
      </c>
      <c r="M44" s="1"/>
      <c r="N44" s="1"/>
      <c r="O44" s="1"/>
      <c r="P44" s="1"/>
      <c r="Q44" s="1"/>
      <c r="R44" s="26">
        <f>IF(Vorsteuerabzug="nein","",S44)</f>
      </c>
      <c r="S44" s="1">
        <f>IF(Vorsteuerabzug="nein",0,SUMIFS(Belege!$Q$5:$Q$304,Belege!$L$5:$L$304,6,Belege!$M$5:$M$304,0.19))</f>
      </c>
    </row>
    <row r="45" spans="1:18" x14ac:dyDescent="0.25">
      <c r="A45" s="11" t="s">
        <v>80</v>
      </c>
      <c r="B45" s="11"/>
      <c r="C45" s="11"/>
      <c r="D45" s="11"/>
      <c r="E45" s="11"/>
      <c r="F45" s="11"/>
      <c r="G45" s="27">
        <f>G43-N(G44)</f>
      </c>
      <c r="H45" s="1"/>
      <c r="I45" s="1"/>
      <c r="J45" s="1"/>
      <c r="K45" s="11" t="s">
        <v>81</v>
      </c>
      <c r="L45" s="11"/>
      <c r="M45" s="11"/>
      <c r="N45" s="11"/>
      <c r="O45" s="11"/>
      <c r="P45" s="11"/>
      <c r="Q45" s="11"/>
      <c r="R45" s="27">
        <f>SUM(S38:S44)</f>
      </c>
    </row>
    <row r="46" spans="1:7" x14ac:dyDescent="0.25">
      <c r="A46" s="29" t="s">
        <v>82</v>
      </c>
      <c r="B46" s="29"/>
      <c r="C46" s="29"/>
      <c r="D46" s="29"/>
      <c r="E46" s="29"/>
      <c r="F46" s="29"/>
      <c r="G46" s="30">
        <f>SUMIFS(Belege!$E$5:$E$304,Belege!$L$5:$L$304,6,Belege!$N$5:$N$304,0)</f>
      </c>
    </row>
    <row r="49" spans="1:18" x14ac:dyDescent="0.25">
      <c r="A49" s="31"/>
      <c r="B49" s="31"/>
      <c r="C49" s="31"/>
      <c r="D49" s="31"/>
      <c r="E49" s="31"/>
      <c r="F49" s="31"/>
      <c r="G49" s="31"/>
      <c r="H49" s="31"/>
      <c r="I49" s="31"/>
      <c r="J49" s="31"/>
      <c r="K49" s="31"/>
      <c r="M49" s="31"/>
      <c r="N49" s="31"/>
      <c r="O49" s="31"/>
      <c r="P49" s="31"/>
      <c r="Q49" s="31"/>
      <c r="R49" s="31"/>
    </row>
    <row r="50" spans="1:13" x14ac:dyDescent="0.25">
      <c r="A50" s="32" t="s">
        <v>83</v>
      </c>
      <c r="B50" s="1"/>
      <c r="C50" s="1"/>
      <c r="D50" s="1"/>
      <c r="E50" s="1"/>
      <c r="F50" s="1"/>
      <c r="G50" s="32" t="s">
        <v>84</v>
      </c>
      <c r="H50" s="1"/>
      <c r="I50" s="1"/>
      <c r="J50" s="1"/>
      <c r="K50" s="1"/>
      <c r="L50" s="1"/>
      <c r="M50" s="32" t="s">
        <v>85</v>
      </c>
    </row>
  </sheetData>
  <sheetProtection sheet="1" formatCells="0" formatColumns="0" formatRows="0"/>
  <mergeCells count="17">
    <mergeCell ref="A38:F38"/>
    <mergeCell ref="L38:Q38"/>
    <mergeCell ref="A39:F39"/>
    <mergeCell ref="L39:Q39"/>
    <mergeCell ref="A40:F40"/>
    <mergeCell ref="L40:Q40"/>
    <mergeCell ref="A41:F41"/>
    <mergeCell ref="L41:Q41"/>
    <mergeCell ref="A42:F42"/>
    <mergeCell ref="L42:Q42"/>
    <mergeCell ref="A43:F43"/>
    <mergeCell ref="L43:Q43"/>
    <mergeCell ref="A44:F44"/>
    <mergeCell ref="L44:Q44"/>
    <mergeCell ref="A45:F45"/>
    <mergeCell ref="K45:Q45"/>
    <mergeCell ref="A46:F46"/>
  </mergeCells>
  <conditionalFormatting sqref="A5:Q35">
    <cfRule type="expression" dxfId="30" priority="1">
      <formula>$A5=""</formula>
    </cfRule>
    <cfRule type="expression" dxfId="31" priority="2">
      <formula>WEEKDAY($A5,2)&gt;5</formula>
    </cfRule>
  </conditionalFormatting>
  <conditionalFormatting sqref="R5:R35">
    <cfRule type="expression" dxfId="32" priority="3">
      <formula>$A5=""</formula>
    </cfRule>
    <cfRule type="expression" dxfId="33" priority="4">
      <formula>AND($AF5&lt;&gt;"",WEEKDAY($A5,2)&gt;5)</formula>
    </cfRule>
    <cfRule type="expression" dxfId="34" priority="5">
      <formula>$AF5&lt;&gt;""</formula>
    </cfRule>
    <cfRule type="expression" dxfId="35" priority="6">
      <formula>WEEKDAY($A5,2)&gt;5</formula>
    </cfRule>
  </conditionalFormatting>
  <dataValidations count="11">
    <dataValidation type="decimal" allowBlank="1" showErrorMessage="1" errorTitle="Uhrzeit" error="Bitte als Uhrzeit hh:mm eingeben, z. B. 7:30 oder 16:45." sqref="C10:D35">
      <formula1>0</formula1>
      <formula2>0.99999</formula2>
    </dataValidation>
    <dataValidation type="decimal" allowBlank="1" showErrorMessage="1" errorTitle="Uhrzeit" error="Bitte als Uhrzeit hh:mm eingeben, z. B. 7:30 oder 16:45." sqref="C5:D35">
      <formula1>0</formula1>
      <formula2>0.99999</formula2>
    </dataValidation>
    <dataValidation type="list" allowBlank="1" showErrorMessage="1" errorTitle="Übernachtung" error="Bitte aus der Liste wählen." sqref="E10:E35">
      <formula1>"ja,Pauschale"</formula1>
    </dataValidation>
    <dataValidation type="list" allowBlank="1" showErrorMessage="1" errorTitle="Übernachtung" error="Bitte aus der Liste wählen." sqref="E5:E35">
      <formula1>"ja,Pauschale"</formula1>
    </dataValidation>
    <dataValidation type="list" allowBlank="1" showErrorMessage="1" errorTitle="Land / Ort" error="Bitte aus der Liste wählen; nicht aufgeführte Länder: Luxemburg." sqref="F10:F35">
      <formula1>Pauschalen!$A$4:$A$218</formula1>
    </dataValidation>
    <dataValidation type="list" allowBlank="1" showErrorMessage="1" errorTitle="Land / Ort" error="Bitte aus der Liste wählen; nicht aufgeführte Länder: Luxemburg." sqref="F5:F35">
      <formula1>Pauschalen!$A$4:$A$218</formula1>
    </dataValidation>
    <dataValidation type="decimal" allowBlank="1" showErrorMessage="1" errorTitle="Vorschuss" error="Bitte einen Betrag in Euro eintragen." sqref="G44">
      <formula1>0</formula1>
      <formula2>99999</formula2>
    </dataValidation>
    <dataValidation type="list" allowBlank="1" showErrorMessage="1" errorTitle="Mahlzeit" error="Bitte aus der Liste wählen." sqref="H10:J35">
      <formula1>"x"</formula1>
    </dataValidation>
    <dataValidation type="list" allowBlank="1" showErrorMessage="1" errorTitle="Mahlzeit" error="Bitte aus der Liste wählen." sqref="H5:J35">
      <formula1>"x"</formula1>
    </dataValidation>
    <dataValidation type="whole" allowBlank="1" showErrorMessage="1" errorTitle="Kilometer" error="Bitte die gefahrenen Kilometer als ganze Zahl eintragen." sqref="K10:K35">
      <formula1>0</formula1>
      <formula2>5000</formula2>
    </dataValidation>
    <dataValidation type="whole" allowBlank="1" showErrorMessage="1" errorTitle="Kilometer" error="Bitte die gefahrenen Kilometer als ganze Zahl eintragen." sqref="K5:K35">
      <formula1>0</formula1>
      <formula2>5000</formula2>
    </dataValidation>
  </dataValidations>
  <pageMargins left="0.4" right="0.4" top="0.5" bottom="0.5" header="0.2" footer="0.2"/>
  <pageSetup paperSize="9" orientation="landscape"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0"/>
  <sheetViews>
    <sheetView workbookViewId="0" showGridLines="0">
      <pane xSplit="2" ySplit="4" topLeftCell="C5" activePane="bottomRight" state="frozen"/>
      <selection pane="bottomRight"/>
    </sheetView>
  </sheetViews>
  <sheetFormatPr defaultRowHeight="15" outlineLevelRow="0" outlineLevelCol="0" x14ac:dyDescent="55"/>
  <cols>
    <col min="1" max="1" width="7" customWidth="1"/>
    <col min="2" max="2" width="4" customWidth="1"/>
    <col min="3" max="4" width="6.5" customWidth="1"/>
    <col min="5" max="5" width="10" customWidth="1"/>
    <col min="6" max="6" width="18" customWidth="1"/>
    <col min="7" max="7" width="24" customWidth="1"/>
    <col min="8" max="10" width="5.5" customWidth="1"/>
    <col min="11" max="11" width="8" customWidth="1"/>
    <col min="14" max="14" width="8.5" customWidth="1"/>
    <col min="15" max="15" width="10.5" customWidth="1"/>
    <col min="16" max="16" width="12" customWidth="1"/>
    <col min="17" max="17" width="10" customWidth="1"/>
    <col min="18" max="18" width="36" customWidth="1"/>
    <col min="19" max="19" width="9" hidden="1" customWidth="1"/>
    <col min="20" max="20" width="9" hidden="1" customWidth="1"/>
    <col min="21" max="21" width="9" hidden="1" customWidth="1"/>
    <col min="22" max="22" width="9" hidden="1" customWidth="1"/>
    <col min="23" max="23" width="9" hidden="1" customWidth="1"/>
    <col min="24" max="24" width="9" hidden="1" customWidth="1"/>
    <col min="25" max="25" width="9" hidden="1" customWidth="1"/>
    <col min="26" max="26" width="9" hidden="1" customWidth="1"/>
    <col min="27" max="27" width="9" hidden="1" customWidth="1"/>
    <col min="28" max="28" width="9" hidden="1" customWidth="1"/>
    <col min="29" max="29" width="9" hidden="1" customWidth="1"/>
    <col min="30" max="30" width="9" hidden="1" customWidth="1"/>
    <col min="31" max="31" width="9" hidden="1" customWidth="1"/>
    <col min="32" max="32" width="9" hidden="1" customWidth="1"/>
    <col min="33" max="33" width="9" hidden="1" customWidth="1"/>
    <col min="34" max="34" width="9" hidden="1" customWidth="1"/>
    <col min="35" max="35" width="9" hidden="1" customWidth="1"/>
    <col min="36" max="36" width="9" hidden="1" customWidth="1"/>
    <col min="37" max="37" width="9" hidden="1" customWidth="1"/>
    <col min="38" max="38" width="9" hidden="1" customWidth="1"/>
    <col min="39" max="39" width="9" hidden="1" customWidth="1"/>
    <col min="40" max="40" width="9" hidden="1" customWidth="1"/>
    <col min="41" max="41" width="9" hidden="1" customWidth="1"/>
    <col min="42" max="42" width="9" hidden="1" customWidth="1"/>
    <col min="43" max="43" width="9" hidden="1" customWidth="1"/>
    <col min="44" max="44" width="9" hidden="1" customWidth="1"/>
    <col min="45" max="45" width="9" hidden="1" customWidth="1"/>
    <col min="46" max="46" width="9" hidden="1" customWidth="1"/>
    <col min="47" max="47" width="9" hidden="1" customWidth="1"/>
  </cols>
  <sheetData>
    <row r="1" spans="1:1" x14ac:dyDescent="0.25">
      <c r="A1" s="5">
        <f>"Reisekostenabrechnung Juli "&amp;Jahr</f>
      </c>
    </row>
    <row r="2" spans="1:1" x14ac:dyDescent="0.25">
      <c r="A2" s="6">
        <f>"Name: "&amp;IF(MitarbeiterName="","…",MitarbeiterName)&amp;IF(Personalnummer="",""," · Personalnr. "&amp;Personalnummer)&amp;IF(Kostenstelle="",""," · "&amp;Kostenstelle)&amp;IF(Firma="",""," · "&amp;Firma)</f>
      </c>
    </row>
    <row r="3" spans="1:1" x14ac:dyDescent="0.25">
      <c r="A3" s="16">
        <f>IF(Jahr&lt;&gt;2026,"Die Pauschalen in dieser Datei gelten für 2026. ","")&amp;IF(MitarbeiterName="","Bitte in den Einstellungen den Namen eintragen.","")</f>
      </c>
    </row>
    <row r="4" ht="40" customHeight="1" spans="1:18" x14ac:dyDescent="0.25">
      <c r="A4" s="12" t="s">
        <v>57</v>
      </c>
      <c r="B4" s="12" t="s">
        <v>58</v>
      </c>
      <c r="C4" s="12" t="s">
        <v>59</v>
      </c>
      <c r="D4" s="12" t="s">
        <v>60</v>
      </c>
      <c r="E4" s="12" t="s">
        <v>61</v>
      </c>
      <c r="F4" s="12" t="s">
        <v>62</v>
      </c>
      <c r="G4" s="12" t="s">
        <v>63</v>
      </c>
      <c r="H4" s="12" t="s">
        <v>64</v>
      </c>
      <c r="I4" s="12" t="s">
        <v>65</v>
      </c>
      <c r="J4" s="12" t="s">
        <v>66</v>
      </c>
      <c r="K4" s="12" t="s">
        <v>67</v>
      </c>
      <c r="L4" s="12" t="s">
        <v>68</v>
      </c>
      <c r="M4" s="12" t="s">
        <v>69</v>
      </c>
      <c r="N4" s="12" t="s">
        <v>70</v>
      </c>
      <c r="O4" s="12" t="s">
        <v>71</v>
      </c>
      <c r="P4" s="12" t="s">
        <v>72</v>
      </c>
      <c r="Q4" s="12" t="s">
        <v>73</v>
      </c>
      <c r="R4" s="12" t="s">
        <v>74</v>
      </c>
    </row>
    <row r="5" spans="1:47" x14ac:dyDescent="0.25">
      <c r="A5" s="17">
        <f>IF(MONTH(DATE(Jahr,7,1))=7,DATE(Jahr,7,1),"")</f>
      </c>
      <c r="B5" s="13">
        <f>IF(A5="","",CHOOSE(WEEKDAY(A5,2),"Mo","Di","Mi","Do","Fr","Sa","So"))</f>
      </c>
      <c r="C5" s="18"/>
      <c r="D5" s="18"/>
      <c r="E5" s="7"/>
      <c r="F5" s="7"/>
      <c r="G5" s="7"/>
      <c r="H5" s="19"/>
      <c r="I5" s="19"/>
      <c r="J5" s="19"/>
      <c r="K5" s="9"/>
      <c r="L5" s="20">
        <f>IF(OR(AD5=0,AF5&lt;&gt;"",AND(W5=1,V5&gt;0,OR(T5=1,U5=1))),"",AE5/1440)</f>
      </c>
      <c r="M5" s="21">
        <f>IF(OR(AD5=0,AF5&lt;&gt;""),"",AJ5)</f>
      </c>
      <c r="N5" s="21">
        <f>IF(AK5=0,"",AK5)</f>
      </c>
      <c r="O5" s="21">
        <f>IF(OR(AD5=0,AF5&lt;&gt;""),"",AJ5-AK5)</f>
      </c>
      <c r="P5" s="21">
        <f>IF(AND(AD5=1,AF5="",V5=2),AI5,"")</f>
      </c>
      <c r="Q5" s="21">
        <f>IF(OR($A5="",N(K5)=0),"",ROUND(K5*KmSatz,2))</f>
      </c>
      <c r="R5" s="22">
        <f>IF(AF5&amp;AL5="","",LEFT(AF5&amp;AL5,LEN(AF5&amp;AL5)-2))</f>
      </c>
      <c r="S5" s="1"/>
      <c r="T5" s="1">
        <f>IF(AND($A5&lt;&gt;"",ISNUMBER(C5)),1,0)</f>
      </c>
      <c r="U5" s="1">
        <f>IF(AND($A5&lt;&gt;"",ISNUMBER(D5)),1,0)</f>
      </c>
      <c r="V5" s="1">
        <f>IF($A5="",0,IF(E5="ja",1,IF(E5="Pauschale",2,0)))</f>
      </c>
      <c r="W5" s="1">
        <f>IF($A5="",0,IF(AU5&gt;0,1,0))</f>
      </c>
      <c r="X5" s="1">
        <f>IF(AND(T5=1,W5=0),1,0)</f>
      </c>
      <c r="Y5" s="1">
        <f>IF(AND(AS5=1,AT5=0,AU5=0),1,0)</f>
      </c>
      <c r="Z5" s="1">
        <f>IF(AND(Y5=1,T5=0,U5=1,V5=0),1,0)</f>
      </c>
      <c r="AA5" s="1">
        <f>IF(AND(X5=1,U5=0,V5=0,AN5=0,AO5=1,AP5=0),1,0)</f>
      </c>
      <c r="AB5" s="1">
        <f>IF(OR(W5=1,Z5=1),0,IF(T5=1,C5,0))</f>
      </c>
      <c r="AC5" s="1">
        <f>IF(OR(V5&gt;0,AA5=1),1,IF(U5=1,D5,1))</f>
      </c>
      <c r="AD5" s="1">
        <f>IF($A5="",0,IF(OR(T5=1,U5=1,V5&gt;0,W5=1),1,0))</f>
      </c>
      <c r="AE5" s="1">
        <f>IF(AD5=0,0,ROUND((AC5-AB5)*1440,0))</f>
      </c>
      <c r="AF5" s="1">
        <f>IF(AD5=0,"",IF(AND(F5&lt;&gt;"",ISNA(MATCH(F5,PauschLand,0))),"Land nicht in der Liste; ","")&amp;IF(AND(T5=0,W5=0,Z5=0),"Beginn fehlt; ","")&amp;IF(AND(V5=0,U5=0,AA5=0),"Ende fehlt; ","")&amp;IF(AND(X5=1,U5=1,V5=0,N(D5)&lt;N(C5)),"Ende vor Beginn (über Mitternacht: Ende in die Zeile des Folgetags); ",""))</f>
      </c>
      <c r="AG5" s="1">
        <f>IF(AD5=0,0,IFERROR(VLOOKUP(IF(F5="","Deutschland",F5),PauschTab,2,FALSE),0))</f>
      </c>
      <c r="AH5" s="1">
        <f>IF(AD5=0,0,IFERROR(VLOOKUP(IF(F5="","Deutschland",F5),PauschTab,3,FALSE),0))</f>
      </c>
      <c r="AI5" s="1">
        <f>IF(AD5=0,0,IFERROR(VLOOKUP(IF(F5="","Deutschland",F5),PauschTab,4,FALSE),0))</f>
      </c>
      <c r="AJ5" s="1">
        <f>IF(OR(AD5=0,AF5&lt;&gt;""),0,IF(AND(W5=1,V5&gt;0),IF(OR(T5=1,U5=1),AH5,AG5),IF(OR(W5=1,V5&gt;0),AH5,IF(AA5=1,IF(AND(AE5+AQ5&gt;480,AE5&gt;=AQ5),AH5,0),IF(Z5=1,IF(AND(AR5+AE5&gt;480,AE5&gt;AR5),AH5,0),IF(AE5&gt;480,AH5,0))))))</f>
      </c>
      <c r="AK5" s="1">
        <f>MIN(AJ5,AM5)</f>
      </c>
      <c r="AL5" s="1">
        <f>IF(OR(AD5=0,AF5&lt;&gt;""),"",IF(AND(W5=0,V5=0,AA5=0,Z5=0,AE5&lt;=480),"nicht mehr als 8 Std.; ","")&amp;IF(AA5=1,IF(AJ5&gt;0,"über Mitternacht, zusammen "&amp;TEXT((AE5+AQ5)/1440,"[h]:mm")&amp;" Std.; ",IF(AE5+AQ5&gt;480,"über Mitternacht: Pauschale am Folgetag; ","über Mitternacht, zusammen nicht mehr als 8 Std.; ")),"")&amp;IF(Z5=1,IF(AJ5&gt;0,"über Mitternacht, zusammen "&amp;TEXT((AR5+AE5)/1440,"[h]:mm")&amp;" Std.; ",IF(AR5+AE5&gt;480,"über Mitternacht: Pauschale am Vortag; ","über Mitternacht, zusammen nicht mehr als 8 Std.; ")),"")&amp;IF(AND(W5=1,V5&gt;0,OR(T5=1,U5=1)),"zwischendurch zu Hause: An- und Abreisetag; ","")&amp;IF(AND(W5=1,V5=0,T5=1),"Beginn leer lassen: unterwegs seit dem Vortag; ","")&amp;IF(AND(W5=0,V5&gt;0,U5=1),"Ende leer lassen: Übernachtung; ","")&amp;IF(AND(AJ5&gt;0,AM5&gt;AJ5),"Kürzung auf die Pauschale begrenzt; ",""))</f>
      </c>
      <c r="AM5" s="1">
        <f>ROUND(AG5*(IF(H5&lt;&gt;"",0.2,0)+IF(I5&lt;&gt;"",0.4,0)+IF(J5&lt;&gt;"",0.4,0)),2)</f>
      </c>
      <c r="AN5" s="1">
        <f>IF($A6="",'August'!$T$5,T6)</f>
      </c>
      <c r="AO5" s="1">
        <f>IF($A6="",'August'!$U$5,U6)</f>
      </c>
      <c r="AP5" s="1">
        <f>IF($A6="",'August'!$V$5,V6)</f>
      </c>
      <c r="AQ5" s="1">
        <f>IF($A6="",'August'!$AE$5,AE6)</f>
      </c>
      <c r="AR5" s="1">
        <f>INDEX('Juni'!$AE$5:$AE$35,DAY(DATE(Jahr,7,0)))</f>
      </c>
      <c r="AS5" s="1">
        <f>INDEX('Juni'!$X$5:$X$35,DAY(DATE(Jahr,7,0)))</f>
      </c>
      <c r="AT5" s="1">
        <f>INDEX('Juni'!$U$5:$U$35,DAY(DATE(Jahr,7,0)))</f>
      </c>
      <c r="AU5" s="1">
        <f>INDEX('Juni'!$V$5:$V$35,DAY(DATE(Jahr,7,0)))</f>
      </c>
    </row>
    <row r="6" spans="1:47" x14ac:dyDescent="0.25">
      <c r="A6" s="17">
        <f>IF(MONTH(DATE(Jahr,7,2))=7,DATE(Jahr,7,2),"")</f>
      </c>
      <c r="B6" s="13">
        <f>IF(A6="","",CHOOSE(WEEKDAY(A6,2),"Mo","Di","Mi","Do","Fr","Sa","So"))</f>
      </c>
      <c r="C6" s="18"/>
      <c r="D6" s="18"/>
      <c r="E6" s="7"/>
      <c r="F6" s="7"/>
      <c r="G6" s="7"/>
      <c r="H6" s="19"/>
      <c r="I6" s="19"/>
      <c r="J6" s="19"/>
      <c r="K6" s="9"/>
      <c r="L6" s="20">
        <f>IF(OR(AD6=0,AF6&lt;&gt;"",AND(W6=1,V6&gt;0,OR(T6=1,U6=1))),"",AE6/1440)</f>
      </c>
      <c r="M6" s="21">
        <f>IF(OR(AD6=0,AF6&lt;&gt;""),"",AJ6)</f>
      </c>
      <c r="N6" s="21">
        <f>IF(AK6=0,"",AK6)</f>
      </c>
      <c r="O6" s="21">
        <f>IF(OR(AD6=0,AF6&lt;&gt;""),"",AJ6-AK6)</f>
      </c>
      <c r="P6" s="21">
        <f>IF(AND(AD6=1,AF6="",V6=2),AI6,"")</f>
      </c>
      <c r="Q6" s="21">
        <f>IF(OR($A6="",N(K6)=0),"",ROUND(K6*KmSatz,2))</f>
      </c>
      <c r="R6" s="22">
        <f>IF(AF6&amp;AL6="","",LEFT(AF6&amp;AL6,LEN(AF6&amp;AL6)-2))</f>
      </c>
      <c r="S6" s="1"/>
      <c r="T6" s="1">
        <f>IF(AND($A6&lt;&gt;"",ISNUMBER(C6)),1,0)</f>
      </c>
      <c r="U6" s="1">
        <f>IF(AND($A6&lt;&gt;"",ISNUMBER(D6)),1,0)</f>
      </c>
      <c r="V6" s="1">
        <f>IF($A6="",0,IF(E6="ja",1,IF(E6="Pauschale",2,0)))</f>
      </c>
      <c r="W6" s="1">
        <f>IF($A6="",0,IF(AU6&gt;0,1,0))</f>
      </c>
      <c r="X6" s="1">
        <f>IF(AND(T6=1,W6=0),1,0)</f>
      </c>
      <c r="Y6" s="1">
        <f>IF(AND(AS6=1,AT6=0,AU6=0),1,0)</f>
      </c>
      <c r="Z6" s="1">
        <f>IF(AND(Y6=1,T6=0,U6=1,V6=0),1,0)</f>
      </c>
      <c r="AA6" s="1">
        <f>IF(AND(X6=1,U6=0,V6=0,AN6=0,AO6=1,AP6=0),1,0)</f>
      </c>
      <c r="AB6" s="1">
        <f>IF(OR(W6=1,Z6=1),0,IF(T6=1,C6,0))</f>
      </c>
      <c r="AC6" s="1">
        <f>IF(OR(V6&gt;0,AA6=1),1,IF(U6=1,D6,1))</f>
      </c>
      <c r="AD6" s="1">
        <f>IF($A6="",0,IF(OR(T6=1,U6=1,V6&gt;0,W6=1),1,0))</f>
      </c>
      <c r="AE6" s="1">
        <f>IF(AD6=0,0,ROUND((AC6-AB6)*1440,0))</f>
      </c>
      <c r="AF6" s="1">
        <f>IF(AD6=0,"",IF(AND(F6&lt;&gt;"",ISNA(MATCH(F6,PauschLand,0))),"Land nicht in der Liste; ","")&amp;IF(AND(T6=0,W6=0,Z6=0),"Beginn fehlt; ","")&amp;IF(AND(V6=0,U6=0,AA6=0),"Ende fehlt; ","")&amp;IF(AND(X6=1,U6=1,V6=0,N(D6)&lt;N(C6)),"Ende vor Beginn (über Mitternacht: Ende in die Zeile des Folgetags); ",""))</f>
      </c>
      <c r="AG6" s="1">
        <f>IF(AD6=0,0,IFERROR(VLOOKUP(IF(F6="","Deutschland",F6),PauschTab,2,FALSE),0))</f>
      </c>
      <c r="AH6" s="1">
        <f>IF(AD6=0,0,IFERROR(VLOOKUP(IF(F6="","Deutschland",F6),PauschTab,3,FALSE),0))</f>
      </c>
      <c r="AI6" s="1">
        <f>IF(AD6=0,0,IFERROR(VLOOKUP(IF(F6="","Deutschland",F6),PauschTab,4,FALSE),0))</f>
      </c>
      <c r="AJ6" s="1">
        <f>IF(OR(AD6=0,AF6&lt;&gt;""),0,IF(AND(W6=1,V6&gt;0),IF(OR(T6=1,U6=1),AH6,AG6),IF(OR(W6=1,V6&gt;0),AH6,IF(AA6=1,IF(AND(AE6+AQ6&gt;480,AE6&gt;=AQ6),AH6,0),IF(Z6=1,IF(AND(AR6+AE6&gt;480,AE6&gt;AR6),AH6,0),IF(AE6&gt;480,AH6,0))))))</f>
      </c>
      <c r="AK6" s="1">
        <f>MIN(AJ6,AM6)</f>
      </c>
      <c r="AL6" s="1">
        <f>IF(OR(AD6=0,AF6&lt;&gt;""),"",IF(AND(W6=0,V6=0,AA6=0,Z6=0,AE6&lt;=480),"nicht mehr als 8 Std.; ","")&amp;IF(AA6=1,IF(AJ6&gt;0,"über Mitternacht, zusammen "&amp;TEXT((AE6+AQ6)/1440,"[h]:mm")&amp;" Std.; ",IF(AE6+AQ6&gt;480,"über Mitternacht: Pauschale am Folgetag; ","über Mitternacht, zusammen nicht mehr als 8 Std.; ")),"")&amp;IF(Z6=1,IF(AJ6&gt;0,"über Mitternacht, zusammen "&amp;TEXT((AR6+AE6)/1440,"[h]:mm")&amp;" Std.; ",IF(AR6+AE6&gt;480,"über Mitternacht: Pauschale am Vortag; ","über Mitternacht, zusammen nicht mehr als 8 Std.; ")),"")&amp;IF(AND(W6=1,V6&gt;0,OR(T6=1,U6=1)),"zwischendurch zu Hause: An- und Abreisetag; ","")&amp;IF(AND(W6=1,V6=0,T6=1),"Beginn leer lassen: unterwegs seit dem Vortag; ","")&amp;IF(AND(W6=0,V6&gt;0,U6=1),"Ende leer lassen: Übernachtung; ","")&amp;IF(AND(AJ6&gt;0,AM6&gt;AJ6),"Kürzung auf die Pauschale begrenzt; ",""))</f>
      </c>
      <c r="AM6" s="1">
        <f>ROUND(AG6*(IF(H6&lt;&gt;"",0.2,0)+IF(I6&lt;&gt;"",0.4,0)+IF(J6&lt;&gt;"",0.4,0)),2)</f>
      </c>
      <c r="AN6" s="1">
        <f>IF($A7="",'August'!$T$5,T7)</f>
      </c>
      <c r="AO6" s="1">
        <f>IF($A7="",'August'!$U$5,U7)</f>
      </c>
      <c r="AP6" s="1">
        <f>IF($A7="",'August'!$V$5,V7)</f>
      </c>
      <c r="AQ6" s="1">
        <f>IF($A7="",'August'!$AE$5,AE7)</f>
      </c>
      <c r="AR6" s="1">
        <f>AE5</f>
      </c>
      <c r="AS6" s="1">
        <f>X5</f>
      </c>
      <c r="AT6" s="1">
        <f>U5</f>
      </c>
      <c r="AU6" s="1">
        <f>V5</f>
      </c>
    </row>
    <row r="7" spans="1:47" x14ac:dyDescent="0.25">
      <c r="A7" s="17">
        <f>IF(MONTH(DATE(Jahr,7,3))=7,DATE(Jahr,7,3),"")</f>
      </c>
      <c r="B7" s="13">
        <f>IF(A7="","",CHOOSE(WEEKDAY(A7,2),"Mo","Di","Mi","Do","Fr","Sa","So"))</f>
      </c>
      <c r="C7" s="18"/>
      <c r="D7" s="18"/>
      <c r="E7" s="7"/>
      <c r="F7" s="7"/>
      <c r="G7" s="7"/>
      <c r="H7" s="19"/>
      <c r="I7" s="19"/>
      <c r="J7" s="19"/>
      <c r="K7" s="9"/>
      <c r="L7" s="20">
        <f>IF(OR(AD7=0,AF7&lt;&gt;"",AND(W7=1,V7&gt;0,OR(T7=1,U7=1))),"",AE7/1440)</f>
      </c>
      <c r="M7" s="21">
        <f>IF(OR(AD7=0,AF7&lt;&gt;""),"",AJ7)</f>
      </c>
      <c r="N7" s="21">
        <f>IF(AK7=0,"",AK7)</f>
      </c>
      <c r="O7" s="21">
        <f>IF(OR(AD7=0,AF7&lt;&gt;""),"",AJ7-AK7)</f>
      </c>
      <c r="P7" s="21">
        <f>IF(AND(AD7=1,AF7="",V7=2),AI7,"")</f>
      </c>
      <c r="Q7" s="21">
        <f>IF(OR($A7="",N(K7)=0),"",ROUND(K7*KmSatz,2))</f>
      </c>
      <c r="R7" s="22">
        <f>IF(AF7&amp;AL7="","",LEFT(AF7&amp;AL7,LEN(AF7&amp;AL7)-2))</f>
      </c>
      <c r="S7" s="1"/>
      <c r="T7" s="1">
        <f>IF(AND($A7&lt;&gt;"",ISNUMBER(C7)),1,0)</f>
      </c>
      <c r="U7" s="1">
        <f>IF(AND($A7&lt;&gt;"",ISNUMBER(D7)),1,0)</f>
      </c>
      <c r="V7" s="1">
        <f>IF($A7="",0,IF(E7="ja",1,IF(E7="Pauschale",2,0)))</f>
      </c>
      <c r="W7" s="1">
        <f>IF($A7="",0,IF(AU7&gt;0,1,0))</f>
      </c>
      <c r="X7" s="1">
        <f>IF(AND(T7=1,W7=0),1,0)</f>
      </c>
      <c r="Y7" s="1">
        <f>IF(AND(AS7=1,AT7=0,AU7=0),1,0)</f>
      </c>
      <c r="Z7" s="1">
        <f>IF(AND(Y7=1,T7=0,U7=1,V7=0),1,0)</f>
      </c>
      <c r="AA7" s="1">
        <f>IF(AND(X7=1,U7=0,V7=0,AN7=0,AO7=1,AP7=0),1,0)</f>
      </c>
      <c r="AB7" s="1">
        <f>IF(OR(W7=1,Z7=1),0,IF(T7=1,C7,0))</f>
      </c>
      <c r="AC7" s="1">
        <f>IF(OR(V7&gt;0,AA7=1),1,IF(U7=1,D7,1))</f>
      </c>
      <c r="AD7" s="1">
        <f>IF($A7="",0,IF(OR(T7=1,U7=1,V7&gt;0,W7=1),1,0))</f>
      </c>
      <c r="AE7" s="1">
        <f>IF(AD7=0,0,ROUND((AC7-AB7)*1440,0))</f>
      </c>
      <c r="AF7" s="1">
        <f>IF(AD7=0,"",IF(AND(F7&lt;&gt;"",ISNA(MATCH(F7,PauschLand,0))),"Land nicht in der Liste; ","")&amp;IF(AND(T7=0,W7=0,Z7=0),"Beginn fehlt; ","")&amp;IF(AND(V7=0,U7=0,AA7=0),"Ende fehlt; ","")&amp;IF(AND(X7=1,U7=1,V7=0,N(D7)&lt;N(C7)),"Ende vor Beginn (über Mitternacht: Ende in die Zeile des Folgetags); ",""))</f>
      </c>
      <c r="AG7" s="1">
        <f>IF(AD7=0,0,IFERROR(VLOOKUP(IF(F7="","Deutschland",F7),PauschTab,2,FALSE),0))</f>
      </c>
      <c r="AH7" s="1">
        <f>IF(AD7=0,0,IFERROR(VLOOKUP(IF(F7="","Deutschland",F7),PauschTab,3,FALSE),0))</f>
      </c>
      <c r="AI7" s="1">
        <f>IF(AD7=0,0,IFERROR(VLOOKUP(IF(F7="","Deutschland",F7),PauschTab,4,FALSE),0))</f>
      </c>
      <c r="AJ7" s="1">
        <f>IF(OR(AD7=0,AF7&lt;&gt;""),0,IF(AND(W7=1,V7&gt;0),IF(OR(T7=1,U7=1),AH7,AG7),IF(OR(W7=1,V7&gt;0),AH7,IF(AA7=1,IF(AND(AE7+AQ7&gt;480,AE7&gt;=AQ7),AH7,0),IF(Z7=1,IF(AND(AR7+AE7&gt;480,AE7&gt;AR7),AH7,0),IF(AE7&gt;480,AH7,0))))))</f>
      </c>
      <c r="AK7" s="1">
        <f>MIN(AJ7,AM7)</f>
      </c>
      <c r="AL7" s="1">
        <f>IF(OR(AD7=0,AF7&lt;&gt;""),"",IF(AND(W7=0,V7=0,AA7=0,Z7=0,AE7&lt;=480),"nicht mehr als 8 Std.; ","")&amp;IF(AA7=1,IF(AJ7&gt;0,"über Mitternacht, zusammen "&amp;TEXT((AE7+AQ7)/1440,"[h]:mm")&amp;" Std.; ",IF(AE7+AQ7&gt;480,"über Mitternacht: Pauschale am Folgetag; ","über Mitternacht, zusammen nicht mehr als 8 Std.; ")),"")&amp;IF(Z7=1,IF(AJ7&gt;0,"über Mitternacht, zusammen "&amp;TEXT((AR7+AE7)/1440,"[h]:mm")&amp;" Std.; ",IF(AR7+AE7&gt;480,"über Mitternacht: Pauschale am Vortag; ","über Mitternacht, zusammen nicht mehr als 8 Std.; ")),"")&amp;IF(AND(W7=1,V7&gt;0,OR(T7=1,U7=1)),"zwischendurch zu Hause: An- und Abreisetag; ","")&amp;IF(AND(W7=1,V7=0,T7=1),"Beginn leer lassen: unterwegs seit dem Vortag; ","")&amp;IF(AND(W7=0,V7&gt;0,U7=1),"Ende leer lassen: Übernachtung; ","")&amp;IF(AND(AJ7&gt;0,AM7&gt;AJ7),"Kürzung auf die Pauschale begrenzt; ",""))</f>
      </c>
      <c r="AM7" s="1">
        <f>ROUND(AG7*(IF(H7&lt;&gt;"",0.2,0)+IF(I7&lt;&gt;"",0.4,0)+IF(J7&lt;&gt;"",0.4,0)),2)</f>
      </c>
      <c r="AN7" s="1">
        <f>IF($A8="",'August'!$T$5,T8)</f>
      </c>
      <c r="AO7" s="1">
        <f>IF($A8="",'August'!$U$5,U8)</f>
      </c>
      <c r="AP7" s="1">
        <f>IF($A8="",'August'!$V$5,V8)</f>
      </c>
      <c r="AQ7" s="1">
        <f>IF($A8="",'August'!$AE$5,AE8)</f>
      </c>
      <c r="AR7" s="1">
        <f>AE6</f>
      </c>
      <c r="AS7" s="1">
        <f>X6</f>
      </c>
      <c r="AT7" s="1">
        <f>U6</f>
      </c>
      <c r="AU7" s="1">
        <f>V6</f>
      </c>
    </row>
    <row r="8" spans="1:47" x14ac:dyDescent="0.25">
      <c r="A8" s="17">
        <f>IF(MONTH(DATE(Jahr,7,4))=7,DATE(Jahr,7,4),"")</f>
      </c>
      <c r="B8" s="13">
        <f>IF(A8="","",CHOOSE(WEEKDAY(A8,2),"Mo","Di","Mi","Do","Fr","Sa","So"))</f>
      </c>
      <c r="C8" s="18"/>
      <c r="D8" s="18"/>
      <c r="E8" s="7"/>
      <c r="F8" s="7"/>
      <c r="G8" s="7"/>
      <c r="H8" s="19"/>
      <c r="I8" s="19"/>
      <c r="J8" s="19"/>
      <c r="K8" s="9"/>
      <c r="L8" s="20">
        <f>IF(OR(AD8=0,AF8&lt;&gt;"",AND(W8=1,V8&gt;0,OR(T8=1,U8=1))),"",AE8/1440)</f>
      </c>
      <c r="M8" s="21">
        <f>IF(OR(AD8=0,AF8&lt;&gt;""),"",AJ8)</f>
      </c>
      <c r="N8" s="21">
        <f>IF(AK8=0,"",AK8)</f>
      </c>
      <c r="O8" s="21">
        <f>IF(OR(AD8=0,AF8&lt;&gt;""),"",AJ8-AK8)</f>
      </c>
      <c r="P8" s="21">
        <f>IF(AND(AD8=1,AF8="",V8=2),AI8,"")</f>
      </c>
      <c r="Q8" s="21">
        <f>IF(OR($A8="",N(K8)=0),"",ROUND(K8*KmSatz,2))</f>
      </c>
      <c r="R8" s="22">
        <f>IF(AF8&amp;AL8="","",LEFT(AF8&amp;AL8,LEN(AF8&amp;AL8)-2))</f>
      </c>
      <c r="S8" s="1"/>
      <c r="T8" s="1">
        <f>IF(AND($A8&lt;&gt;"",ISNUMBER(C8)),1,0)</f>
      </c>
      <c r="U8" s="1">
        <f>IF(AND($A8&lt;&gt;"",ISNUMBER(D8)),1,0)</f>
      </c>
      <c r="V8" s="1">
        <f>IF($A8="",0,IF(E8="ja",1,IF(E8="Pauschale",2,0)))</f>
      </c>
      <c r="W8" s="1">
        <f>IF($A8="",0,IF(AU8&gt;0,1,0))</f>
      </c>
      <c r="X8" s="1">
        <f>IF(AND(T8=1,W8=0),1,0)</f>
      </c>
      <c r="Y8" s="1">
        <f>IF(AND(AS8=1,AT8=0,AU8=0),1,0)</f>
      </c>
      <c r="Z8" s="1">
        <f>IF(AND(Y8=1,T8=0,U8=1,V8=0),1,0)</f>
      </c>
      <c r="AA8" s="1">
        <f>IF(AND(X8=1,U8=0,V8=0,AN8=0,AO8=1,AP8=0),1,0)</f>
      </c>
      <c r="AB8" s="1">
        <f>IF(OR(W8=1,Z8=1),0,IF(T8=1,C8,0))</f>
      </c>
      <c r="AC8" s="1">
        <f>IF(OR(V8&gt;0,AA8=1),1,IF(U8=1,D8,1))</f>
      </c>
      <c r="AD8" s="1">
        <f>IF($A8="",0,IF(OR(T8=1,U8=1,V8&gt;0,W8=1),1,0))</f>
      </c>
      <c r="AE8" s="1">
        <f>IF(AD8=0,0,ROUND((AC8-AB8)*1440,0))</f>
      </c>
      <c r="AF8" s="1">
        <f>IF(AD8=0,"",IF(AND(F8&lt;&gt;"",ISNA(MATCH(F8,PauschLand,0))),"Land nicht in der Liste; ","")&amp;IF(AND(T8=0,W8=0,Z8=0),"Beginn fehlt; ","")&amp;IF(AND(V8=0,U8=0,AA8=0),"Ende fehlt; ","")&amp;IF(AND(X8=1,U8=1,V8=0,N(D8)&lt;N(C8)),"Ende vor Beginn (über Mitternacht: Ende in die Zeile des Folgetags); ",""))</f>
      </c>
      <c r="AG8" s="1">
        <f>IF(AD8=0,0,IFERROR(VLOOKUP(IF(F8="","Deutschland",F8),PauschTab,2,FALSE),0))</f>
      </c>
      <c r="AH8" s="1">
        <f>IF(AD8=0,0,IFERROR(VLOOKUP(IF(F8="","Deutschland",F8),PauschTab,3,FALSE),0))</f>
      </c>
      <c r="AI8" s="1">
        <f>IF(AD8=0,0,IFERROR(VLOOKUP(IF(F8="","Deutschland",F8),PauschTab,4,FALSE),0))</f>
      </c>
      <c r="AJ8" s="1">
        <f>IF(OR(AD8=0,AF8&lt;&gt;""),0,IF(AND(W8=1,V8&gt;0),IF(OR(T8=1,U8=1),AH8,AG8),IF(OR(W8=1,V8&gt;0),AH8,IF(AA8=1,IF(AND(AE8+AQ8&gt;480,AE8&gt;=AQ8),AH8,0),IF(Z8=1,IF(AND(AR8+AE8&gt;480,AE8&gt;AR8),AH8,0),IF(AE8&gt;480,AH8,0))))))</f>
      </c>
      <c r="AK8" s="1">
        <f>MIN(AJ8,AM8)</f>
      </c>
      <c r="AL8" s="1">
        <f>IF(OR(AD8=0,AF8&lt;&gt;""),"",IF(AND(W8=0,V8=0,AA8=0,Z8=0,AE8&lt;=480),"nicht mehr als 8 Std.; ","")&amp;IF(AA8=1,IF(AJ8&gt;0,"über Mitternacht, zusammen "&amp;TEXT((AE8+AQ8)/1440,"[h]:mm")&amp;" Std.; ",IF(AE8+AQ8&gt;480,"über Mitternacht: Pauschale am Folgetag; ","über Mitternacht, zusammen nicht mehr als 8 Std.; ")),"")&amp;IF(Z8=1,IF(AJ8&gt;0,"über Mitternacht, zusammen "&amp;TEXT((AR8+AE8)/1440,"[h]:mm")&amp;" Std.; ",IF(AR8+AE8&gt;480,"über Mitternacht: Pauschale am Vortag; ","über Mitternacht, zusammen nicht mehr als 8 Std.; ")),"")&amp;IF(AND(W8=1,V8&gt;0,OR(T8=1,U8=1)),"zwischendurch zu Hause: An- und Abreisetag; ","")&amp;IF(AND(W8=1,V8=0,T8=1),"Beginn leer lassen: unterwegs seit dem Vortag; ","")&amp;IF(AND(W8=0,V8&gt;0,U8=1),"Ende leer lassen: Übernachtung; ","")&amp;IF(AND(AJ8&gt;0,AM8&gt;AJ8),"Kürzung auf die Pauschale begrenzt; ",""))</f>
      </c>
      <c r="AM8" s="1">
        <f>ROUND(AG8*(IF(H8&lt;&gt;"",0.2,0)+IF(I8&lt;&gt;"",0.4,0)+IF(J8&lt;&gt;"",0.4,0)),2)</f>
      </c>
      <c r="AN8" s="1">
        <f>IF($A9="",'August'!$T$5,T9)</f>
      </c>
      <c r="AO8" s="1">
        <f>IF($A9="",'August'!$U$5,U9)</f>
      </c>
      <c r="AP8" s="1">
        <f>IF($A9="",'August'!$V$5,V9)</f>
      </c>
      <c r="AQ8" s="1">
        <f>IF($A9="",'August'!$AE$5,AE9)</f>
      </c>
      <c r="AR8" s="1">
        <f>AE7</f>
      </c>
      <c r="AS8" s="1">
        <f>X7</f>
      </c>
      <c r="AT8" s="1">
        <f>U7</f>
      </c>
      <c r="AU8" s="1">
        <f>V7</f>
      </c>
    </row>
    <row r="9" spans="1:47" x14ac:dyDescent="0.25">
      <c r="A9" s="17">
        <f>IF(MONTH(DATE(Jahr,7,5))=7,DATE(Jahr,7,5),"")</f>
      </c>
      <c r="B9" s="13">
        <f>IF(A9="","",CHOOSE(WEEKDAY(A9,2),"Mo","Di","Mi","Do","Fr","Sa","So"))</f>
      </c>
      <c r="C9" s="18"/>
      <c r="D9" s="18"/>
      <c r="E9" s="7"/>
      <c r="F9" s="7"/>
      <c r="G9" s="7"/>
      <c r="H9" s="19"/>
      <c r="I9" s="19"/>
      <c r="J9" s="19"/>
      <c r="K9" s="9"/>
      <c r="L9" s="20">
        <f>IF(OR(AD9=0,AF9&lt;&gt;"",AND(W9=1,V9&gt;0,OR(T9=1,U9=1))),"",AE9/1440)</f>
      </c>
      <c r="M9" s="21">
        <f>IF(OR(AD9=0,AF9&lt;&gt;""),"",AJ9)</f>
      </c>
      <c r="N9" s="21">
        <f>IF(AK9=0,"",AK9)</f>
      </c>
      <c r="O9" s="21">
        <f>IF(OR(AD9=0,AF9&lt;&gt;""),"",AJ9-AK9)</f>
      </c>
      <c r="P9" s="21">
        <f>IF(AND(AD9=1,AF9="",V9=2),AI9,"")</f>
      </c>
      <c r="Q9" s="21">
        <f>IF(OR($A9="",N(K9)=0),"",ROUND(K9*KmSatz,2))</f>
      </c>
      <c r="R9" s="22">
        <f>IF(AF9&amp;AL9="","",LEFT(AF9&amp;AL9,LEN(AF9&amp;AL9)-2))</f>
      </c>
      <c r="S9" s="1"/>
      <c r="T9" s="1">
        <f>IF(AND($A9&lt;&gt;"",ISNUMBER(C9)),1,0)</f>
      </c>
      <c r="U9" s="1">
        <f>IF(AND($A9&lt;&gt;"",ISNUMBER(D9)),1,0)</f>
      </c>
      <c r="V9" s="1">
        <f>IF($A9="",0,IF(E9="ja",1,IF(E9="Pauschale",2,0)))</f>
      </c>
      <c r="W9" s="1">
        <f>IF($A9="",0,IF(AU9&gt;0,1,0))</f>
      </c>
      <c r="X9" s="1">
        <f>IF(AND(T9=1,W9=0),1,0)</f>
      </c>
      <c r="Y9" s="1">
        <f>IF(AND(AS9=1,AT9=0,AU9=0),1,0)</f>
      </c>
      <c r="Z9" s="1">
        <f>IF(AND(Y9=1,T9=0,U9=1,V9=0),1,0)</f>
      </c>
      <c r="AA9" s="1">
        <f>IF(AND(X9=1,U9=0,V9=0,AN9=0,AO9=1,AP9=0),1,0)</f>
      </c>
      <c r="AB9" s="1">
        <f>IF(OR(W9=1,Z9=1),0,IF(T9=1,C9,0))</f>
      </c>
      <c r="AC9" s="1">
        <f>IF(OR(V9&gt;0,AA9=1),1,IF(U9=1,D9,1))</f>
      </c>
      <c r="AD9" s="1">
        <f>IF($A9="",0,IF(OR(T9=1,U9=1,V9&gt;0,W9=1),1,0))</f>
      </c>
      <c r="AE9" s="1">
        <f>IF(AD9=0,0,ROUND((AC9-AB9)*1440,0))</f>
      </c>
      <c r="AF9" s="1">
        <f>IF(AD9=0,"",IF(AND(F9&lt;&gt;"",ISNA(MATCH(F9,PauschLand,0))),"Land nicht in der Liste; ","")&amp;IF(AND(T9=0,W9=0,Z9=0),"Beginn fehlt; ","")&amp;IF(AND(V9=0,U9=0,AA9=0),"Ende fehlt; ","")&amp;IF(AND(X9=1,U9=1,V9=0,N(D9)&lt;N(C9)),"Ende vor Beginn (über Mitternacht: Ende in die Zeile des Folgetags); ",""))</f>
      </c>
      <c r="AG9" s="1">
        <f>IF(AD9=0,0,IFERROR(VLOOKUP(IF(F9="","Deutschland",F9),PauschTab,2,FALSE),0))</f>
      </c>
      <c r="AH9" s="1">
        <f>IF(AD9=0,0,IFERROR(VLOOKUP(IF(F9="","Deutschland",F9),PauschTab,3,FALSE),0))</f>
      </c>
      <c r="AI9" s="1">
        <f>IF(AD9=0,0,IFERROR(VLOOKUP(IF(F9="","Deutschland",F9),PauschTab,4,FALSE),0))</f>
      </c>
      <c r="AJ9" s="1">
        <f>IF(OR(AD9=0,AF9&lt;&gt;""),0,IF(AND(W9=1,V9&gt;0),IF(OR(T9=1,U9=1),AH9,AG9),IF(OR(W9=1,V9&gt;0),AH9,IF(AA9=1,IF(AND(AE9+AQ9&gt;480,AE9&gt;=AQ9),AH9,0),IF(Z9=1,IF(AND(AR9+AE9&gt;480,AE9&gt;AR9),AH9,0),IF(AE9&gt;480,AH9,0))))))</f>
      </c>
      <c r="AK9" s="1">
        <f>MIN(AJ9,AM9)</f>
      </c>
      <c r="AL9" s="1">
        <f>IF(OR(AD9=0,AF9&lt;&gt;""),"",IF(AND(W9=0,V9=0,AA9=0,Z9=0,AE9&lt;=480),"nicht mehr als 8 Std.; ","")&amp;IF(AA9=1,IF(AJ9&gt;0,"über Mitternacht, zusammen "&amp;TEXT((AE9+AQ9)/1440,"[h]:mm")&amp;" Std.; ",IF(AE9+AQ9&gt;480,"über Mitternacht: Pauschale am Folgetag; ","über Mitternacht, zusammen nicht mehr als 8 Std.; ")),"")&amp;IF(Z9=1,IF(AJ9&gt;0,"über Mitternacht, zusammen "&amp;TEXT((AR9+AE9)/1440,"[h]:mm")&amp;" Std.; ",IF(AR9+AE9&gt;480,"über Mitternacht: Pauschale am Vortag; ","über Mitternacht, zusammen nicht mehr als 8 Std.; ")),"")&amp;IF(AND(W9=1,V9&gt;0,OR(T9=1,U9=1)),"zwischendurch zu Hause: An- und Abreisetag; ","")&amp;IF(AND(W9=1,V9=0,T9=1),"Beginn leer lassen: unterwegs seit dem Vortag; ","")&amp;IF(AND(W9=0,V9&gt;0,U9=1),"Ende leer lassen: Übernachtung; ","")&amp;IF(AND(AJ9&gt;0,AM9&gt;AJ9),"Kürzung auf die Pauschale begrenzt; ",""))</f>
      </c>
      <c r="AM9" s="1">
        <f>ROUND(AG9*(IF(H9&lt;&gt;"",0.2,0)+IF(I9&lt;&gt;"",0.4,0)+IF(J9&lt;&gt;"",0.4,0)),2)</f>
      </c>
      <c r="AN9" s="1">
        <f>IF($A10="",'August'!$T$5,T10)</f>
      </c>
      <c r="AO9" s="1">
        <f>IF($A10="",'August'!$U$5,U10)</f>
      </c>
      <c r="AP9" s="1">
        <f>IF($A10="",'August'!$V$5,V10)</f>
      </c>
      <c r="AQ9" s="1">
        <f>IF($A10="",'August'!$AE$5,AE10)</f>
      </c>
      <c r="AR9" s="1">
        <f>AE8</f>
      </c>
      <c r="AS9" s="1">
        <f>X8</f>
      </c>
      <c r="AT9" s="1">
        <f>U8</f>
      </c>
      <c r="AU9" s="1">
        <f>V8</f>
      </c>
    </row>
    <row r="10" spans="1:47" x14ac:dyDescent="0.25">
      <c r="A10" s="17">
        <f>IF(MONTH(DATE(Jahr,7,6))=7,DATE(Jahr,7,6),"")</f>
      </c>
      <c r="B10" s="13">
        <f>IF(A10="","",CHOOSE(WEEKDAY(A10,2),"Mo","Di","Mi","Do","Fr","Sa","So"))</f>
      </c>
      <c r="C10" s="18"/>
      <c r="D10" s="18"/>
      <c r="E10" s="7"/>
      <c r="F10" s="7"/>
      <c r="G10" s="7"/>
      <c r="H10" s="19"/>
      <c r="I10" s="19"/>
      <c r="J10" s="19"/>
      <c r="K10" s="9"/>
      <c r="L10" s="20">
        <f>IF(OR(AD10=0,AF10&lt;&gt;"",AND(W10=1,V10&gt;0,OR(T10=1,U10=1))),"",AE10/1440)</f>
      </c>
      <c r="M10" s="21">
        <f>IF(OR(AD10=0,AF10&lt;&gt;""),"",AJ10)</f>
      </c>
      <c r="N10" s="21">
        <f>IF(AK10=0,"",AK10)</f>
      </c>
      <c r="O10" s="21">
        <f>IF(OR(AD10=0,AF10&lt;&gt;""),"",AJ10-AK10)</f>
      </c>
      <c r="P10" s="21">
        <f>IF(AND(AD10=1,AF10="",V10=2),AI10,"")</f>
      </c>
      <c r="Q10" s="21">
        <f>IF(OR($A10="",N(K10)=0),"",ROUND(K10*KmSatz,2))</f>
      </c>
      <c r="R10" s="22">
        <f>IF(AF10&amp;AL10="","",LEFT(AF10&amp;AL10,LEN(AF10&amp;AL10)-2))</f>
      </c>
      <c r="S10" s="1"/>
      <c r="T10" s="1">
        <f>IF(AND($A10&lt;&gt;"",ISNUMBER(C10)),1,0)</f>
      </c>
      <c r="U10" s="1">
        <f>IF(AND($A10&lt;&gt;"",ISNUMBER(D10)),1,0)</f>
      </c>
      <c r="V10" s="1">
        <f>IF($A10="",0,IF(E10="ja",1,IF(E10="Pauschale",2,0)))</f>
      </c>
      <c r="W10" s="1">
        <f>IF($A10="",0,IF(AU10&gt;0,1,0))</f>
      </c>
      <c r="X10" s="1">
        <f>IF(AND(T10=1,W10=0),1,0)</f>
      </c>
      <c r="Y10" s="1">
        <f>IF(AND(AS10=1,AT10=0,AU10=0),1,0)</f>
      </c>
      <c r="Z10" s="1">
        <f>IF(AND(Y10=1,T10=0,U10=1,V10=0),1,0)</f>
      </c>
      <c r="AA10" s="1">
        <f>IF(AND(X10=1,U10=0,V10=0,AN10=0,AO10=1,AP10=0),1,0)</f>
      </c>
      <c r="AB10" s="1">
        <f>IF(OR(W10=1,Z10=1),0,IF(T10=1,C10,0))</f>
      </c>
      <c r="AC10" s="1">
        <f>IF(OR(V10&gt;0,AA10=1),1,IF(U10=1,D10,1))</f>
      </c>
      <c r="AD10" s="1">
        <f>IF($A10="",0,IF(OR(T10=1,U10=1,V10&gt;0,W10=1),1,0))</f>
      </c>
      <c r="AE10" s="1">
        <f>IF(AD10=0,0,ROUND((AC10-AB10)*1440,0))</f>
      </c>
      <c r="AF10" s="1">
        <f>IF(AD10=0,"",IF(AND(F10&lt;&gt;"",ISNA(MATCH(F10,PauschLand,0))),"Land nicht in der Liste; ","")&amp;IF(AND(T10=0,W10=0,Z10=0),"Beginn fehlt; ","")&amp;IF(AND(V10=0,U10=0,AA10=0),"Ende fehlt; ","")&amp;IF(AND(X10=1,U10=1,V10=0,N(D10)&lt;N(C10)),"Ende vor Beginn (über Mitternacht: Ende in die Zeile des Folgetags); ",""))</f>
      </c>
      <c r="AG10" s="1">
        <f>IF(AD10=0,0,IFERROR(VLOOKUP(IF(F10="","Deutschland",F10),PauschTab,2,FALSE),0))</f>
      </c>
      <c r="AH10" s="1">
        <f>IF(AD10=0,0,IFERROR(VLOOKUP(IF(F10="","Deutschland",F10),PauschTab,3,FALSE),0))</f>
      </c>
      <c r="AI10" s="1">
        <f>IF(AD10=0,0,IFERROR(VLOOKUP(IF(F10="","Deutschland",F10),PauschTab,4,FALSE),0))</f>
      </c>
      <c r="AJ10" s="1">
        <f>IF(OR(AD10=0,AF10&lt;&gt;""),0,IF(AND(W10=1,V10&gt;0),IF(OR(T10=1,U10=1),AH10,AG10),IF(OR(W10=1,V10&gt;0),AH10,IF(AA10=1,IF(AND(AE10+AQ10&gt;480,AE10&gt;=AQ10),AH10,0),IF(Z10=1,IF(AND(AR10+AE10&gt;480,AE10&gt;AR10),AH10,0),IF(AE10&gt;480,AH10,0))))))</f>
      </c>
      <c r="AK10" s="1">
        <f>MIN(AJ10,AM10)</f>
      </c>
      <c r="AL10" s="1">
        <f>IF(OR(AD10=0,AF10&lt;&gt;""),"",IF(AND(W10=0,V10=0,AA10=0,Z10=0,AE10&lt;=480),"nicht mehr als 8 Std.; ","")&amp;IF(AA10=1,IF(AJ10&gt;0,"über Mitternacht, zusammen "&amp;TEXT((AE10+AQ10)/1440,"[h]:mm")&amp;" Std.; ",IF(AE10+AQ10&gt;480,"über Mitternacht: Pauschale am Folgetag; ","über Mitternacht, zusammen nicht mehr als 8 Std.; ")),"")&amp;IF(Z10=1,IF(AJ10&gt;0,"über Mitternacht, zusammen "&amp;TEXT((AR10+AE10)/1440,"[h]:mm")&amp;" Std.; ",IF(AR10+AE10&gt;480,"über Mitternacht: Pauschale am Vortag; ","über Mitternacht, zusammen nicht mehr als 8 Std.; ")),"")&amp;IF(AND(W10=1,V10&gt;0,OR(T10=1,U10=1)),"zwischendurch zu Hause: An- und Abreisetag; ","")&amp;IF(AND(W10=1,V10=0,T10=1),"Beginn leer lassen: unterwegs seit dem Vortag; ","")&amp;IF(AND(W10=0,V10&gt;0,U10=1),"Ende leer lassen: Übernachtung; ","")&amp;IF(AND(AJ10&gt;0,AM10&gt;AJ10),"Kürzung auf die Pauschale begrenzt; ",""))</f>
      </c>
      <c r="AM10" s="1">
        <f>ROUND(AG10*(IF(H10&lt;&gt;"",0.2,0)+IF(I10&lt;&gt;"",0.4,0)+IF(J10&lt;&gt;"",0.4,0)),2)</f>
      </c>
      <c r="AN10" s="1">
        <f>IF($A11="",'August'!$T$5,T11)</f>
      </c>
      <c r="AO10" s="1">
        <f>IF($A11="",'August'!$U$5,U11)</f>
      </c>
      <c r="AP10" s="1">
        <f>IF($A11="",'August'!$V$5,V11)</f>
      </c>
      <c r="AQ10" s="1">
        <f>IF($A11="",'August'!$AE$5,AE11)</f>
      </c>
      <c r="AR10" s="1">
        <f>AE9</f>
      </c>
      <c r="AS10" s="1">
        <f>X9</f>
      </c>
      <c r="AT10" s="1">
        <f>U9</f>
      </c>
      <c r="AU10" s="1">
        <f>V9</f>
      </c>
    </row>
    <row r="11" spans="1:47" x14ac:dyDescent="0.25">
      <c r="A11" s="17">
        <f>IF(MONTH(DATE(Jahr,7,7))=7,DATE(Jahr,7,7),"")</f>
      </c>
      <c r="B11" s="13">
        <f>IF(A11="","",CHOOSE(WEEKDAY(A11,2),"Mo","Di","Mi","Do","Fr","Sa","So"))</f>
      </c>
      <c r="C11" s="18"/>
      <c r="D11" s="18"/>
      <c r="E11" s="7"/>
      <c r="F11" s="7"/>
      <c r="G11" s="7"/>
      <c r="H11" s="19"/>
      <c r="I11" s="19"/>
      <c r="J11" s="19"/>
      <c r="K11" s="9"/>
      <c r="L11" s="20">
        <f>IF(OR(AD11=0,AF11&lt;&gt;"",AND(W11=1,V11&gt;0,OR(T11=1,U11=1))),"",AE11/1440)</f>
      </c>
      <c r="M11" s="21">
        <f>IF(OR(AD11=0,AF11&lt;&gt;""),"",AJ11)</f>
      </c>
      <c r="N11" s="21">
        <f>IF(AK11=0,"",AK11)</f>
      </c>
      <c r="O11" s="21">
        <f>IF(OR(AD11=0,AF11&lt;&gt;""),"",AJ11-AK11)</f>
      </c>
      <c r="P11" s="21">
        <f>IF(AND(AD11=1,AF11="",V11=2),AI11,"")</f>
      </c>
      <c r="Q11" s="21">
        <f>IF(OR($A11="",N(K11)=0),"",ROUND(K11*KmSatz,2))</f>
      </c>
      <c r="R11" s="22">
        <f>IF(AF11&amp;AL11="","",LEFT(AF11&amp;AL11,LEN(AF11&amp;AL11)-2))</f>
      </c>
      <c r="S11" s="1"/>
      <c r="T11" s="1">
        <f>IF(AND($A11&lt;&gt;"",ISNUMBER(C11)),1,0)</f>
      </c>
      <c r="U11" s="1">
        <f>IF(AND($A11&lt;&gt;"",ISNUMBER(D11)),1,0)</f>
      </c>
      <c r="V11" s="1">
        <f>IF($A11="",0,IF(E11="ja",1,IF(E11="Pauschale",2,0)))</f>
      </c>
      <c r="W11" s="1">
        <f>IF($A11="",0,IF(AU11&gt;0,1,0))</f>
      </c>
      <c r="X11" s="1">
        <f>IF(AND(T11=1,W11=0),1,0)</f>
      </c>
      <c r="Y11" s="1">
        <f>IF(AND(AS11=1,AT11=0,AU11=0),1,0)</f>
      </c>
      <c r="Z11" s="1">
        <f>IF(AND(Y11=1,T11=0,U11=1,V11=0),1,0)</f>
      </c>
      <c r="AA11" s="1">
        <f>IF(AND(X11=1,U11=0,V11=0,AN11=0,AO11=1,AP11=0),1,0)</f>
      </c>
      <c r="AB11" s="1">
        <f>IF(OR(W11=1,Z11=1),0,IF(T11=1,C11,0))</f>
      </c>
      <c r="AC11" s="1">
        <f>IF(OR(V11&gt;0,AA11=1),1,IF(U11=1,D11,1))</f>
      </c>
      <c r="AD11" s="1">
        <f>IF($A11="",0,IF(OR(T11=1,U11=1,V11&gt;0,W11=1),1,0))</f>
      </c>
      <c r="AE11" s="1">
        <f>IF(AD11=0,0,ROUND((AC11-AB11)*1440,0))</f>
      </c>
      <c r="AF11" s="1">
        <f>IF(AD11=0,"",IF(AND(F11&lt;&gt;"",ISNA(MATCH(F11,PauschLand,0))),"Land nicht in der Liste; ","")&amp;IF(AND(T11=0,W11=0,Z11=0),"Beginn fehlt; ","")&amp;IF(AND(V11=0,U11=0,AA11=0),"Ende fehlt; ","")&amp;IF(AND(X11=1,U11=1,V11=0,N(D11)&lt;N(C11)),"Ende vor Beginn (über Mitternacht: Ende in die Zeile des Folgetags); ",""))</f>
      </c>
      <c r="AG11" s="1">
        <f>IF(AD11=0,0,IFERROR(VLOOKUP(IF(F11="","Deutschland",F11),PauschTab,2,FALSE),0))</f>
      </c>
      <c r="AH11" s="1">
        <f>IF(AD11=0,0,IFERROR(VLOOKUP(IF(F11="","Deutschland",F11),PauschTab,3,FALSE),0))</f>
      </c>
      <c r="AI11" s="1">
        <f>IF(AD11=0,0,IFERROR(VLOOKUP(IF(F11="","Deutschland",F11),PauschTab,4,FALSE),0))</f>
      </c>
      <c r="AJ11" s="1">
        <f>IF(OR(AD11=0,AF11&lt;&gt;""),0,IF(AND(W11=1,V11&gt;0),IF(OR(T11=1,U11=1),AH11,AG11),IF(OR(W11=1,V11&gt;0),AH11,IF(AA11=1,IF(AND(AE11+AQ11&gt;480,AE11&gt;=AQ11),AH11,0),IF(Z11=1,IF(AND(AR11+AE11&gt;480,AE11&gt;AR11),AH11,0),IF(AE11&gt;480,AH11,0))))))</f>
      </c>
      <c r="AK11" s="1">
        <f>MIN(AJ11,AM11)</f>
      </c>
      <c r="AL11" s="1">
        <f>IF(OR(AD11=0,AF11&lt;&gt;""),"",IF(AND(W11=0,V11=0,AA11=0,Z11=0,AE11&lt;=480),"nicht mehr als 8 Std.; ","")&amp;IF(AA11=1,IF(AJ11&gt;0,"über Mitternacht, zusammen "&amp;TEXT((AE11+AQ11)/1440,"[h]:mm")&amp;" Std.; ",IF(AE11+AQ11&gt;480,"über Mitternacht: Pauschale am Folgetag; ","über Mitternacht, zusammen nicht mehr als 8 Std.; ")),"")&amp;IF(Z11=1,IF(AJ11&gt;0,"über Mitternacht, zusammen "&amp;TEXT((AR11+AE11)/1440,"[h]:mm")&amp;" Std.; ",IF(AR11+AE11&gt;480,"über Mitternacht: Pauschale am Vortag; ","über Mitternacht, zusammen nicht mehr als 8 Std.; ")),"")&amp;IF(AND(W11=1,V11&gt;0,OR(T11=1,U11=1)),"zwischendurch zu Hause: An- und Abreisetag; ","")&amp;IF(AND(W11=1,V11=0,T11=1),"Beginn leer lassen: unterwegs seit dem Vortag; ","")&amp;IF(AND(W11=0,V11&gt;0,U11=1),"Ende leer lassen: Übernachtung; ","")&amp;IF(AND(AJ11&gt;0,AM11&gt;AJ11),"Kürzung auf die Pauschale begrenzt; ",""))</f>
      </c>
      <c r="AM11" s="1">
        <f>ROUND(AG11*(IF(H11&lt;&gt;"",0.2,0)+IF(I11&lt;&gt;"",0.4,0)+IF(J11&lt;&gt;"",0.4,0)),2)</f>
      </c>
      <c r="AN11" s="1">
        <f>IF($A12="",'August'!$T$5,T12)</f>
      </c>
      <c r="AO11" s="1">
        <f>IF($A12="",'August'!$U$5,U12)</f>
      </c>
      <c r="AP11" s="1">
        <f>IF($A12="",'August'!$V$5,V12)</f>
      </c>
      <c r="AQ11" s="1">
        <f>IF($A12="",'August'!$AE$5,AE12)</f>
      </c>
      <c r="AR11" s="1">
        <f>AE10</f>
      </c>
      <c r="AS11" s="1">
        <f>X10</f>
      </c>
      <c r="AT11" s="1">
        <f>U10</f>
      </c>
      <c r="AU11" s="1">
        <f>V10</f>
      </c>
    </row>
    <row r="12" spans="1:47" x14ac:dyDescent="0.25">
      <c r="A12" s="17">
        <f>IF(MONTH(DATE(Jahr,7,8))=7,DATE(Jahr,7,8),"")</f>
      </c>
      <c r="B12" s="13">
        <f>IF(A12="","",CHOOSE(WEEKDAY(A12,2),"Mo","Di","Mi","Do","Fr","Sa","So"))</f>
      </c>
      <c r="C12" s="18"/>
      <c r="D12" s="18"/>
      <c r="E12" s="7"/>
      <c r="F12" s="7"/>
      <c r="G12" s="7"/>
      <c r="H12" s="19"/>
      <c r="I12" s="19"/>
      <c r="J12" s="19"/>
      <c r="K12" s="9"/>
      <c r="L12" s="20">
        <f>IF(OR(AD12=0,AF12&lt;&gt;"",AND(W12=1,V12&gt;0,OR(T12=1,U12=1))),"",AE12/1440)</f>
      </c>
      <c r="M12" s="21">
        <f>IF(OR(AD12=0,AF12&lt;&gt;""),"",AJ12)</f>
      </c>
      <c r="N12" s="21">
        <f>IF(AK12=0,"",AK12)</f>
      </c>
      <c r="O12" s="21">
        <f>IF(OR(AD12=0,AF12&lt;&gt;""),"",AJ12-AK12)</f>
      </c>
      <c r="P12" s="21">
        <f>IF(AND(AD12=1,AF12="",V12=2),AI12,"")</f>
      </c>
      <c r="Q12" s="21">
        <f>IF(OR($A12="",N(K12)=0),"",ROUND(K12*KmSatz,2))</f>
      </c>
      <c r="R12" s="22">
        <f>IF(AF12&amp;AL12="","",LEFT(AF12&amp;AL12,LEN(AF12&amp;AL12)-2))</f>
      </c>
      <c r="S12" s="1"/>
      <c r="T12" s="1">
        <f>IF(AND($A12&lt;&gt;"",ISNUMBER(C12)),1,0)</f>
      </c>
      <c r="U12" s="1">
        <f>IF(AND($A12&lt;&gt;"",ISNUMBER(D12)),1,0)</f>
      </c>
      <c r="V12" s="1">
        <f>IF($A12="",0,IF(E12="ja",1,IF(E12="Pauschale",2,0)))</f>
      </c>
      <c r="W12" s="1">
        <f>IF($A12="",0,IF(AU12&gt;0,1,0))</f>
      </c>
      <c r="X12" s="1">
        <f>IF(AND(T12=1,W12=0),1,0)</f>
      </c>
      <c r="Y12" s="1">
        <f>IF(AND(AS12=1,AT12=0,AU12=0),1,0)</f>
      </c>
      <c r="Z12" s="1">
        <f>IF(AND(Y12=1,T12=0,U12=1,V12=0),1,0)</f>
      </c>
      <c r="AA12" s="1">
        <f>IF(AND(X12=1,U12=0,V12=0,AN12=0,AO12=1,AP12=0),1,0)</f>
      </c>
      <c r="AB12" s="1">
        <f>IF(OR(W12=1,Z12=1),0,IF(T12=1,C12,0))</f>
      </c>
      <c r="AC12" s="1">
        <f>IF(OR(V12&gt;0,AA12=1),1,IF(U12=1,D12,1))</f>
      </c>
      <c r="AD12" s="1">
        <f>IF($A12="",0,IF(OR(T12=1,U12=1,V12&gt;0,W12=1),1,0))</f>
      </c>
      <c r="AE12" s="1">
        <f>IF(AD12=0,0,ROUND((AC12-AB12)*1440,0))</f>
      </c>
      <c r="AF12" s="1">
        <f>IF(AD12=0,"",IF(AND(F12&lt;&gt;"",ISNA(MATCH(F12,PauschLand,0))),"Land nicht in der Liste; ","")&amp;IF(AND(T12=0,W12=0,Z12=0),"Beginn fehlt; ","")&amp;IF(AND(V12=0,U12=0,AA12=0),"Ende fehlt; ","")&amp;IF(AND(X12=1,U12=1,V12=0,N(D12)&lt;N(C12)),"Ende vor Beginn (über Mitternacht: Ende in die Zeile des Folgetags); ",""))</f>
      </c>
      <c r="AG12" s="1">
        <f>IF(AD12=0,0,IFERROR(VLOOKUP(IF(F12="","Deutschland",F12),PauschTab,2,FALSE),0))</f>
      </c>
      <c r="AH12" s="1">
        <f>IF(AD12=0,0,IFERROR(VLOOKUP(IF(F12="","Deutschland",F12),PauschTab,3,FALSE),0))</f>
      </c>
      <c r="AI12" s="1">
        <f>IF(AD12=0,0,IFERROR(VLOOKUP(IF(F12="","Deutschland",F12),PauschTab,4,FALSE),0))</f>
      </c>
      <c r="AJ12" s="1">
        <f>IF(OR(AD12=0,AF12&lt;&gt;""),0,IF(AND(W12=1,V12&gt;0),IF(OR(T12=1,U12=1),AH12,AG12),IF(OR(W12=1,V12&gt;0),AH12,IF(AA12=1,IF(AND(AE12+AQ12&gt;480,AE12&gt;=AQ12),AH12,0),IF(Z12=1,IF(AND(AR12+AE12&gt;480,AE12&gt;AR12),AH12,0),IF(AE12&gt;480,AH12,0))))))</f>
      </c>
      <c r="AK12" s="1">
        <f>MIN(AJ12,AM12)</f>
      </c>
      <c r="AL12" s="1">
        <f>IF(OR(AD12=0,AF12&lt;&gt;""),"",IF(AND(W12=0,V12=0,AA12=0,Z12=0,AE12&lt;=480),"nicht mehr als 8 Std.; ","")&amp;IF(AA12=1,IF(AJ12&gt;0,"über Mitternacht, zusammen "&amp;TEXT((AE12+AQ12)/1440,"[h]:mm")&amp;" Std.; ",IF(AE12+AQ12&gt;480,"über Mitternacht: Pauschale am Folgetag; ","über Mitternacht, zusammen nicht mehr als 8 Std.; ")),"")&amp;IF(Z12=1,IF(AJ12&gt;0,"über Mitternacht, zusammen "&amp;TEXT((AR12+AE12)/1440,"[h]:mm")&amp;" Std.; ",IF(AR12+AE12&gt;480,"über Mitternacht: Pauschale am Vortag; ","über Mitternacht, zusammen nicht mehr als 8 Std.; ")),"")&amp;IF(AND(W12=1,V12&gt;0,OR(T12=1,U12=1)),"zwischendurch zu Hause: An- und Abreisetag; ","")&amp;IF(AND(W12=1,V12=0,T12=1),"Beginn leer lassen: unterwegs seit dem Vortag; ","")&amp;IF(AND(W12=0,V12&gt;0,U12=1),"Ende leer lassen: Übernachtung; ","")&amp;IF(AND(AJ12&gt;0,AM12&gt;AJ12),"Kürzung auf die Pauschale begrenzt; ",""))</f>
      </c>
      <c r="AM12" s="1">
        <f>ROUND(AG12*(IF(H12&lt;&gt;"",0.2,0)+IF(I12&lt;&gt;"",0.4,0)+IF(J12&lt;&gt;"",0.4,0)),2)</f>
      </c>
      <c r="AN12" s="1">
        <f>IF($A13="",'August'!$T$5,T13)</f>
      </c>
      <c r="AO12" s="1">
        <f>IF($A13="",'August'!$U$5,U13)</f>
      </c>
      <c r="AP12" s="1">
        <f>IF($A13="",'August'!$V$5,V13)</f>
      </c>
      <c r="AQ12" s="1">
        <f>IF($A13="",'August'!$AE$5,AE13)</f>
      </c>
      <c r="AR12" s="1">
        <f>AE11</f>
      </c>
      <c r="AS12" s="1">
        <f>X11</f>
      </c>
      <c r="AT12" s="1">
        <f>U11</f>
      </c>
      <c r="AU12" s="1">
        <f>V11</f>
      </c>
    </row>
    <row r="13" spans="1:47" x14ac:dyDescent="0.25">
      <c r="A13" s="17">
        <f>IF(MONTH(DATE(Jahr,7,9))=7,DATE(Jahr,7,9),"")</f>
      </c>
      <c r="B13" s="13">
        <f>IF(A13="","",CHOOSE(WEEKDAY(A13,2),"Mo","Di","Mi","Do","Fr","Sa","So"))</f>
      </c>
      <c r="C13" s="18"/>
      <c r="D13" s="18"/>
      <c r="E13" s="7"/>
      <c r="F13" s="7"/>
      <c r="G13" s="7"/>
      <c r="H13" s="19"/>
      <c r="I13" s="19"/>
      <c r="J13" s="19"/>
      <c r="K13" s="9"/>
      <c r="L13" s="20">
        <f>IF(OR(AD13=0,AF13&lt;&gt;"",AND(W13=1,V13&gt;0,OR(T13=1,U13=1))),"",AE13/1440)</f>
      </c>
      <c r="M13" s="21">
        <f>IF(OR(AD13=0,AF13&lt;&gt;""),"",AJ13)</f>
      </c>
      <c r="N13" s="21">
        <f>IF(AK13=0,"",AK13)</f>
      </c>
      <c r="O13" s="21">
        <f>IF(OR(AD13=0,AF13&lt;&gt;""),"",AJ13-AK13)</f>
      </c>
      <c r="P13" s="21">
        <f>IF(AND(AD13=1,AF13="",V13=2),AI13,"")</f>
      </c>
      <c r="Q13" s="21">
        <f>IF(OR($A13="",N(K13)=0),"",ROUND(K13*KmSatz,2))</f>
      </c>
      <c r="R13" s="22">
        <f>IF(AF13&amp;AL13="","",LEFT(AF13&amp;AL13,LEN(AF13&amp;AL13)-2))</f>
      </c>
      <c r="S13" s="1"/>
      <c r="T13" s="1">
        <f>IF(AND($A13&lt;&gt;"",ISNUMBER(C13)),1,0)</f>
      </c>
      <c r="U13" s="1">
        <f>IF(AND($A13&lt;&gt;"",ISNUMBER(D13)),1,0)</f>
      </c>
      <c r="V13" s="1">
        <f>IF($A13="",0,IF(E13="ja",1,IF(E13="Pauschale",2,0)))</f>
      </c>
      <c r="W13" s="1">
        <f>IF($A13="",0,IF(AU13&gt;0,1,0))</f>
      </c>
      <c r="X13" s="1">
        <f>IF(AND(T13=1,W13=0),1,0)</f>
      </c>
      <c r="Y13" s="1">
        <f>IF(AND(AS13=1,AT13=0,AU13=0),1,0)</f>
      </c>
      <c r="Z13" s="1">
        <f>IF(AND(Y13=1,T13=0,U13=1,V13=0),1,0)</f>
      </c>
      <c r="AA13" s="1">
        <f>IF(AND(X13=1,U13=0,V13=0,AN13=0,AO13=1,AP13=0),1,0)</f>
      </c>
      <c r="AB13" s="1">
        <f>IF(OR(W13=1,Z13=1),0,IF(T13=1,C13,0))</f>
      </c>
      <c r="AC13" s="1">
        <f>IF(OR(V13&gt;0,AA13=1),1,IF(U13=1,D13,1))</f>
      </c>
      <c r="AD13" s="1">
        <f>IF($A13="",0,IF(OR(T13=1,U13=1,V13&gt;0,W13=1),1,0))</f>
      </c>
      <c r="AE13" s="1">
        <f>IF(AD13=0,0,ROUND((AC13-AB13)*1440,0))</f>
      </c>
      <c r="AF13" s="1">
        <f>IF(AD13=0,"",IF(AND(F13&lt;&gt;"",ISNA(MATCH(F13,PauschLand,0))),"Land nicht in der Liste; ","")&amp;IF(AND(T13=0,W13=0,Z13=0),"Beginn fehlt; ","")&amp;IF(AND(V13=0,U13=0,AA13=0),"Ende fehlt; ","")&amp;IF(AND(X13=1,U13=1,V13=0,N(D13)&lt;N(C13)),"Ende vor Beginn (über Mitternacht: Ende in die Zeile des Folgetags); ",""))</f>
      </c>
      <c r="AG13" s="1">
        <f>IF(AD13=0,0,IFERROR(VLOOKUP(IF(F13="","Deutschland",F13),PauschTab,2,FALSE),0))</f>
      </c>
      <c r="AH13" s="1">
        <f>IF(AD13=0,0,IFERROR(VLOOKUP(IF(F13="","Deutschland",F13),PauschTab,3,FALSE),0))</f>
      </c>
      <c r="AI13" s="1">
        <f>IF(AD13=0,0,IFERROR(VLOOKUP(IF(F13="","Deutschland",F13),PauschTab,4,FALSE),0))</f>
      </c>
      <c r="AJ13" s="1">
        <f>IF(OR(AD13=0,AF13&lt;&gt;""),0,IF(AND(W13=1,V13&gt;0),IF(OR(T13=1,U13=1),AH13,AG13),IF(OR(W13=1,V13&gt;0),AH13,IF(AA13=1,IF(AND(AE13+AQ13&gt;480,AE13&gt;=AQ13),AH13,0),IF(Z13=1,IF(AND(AR13+AE13&gt;480,AE13&gt;AR13),AH13,0),IF(AE13&gt;480,AH13,0))))))</f>
      </c>
      <c r="AK13" s="1">
        <f>MIN(AJ13,AM13)</f>
      </c>
      <c r="AL13" s="1">
        <f>IF(OR(AD13=0,AF13&lt;&gt;""),"",IF(AND(W13=0,V13=0,AA13=0,Z13=0,AE13&lt;=480),"nicht mehr als 8 Std.; ","")&amp;IF(AA13=1,IF(AJ13&gt;0,"über Mitternacht, zusammen "&amp;TEXT((AE13+AQ13)/1440,"[h]:mm")&amp;" Std.; ",IF(AE13+AQ13&gt;480,"über Mitternacht: Pauschale am Folgetag; ","über Mitternacht, zusammen nicht mehr als 8 Std.; ")),"")&amp;IF(Z13=1,IF(AJ13&gt;0,"über Mitternacht, zusammen "&amp;TEXT((AR13+AE13)/1440,"[h]:mm")&amp;" Std.; ",IF(AR13+AE13&gt;480,"über Mitternacht: Pauschale am Vortag; ","über Mitternacht, zusammen nicht mehr als 8 Std.; ")),"")&amp;IF(AND(W13=1,V13&gt;0,OR(T13=1,U13=1)),"zwischendurch zu Hause: An- und Abreisetag; ","")&amp;IF(AND(W13=1,V13=0,T13=1),"Beginn leer lassen: unterwegs seit dem Vortag; ","")&amp;IF(AND(W13=0,V13&gt;0,U13=1),"Ende leer lassen: Übernachtung; ","")&amp;IF(AND(AJ13&gt;0,AM13&gt;AJ13),"Kürzung auf die Pauschale begrenzt; ",""))</f>
      </c>
      <c r="AM13" s="1">
        <f>ROUND(AG13*(IF(H13&lt;&gt;"",0.2,0)+IF(I13&lt;&gt;"",0.4,0)+IF(J13&lt;&gt;"",0.4,0)),2)</f>
      </c>
      <c r="AN13" s="1">
        <f>IF($A14="",'August'!$T$5,T14)</f>
      </c>
      <c r="AO13" s="1">
        <f>IF($A14="",'August'!$U$5,U14)</f>
      </c>
      <c r="AP13" s="1">
        <f>IF($A14="",'August'!$V$5,V14)</f>
      </c>
      <c r="AQ13" s="1">
        <f>IF($A14="",'August'!$AE$5,AE14)</f>
      </c>
      <c r="AR13" s="1">
        <f>AE12</f>
      </c>
      <c r="AS13" s="1">
        <f>X12</f>
      </c>
      <c r="AT13" s="1">
        <f>U12</f>
      </c>
      <c r="AU13" s="1">
        <f>V12</f>
      </c>
    </row>
    <row r="14" spans="1:47" x14ac:dyDescent="0.25">
      <c r="A14" s="17">
        <f>IF(MONTH(DATE(Jahr,7,10))=7,DATE(Jahr,7,10),"")</f>
      </c>
      <c r="B14" s="13">
        <f>IF(A14="","",CHOOSE(WEEKDAY(A14,2),"Mo","Di","Mi","Do","Fr","Sa","So"))</f>
      </c>
      <c r="C14" s="18"/>
      <c r="D14" s="18"/>
      <c r="E14" s="7"/>
      <c r="F14" s="7"/>
      <c r="G14" s="7"/>
      <c r="H14" s="19"/>
      <c r="I14" s="19"/>
      <c r="J14" s="19"/>
      <c r="K14" s="9"/>
      <c r="L14" s="20">
        <f>IF(OR(AD14=0,AF14&lt;&gt;"",AND(W14=1,V14&gt;0,OR(T14=1,U14=1))),"",AE14/1440)</f>
      </c>
      <c r="M14" s="21">
        <f>IF(OR(AD14=0,AF14&lt;&gt;""),"",AJ14)</f>
      </c>
      <c r="N14" s="21">
        <f>IF(AK14=0,"",AK14)</f>
      </c>
      <c r="O14" s="21">
        <f>IF(OR(AD14=0,AF14&lt;&gt;""),"",AJ14-AK14)</f>
      </c>
      <c r="P14" s="21">
        <f>IF(AND(AD14=1,AF14="",V14=2),AI14,"")</f>
      </c>
      <c r="Q14" s="21">
        <f>IF(OR($A14="",N(K14)=0),"",ROUND(K14*KmSatz,2))</f>
      </c>
      <c r="R14" s="22">
        <f>IF(AF14&amp;AL14="","",LEFT(AF14&amp;AL14,LEN(AF14&amp;AL14)-2))</f>
      </c>
      <c r="S14" s="1"/>
      <c r="T14" s="1">
        <f>IF(AND($A14&lt;&gt;"",ISNUMBER(C14)),1,0)</f>
      </c>
      <c r="U14" s="1">
        <f>IF(AND($A14&lt;&gt;"",ISNUMBER(D14)),1,0)</f>
      </c>
      <c r="V14" s="1">
        <f>IF($A14="",0,IF(E14="ja",1,IF(E14="Pauschale",2,0)))</f>
      </c>
      <c r="W14" s="1">
        <f>IF($A14="",0,IF(AU14&gt;0,1,0))</f>
      </c>
      <c r="X14" s="1">
        <f>IF(AND(T14=1,W14=0),1,0)</f>
      </c>
      <c r="Y14" s="1">
        <f>IF(AND(AS14=1,AT14=0,AU14=0),1,0)</f>
      </c>
      <c r="Z14" s="1">
        <f>IF(AND(Y14=1,T14=0,U14=1,V14=0),1,0)</f>
      </c>
      <c r="AA14" s="1">
        <f>IF(AND(X14=1,U14=0,V14=0,AN14=0,AO14=1,AP14=0),1,0)</f>
      </c>
      <c r="AB14" s="1">
        <f>IF(OR(W14=1,Z14=1),0,IF(T14=1,C14,0))</f>
      </c>
      <c r="AC14" s="1">
        <f>IF(OR(V14&gt;0,AA14=1),1,IF(U14=1,D14,1))</f>
      </c>
      <c r="AD14" s="1">
        <f>IF($A14="",0,IF(OR(T14=1,U14=1,V14&gt;0,W14=1),1,0))</f>
      </c>
      <c r="AE14" s="1">
        <f>IF(AD14=0,0,ROUND((AC14-AB14)*1440,0))</f>
      </c>
      <c r="AF14" s="1">
        <f>IF(AD14=0,"",IF(AND(F14&lt;&gt;"",ISNA(MATCH(F14,PauschLand,0))),"Land nicht in der Liste; ","")&amp;IF(AND(T14=0,W14=0,Z14=0),"Beginn fehlt; ","")&amp;IF(AND(V14=0,U14=0,AA14=0),"Ende fehlt; ","")&amp;IF(AND(X14=1,U14=1,V14=0,N(D14)&lt;N(C14)),"Ende vor Beginn (über Mitternacht: Ende in die Zeile des Folgetags); ",""))</f>
      </c>
      <c r="AG14" s="1">
        <f>IF(AD14=0,0,IFERROR(VLOOKUP(IF(F14="","Deutschland",F14),PauschTab,2,FALSE),0))</f>
      </c>
      <c r="AH14" s="1">
        <f>IF(AD14=0,0,IFERROR(VLOOKUP(IF(F14="","Deutschland",F14),PauschTab,3,FALSE),0))</f>
      </c>
      <c r="AI14" s="1">
        <f>IF(AD14=0,0,IFERROR(VLOOKUP(IF(F14="","Deutschland",F14),PauschTab,4,FALSE),0))</f>
      </c>
      <c r="AJ14" s="1">
        <f>IF(OR(AD14=0,AF14&lt;&gt;""),0,IF(AND(W14=1,V14&gt;0),IF(OR(T14=1,U14=1),AH14,AG14),IF(OR(W14=1,V14&gt;0),AH14,IF(AA14=1,IF(AND(AE14+AQ14&gt;480,AE14&gt;=AQ14),AH14,0),IF(Z14=1,IF(AND(AR14+AE14&gt;480,AE14&gt;AR14),AH14,0),IF(AE14&gt;480,AH14,0))))))</f>
      </c>
      <c r="AK14" s="1">
        <f>MIN(AJ14,AM14)</f>
      </c>
      <c r="AL14" s="1">
        <f>IF(OR(AD14=0,AF14&lt;&gt;""),"",IF(AND(W14=0,V14=0,AA14=0,Z14=0,AE14&lt;=480),"nicht mehr als 8 Std.; ","")&amp;IF(AA14=1,IF(AJ14&gt;0,"über Mitternacht, zusammen "&amp;TEXT((AE14+AQ14)/1440,"[h]:mm")&amp;" Std.; ",IF(AE14+AQ14&gt;480,"über Mitternacht: Pauschale am Folgetag; ","über Mitternacht, zusammen nicht mehr als 8 Std.; ")),"")&amp;IF(Z14=1,IF(AJ14&gt;0,"über Mitternacht, zusammen "&amp;TEXT((AR14+AE14)/1440,"[h]:mm")&amp;" Std.; ",IF(AR14+AE14&gt;480,"über Mitternacht: Pauschale am Vortag; ","über Mitternacht, zusammen nicht mehr als 8 Std.; ")),"")&amp;IF(AND(W14=1,V14&gt;0,OR(T14=1,U14=1)),"zwischendurch zu Hause: An- und Abreisetag; ","")&amp;IF(AND(W14=1,V14=0,T14=1),"Beginn leer lassen: unterwegs seit dem Vortag; ","")&amp;IF(AND(W14=0,V14&gt;0,U14=1),"Ende leer lassen: Übernachtung; ","")&amp;IF(AND(AJ14&gt;0,AM14&gt;AJ14),"Kürzung auf die Pauschale begrenzt; ",""))</f>
      </c>
      <c r="AM14" s="1">
        <f>ROUND(AG14*(IF(H14&lt;&gt;"",0.2,0)+IF(I14&lt;&gt;"",0.4,0)+IF(J14&lt;&gt;"",0.4,0)),2)</f>
      </c>
      <c r="AN14" s="1">
        <f>IF($A15="",'August'!$T$5,T15)</f>
      </c>
      <c r="AO14" s="1">
        <f>IF($A15="",'August'!$U$5,U15)</f>
      </c>
      <c r="AP14" s="1">
        <f>IF($A15="",'August'!$V$5,V15)</f>
      </c>
      <c r="AQ14" s="1">
        <f>IF($A15="",'August'!$AE$5,AE15)</f>
      </c>
      <c r="AR14" s="1">
        <f>AE13</f>
      </c>
      <c r="AS14" s="1">
        <f>X13</f>
      </c>
      <c r="AT14" s="1">
        <f>U13</f>
      </c>
      <c r="AU14" s="1">
        <f>V13</f>
      </c>
    </row>
    <row r="15" spans="1:47" x14ac:dyDescent="0.25">
      <c r="A15" s="17">
        <f>IF(MONTH(DATE(Jahr,7,11))=7,DATE(Jahr,7,11),"")</f>
      </c>
      <c r="B15" s="13">
        <f>IF(A15="","",CHOOSE(WEEKDAY(A15,2),"Mo","Di","Mi","Do","Fr","Sa","So"))</f>
      </c>
      <c r="C15" s="18"/>
      <c r="D15" s="18"/>
      <c r="E15" s="7"/>
      <c r="F15" s="7"/>
      <c r="G15" s="7"/>
      <c r="H15" s="19"/>
      <c r="I15" s="19"/>
      <c r="J15" s="19"/>
      <c r="K15" s="9"/>
      <c r="L15" s="20">
        <f>IF(OR(AD15=0,AF15&lt;&gt;"",AND(W15=1,V15&gt;0,OR(T15=1,U15=1))),"",AE15/1440)</f>
      </c>
      <c r="M15" s="21">
        <f>IF(OR(AD15=0,AF15&lt;&gt;""),"",AJ15)</f>
      </c>
      <c r="N15" s="21">
        <f>IF(AK15=0,"",AK15)</f>
      </c>
      <c r="O15" s="21">
        <f>IF(OR(AD15=0,AF15&lt;&gt;""),"",AJ15-AK15)</f>
      </c>
      <c r="P15" s="21">
        <f>IF(AND(AD15=1,AF15="",V15=2),AI15,"")</f>
      </c>
      <c r="Q15" s="21">
        <f>IF(OR($A15="",N(K15)=0),"",ROUND(K15*KmSatz,2))</f>
      </c>
      <c r="R15" s="22">
        <f>IF(AF15&amp;AL15="","",LEFT(AF15&amp;AL15,LEN(AF15&amp;AL15)-2))</f>
      </c>
      <c r="S15" s="1"/>
      <c r="T15" s="1">
        <f>IF(AND($A15&lt;&gt;"",ISNUMBER(C15)),1,0)</f>
      </c>
      <c r="U15" s="1">
        <f>IF(AND($A15&lt;&gt;"",ISNUMBER(D15)),1,0)</f>
      </c>
      <c r="V15" s="1">
        <f>IF($A15="",0,IF(E15="ja",1,IF(E15="Pauschale",2,0)))</f>
      </c>
      <c r="W15" s="1">
        <f>IF($A15="",0,IF(AU15&gt;0,1,0))</f>
      </c>
      <c r="X15" s="1">
        <f>IF(AND(T15=1,W15=0),1,0)</f>
      </c>
      <c r="Y15" s="1">
        <f>IF(AND(AS15=1,AT15=0,AU15=0),1,0)</f>
      </c>
      <c r="Z15" s="1">
        <f>IF(AND(Y15=1,T15=0,U15=1,V15=0),1,0)</f>
      </c>
      <c r="AA15" s="1">
        <f>IF(AND(X15=1,U15=0,V15=0,AN15=0,AO15=1,AP15=0),1,0)</f>
      </c>
      <c r="AB15" s="1">
        <f>IF(OR(W15=1,Z15=1),0,IF(T15=1,C15,0))</f>
      </c>
      <c r="AC15" s="1">
        <f>IF(OR(V15&gt;0,AA15=1),1,IF(U15=1,D15,1))</f>
      </c>
      <c r="AD15" s="1">
        <f>IF($A15="",0,IF(OR(T15=1,U15=1,V15&gt;0,W15=1),1,0))</f>
      </c>
      <c r="AE15" s="1">
        <f>IF(AD15=0,0,ROUND((AC15-AB15)*1440,0))</f>
      </c>
      <c r="AF15" s="1">
        <f>IF(AD15=0,"",IF(AND(F15&lt;&gt;"",ISNA(MATCH(F15,PauschLand,0))),"Land nicht in der Liste; ","")&amp;IF(AND(T15=0,W15=0,Z15=0),"Beginn fehlt; ","")&amp;IF(AND(V15=0,U15=0,AA15=0),"Ende fehlt; ","")&amp;IF(AND(X15=1,U15=1,V15=0,N(D15)&lt;N(C15)),"Ende vor Beginn (über Mitternacht: Ende in die Zeile des Folgetags); ",""))</f>
      </c>
      <c r="AG15" s="1">
        <f>IF(AD15=0,0,IFERROR(VLOOKUP(IF(F15="","Deutschland",F15),PauschTab,2,FALSE),0))</f>
      </c>
      <c r="AH15" s="1">
        <f>IF(AD15=0,0,IFERROR(VLOOKUP(IF(F15="","Deutschland",F15),PauschTab,3,FALSE),0))</f>
      </c>
      <c r="AI15" s="1">
        <f>IF(AD15=0,0,IFERROR(VLOOKUP(IF(F15="","Deutschland",F15),PauschTab,4,FALSE),0))</f>
      </c>
      <c r="AJ15" s="1">
        <f>IF(OR(AD15=0,AF15&lt;&gt;""),0,IF(AND(W15=1,V15&gt;0),IF(OR(T15=1,U15=1),AH15,AG15),IF(OR(W15=1,V15&gt;0),AH15,IF(AA15=1,IF(AND(AE15+AQ15&gt;480,AE15&gt;=AQ15),AH15,0),IF(Z15=1,IF(AND(AR15+AE15&gt;480,AE15&gt;AR15),AH15,0),IF(AE15&gt;480,AH15,0))))))</f>
      </c>
      <c r="AK15" s="1">
        <f>MIN(AJ15,AM15)</f>
      </c>
      <c r="AL15" s="1">
        <f>IF(OR(AD15=0,AF15&lt;&gt;""),"",IF(AND(W15=0,V15=0,AA15=0,Z15=0,AE15&lt;=480),"nicht mehr als 8 Std.; ","")&amp;IF(AA15=1,IF(AJ15&gt;0,"über Mitternacht, zusammen "&amp;TEXT((AE15+AQ15)/1440,"[h]:mm")&amp;" Std.; ",IF(AE15+AQ15&gt;480,"über Mitternacht: Pauschale am Folgetag; ","über Mitternacht, zusammen nicht mehr als 8 Std.; ")),"")&amp;IF(Z15=1,IF(AJ15&gt;0,"über Mitternacht, zusammen "&amp;TEXT((AR15+AE15)/1440,"[h]:mm")&amp;" Std.; ",IF(AR15+AE15&gt;480,"über Mitternacht: Pauschale am Vortag; ","über Mitternacht, zusammen nicht mehr als 8 Std.; ")),"")&amp;IF(AND(W15=1,V15&gt;0,OR(T15=1,U15=1)),"zwischendurch zu Hause: An- und Abreisetag; ","")&amp;IF(AND(W15=1,V15=0,T15=1),"Beginn leer lassen: unterwegs seit dem Vortag; ","")&amp;IF(AND(W15=0,V15&gt;0,U15=1),"Ende leer lassen: Übernachtung; ","")&amp;IF(AND(AJ15&gt;0,AM15&gt;AJ15),"Kürzung auf die Pauschale begrenzt; ",""))</f>
      </c>
      <c r="AM15" s="1">
        <f>ROUND(AG15*(IF(H15&lt;&gt;"",0.2,0)+IF(I15&lt;&gt;"",0.4,0)+IF(J15&lt;&gt;"",0.4,0)),2)</f>
      </c>
      <c r="AN15" s="1">
        <f>IF($A16="",'August'!$T$5,T16)</f>
      </c>
      <c r="AO15" s="1">
        <f>IF($A16="",'August'!$U$5,U16)</f>
      </c>
      <c r="AP15" s="1">
        <f>IF($A16="",'August'!$V$5,V16)</f>
      </c>
      <c r="AQ15" s="1">
        <f>IF($A16="",'August'!$AE$5,AE16)</f>
      </c>
      <c r="AR15" s="1">
        <f>AE14</f>
      </c>
      <c r="AS15" s="1">
        <f>X14</f>
      </c>
      <c r="AT15" s="1">
        <f>U14</f>
      </c>
      <c r="AU15" s="1">
        <f>V14</f>
      </c>
    </row>
    <row r="16" spans="1:47" x14ac:dyDescent="0.25">
      <c r="A16" s="17">
        <f>IF(MONTH(DATE(Jahr,7,12))=7,DATE(Jahr,7,12),"")</f>
      </c>
      <c r="B16" s="13">
        <f>IF(A16="","",CHOOSE(WEEKDAY(A16,2),"Mo","Di","Mi","Do","Fr","Sa","So"))</f>
      </c>
      <c r="C16" s="18"/>
      <c r="D16" s="18"/>
      <c r="E16" s="7"/>
      <c r="F16" s="7"/>
      <c r="G16" s="7"/>
      <c r="H16" s="19"/>
      <c r="I16" s="19"/>
      <c r="J16" s="19"/>
      <c r="K16" s="9"/>
      <c r="L16" s="20">
        <f>IF(OR(AD16=0,AF16&lt;&gt;"",AND(W16=1,V16&gt;0,OR(T16=1,U16=1))),"",AE16/1440)</f>
      </c>
      <c r="M16" s="21">
        <f>IF(OR(AD16=0,AF16&lt;&gt;""),"",AJ16)</f>
      </c>
      <c r="N16" s="21">
        <f>IF(AK16=0,"",AK16)</f>
      </c>
      <c r="O16" s="21">
        <f>IF(OR(AD16=0,AF16&lt;&gt;""),"",AJ16-AK16)</f>
      </c>
      <c r="P16" s="21">
        <f>IF(AND(AD16=1,AF16="",V16=2),AI16,"")</f>
      </c>
      <c r="Q16" s="21">
        <f>IF(OR($A16="",N(K16)=0),"",ROUND(K16*KmSatz,2))</f>
      </c>
      <c r="R16" s="22">
        <f>IF(AF16&amp;AL16="","",LEFT(AF16&amp;AL16,LEN(AF16&amp;AL16)-2))</f>
      </c>
      <c r="S16" s="1"/>
      <c r="T16" s="1">
        <f>IF(AND($A16&lt;&gt;"",ISNUMBER(C16)),1,0)</f>
      </c>
      <c r="U16" s="1">
        <f>IF(AND($A16&lt;&gt;"",ISNUMBER(D16)),1,0)</f>
      </c>
      <c r="V16" s="1">
        <f>IF($A16="",0,IF(E16="ja",1,IF(E16="Pauschale",2,0)))</f>
      </c>
      <c r="W16" s="1">
        <f>IF($A16="",0,IF(AU16&gt;0,1,0))</f>
      </c>
      <c r="X16" s="1">
        <f>IF(AND(T16=1,W16=0),1,0)</f>
      </c>
      <c r="Y16" s="1">
        <f>IF(AND(AS16=1,AT16=0,AU16=0),1,0)</f>
      </c>
      <c r="Z16" s="1">
        <f>IF(AND(Y16=1,T16=0,U16=1,V16=0),1,0)</f>
      </c>
      <c r="AA16" s="1">
        <f>IF(AND(X16=1,U16=0,V16=0,AN16=0,AO16=1,AP16=0),1,0)</f>
      </c>
      <c r="AB16" s="1">
        <f>IF(OR(W16=1,Z16=1),0,IF(T16=1,C16,0))</f>
      </c>
      <c r="AC16" s="1">
        <f>IF(OR(V16&gt;0,AA16=1),1,IF(U16=1,D16,1))</f>
      </c>
      <c r="AD16" s="1">
        <f>IF($A16="",0,IF(OR(T16=1,U16=1,V16&gt;0,W16=1),1,0))</f>
      </c>
      <c r="AE16" s="1">
        <f>IF(AD16=0,0,ROUND((AC16-AB16)*1440,0))</f>
      </c>
      <c r="AF16" s="1">
        <f>IF(AD16=0,"",IF(AND(F16&lt;&gt;"",ISNA(MATCH(F16,PauschLand,0))),"Land nicht in der Liste; ","")&amp;IF(AND(T16=0,W16=0,Z16=0),"Beginn fehlt; ","")&amp;IF(AND(V16=0,U16=0,AA16=0),"Ende fehlt; ","")&amp;IF(AND(X16=1,U16=1,V16=0,N(D16)&lt;N(C16)),"Ende vor Beginn (über Mitternacht: Ende in die Zeile des Folgetags); ",""))</f>
      </c>
      <c r="AG16" s="1">
        <f>IF(AD16=0,0,IFERROR(VLOOKUP(IF(F16="","Deutschland",F16),PauschTab,2,FALSE),0))</f>
      </c>
      <c r="AH16" s="1">
        <f>IF(AD16=0,0,IFERROR(VLOOKUP(IF(F16="","Deutschland",F16),PauschTab,3,FALSE),0))</f>
      </c>
      <c r="AI16" s="1">
        <f>IF(AD16=0,0,IFERROR(VLOOKUP(IF(F16="","Deutschland",F16),PauschTab,4,FALSE),0))</f>
      </c>
      <c r="AJ16" s="1">
        <f>IF(OR(AD16=0,AF16&lt;&gt;""),0,IF(AND(W16=1,V16&gt;0),IF(OR(T16=1,U16=1),AH16,AG16),IF(OR(W16=1,V16&gt;0),AH16,IF(AA16=1,IF(AND(AE16+AQ16&gt;480,AE16&gt;=AQ16),AH16,0),IF(Z16=1,IF(AND(AR16+AE16&gt;480,AE16&gt;AR16),AH16,0),IF(AE16&gt;480,AH16,0))))))</f>
      </c>
      <c r="AK16" s="1">
        <f>MIN(AJ16,AM16)</f>
      </c>
      <c r="AL16" s="1">
        <f>IF(OR(AD16=0,AF16&lt;&gt;""),"",IF(AND(W16=0,V16=0,AA16=0,Z16=0,AE16&lt;=480),"nicht mehr als 8 Std.; ","")&amp;IF(AA16=1,IF(AJ16&gt;0,"über Mitternacht, zusammen "&amp;TEXT((AE16+AQ16)/1440,"[h]:mm")&amp;" Std.; ",IF(AE16+AQ16&gt;480,"über Mitternacht: Pauschale am Folgetag; ","über Mitternacht, zusammen nicht mehr als 8 Std.; ")),"")&amp;IF(Z16=1,IF(AJ16&gt;0,"über Mitternacht, zusammen "&amp;TEXT((AR16+AE16)/1440,"[h]:mm")&amp;" Std.; ",IF(AR16+AE16&gt;480,"über Mitternacht: Pauschale am Vortag; ","über Mitternacht, zusammen nicht mehr als 8 Std.; ")),"")&amp;IF(AND(W16=1,V16&gt;0,OR(T16=1,U16=1)),"zwischendurch zu Hause: An- und Abreisetag; ","")&amp;IF(AND(W16=1,V16=0,T16=1),"Beginn leer lassen: unterwegs seit dem Vortag; ","")&amp;IF(AND(W16=0,V16&gt;0,U16=1),"Ende leer lassen: Übernachtung; ","")&amp;IF(AND(AJ16&gt;0,AM16&gt;AJ16),"Kürzung auf die Pauschale begrenzt; ",""))</f>
      </c>
      <c r="AM16" s="1">
        <f>ROUND(AG16*(IF(H16&lt;&gt;"",0.2,0)+IF(I16&lt;&gt;"",0.4,0)+IF(J16&lt;&gt;"",0.4,0)),2)</f>
      </c>
      <c r="AN16" s="1">
        <f>IF($A17="",'August'!$T$5,T17)</f>
      </c>
      <c r="AO16" s="1">
        <f>IF($A17="",'August'!$U$5,U17)</f>
      </c>
      <c r="AP16" s="1">
        <f>IF($A17="",'August'!$V$5,V17)</f>
      </c>
      <c r="AQ16" s="1">
        <f>IF($A17="",'August'!$AE$5,AE17)</f>
      </c>
      <c r="AR16" s="1">
        <f>AE15</f>
      </c>
      <c r="AS16" s="1">
        <f>X15</f>
      </c>
      <c r="AT16" s="1">
        <f>U15</f>
      </c>
      <c r="AU16" s="1">
        <f>V15</f>
      </c>
    </row>
    <row r="17" spans="1:47" x14ac:dyDescent="0.25">
      <c r="A17" s="17">
        <f>IF(MONTH(DATE(Jahr,7,13))=7,DATE(Jahr,7,13),"")</f>
      </c>
      <c r="B17" s="13">
        <f>IF(A17="","",CHOOSE(WEEKDAY(A17,2),"Mo","Di","Mi","Do","Fr","Sa","So"))</f>
      </c>
      <c r="C17" s="18"/>
      <c r="D17" s="18"/>
      <c r="E17" s="7"/>
      <c r="F17" s="7"/>
      <c r="G17" s="7"/>
      <c r="H17" s="19"/>
      <c r="I17" s="19"/>
      <c r="J17" s="19"/>
      <c r="K17" s="9"/>
      <c r="L17" s="20">
        <f>IF(OR(AD17=0,AF17&lt;&gt;"",AND(W17=1,V17&gt;0,OR(T17=1,U17=1))),"",AE17/1440)</f>
      </c>
      <c r="M17" s="21">
        <f>IF(OR(AD17=0,AF17&lt;&gt;""),"",AJ17)</f>
      </c>
      <c r="N17" s="21">
        <f>IF(AK17=0,"",AK17)</f>
      </c>
      <c r="O17" s="21">
        <f>IF(OR(AD17=0,AF17&lt;&gt;""),"",AJ17-AK17)</f>
      </c>
      <c r="P17" s="21">
        <f>IF(AND(AD17=1,AF17="",V17=2),AI17,"")</f>
      </c>
      <c r="Q17" s="21">
        <f>IF(OR($A17="",N(K17)=0),"",ROUND(K17*KmSatz,2))</f>
      </c>
      <c r="R17" s="22">
        <f>IF(AF17&amp;AL17="","",LEFT(AF17&amp;AL17,LEN(AF17&amp;AL17)-2))</f>
      </c>
      <c r="S17" s="1"/>
      <c r="T17" s="1">
        <f>IF(AND($A17&lt;&gt;"",ISNUMBER(C17)),1,0)</f>
      </c>
      <c r="U17" s="1">
        <f>IF(AND($A17&lt;&gt;"",ISNUMBER(D17)),1,0)</f>
      </c>
      <c r="V17" s="1">
        <f>IF($A17="",0,IF(E17="ja",1,IF(E17="Pauschale",2,0)))</f>
      </c>
      <c r="W17" s="1">
        <f>IF($A17="",0,IF(AU17&gt;0,1,0))</f>
      </c>
      <c r="X17" s="1">
        <f>IF(AND(T17=1,W17=0),1,0)</f>
      </c>
      <c r="Y17" s="1">
        <f>IF(AND(AS17=1,AT17=0,AU17=0),1,0)</f>
      </c>
      <c r="Z17" s="1">
        <f>IF(AND(Y17=1,T17=0,U17=1,V17=0),1,0)</f>
      </c>
      <c r="AA17" s="1">
        <f>IF(AND(X17=1,U17=0,V17=0,AN17=0,AO17=1,AP17=0),1,0)</f>
      </c>
      <c r="AB17" s="1">
        <f>IF(OR(W17=1,Z17=1),0,IF(T17=1,C17,0))</f>
      </c>
      <c r="AC17" s="1">
        <f>IF(OR(V17&gt;0,AA17=1),1,IF(U17=1,D17,1))</f>
      </c>
      <c r="AD17" s="1">
        <f>IF($A17="",0,IF(OR(T17=1,U17=1,V17&gt;0,W17=1),1,0))</f>
      </c>
      <c r="AE17" s="1">
        <f>IF(AD17=0,0,ROUND((AC17-AB17)*1440,0))</f>
      </c>
      <c r="AF17" s="1">
        <f>IF(AD17=0,"",IF(AND(F17&lt;&gt;"",ISNA(MATCH(F17,PauschLand,0))),"Land nicht in der Liste; ","")&amp;IF(AND(T17=0,W17=0,Z17=0),"Beginn fehlt; ","")&amp;IF(AND(V17=0,U17=0,AA17=0),"Ende fehlt; ","")&amp;IF(AND(X17=1,U17=1,V17=0,N(D17)&lt;N(C17)),"Ende vor Beginn (über Mitternacht: Ende in die Zeile des Folgetags); ",""))</f>
      </c>
      <c r="AG17" s="1">
        <f>IF(AD17=0,0,IFERROR(VLOOKUP(IF(F17="","Deutschland",F17),PauschTab,2,FALSE),0))</f>
      </c>
      <c r="AH17" s="1">
        <f>IF(AD17=0,0,IFERROR(VLOOKUP(IF(F17="","Deutschland",F17),PauschTab,3,FALSE),0))</f>
      </c>
      <c r="AI17" s="1">
        <f>IF(AD17=0,0,IFERROR(VLOOKUP(IF(F17="","Deutschland",F17),PauschTab,4,FALSE),0))</f>
      </c>
      <c r="AJ17" s="1">
        <f>IF(OR(AD17=0,AF17&lt;&gt;""),0,IF(AND(W17=1,V17&gt;0),IF(OR(T17=1,U17=1),AH17,AG17),IF(OR(W17=1,V17&gt;0),AH17,IF(AA17=1,IF(AND(AE17+AQ17&gt;480,AE17&gt;=AQ17),AH17,0),IF(Z17=1,IF(AND(AR17+AE17&gt;480,AE17&gt;AR17),AH17,0),IF(AE17&gt;480,AH17,0))))))</f>
      </c>
      <c r="AK17" s="1">
        <f>MIN(AJ17,AM17)</f>
      </c>
      <c r="AL17" s="1">
        <f>IF(OR(AD17=0,AF17&lt;&gt;""),"",IF(AND(W17=0,V17=0,AA17=0,Z17=0,AE17&lt;=480),"nicht mehr als 8 Std.; ","")&amp;IF(AA17=1,IF(AJ17&gt;0,"über Mitternacht, zusammen "&amp;TEXT((AE17+AQ17)/1440,"[h]:mm")&amp;" Std.; ",IF(AE17+AQ17&gt;480,"über Mitternacht: Pauschale am Folgetag; ","über Mitternacht, zusammen nicht mehr als 8 Std.; ")),"")&amp;IF(Z17=1,IF(AJ17&gt;0,"über Mitternacht, zusammen "&amp;TEXT((AR17+AE17)/1440,"[h]:mm")&amp;" Std.; ",IF(AR17+AE17&gt;480,"über Mitternacht: Pauschale am Vortag; ","über Mitternacht, zusammen nicht mehr als 8 Std.; ")),"")&amp;IF(AND(W17=1,V17&gt;0,OR(T17=1,U17=1)),"zwischendurch zu Hause: An- und Abreisetag; ","")&amp;IF(AND(W17=1,V17=0,T17=1),"Beginn leer lassen: unterwegs seit dem Vortag; ","")&amp;IF(AND(W17=0,V17&gt;0,U17=1),"Ende leer lassen: Übernachtung; ","")&amp;IF(AND(AJ17&gt;0,AM17&gt;AJ17),"Kürzung auf die Pauschale begrenzt; ",""))</f>
      </c>
      <c r="AM17" s="1">
        <f>ROUND(AG17*(IF(H17&lt;&gt;"",0.2,0)+IF(I17&lt;&gt;"",0.4,0)+IF(J17&lt;&gt;"",0.4,0)),2)</f>
      </c>
      <c r="AN17" s="1">
        <f>IF($A18="",'August'!$T$5,T18)</f>
      </c>
      <c r="AO17" s="1">
        <f>IF($A18="",'August'!$U$5,U18)</f>
      </c>
      <c r="AP17" s="1">
        <f>IF($A18="",'August'!$V$5,V18)</f>
      </c>
      <c r="AQ17" s="1">
        <f>IF($A18="",'August'!$AE$5,AE18)</f>
      </c>
      <c r="AR17" s="1">
        <f>AE16</f>
      </c>
      <c r="AS17" s="1">
        <f>X16</f>
      </c>
      <c r="AT17" s="1">
        <f>U16</f>
      </c>
      <c r="AU17" s="1">
        <f>V16</f>
      </c>
    </row>
    <row r="18" spans="1:47" x14ac:dyDescent="0.25">
      <c r="A18" s="17">
        <f>IF(MONTH(DATE(Jahr,7,14))=7,DATE(Jahr,7,14),"")</f>
      </c>
      <c r="B18" s="13">
        <f>IF(A18="","",CHOOSE(WEEKDAY(A18,2),"Mo","Di","Mi","Do","Fr","Sa","So"))</f>
      </c>
      <c r="C18" s="18"/>
      <c r="D18" s="18"/>
      <c r="E18" s="7"/>
      <c r="F18" s="7"/>
      <c r="G18" s="7"/>
      <c r="H18" s="19"/>
      <c r="I18" s="19"/>
      <c r="J18" s="19"/>
      <c r="K18" s="9"/>
      <c r="L18" s="20">
        <f>IF(OR(AD18=0,AF18&lt;&gt;"",AND(W18=1,V18&gt;0,OR(T18=1,U18=1))),"",AE18/1440)</f>
      </c>
      <c r="M18" s="21">
        <f>IF(OR(AD18=0,AF18&lt;&gt;""),"",AJ18)</f>
      </c>
      <c r="N18" s="21">
        <f>IF(AK18=0,"",AK18)</f>
      </c>
      <c r="O18" s="21">
        <f>IF(OR(AD18=0,AF18&lt;&gt;""),"",AJ18-AK18)</f>
      </c>
      <c r="P18" s="21">
        <f>IF(AND(AD18=1,AF18="",V18=2),AI18,"")</f>
      </c>
      <c r="Q18" s="21">
        <f>IF(OR($A18="",N(K18)=0),"",ROUND(K18*KmSatz,2))</f>
      </c>
      <c r="R18" s="22">
        <f>IF(AF18&amp;AL18="","",LEFT(AF18&amp;AL18,LEN(AF18&amp;AL18)-2))</f>
      </c>
      <c r="S18" s="1"/>
      <c r="T18" s="1">
        <f>IF(AND($A18&lt;&gt;"",ISNUMBER(C18)),1,0)</f>
      </c>
      <c r="U18" s="1">
        <f>IF(AND($A18&lt;&gt;"",ISNUMBER(D18)),1,0)</f>
      </c>
      <c r="V18" s="1">
        <f>IF($A18="",0,IF(E18="ja",1,IF(E18="Pauschale",2,0)))</f>
      </c>
      <c r="W18" s="1">
        <f>IF($A18="",0,IF(AU18&gt;0,1,0))</f>
      </c>
      <c r="X18" s="1">
        <f>IF(AND(T18=1,W18=0),1,0)</f>
      </c>
      <c r="Y18" s="1">
        <f>IF(AND(AS18=1,AT18=0,AU18=0),1,0)</f>
      </c>
      <c r="Z18" s="1">
        <f>IF(AND(Y18=1,T18=0,U18=1,V18=0),1,0)</f>
      </c>
      <c r="AA18" s="1">
        <f>IF(AND(X18=1,U18=0,V18=0,AN18=0,AO18=1,AP18=0),1,0)</f>
      </c>
      <c r="AB18" s="1">
        <f>IF(OR(W18=1,Z18=1),0,IF(T18=1,C18,0))</f>
      </c>
      <c r="AC18" s="1">
        <f>IF(OR(V18&gt;0,AA18=1),1,IF(U18=1,D18,1))</f>
      </c>
      <c r="AD18" s="1">
        <f>IF($A18="",0,IF(OR(T18=1,U18=1,V18&gt;0,W18=1),1,0))</f>
      </c>
      <c r="AE18" s="1">
        <f>IF(AD18=0,0,ROUND((AC18-AB18)*1440,0))</f>
      </c>
      <c r="AF18" s="1">
        <f>IF(AD18=0,"",IF(AND(F18&lt;&gt;"",ISNA(MATCH(F18,PauschLand,0))),"Land nicht in der Liste; ","")&amp;IF(AND(T18=0,W18=0,Z18=0),"Beginn fehlt; ","")&amp;IF(AND(V18=0,U18=0,AA18=0),"Ende fehlt; ","")&amp;IF(AND(X18=1,U18=1,V18=0,N(D18)&lt;N(C18)),"Ende vor Beginn (über Mitternacht: Ende in die Zeile des Folgetags); ",""))</f>
      </c>
      <c r="AG18" s="1">
        <f>IF(AD18=0,0,IFERROR(VLOOKUP(IF(F18="","Deutschland",F18),PauschTab,2,FALSE),0))</f>
      </c>
      <c r="AH18" s="1">
        <f>IF(AD18=0,0,IFERROR(VLOOKUP(IF(F18="","Deutschland",F18),PauschTab,3,FALSE),0))</f>
      </c>
      <c r="AI18" s="1">
        <f>IF(AD18=0,0,IFERROR(VLOOKUP(IF(F18="","Deutschland",F18),PauschTab,4,FALSE),0))</f>
      </c>
      <c r="AJ18" s="1">
        <f>IF(OR(AD18=0,AF18&lt;&gt;""),0,IF(AND(W18=1,V18&gt;0),IF(OR(T18=1,U18=1),AH18,AG18),IF(OR(W18=1,V18&gt;0),AH18,IF(AA18=1,IF(AND(AE18+AQ18&gt;480,AE18&gt;=AQ18),AH18,0),IF(Z18=1,IF(AND(AR18+AE18&gt;480,AE18&gt;AR18),AH18,0),IF(AE18&gt;480,AH18,0))))))</f>
      </c>
      <c r="AK18" s="1">
        <f>MIN(AJ18,AM18)</f>
      </c>
      <c r="AL18" s="1">
        <f>IF(OR(AD18=0,AF18&lt;&gt;""),"",IF(AND(W18=0,V18=0,AA18=0,Z18=0,AE18&lt;=480),"nicht mehr als 8 Std.; ","")&amp;IF(AA18=1,IF(AJ18&gt;0,"über Mitternacht, zusammen "&amp;TEXT((AE18+AQ18)/1440,"[h]:mm")&amp;" Std.; ",IF(AE18+AQ18&gt;480,"über Mitternacht: Pauschale am Folgetag; ","über Mitternacht, zusammen nicht mehr als 8 Std.; ")),"")&amp;IF(Z18=1,IF(AJ18&gt;0,"über Mitternacht, zusammen "&amp;TEXT((AR18+AE18)/1440,"[h]:mm")&amp;" Std.; ",IF(AR18+AE18&gt;480,"über Mitternacht: Pauschale am Vortag; ","über Mitternacht, zusammen nicht mehr als 8 Std.; ")),"")&amp;IF(AND(W18=1,V18&gt;0,OR(T18=1,U18=1)),"zwischendurch zu Hause: An- und Abreisetag; ","")&amp;IF(AND(W18=1,V18=0,T18=1),"Beginn leer lassen: unterwegs seit dem Vortag; ","")&amp;IF(AND(W18=0,V18&gt;0,U18=1),"Ende leer lassen: Übernachtung; ","")&amp;IF(AND(AJ18&gt;0,AM18&gt;AJ18),"Kürzung auf die Pauschale begrenzt; ",""))</f>
      </c>
      <c r="AM18" s="1">
        <f>ROUND(AG18*(IF(H18&lt;&gt;"",0.2,0)+IF(I18&lt;&gt;"",0.4,0)+IF(J18&lt;&gt;"",0.4,0)),2)</f>
      </c>
      <c r="AN18" s="1">
        <f>IF($A19="",'August'!$T$5,T19)</f>
      </c>
      <c r="AO18" s="1">
        <f>IF($A19="",'August'!$U$5,U19)</f>
      </c>
      <c r="AP18" s="1">
        <f>IF($A19="",'August'!$V$5,V19)</f>
      </c>
      <c r="AQ18" s="1">
        <f>IF($A19="",'August'!$AE$5,AE19)</f>
      </c>
      <c r="AR18" s="1">
        <f>AE17</f>
      </c>
      <c r="AS18" s="1">
        <f>X17</f>
      </c>
      <c r="AT18" s="1">
        <f>U17</f>
      </c>
      <c r="AU18" s="1">
        <f>V17</f>
      </c>
    </row>
    <row r="19" spans="1:47" x14ac:dyDescent="0.25">
      <c r="A19" s="17">
        <f>IF(MONTH(DATE(Jahr,7,15))=7,DATE(Jahr,7,15),"")</f>
      </c>
      <c r="B19" s="13">
        <f>IF(A19="","",CHOOSE(WEEKDAY(A19,2),"Mo","Di","Mi","Do","Fr","Sa","So"))</f>
      </c>
      <c r="C19" s="18"/>
      <c r="D19" s="18"/>
      <c r="E19" s="7"/>
      <c r="F19" s="7"/>
      <c r="G19" s="7"/>
      <c r="H19" s="19"/>
      <c r="I19" s="19"/>
      <c r="J19" s="19"/>
      <c r="K19" s="9"/>
      <c r="L19" s="20">
        <f>IF(OR(AD19=0,AF19&lt;&gt;"",AND(W19=1,V19&gt;0,OR(T19=1,U19=1))),"",AE19/1440)</f>
      </c>
      <c r="M19" s="21">
        <f>IF(OR(AD19=0,AF19&lt;&gt;""),"",AJ19)</f>
      </c>
      <c r="N19" s="21">
        <f>IF(AK19=0,"",AK19)</f>
      </c>
      <c r="O19" s="21">
        <f>IF(OR(AD19=0,AF19&lt;&gt;""),"",AJ19-AK19)</f>
      </c>
      <c r="P19" s="21">
        <f>IF(AND(AD19=1,AF19="",V19=2),AI19,"")</f>
      </c>
      <c r="Q19" s="21">
        <f>IF(OR($A19="",N(K19)=0),"",ROUND(K19*KmSatz,2))</f>
      </c>
      <c r="R19" s="22">
        <f>IF(AF19&amp;AL19="","",LEFT(AF19&amp;AL19,LEN(AF19&amp;AL19)-2))</f>
      </c>
      <c r="S19" s="1"/>
      <c r="T19" s="1">
        <f>IF(AND($A19&lt;&gt;"",ISNUMBER(C19)),1,0)</f>
      </c>
      <c r="U19" s="1">
        <f>IF(AND($A19&lt;&gt;"",ISNUMBER(D19)),1,0)</f>
      </c>
      <c r="V19" s="1">
        <f>IF($A19="",0,IF(E19="ja",1,IF(E19="Pauschale",2,0)))</f>
      </c>
      <c r="W19" s="1">
        <f>IF($A19="",0,IF(AU19&gt;0,1,0))</f>
      </c>
      <c r="X19" s="1">
        <f>IF(AND(T19=1,W19=0),1,0)</f>
      </c>
      <c r="Y19" s="1">
        <f>IF(AND(AS19=1,AT19=0,AU19=0),1,0)</f>
      </c>
      <c r="Z19" s="1">
        <f>IF(AND(Y19=1,T19=0,U19=1,V19=0),1,0)</f>
      </c>
      <c r="AA19" s="1">
        <f>IF(AND(X19=1,U19=0,V19=0,AN19=0,AO19=1,AP19=0),1,0)</f>
      </c>
      <c r="AB19" s="1">
        <f>IF(OR(W19=1,Z19=1),0,IF(T19=1,C19,0))</f>
      </c>
      <c r="AC19" s="1">
        <f>IF(OR(V19&gt;0,AA19=1),1,IF(U19=1,D19,1))</f>
      </c>
      <c r="AD19" s="1">
        <f>IF($A19="",0,IF(OR(T19=1,U19=1,V19&gt;0,W19=1),1,0))</f>
      </c>
      <c r="AE19" s="1">
        <f>IF(AD19=0,0,ROUND((AC19-AB19)*1440,0))</f>
      </c>
      <c r="AF19" s="1">
        <f>IF(AD19=0,"",IF(AND(F19&lt;&gt;"",ISNA(MATCH(F19,PauschLand,0))),"Land nicht in der Liste; ","")&amp;IF(AND(T19=0,W19=0,Z19=0),"Beginn fehlt; ","")&amp;IF(AND(V19=0,U19=0,AA19=0),"Ende fehlt; ","")&amp;IF(AND(X19=1,U19=1,V19=0,N(D19)&lt;N(C19)),"Ende vor Beginn (über Mitternacht: Ende in die Zeile des Folgetags); ",""))</f>
      </c>
      <c r="AG19" s="1">
        <f>IF(AD19=0,0,IFERROR(VLOOKUP(IF(F19="","Deutschland",F19),PauschTab,2,FALSE),0))</f>
      </c>
      <c r="AH19" s="1">
        <f>IF(AD19=0,0,IFERROR(VLOOKUP(IF(F19="","Deutschland",F19),PauschTab,3,FALSE),0))</f>
      </c>
      <c r="AI19" s="1">
        <f>IF(AD19=0,0,IFERROR(VLOOKUP(IF(F19="","Deutschland",F19),PauschTab,4,FALSE),0))</f>
      </c>
      <c r="AJ19" s="1">
        <f>IF(OR(AD19=0,AF19&lt;&gt;""),0,IF(AND(W19=1,V19&gt;0),IF(OR(T19=1,U19=1),AH19,AG19),IF(OR(W19=1,V19&gt;0),AH19,IF(AA19=1,IF(AND(AE19+AQ19&gt;480,AE19&gt;=AQ19),AH19,0),IF(Z19=1,IF(AND(AR19+AE19&gt;480,AE19&gt;AR19),AH19,0),IF(AE19&gt;480,AH19,0))))))</f>
      </c>
      <c r="AK19" s="1">
        <f>MIN(AJ19,AM19)</f>
      </c>
      <c r="AL19" s="1">
        <f>IF(OR(AD19=0,AF19&lt;&gt;""),"",IF(AND(W19=0,V19=0,AA19=0,Z19=0,AE19&lt;=480),"nicht mehr als 8 Std.; ","")&amp;IF(AA19=1,IF(AJ19&gt;0,"über Mitternacht, zusammen "&amp;TEXT((AE19+AQ19)/1440,"[h]:mm")&amp;" Std.; ",IF(AE19+AQ19&gt;480,"über Mitternacht: Pauschale am Folgetag; ","über Mitternacht, zusammen nicht mehr als 8 Std.; ")),"")&amp;IF(Z19=1,IF(AJ19&gt;0,"über Mitternacht, zusammen "&amp;TEXT((AR19+AE19)/1440,"[h]:mm")&amp;" Std.; ",IF(AR19+AE19&gt;480,"über Mitternacht: Pauschale am Vortag; ","über Mitternacht, zusammen nicht mehr als 8 Std.; ")),"")&amp;IF(AND(W19=1,V19&gt;0,OR(T19=1,U19=1)),"zwischendurch zu Hause: An- und Abreisetag; ","")&amp;IF(AND(W19=1,V19=0,T19=1),"Beginn leer lassen: unterwegs seit dem Vortag; ","")&amp;IF(AND(W19=0,V19&gt;0,U19=1),"Ende leer lassen: Übernachtung; ","")&amp;IF(AND(AJ19&gt;0,AM19&gt;AJ19),"Kürzung auf die Pauschale begrenzt; ",""))</f>
      </c>
      <c r="AM19" s="1">
        <f>ROUND(AG19*(IF(H19&lt;&gt;"",0.2,0)+IF(I19&lt;&gt;"",0.4,0)+IF(J19&lt;&gt;"",0.4,0)),2)</f>
      </c>
      <c r="AN19" s="1">
        <f>IF($A20="",'August'!$T$5,T20)</f>
      </c>
      <c r="AO19" s="1">
        <f>IF($A20="",'August'!$U$5,U20)</f>
      </c>
      <c r="AP19" s="1">
        <f>IF($A20="",'August'!$V$5,V20)</f>
      </c>
      <c r="AQ19" s="1">
        <f>IF($A20="",'August'!$AE$5,AE20)</f>
      </c>
      <c r="AR19" s="1">
        <f>AE18</f>
      </c>
      <c r="AS19" s="1">
        <f>X18</f>
      </c>
      <c r="AT19" s="1">
        <f>U18</f>
      </c>
      <c r="AU19" s="1">
        <f>V18</f>
      </c>
    </row>
    <row r="20" spans="1:47" x14ac:dyDescent="0.25">
      <c r="A20" s="17">
        <f>IF(MONTH(DATE(Jahr,7,16))=7,DATE(Jahr,7,16),"")</f>
      </c>
      <c r="B20" s="13">
        <f>IF(A20="","",CHOOSE(WEEKDAY(A20,2),"Mo","Di","Mi","Do","Fr","Sa","So"))</f>
      </c>
      <c r="C20" s="18"/>
      <c r="D20" s="18"/>
      <c r="E20" s="7"/>
      <c r="F20" s="7"/>
      <c r="G20" s="7"/>
      <c r="H20" s="19"/>
      <c r="I20" s="19"/>
      <c r="J20" s="19"/>
      <c r="K20" s="9"/>
      <c r="L20" s="20">
        <f>IF(OR(AD20=0,AF20&lt;&gt;"",AND(W20=1,V20&gt;0,OR(T20=1,U20=1))),"",AE20/1440)</f>
      </c>
      <c r="M20" s="21">
        <f>IF(OR(AD20=0,AF20&lt;&gt;""),"",AJ20)</f>
      </c>
      <c r="N20" s="21">
        <f>IF(AK20=0,"",AK20)</f>
      </c>
      <c r="O20" s="21">
        <f>IF(OR(AD20=0,AF20&lt;&gt;""),"",AJ20-AK20)</f>
      </c>
      <c r="P20" s="21">
        <f>IF(AND(AD20=1,AF20="",V20=2),AI20,"")</f>
      </c>
      <c r="Q20" s="21">
        <f>IF(OR($A20="",N(K20)=0),"",ROUND(K20*KmSatz,2))</f>
      </c>
      <c r="R20" s="22">
        <f>IF(AF20&amp;AL20="","",LEFT(AF20&amp;AL20,LEN(AF20&amp;AL20)-2))</f>
      </c>
      <c r="S20" s="1"/>
      <c r="T20" s="1">
        <f>IF(AND($A20&lt;&gt;"",ISNUMBER(C20)),1,0)</f>
      </c>
      <c r="U20" s="1">
        <f>IF(AND($A20&lt;&gt;"",ISNUMBER(D20)),1,0)</f>
      </c>
      <c r="V20" s="1">
        <f>IF($A20="",0,IF(E20="ja",1,IF(E20="Pauschale",2,0)))</f>
      </c>
      <c r="W20" s="1">
        <f>IF($A20="",0,IF(AU20&gt;0,1,0))</f>
      </c>
      <c r="X20" s="1">
        <f>IF(AND(T20=1,W20=0),1,0)</f>
      </c>
      <c r="Y20" s="1">
        <f>IF(AND(AS20=1,AT20=0,AU20=0),1,0)</f>
      </c>
      <c r="Z20" s="1">
        <f>IF(AND(Y20=1,T20=0,U20=1,V20=0),1,0)</f>
      </c>
      <c r="AA20" s="1">
        <f>IF(AND(X20=1,U20=0,V20=0,AN20=0,AO20=1,AP20=0),1,0)</f>
      </c>
      <c r="AB20" s="1">
        <f>IF(OR(W20=1,Z20=1),0,IF(T20=1,C20,0))</f>
      </c>
      <c r="AC20" s="1">
        <f>IF(OR(V20&gt;0,AA20=1),1,IF(U20=1,D20,1))</f>
      </c>
      <c r="AD20" s="1">
        <f>IF($A20="",0,IF(OR(T20=1,U20=1,V20&gt;0,W20=1),1,0))</f>
      </c>
      <c r="AE20" s="1">
        <f>IF(AD20=0,0,ROUND((AC20-AB20)*1440,0))</f>
      </c>
      <c r="AF20" s="1">
        <f>IF(AD20=0,"",IF(AND(F20&lt;&gt;"",ISNA(MATCH(F20,PauschLand,0))),"Land nicht in der Liste; ","")&amp;IF(AND(T20=0,W20=0,Z20=0),"Beginn fehlt; ","")&amp;IF(AND(V20=0,U20=0,AA20=0),"Ende fehlt; ","")&amp;IF(AND(X20=1,U20=1,V20=0,N(D20)&lt;N(C20)),"Ende vor Beginn (über Mitternacht: Ende in die Zeile des Folgetags); ",""))</f>
      </c>
      <c r="AG20" s="1">
        <f>IF(AD20=0,0,IFERROR(VLOOKUP(IF(F20="","Deutschland",F20),PauschTab,2,FALSE),0))</f>
      </c>
      <c r="AH20" s="1">
        <f>IF(AD20=0,0,IFERROR(VLOOKUP(IF(F20="","Deutschland",F20),PauschTab,3,FALSE),0))</f>
      </c>
      <c r="AI20" s="1">
        <f>IF(AD20=0,0,IFERROR(VLOOKUP(IF(F20="","Deutschland",F20),PauschTab,4,FALSE),0))</f>
      </c>
      <c r="AJ20" s="1">
        <f>IF(OR(AD20=0,AF20&lt;&gt;""),0,IF(AND(W20=1,V20&gt;0),IF(OR(T20=1,U20=1),AH20,AG20),IF(OR(W20=1,V20&gt;0),AH20,IF(AA20=1,IF(AND(AE20+AQ20&gt;480,AE20&gt;=AQ20),AH20,0),IF(Z20=1,IF(AND(AR20+AE20&gt;480,AE20&gt;AR20),AH20,0),IF(AE20&gt;480,AH20,0))))))</f>
      </c>
      <c r="AK20" s="1">
        <f>MIN(AJ20,AM20)</f>
      </c>
      <c r="AL20" s="1">
        <f>IF(OR(AD20=0,AF20&lt;&gt;""),"",IF(AND(W20=0,V20=0,AA20=0,Z20=0,AE20&lt;=480),"nicht mehr als 8 Std.; ","")&amp;IF(AA20=1,IF(AJ20&gt;0,"über Mitternacht, zusammen "&amp;TEXT((AE20+AQ20)/1440,"[h]:mm")&amp;" Std.; ",IF(AE20+AQ20&gt;480,"über Mitternacht: Pauschale am Folgetag; ","über Mitternacht, zusammen nicht mehr als 8 Std.; ")),"")&amp;IF(Z20=1,IF(AJ20&gt;0,"über Mitternacht, zusammen "&amp;TEXT((AR20+AE20)/1440,"[h]:mm")&amp;" Std.; ",IF(AR20+AE20&gt;480,"über Mitternacht: Pauschale am Vortag; ","über Mitternacht, zusammen nicht mehr als 8 Std.; ")),"")&amp;IF(AND(W20=1,V20&gt;0,OR(T20=1,U20=1)),"zwischendurch zu Hause: An- und Abreisetag; ","")&amp;IF(AND(W20=1,V20=0,T20=1),"Beginn leer lassen: unterwegs seit dem Vortag; ","")&amp;IF(AND(W20=0,V20&gt;0,U20=1),"Ende leer lassen: Übernachtung; ","")&amp;IF(AND(AJ20&gt;0,AM20&gt;AJ20),"Kürzung auf die Pauschale begrenzt; ",""))</f>
      </c>
      <c r="AM20" s="1">
        <f>ROUND(AG20*(IF(H20&lt;&gt;"",0.2,0)+IF(I20&lt;&gt;"",0.4,0)+IF(J20&lt;&gt;"",0.4,0)),2)</f>
      </c>
      <c r="AN20" s="1">
        <f>IF($A21="",'August'!$T$5,T21)</f>
      </c>
      <c r="AO20" s="1">
        <f>IF($A21="",'August'!$U$5,U21)</f>
      </c>
      <c r="AP20" s="1">
        <f>IF($A21="",'August'!$V$5,V21)</f>
      </c>
      <c r="AQ20" s="1">
        <f>IF($A21="",'August'!$AE$5,AE21)</f>
      </c>
      <c r="AR20" s="1">
        <f>AE19</f>
      </c>
      <c r="AS20" s="1">
        <f>X19</f>
      </c>
      <c r="AT20" s="1">
        <f>U19</f>
      </c>
      <c r="AU20" s="1">
        <f>V19</f>
      </c>
    </row>
    <row r="21" spans="1:47" x14ac:dyDescent="0.25">
      <c r="A21" s="17">
        <f>IF(MONTH(DATE(Jahr,7,17))=7,DATE(Jahr,7,17),"")</f>
      </c>
      <c r="B21" s="13">
        <f>IF(A21="","",CHOOSE(WEEKDAY(A21,2),"Mo","Di","Mi","Do","Fr","Sa","So"))</f>
      </c>
      <c r="C21" s="18"/>
      <c r="D21" s="18"/>
      <c r="E21" s="7"/>
      <c r="F21" s="7"/>
      <c r="G21" s="7"/>
      <c r="H21" s="19"/>
      <c r="I21" s="19"/>
      <c r="J21" s="19"/>
      <c r="K21" s="9"/>
      <c r="L21" s="20">
        <f>IF(OR(AD21=0,AF21&lt;&gt;"",AND(W21=1,V21&gt;0,OR(T21=1,U21=1))),"",AE21/1440)</f>
      </c>
      <c r="M21" s="21">
        <f>IF(OR(AD21=0,AF21&lt;&gt;""),"",AJ21)</f>
      </c>
      <c r="N21" s="21">
        <f>IF(AK21=0,"",AK21)</f>
      </c>
      <c r="O21" s="21">
        <f>IF(OR(AD21=0,AF21&lt;&gt;""),"",AJ21-AK21)</f>
      </c>
      <c r="P21" s="21">
        <f>IF(AND(AD21=1,AF21="",V21=2),AI21,"")</f>
      </c>
      <c r="Q21" s="21">
        <f>IF(OR($A21="",N(K21)=0),"",ROUND(K21*KmSatz,2))</f>
      </c>
      <c r="R21" s="22">
        <f>IF(AF21&amp;AL21="","",LEFT(AF21&amp;AL21,LEN(AF21&amp;AL21)-2))</f>
      </c>
      <c r="S21" s="1"/>
      <c r="T21" s="1">
        <f>IF(AND($A21&lt;&gt;"",ISNUMBER(C21)),1,0)</f>
      </c>
      <c r="U21" s="1">
        <f>IF(AND($A21&lt;&gt;"",ISNUMBER(D21)),1,0)</f>
      </c>
      <c r="V21" s="1">
        <f>IF($A21="",0,IF(E21="ja",1,IF(E21="Pauschale",2,0)))</f>
      </c>
      <c r="W21" s="1">
        <f>IF($A21="",0,IF(AU21&gt;0,1,0))</f>
      </c>
      <c r="X21" s="1">
        <f>IF(AND(T21=1,W21=0),1,0)</f>
      </c>
      <c r="Y21" s="1">
        <f>IF(AND(AS21=1,AT21=0,AU21=0),1,0)</f>
      </c>
      <c r="Z21" s="1">
        <f>IF(AND(Y21=1,T21=0,U21=1,V21=0),1,0)</f>
      </c>
      <c r="AA21" s="1">
        <f>IF(AND(X21=1,U21=0,V21=0,AN21=0,AO21=1,AP21=0),1,0)</f>
      </c>
      <c r="AB21" s="1">
        <f>IF(OR(W21=1,Z21=1),0,IF(T21=1,C21,0))</f>
      </c>
      <c r="AC21" s="1">
        <f>IF(OR(V21&gt;0,AA21=1),1,IF(U21=1,D21,1))</f>
      </c>
      <c r="AD21" s="1">
        <f>IF($A21="",0,IF(OR(T21=1,U21=1,V21&gt;0,W21=1),1,0))</f>
      </c>
      <c r="AE21" s="1">
        <f>IF(AD21=0,0,ROUND((AC21-AB21)*1440,0))</f>
      </c>
      <c r="AF21" s="1">
        <f>IF(AD21=0,"",IF(AND(F21&lt;&gt;"",ISNA(MATCH(F21,PauschLand,0))),"Land nicht in der Liste; ","")&amp;IF(AND(T21=0,W21=0,Z21=0),"Beginn fehlt; ","")&amp;IF(AND(V21=0,U21=0,AA21=0),"Ende fehlt; ","")&amp;IF(AND(X21=1,U21=1,V21=0,N(D21)&lt;N(C21)),"Ende vor Beginn (über Mitternacht: Ende in die Zeile des Folgetags); ",""))</f>
      </c>
      <c r="AG21" s="1">
        <f>IF(AD21=0,0,IFERROR(VLOOKUP(IF(F21="","Deutschland",F21),PauschTab,2,FALSE),0))</f>
      </c>
      <c r="AH21" s="1">
        <f>IF(AD21=0,0,IFERROR(VLOOKUP(IF(F21="","Deutschland",F21),PauschTab,3,FALSE),0))</f>
      </c>
      <c r="AI21" s="1">
        <f>IF(AD21=0,0,IFERROR(VLOOKUP(IF(F21="","Deutschland",F21),PauschTab,4,FALSE),0))</f>
      </c>
      <c r="AJ21" s="1">
        <f>IF(OR(AD21=0,AF21&lt;&gt;""),0,IF(AND(W21=1,V21&gt;0),IF(OR(T21=1,U21=1),AH21,AG21),IF(OR(W21=1,V21&gt;0),AH21,IF(AA21=1,IF(AND(AE21+AQ21&gt;480,AE21&gt;=AQ21),AH21,0),IF(Z21=1,IF(AND(AR21+AE21&gt;480,AE21&gt;AR21),AH21,0),IF(AE21&gt;480,AH21,0))))))</f>
      </c>
      <c r="AK21" s="1">
        <f>MIN(AJ21,AM21)</f>
      </c>
      <c r="AL21" s="1">
        <f>IF(OR(AD21=0,AF21&lt;&gt;""),"",IF(AND(W21=0,V21=0,AA21=0,Z21=0,AE21&lt;=480),"nicht mehr als 8 Std.; ","")&amp;IF(AA21=1,IF(AJ21&gt;0,"über Mitternacht, zusammen "&amp;TEXT((AE21+AQ21)/1440,"[h]:mm")&amp;" Std.; ",IF(AE21+AQ21&gt;480,"über Mitternacht: Pauschale am Folgetag; ","über Mitternacht, zusammen nicht mehr als 8 Std.; ")),"")&amp;IF(Z21=1,IF(AJ21&gt;0,"über Mitternacht, zusammen "&amp;TEXT((AR21+AE21)/1440,"[h]:mm")&amp;" Std.; ",IF(AR21+AE21&gt;480,"über Mitternacht: Pauschale am Vortag; ","über Mitternacht, zusammen nicht mehr als 8 Std.; ")),"")&amp;IF(AND(W21=1,V21&gt;0,OR(T21=1,U21=1)),"zwischendurch zu Hause: An- und Abreisetag; ","")&amp;IF(AND(W21=1,V21=0,T21=1),"Beginn leer lassen: unterwegs seit dem Vortag; ","")&amp;IF(AND(W21=0,V21&gt;0,U21=1),"Ende leer lassen: Übernachtung; ","")&amp;IF(AND(AJ21&gt;0,AM21&gt;AJ21),"Kürzung auf die Pauschale begrenzt; ",""))</f>
      </c>
      <c r="AM21" s="1">
        <f>ROUND(AG21*(IF(H21&lt;&gt;"",0.2,0)+IF(I21&lt;&gt;"",0.4,0)+IF(J21&lt;&gt;"",0.4,0)),2)</f>
      </c>
      <c r="AN21" s="1">
        <f>IF($A22="",'August'!$T$5,T22)</f>
      </c>
      <c r="AO21" s="1">
        <f>IF($A22="",'August'!$U$5,U22)</f>
      </c>
      <c r="AP21" s="1">
        <f>IF($A22="",'August'!$V$5,V22)</f>
      </c>
      <c r="AQ21" s="1">
        <f>IF($A22="",'August'!$AE$5,AE22)</f>
      </c>
      <c r="AR21" s="1">
        <f>AE20</f>
      </c>
      <c r="AS21" s="1">
        <f>X20</f>
      </c>
      <c r="AT21" s="1">
        <f>U20</f>
      </c>
      <c r="AU21" s="1">
        <f>V20</f>
      </c>
    </row>
    <row r="22" spans="1:47" x14ac:dyDescent="0.25">
      <c r="A22" s="17">
        <f>IF(MONTH(DATE(Jahr,7,18))=7,DATE(Jahr,7,18),"")</f>
      </c>
      <c r="B22" s="13">
        <f>IF(A22="","",CHOOSE(WEEKDAY(A22,2),"Mo","Di","Mi","Do","Fr","Sa","So"))</f>
      </c>
      <c r="C22" s="18"/>
      <c r="D22" s="18"/>
      <c r="E22" s="7"/>
      <c r="F22" s="7"/>
      <c r="G22" s="7"/>
      <c r="H22" s="19"/>
      <c r="I22" s="19"/>
      <c r="J22" s="19"/>
      <c r="K22" s="9"/>
      <c r="L22" s="20">
        <f>IF(OR(AD22=0,AF22&lt;&gt;"",AND(W22=1,V22&gt;0,OR(T22=1,U22=1))),"",AE22/1440)</f>
      </c>
      <c r="M22" s="21">
        <f>IF(OR(AD22=0,AF22&lt;&gt;""),"",AJ22)</f>
      </c>
      <c r="N22" s="21">
        <f>IF(AK22=0,"",AK22)</f>
      </c>
      <c r="O22" s="21">
        <f>IF(OR(AD22=0,AF22&lt;&gt;""),"",AJ22-AK22)</f>
      </c>
      <c r="P22" s="21">
        <f>IF(AND(AD22=1,AF22="",V22=2),AI22,"")</f>
      </c>
      <c r="Q22" s="21">
        <f>IF(OR($A22="",N(K22)=0),"",ROUND(K22*KmSatz,2))</f>
      </c>
      <c r="R22" s="22">
        <f>IF(AF22&amp;AL22="","",LEFT(AF22&amp;AL22,LEN(AF22&amp;AL22)-2))</f>
      </c>
      <c r="S22" s="1"/>
      <c r="T22" s="1">
        <f>IF(AND($A22&lt;&gt;"",ISNUMBER(C22)),1,0)</f>
      </c>
      <c r="U22" s="1">
        <f>IF(AND($A22&lt;&gt;"",ISNUMBER(D22)),1,0)</f>
      </c>
      <c r="V22" s="1">
        <f>IF($A22="",0,IF(E22="ja",1,IF(E22="Pauschale",2,0)))</f>
      </c>
      <c r="W22" s="1">
        <f>IF($A22="",0,IF(AU22&gt;0,1,0))</f>
      </c>
      <c r="X22" s="1">
        <f>IF(AND(T22=1,W22=0),1,0)</f>
      </c>
      <c r="Y22" s="1">
        <f>IF(AND(AS22=1,AT22=0,AU22=0),1,0)</f>
      </c>
      <c r="Z22" s="1">
        <f>IF(AND(Y22=1,T22=0,U22=1,V22=0),1,0)</f>
      </c>
      <c r="AA22" s="1">
        <f>IF(AND(X22=1,U22=0,V22=0,AN22=0,AO22=1,AP22=0),1,0)</f>
      </c>
      <c r="AB22" s="1">
        <f>IF(OR(W22=1,Z22=1),0,IF(T22=1,C22,0))</f>
      </c>
      <c r="AC22" s="1">
        <f>IF(OR(V22&gt;0,AA22=1),1,IF(U22=1,D22,1))</f>
      </c>
      <c r="AD22" s="1">
        <f>IF($A22="",0,IF(OR(T22=1,U22=1,V22&gt;0,W22=1),1,0))</f>
      </c>
      <c r="AE22" s="1">
        <f>IF(AD22=0,0,ROUND((AC22-AB22)*1440,0))</f>
      </c>
      <c r="AF22" s="1">
        <f>IF(AD22=0,"",IF(AND(F22&lt;&gt;"",ISNA(MATCH(F22,PauschLand,0))),"Land nicht in der Liste; ","")&amp;IF(AND(T22=0,W22=0,Z22=0),"Beginn fehlt; ","")&amp;IF(AND(V22=0,U22=0,AA22=0),"Ende fehlt; ","")&amp;IF(AND(X22=1,U22=1,V22=0,N(D22)&lt;N(C22)),"Ende vor Beginn (über Mitternacht: Ende in die Zeile des Folgetags); ",""))</f>
      </c>
      <c r="AG22" s="1">
        <f>IF(AD22=0,0,IFERROR(VLOOKUP(IF(F22="","Deutschland",F22),PauschTab,2,FALSE),0))</f>
      </c>
      <c r="AH22" s="1">
        <f>IF(AD22=0,0,IFERROR(VLOOKUP(IF(F22="","Deutschland",F22),PauschTab,3,FALSE),0))</f>
      </c>
      <c r="AI22" s="1">
        <f>IF(AD22=0,0,IFERROR(VLOOKUP(IF(F22="","Deutschland",F22),PauschTab,4,FALSE),0))</f>
      </c>
      <c r="AJ22" s="1">
        <f>IF(OR(AD22=0,AF22&lt;&gt;""),0,IF(AND(W22=1,V22&gt;0),IF(OR(T22=1,U22=1),AH22,AG22),IF(OR(W22=1,V22&gt;0),AH22,IF(AA22=1,IF(AND(AE22+AQ22&gt;480,AE22&gt;=AQ22),AH22,0),IF(Z22=1,IF(AND(AR22+AE22&gt;480,AE22&gt;AR22),AH22,0),IF(AE22&gt;480,AH22,0))))))</f>
      </c>
      <c r="AK22" s="1">
        <f>MIN(AJ22,AM22)</f>
      </c>
      <c r="AL22" s="1">
        <f>IF(OR(AD22=0,AF22&lt;&gt;""),"",IF(AND(W22=0,V22=0,AA22=0,Z22=0,AE22&lt;=480),"nicht mehr als 8 Std.; ","")&amp;IF(AA22=1,IF(AJ22&gt;0,"über Mitternacht, zusammen "&amp;TEXT((AE22+AQ22)/1440,"[h]:mm")&amp;" Std.; ",IF(AE22+AQ22&gt;480,"über Mitternacht: Pauschale am Folgetag; ","über Mitternacht, zusammen nicht mehr als 8 Std.; ")),"")&amp;IF(Z22=1,IF(AJ22&gt;0,"über Mitternacht, zusammen "&amp;TEXT((AR22+AE22)/1440,"[h]:mm")&amp;" Std.; ",IF(AR22+AE22&gt;480,"über Mitternacht: Pauschale am Vortag; ","über Mitternacht, zusammen nicht mehr als 8 Std.; ")),"")&amp;IF(AND(W22=1,V22&gt;0,OR(T22=1,U22=1)),"zwischendurch zu Hause: An- und Abreisetag; ","")&amp;IF(AND(W22=1,V22=0,T22=1),"Beginn leer lassen: unterwegs seit dem Vortag; ","")&amp;IF(AND(W22=0,V22&gt;0,U22=1),"Ende leer lassen: Übernachtung; ","")&amp;IF(AND(AJ22&gt;0,AM22&gt;AJ22),"Kürzung auf die Pauschale begrenzt; ",""))</f>
      </c>
      <c r="AM22" s="1">
        <f>ROUND(AG22*(IF(H22&lt;&gt;"",0.2,0)+IF(I22&lt;&gt;"",0.4,0)+IF(J22&lt;&gt;"",0.4,0)),2)</f>
      </c>
      <c r="AN22" s="1">
        <f>IF($A23="",'August'!$T$5,T23)</f>
      </c>
      <c r="AO22" s="1">
        <f>IF($A23="",'August'!$U$5,U23)</f>
      </c>
      <c r="AP22" s="1">
        <f>IF($A23="",'August'!$V$5,V23)</f>
      </c>
      <c r="AQ22" s="1">
        <f>IF($A23="",'August'!$AE$5,AE23)</f>
      </c>
      <c r="AR22" s="1">
        <f>AE21</f>
      </c>
      <c r="AS22" s="1">
        <f>X21</f>
      </c>
      <c r="AT22" s="1">
        <f>U21</f>
      </c>
      <c r="AU22" s="1">
        <f>V21</f>
      </c>
    </row>
    <row r="23" spans="1:47" x14ac:dyDescent="0.25">
      <c r="A23" s="17">
        <f>IF(MONTH(DATE(Jahr,7,19))=7,DATE(Jahr,7,19),"")</f>
      </c>
      <c r="B23" s="13">
        <f>IF(A23="","",CHOOSE(WEEKDAY(A23,2),"Mo","Di","Mi","Do","Fr","Sa","So"))</f>
      </c>
      <c r="C23" s="18"/>
      <c r="D23" s="18"/>
      <c r="E23" s="7"/>
      <c r="F23" s="7"/>
      <c r="G23" s="7"/>
      <c r="H23" s="19"/>
      <c r="I23" s="19"/>
      <c r="J23" s="19"/>
      <c r="K23" s="9"/>
      <c r="L23" s="20">
        <f>IF(OR(AD23=0,AF23&lt;&gt;"",AND(W23=1,V23&gt;0,OR(T23=1,U23=1))),"",AE23/1440)</f>
      </c>
      <c r="M23" s="21">
        <f>IF(OR(AD23=0,AF23&lt;&gt;""),"",AJ23)</f>
      </c>
      <c r="N23" s="21">
        <f>IF(AK23=0,"",AK23)</f>
      </c>
      <c r="O23" s="21">
        <f>IF(OR(AD23=0,AF23&lt;&gt;""),"",AJ23-AK23)</f>
      </c>
      <c r="P23" s="21">
        <f>IF(AND(AD23=1,AF23="",V23=2),AI23,"")</f>
      </c>
      <c r="Q23" s="21">
        <f>IF(OR($A23="",N(K23)=0),"",ROUND(K23*KmSatz,2))</f>
      </c>
      <c r="R23" s="22">
        <f>IF(AF23&amp;AL23="","",LEFT(AF23&amp;AL23,LEN(AF23&amp;AL23)-2))</f>
      </c>
      <c r="S23" s="1"/>
      <c r="T23" s="1">
        <f>IF(AND($A23&lt;&gt;"",ISNUMBER(C23)),1,0)</f>
      </c>
      <c r="U23" s="1">
        <f>IF(AND($A23&lt;&gt;"",ISNUMBER(D23)),1,0)</f>
      </c>
      <c r="V23" s="1">
        <f>IF($A23="",0,IF(E23="ja",1,IF(E23="Pauschale",2,0)))</f>
      </c>
      <c r="W23" s="1">
        <f>IF($A23="",0,IF(AU23&gt;0,1,0))</f>
      </c>
      <c r="X23" s="1">
        <f>IF(AND(T23=1,W23=0),1,0)</f>
      </c>
      <c r="Y23" s="1">
        <f>IF(AND(AS23=1,AT23=0,AU23=0),1,0)</f>
      </c>
      <c r="Z23" s="1">
        <f>IF(AND(Y23=1,T23=0,U23=1,V23=0),1,0)</f>
      </c>
      <c r="AA23" s="1">
        <f>IF(AND(X23=1,U23=0,V23=0,AN23=0,AO23=1,AP23=0),1,0)</f>
      </c>
      <c r="AB23" s="1">
        <f>IF(OR(W23=1,Z23=1),0,IF(T23=1,C23,0))</f>
      </c>
      <c r="AC23" s="1">
        <f>IF(OR(V23&gt;0,AA23=1),1,IF(U23=1,D23,1))</f>
      </c>
      <c r="AD23" s="1">
        <f>IF($A23="",0,IF(OR(T23=1,U23=1,V23&gt;0,W23=1),1,0))</f>
      </c>
      <c r="AE23" s="1">
        <f>IF(AD23=0,0,ROUND((AC23-AB23)*1440,0))</f>
      </c>
      <c r="AF23" s="1">
        <f>IF(AD23=0,"",IF(AND(F23&lt;&gt;"",ISNA(MATCH(F23,PauschLand,0))),"Land nicht in der Liste; ","")&amp;IF(AND(T23=0,W23=0,Z23=0),"Beginn fehlt; ","")&amp;IF(AND(V23=0,U23=0,AA23=0),"Ende fehlt; ","")&amp;IF(AND(X23=1,U23=1,V23=0,N(D23)&lt;N(C23)),"Ende vor Beginn (über Mitternacht: Ende in die Zeile des Folgetags); ",""))</f>
      </c>
      <c r="AG23" s="1">
        <f>IF(AD23=0,0,IFERROR(VLOOKUP(IF(F23="","Deutschland",F23),PauschTab,2,FALSE),0))</f>
      </c>
      <c r="AH23" s="1">
        <f>IF(AD23=0,0,IFERROR(VLOOKUP(IF(F23="","Deutschland",F23),PauschTab,3,FALSE),0))</f>
      </c>
      <c r="AI23" s="1">
        <f>IF(AD23=0,0,IFERROR(VLOOKUP(IF(F23="","Deutschland",F23),PauschTab,4,FALSE),0))</f>
      </c>
      <c r="AJ23" s="1">
        <f>IF(OR(AD23=0,AF23&lt;&gt;""),0,IF(AND(W23=1,V23&gt;0),IF(OR(T23=1,U23=1),AH23,AG23),IF(OR(W23=1,V23&gt;0),AH23,IF(AA23=1,IF(AND(AE23+AQ23&gt;480,AE23&gt;=AQ23),AH23,0),IF(Z23=1,IF(AND(AR23+AE23&gt;480,AE23&gt;AR23),AH23,0),IF(AE23&gt;480,AH23,0))))))</f>
      </c>
      <c r="AK23" s="1">
        <f>MIN(AJ23,AM23)</f>
      </c>
      <c r="AL23" s="1">
        <f>IF(OR(AD23=0,AF23&lt;&gt;""),"",IF(AND(W23=0,V23=0,AA23=0,Z23=0,AE23&lt;=480),"nicht mehr als 8 Std.; ","")&amp;IF(AA23=1,IF(AJ23&gt;0,"über Mitternacht, zusammen "&amp;TEXT((AE23+AQ23)/1440,"[h]:mm")&amp;" Std.; ",IF(AE23+AQ23&gt;480,"über Mitternacht: Pauschale am Folgetag; ","über Mitternacht, zusammen nicht mehr als 8 Std.; ")),"")&amp;IF(Z23=1,IF(AJ23&gt;0,"über Mitternacht, zusammen "&amp;TEXT((AR23+AE23)/1440,"[h]:mm")&amp;" Std.; ",IF(AR23+AE23&gt;480,"über Mitternacht: Pauschale am Vortag; ","über Mitternacht, zusammen nicht mehr als 8 Std.; ")),"")&amp;IF(AND(W23=1,V23&gt;0,OR(T23=1,U23=1)),"zwischendurch zu Hause: An- und Abreisetag; ","")&amp;IF(AND(W23=1,V23=0,T23=1),"Beginn leer lassen: unterwegs seit dem Vortag; ","")&amp;IF(AND(W23=0,V23&gt;0,U23=1),"Ende leer lassen: Übernachtung; ","")&amp;IF(AND(AJ23&gt;0,AM23&gt;AJ23),"Kürzung auf die Pauschale begrenzt; ",""))</f>
      </c>
      <c r="AM23" s="1">
        <f>ROUND(AG23*(IF(H23&lt;&gt;"",0.2,0)+IF(I23&lt;&gt;"",0.4,0)+IF(J23&lt;&gt;"",0.4,0)),2)</f>
      </c>
      <c r="AN23" s="1">
        <f>IF($A24="",'August'!$T$5,T24)</f>
      </c>
      <c r="AO23" s="1">
        <f>IF($A24="",'August'!$U$5,U24)</f>
      </c>
      <c r="AP23" s="1">
        <f>IF($A24="",'August'!$V$5,V24)</f>
      </c>
      <c r="AQ23" s="1">
        <f>IF($A24="",'August'!$AE$5,AE24)</f>
      </c>
      <c r="AR23" s="1">
        <f>AE22</f>
      </c>
      <c r="AS23" s="1">
        <f>X22</f>
      </c>
      <c r="AT23" s="1">
        <f>U22</f>
      </c>
      <c r="AU23" s="1">
        <f>V22</f>
      </c>
    </row>
    <row r="24" spans="1:47" x14ac:dyDescent="0.25">
      <c r="A24" s="17">
        <f>IF(MONTH(DATE(Jahr,7,20))=7,DATE(Jahr,7,20),"")</f>
      </c>
      <c r="B24" s="13">
        <f>IF(A24="","",CHOOSE(WEEKDAY(A24,2),"Mo","Di","Mi","Do","Fr","Sa","So"))</f>
      </c>
      <c r="C24" s="18"/>
      <c r="D24" s="18"/>
      <c r="E24" s="7"/>
      <c r="F24" s="7"/>
      <c r="G24" s="7"/>
      <c r="H24" s="19"/>
      <c r="I24" s="19"/>
      <c r="J24" s="19"/>
      <c r="K24" s="9"/>
      <c r="L24" s="20">
        <f>IF(OR(AD24=0,AF24&lt;&gt;"",AND(W24=1,V24&gt;0,OR(T24=1,U24=1))),"",AE24/1440)</f>
      </c>
      <c r="M24" s="21">
        <f>IF(OR(AD24=0,AF24&lt;&gt;""),"",AJ24)</f>
      </c>
      <c r="N24" s="21">
        <f>IF(AK24=0,"",AK24)</f>
      </c>
      <c r="O24" s="21">
        <f>IF(OR(AD24=0,AF24&lt;&gt;""),"",AJ24-AK24)</f>
      </c>
      <c r="P24" s="21">
        <f>IF(AND(AD24=1,AF24="",V24=2),AI24,"")</f>
      </c>
      <c r="Q24" s="21">
        <f>IF(OR($A24="",N(K24)=0),"",ROUND(K24*KmSatz,2))</f>
      </c>
      <c r="R24" s="22">
        <f>IF(AF24&amp;AL24="","",LEFT(AF24&amp;AL24,LEN(AF24&amp;AL24)-2))</f>
      </c>
      <c r="S24" s="1"/>
      <c r="T24" s="1">
        <f>IF(AND($A24&lt;&gt;"",ISNUMBER(C24)),1,0)</f>
      </c>
      <c r="U24" s="1">
        <f>IF(AND($A24&lt;&gt;"",ISNUMBER(D24)),1,0)</f>
      </c>
      <c r="V24" s="1">
        <f>IF($A24="",0,IF(E24="ja",1,IF(E24="Pauschale",2,0)))</f>
      </c>
      <c r="W24" s="1">
        <f>IF($A24="",0,IF(AU24&gt;0,1,0))</f>
      </c>
      <c r="X24" s="1">
        <f>IF(AND(T24=1,W24=0),1,0)</f>
      </c>
      <c r="Y24" s="1">
        <f>IF(AND(AS24=1,AT24=0,AU24=0),1,0)</f>
      </c>
      <c r="Z24" s="1">
        <f>IF(AND(Y24=1,T24=0,U24=1,V24=0),1,0)</f>
      </c>
      <c r="AA24" s="1">
        <f>IF(AND(X24=1,U24=0,V24=0,AN24=0,AO24=1,AP24=0),1,0)</f>
      </c>
      <c r="AB24" s="1">
        <f>IF(OR(W24=1,Z24=1),0,IF(T24=1,C24,0))</f>
      </c>
      <c r="AC24" s="1">
        <f>IF(OR(V24&gt;0,AA24=1),1,IF(U24=1,D24,1))</f>
      </c>
      <c r="AD24" s="1">
        <f>IF($A24="",0,IF(OR(T24=1,U24=1,V24&gt;0,W24=1),1,0))</f>
      </c>
      <c r="AE24" s="1">
        <f>IF(AD24=0,0,ROUND((AC24-AB24)*1440,0))</f>
      </c>
      <c r="AF24" s="1">
        <f>IF(AD24=0,"",IF(AND(F24&lt;&gt;"",ISNA(MATCH(F24,PauschLand,0))),"Land nicht in der Liste; ","")&amp;IF(AND(T24=0,W24=0,Z24=0),"Beginn fehlt; ","")&amp;IF(AND(V24=0,U24=0,AA24=0),"Ende fehlt; ","")&amp;IF(AND(X24=1,U24=1,V24=0,N(D24)&lt;N(C24)),"Ende vor Beginn (über Mitternacht: Ende in die Zeile des Folgetags); ",""))</f>
      </c>
      <c r="AG24" s="1">
        <f>IF(AD24=0,0,IFERROR(VLOOKUP(IF(F24="","Deutschland",F24),PauschTab,2,FALSE),0))</f>
      </c>
      <c r="AH24" s="1">
        <f>IF(AD24=0,0,IFERROR(VLOOKUP(IF(F24="","Deutschland",F24),PauschTab,3,FALSE),0))</f>
      </c>
      <c r="AI24" s="1">
        <f>IF(AD24=0,0,IFERROR(VLOOKUP(IF(F24="","Deutschland",F24),PauschTab,4,FALSE),0))</f>
      </c>
      <c r="AJ24" s="1">
        <f>IF(OR(AD24=0,AF24&lt;&gt;""),0,IF(AND(W24=1,V24&gt;0),IF(OR(T24=1,U24=1),AH24,AG24),IF(OR(W24=1,V24&gt;0),AH24,IF(AA24=1,IF(AND(AE24+AQ24&gt;480,AE24&gt;=AQ24),AH24,0),IF(Z24=1,IF(AND(AR24+AE24&gt;480,AE24&gt;AR24),AH24,0),IF(AE24&gt;480,AH24,0))))))</f>
      </c>
      <c r="AK24" s="1">
        <f>MIN(AJ24,AM24)</f>
      </c>
      <c r="AL24" s="1">
        <f>IF(OR(AD24=0,AF24&lt;&gt;""),"",IF(AND(W24=0,V24=0,AA24=0,Z24=0,AE24&lt;=480),"nicht mehr als 8 Std.; ","")&amp;IF(AA24=1,IF(AJ24&gt;0,"über Mitternacht, zusammen "&amp;TEXT((AE24+AQ24)/1440,"[h]:mm")&amp;" Std.; ",IF(AE24+AQ24&gt;480,"über Mitternacht: Pauschale am Folgetag; ","über Mitternacht, zusammen nicht mehr als 8 Std.; ")),"")&amp;IF(Z24=1,IF(AJ24&gt;0,"über Mitternacht, zusammen "&amp;TEXT((AR24+AE24)/1440,"[h]:mm")&amp;" Std.; ",IF(AR24+AE24&gt;480,"über Mitternacht: Pauschale am Vortag; ","über Mitternacht, zusammen nicht mehr als 8 Std.; ")),"")&amp;IF(AND(W24=1,V24&gt;0,OR(T24=1,U24=1)),"zwischendurch zu Hause: An- und Abreisetag; ","")&amp;IF(AND(W24=1,V24=0,T24=1),"Beginn leer lassen: unterwegs seit dem Vortag; ","")&amp;IF(AND(W24=0,V24&gt;0,U24=1),"Ende leer lassen: Übernachtung; ","")&amp;IF(AND(AJ24&gt;0,AM24&gt;AJ24),"Kürzung auf die Pauschale begrenzt; ",""))</f>
      </c>
      <c r="AM24" s="1">
        <f>ROUND(AG24*(IF(H24&lt;&gt;"",0.2,0)+IF(I24&lt;&gt;"",0.4,0)+IF(J24&lt;&gt;"",0.4,0)),2)</f>
      </c>
      <c r="AN24" s="1">
        <f>IF($A25="",'August'!$T$5,T25)</f>
      </c>
      <c r="AO24" s="1">
        <f>IF($A25="",'August'!$U$5,U25)</f>
      </c>
      <c r="AP24" s="1">
        <f>IF($A25="",'August'!$V$5,V25)</f>
      </c>
      <c r="AQ24" s="1">
        <f>IF($A25="",'August'!$AE$5,AE25)</f>
      </c>
      <c r="AR24" s="1">
        <f>AE23</f>
      </c>
      <c r="AS24" s="1">
        <f>X23</f>
      </c>
      <c r="AT24" s="1">
        <f>U23</f>
      </c>
      <c r="AU24" s="1">
        <f>V23</f>
      </c>
    </row>
    <row r="25" spans="1:47" x14ac:dyDescent="0.25">
      <c r="A25" s="17">
        <f>IF(MONTH(DATE(Jahr,7,21))=7,DATE(Jahr,7,21),"")</f>
      </c>
      <c r="B25" s="13">
        <f>IF(A25="","",CHOOSE(WEEKDAY(A25,2),"Mo","Di","Mi","Do","Fr","Sa","So"))</f>
      </c>
      <c r="C25" s="18"/>
      <c r="D25" s="18"/>
      <c r="E25" s="7"/>
      <c r="F25" s="7"/>
      <c r="G25" s="7"/>
      <c r="H25" s="19"/>
      <c r="I25" s="19"/>
      <c r="J25" s="19"/>
      <c r="K25" s="9"/>
      <c r="L25" s="20">
        <f>IF(OR(AD25=0,AF25&lt;&gt;"",AND(W25=1,V25&gt;0,OR(T25=1,U25=1))),"",AE25/1440)</f>
      </c>
      <c r="M25" s="21">
        <f>IF(OR(AD25=0,AF25&lt;&gt;""),"",AJ25)</f>
      </c>
      <c r="N25" s="21">
        <f>IF(AK25=0,"",AK25)</f>
      </c>
      <c r="O25" s="21">
        <f>IF(OR(AD25=0,AF25&lt;&gt;""),"",AJ25-AK25)</f>
      </c>
      <c r="P25" s="21">
        <f>IF(AND(AD25=1,AF25="",V25=2),AI25,"")</f>
      </c>
      <c r="Q25" s="21">
        <f>IF(OR($A25="",N(K25)=0),"",ROUND(K25*KmSatz,2))</f>
      </c>
      <c r="R25" s="22">
        <f>IF(AF25&amp;AL25="","",LEFT(AF25&amp;AL25,LEN(AF25&amp;AL25)-2))</f>
      </c>
      <c r="S25" s="1"/>
      <c r="T25" s="1">
        <f>IF(AND($A25&lt;&gt;"",ISNUMBER(C25)),1,0)</f>
      </c>
      <c r="U25" s="1">
        <f>IF(AND($A25&lt;&gt;"",ISNUMBER(D25)),1,0)</f>
      </c>
      <c r="V25" s="1">
        <f>IF($A25="",0,IF(E25="ja",1,IF(E25="Pauschale",2,0)))</f>
      </c>
      <c r="W25" s="1">
        <f>IF($A25="",0,IF(AU25&gt;0,1,0))</f>
      </c>
      <c r="X25" s="1">
        <f>IF(AND(T25=1,W25=0),1,0)</f>
      </c>
      <c r="Y25" s="1">
        <f>IF(AND(AS25=1,AT25=0,AU25=0),1,0)</f>
      </c>
      <c r="Z25" s="1">
        <f>IF(AND(Y25=1,T25=0,U25=1,V25=0),1,0)</f>
      </c>
      <c r="AA25" s="1">
        <f>IF(AND(X25=1,U25=0,V25=0,AN25=0,AO25=1,AP25=0),1,0)</f>
      </c>
      <c r="AB25" s="1">
        <f>IF(OR(W25=1,Z25=1),0,IF(T25=1,C25,0))</f>
      </c>
      <c r="AC25" s="1">
        <f>IF(OR(V25&gt;0,AA25=1),1,IF(U25=1,D25,1))</f>
      </c>
      <c r="AD25" s="1">
        <f>IF($A25="",0,IF(OR(T25=1,U25=1,V25&gt;0,W25=1),1,0))</f>
      </c>
      <c r="AE25" s="1">
        <f>IF(AD25=0,0,ROUND((AC25-AB25)*1440,0))</f>
      </c>
      <c r="AF25" s="1">
        <f>IF(AD25=0,"",IF(AND(F25&lt;&gt;"",ISNA(MATCH(F25,PauschLand,0))),"Land nicht in der Liste; ","")&amp;IF(AND(T25=0,W25=0,Z25=0),"Beginn fehlt; ","")&amp;IF(AND(V25=0,U25=0,AA25=0),"Ende fehlt; ","")&amp;IF(AND(X25=1,U25=1,V25=0,N(D25)&lt;N(C25)),"Ende vor Beginn (über Mitternacht: Ende in die Zeile des Folgetags); ",""))</f>
      </c>
      <c r="AG25" s="1">
        <f>IF(AD25=0,0,IFERROR(VLOOKUP(IF(F25="","Deutschland",F25),PauschTab,2,FALSE),0))</f>
      </c>
      <c r="AH25" s="1">
        <f>IF(AD25=0,0,IFERROR(VLOOKUP(IF(F25="","Deutschland",F25),PauschTab,3,FALSE),0))</f>
      </c>
      <c r="AI25" s="1">
        <f>IF(AD25=0,0,IFERROR(VLOOKUP(IF(F25="","Deutschland",F25),PauschTab,4,FALSE),0))</f>
      </c>
      <c r="AJ25" s="1">
        <f>IF(OR(AD25=0,AF25&lt;&gt;""),0,IF(AND(W25=1,V25&gt;0),IF(OR(T25=1,U25=1),AH25,AG25),IF(OR(W25=1,V25&gt;0),AH25,IF(AA25=1,IF(AND(AE25+AQ25&gt;480,AE25&gt;=AQ25),AH25,0),IF(Z25=1,IF(AND(AR25+AE25&gt;480,AE25&gt;AR25),AH25,0),IF(AE25&gt;480,AH25,0))))))</f>
      </c>
      <c r="AK25" s="1">
        <f>MIN(AJ25,AM25)</f>
      </c>
      <c r="AL25" s="1">
        <f>IF(OR(AD25=0,AF25&lt;&gt;""),"",IF(AND(W25=0,V25=0,AA25=0,Z25=0,AE25&lt;=480),"nicht mehr als 8 Std.; ","")&amp;IF(AA25=1,IF(AJ25&gt;0,"über Mitternacht, zusammen "&amp;TEXT((AE25+AQ25)/1440,"[h]:mm")&amp;" Std.; ",IF(AE25+AQ25&gt;480,"über Mitternacht: Pauschale am Folgetag; ","über Mitternacht, zusammen nicht mehr als 8 Std.; ")),"")&amp;IF(Z25=1,IF(AJ25&gt;0,"über Mitternacht, zusammen "&amp;TEXT((AR25+AE25)/1440,"[h]:mm")&amp;" Std.; ",IF(AR25+AE25&gt;480,"über Mitternacht: Pauschale am Vortag; ","über Mitternacht, zusammen nicht mehr als 8 Std.; ")),"")&amp;IF(AND(W25=1,V25&gt;0,OR(T25=1,U25=1)),"zwischendurch zu Hause: An- und Abreisetag; ","")&amp;IF(AND(W25=1,V25=0,T25=1),"Beginn leer lassen: unterwegs seit dem Vortag; ","")&amp;IF(AND(W25=0,V25&gt;0,U25=1),"Ende leer lassen: Übernachtung; ","")&amp;IF(AND(AJ25&gt;0,AM25&gt;AJ25),"Kürzung auf die Pauschale begrenzt; ",""))</f>
      </c>
      <c r="AM25" s="1">
        <f>ROUND(AG25*(IF(H25&lt;&gt;"",0.2,0)+IF(I25&lt;&gt;"",0.4,0)+IF(J25&lt;&gt;"",0.4,0)),2)</f>
      </c>
      <c r="AN25" s="1">
        <f>IF($A26="",'August'!$T$5,T26)</f>
      </c>
      <c r="AO25" s="1">
        <f>IF($A26="",'August'!$U$5,U26)</f>
      </c>
      <c r="AP25" s="1">
        <f>IF($A26="",'August'!$V$5,V26)</f>
      </c>
      <c r="AQ25" s="1">
        <f>IF($A26="",'August'!$AE$5,AE26)</f>
      </c>
      <c r="AR25" s="1">
        <f>AE24</f>
      </c>
      <c r="AS25" s="1">
        <f>X24</f>
      </c>
      <c r="AT25" s="1">
        <f>U24</f>
      </c>
      <c r="AU25" s="1">
        <f>V24</f>
      </c>
    </row>
    <row r="26" spans="1:47" x14ac:dyDescent="0.25">
      <c r="A26" s="17">
        <f>IF(MONTH(DATE(Jahr,7,22))=7,DATE(Jahr,7,22),"")</f>
      </c>
      <c r="B26" s="13">
        <f>IF(A26="","",CHOOSE(WEEKDAY(A26,2),"Mo","Di","Mi","Do","Fr","Sa","So"))</f>
      </c>
      <c r="C26" s="18"/>
      <c r="D26" s="18"/>
      <c r="E26" s="7"/>
      <c r="F26" s="7"/>
      <c r="G26" s="7"/>
      <c r="H26" s="19"/>
      <c r="I26" s="19"/>
      <c r="J26" s="19"/>
      <c r="K26" s="9"/>
      <c r="L26" s="20">
        <f>IF(OR(AD26=0,AF26&lt;&gt;"",AND(W26=1,V26&gt;0,OR(T26=1,U26=1))),"",AE26/1440)</f>
      </c>
      <c r="M26" s="21">
        <f>IF(OR(AD26=0,AF26&lt;&gt;""),"",AJ26)</f>
      </c>
      <c r="N26" s="21">
        <f>IF(AK26=0,"",AK26)</f>
      </c>
      <c r="O26" s="21">
        <f>IF(OR(AD26=0,AF26&lt;&gt;""),"",AJ26-AK26)</f>
      </c>
      <c r="P26" s="21">
        <f>IF(AND(AD26=1,AF26="",V26=2),AI26,"")</f>
      </c>
      <c r="Q26" s="21">
        <f>IF(OR($A26="",N(K26)=0),"",ROUND(K26*KmSatz,2))</f>
      </c>
      <c r="R26" s="22">
        <f>IF(AF26&amp;AL26="","",LEFT(AF26&amp;AL26,LEN(AF26&amp;AL26)-2))</f>
      </c>
      <c r="S26" s="1"/>
      <c r="T26" s="1">
        <f>IF(AND($A26&lt;&gt;"",ISNUMBER(C26)),1,0)</f>
      </c>
      <c r="U26" s="1">
        <f>IF(AND($A26&lt;&gt;"",ISNUMBER(D26)),1,0)</f>
      </c>
      <c r="V26" s="1">
        <f>IF($A26="",0,IF(E26="ja",1,IF(E26="Pauschale",2,0)))</f>
      </c>
      <c r="W26" s="1">
        <f>IF($A26="",0,IF(AU26&gt;0,1,0))</f>
      </c>
      <c r="X26" s="1">
        <f>IF(AND(T26=1,W26=0),1,0)</f>
      </c>
      <c r="Y26" s="1">
        <f>IF(AND(AS26=1,AT26=0,AU26=0),1,0)</f>
      </c>
      <c r="Z26" s="1">
        <f>IF(AND(Y26=1,T26=0,U26=1,V26=0),1,0)</f>
      </c>
      <c r="AA26" s="1">
        <f>IF(AND(X26=1,U26=0,V26=0,AN26=0,AO26=1,AP26=0),1,0)</f>
      </c>
      <c r="AB26" s="1">
        <f>IF(OR(W26=1,Z26=1),0,IF(T26=1,C26,0))</f>
      </c>
      <c r="AC26" s="1">
        <f>IF(OR(V26&gt;0,AA26=1),1,IF(U26=1,D26,1))</f>
      </c>
      <c r="AD26" s="1">
        <f>IF($A26="",0,IF(OR(T26=1,U26=1,V26&gt;0,W26=1),1,0))</f>
      </c>
      <c r="AE26" s="1">
        <f>IF(AD26=0,0,ROUND((AC26-AB26)*1440,0))</f>
      </c>
      <c r="AF26" s="1">
        <f>IF(AD26=0,"",IF(AND(F26&lt;&gt;"",ISNA(MATCH(F26,PauschLand,0))),"Land nicht in der Liste; ","")&amp;IF(AND(T26=0,W26=0,Z26=0),"Beginn fehlt; ","")&amp;IF(AND(V26=0,U26=0,AA26=0),"Ende fehlt; ","")&amp;IF(AND(X26=1,U26=1,V26=0,N(D26)&lt;N(C26)),"Ende vor Beginn (über Mitternacht: Ende in die Zeile des Folgetags); ",""))</f>
      </c>
      <c r="AG26" s="1">
        <f>IF(AD26=0,0,IFERROR(VLOOKUP(IF(F26="","Deutschland",F26),PauschTab,2,FALSE),0))</f>
      </c>
      <c r="AH26" s="1">
        <f>IF(AD26=0,0,IFERROR(VLOOKUP(IF(F26="","Deutschland",F26),PauschTab,3,FALSE),0))</f>
      </c>
      <c r="AI26" s="1">
        <f>IF(AD26=0,0,IFERROR(VLOOKUP(IF(F26="","Deutschland",F26),PauschTab,4,FALSE),0))</f>
      </c>
      <c r="AJ26" s="1">
        <f>IF(OR(AD26=0,AF26&lt;&gt;""),0,IF(AND(W26=1,V26&gt;0),IF(OR(T26=1,U26=1),AH26,AG26),IF(OR(W26=1,V26&gt;0),AH26,IF(AA26=1,IF(AND(AE26+AQ26&gt;480,AE26&gt;=AQ26),AH26,0),IF(Z26=1,IF(AND(AR26+AE26&gt;480,AE26&gt;AR26),AH26,0),IF(AE26&gt;480,AH26,0))))))</f>
      </c>
      <c r="AK26" s="1">
        <f>MIN(AJ26,AM26)</f>
      </c>
      <c r="AL26" s="1">
        <f>IF(OR(AD26=0,AF26&lt;&gt;""),"",IF(AND(W26=0,V26=0,AA26=0,Z26=0,AE26&lt;=480),"nicht mehr als 8 Std.; ","")&amp;IF(AA26=1,IF(AJ26&gt;0,"über Mitternacht, zusammen "&amp;TEXT((AE26+AQ26)/1440,"[h]:mm")&amp;" Std.; ",IF(AE26+AQ26&gt;480,"über Mitternacht: Pauschale am Folgetag; ","über Mitternacht, zusammen nicht mehr als 8 Std.; ")),"")&amp;IF(Z26=1,IF(AJ26&gt;0,"über Mitternacht, zusammen "&amp;TEXT((AR26+AE26)/1440,"[h]:mm")&amp;" Std.; ",IF(AR26+AE26&gt;480,"über Mitternacht: Pauschale am Vortag; ","über Mitternacht, zusammen nicht mehr als 8 Std.; ")),"")&amp;IF(AND(W26=1,V26&gt;0,OR(T26=1,U26=1)),"zwischendurch zu Hause: An- und Abreisetag; ","")&amp;IF(AND(W26=1,V26=0,T26=1),"Beginn leer lassen: unterwegs seit dem Vortag; ","")&amp;IF(AND(W26=0,V26&gt;0,U26=1),"Ende leer lassen: Übernachtung; ","")&amp;IF(AND(AJ26&gt;0,AM26&gt;AJ26),"Kürzung auf die Pauschale begrenzt; ",""))</f>
      </c>
      <c r="AM26" s="1">
        <f>ROUND(AG26*(IF(H26&lt;&gt;"",0.2,0)+IF(I26&lt;&gt;"",0.4,0)+IF(J26&lt;&gt;"",0.4,0)),2)</f>
      </c>
      <c r="AN26" s="1">
        <f>IF($A27="",'August'!$T$5,T27)</f>
      </c>
      <c r="AO26" s="1">
        <f>IF($A27="",'August'!$U$5,U27)</f>
      </c>
      <c r="AP26" s="1">
        <f>IF($A27="",'August'!$V$5,V27)</f>
      </c>
      <c r="AQ26" s="1">
        <f>IF($A27="",'August'!$AE$5,AE27)</f>
      </c>
      <c r="AR26" s="1">
        <f>AE25</f>
      </c>
      <c r="AS26" s="1">
        <f>X25</f>
      </c>
      <c r="AT26" s="1">
        <f>U25</f>
      </c>
      <c r="AU26" s="1">
        <f>V25</f>
      </c>
    </row>
    <row r="27" spans="1:47" x14ac:dyDescent="0.25">
      <c r="A27" s="17">
        <f>IF(MONTH(DATE(Jahr,7,23))=7,DATE(Jahr,7,23),"")</f>
      </c>
      <c r="B27" s="13">
        <f>IF(A27="","",CHOOSE(WEEKDAY(A27,2),"Mo","Di","Mi","Do","Fr","Sa","So"))</f>
      </c>
      <c r="C27" s="18"/>
      <c r="D27" s="18"/>
      <c r="E27" s="7"/>
      <c r="F27" s="7"/>
      <c r="G27" s="7"/>
      <c r="H27" s="19"/>
      <c r="I27" s="19"/>
      <c r="J27" s="19"/>
      <c r="K27" s="9"/>
      <c r="L27" s="20">
        <f>IF(OR(AD27=0,AF27&lt;&gt;"",AND(W27=1,V27&gt;0,OR(T27=1,U27=1))),"",AE27/1440)</f>
      </c>
      <c r="M27" s="21">
        <f>IF(OR(AD27=0,AF27&lt;&gt;""),"",AJ27)</f>
      </c>
      <c r="N27" s="21">
        <f>IF(AK27=0,"",AK27)</f>
      </c>
      <c r="O27" s="21">
        <f>IF(OR(AD27=0,AF27&lt;&gt;""),"",AJ27-AK27)</f>
      </c>
      <c r="P27" s="21">
        <f>IF(AND(AD27=1,AF27="",V27=2),AI27,"")</f>
      </c>
      <c r="Q27" s="21">
        <f>IF(OR($A27="",N(K27)=0),"",ROUND(K27*KmSatz,2))</f>
      </c>
      <c r="R27" s="22">
        <f>IF(AF27&amp;AL27="","",LEFT(AF27&amp;AL27,LEN(AF27&amp;AL27)-2))</f>
      </c>
      <c r="S27" s="1"/>
      <c r="T27" s="1">
        <f>IF(AND($A27&lt;&gt;"",ISNUMBER(C27)),1,0)</f>
      </c>
      <c r="U27" s="1">
        <f>IF(AND($A27&lt;&gt;"",ISNUMBER(D27)),1,0)</f>
      </c>
      <c r="V27" s="1">
        <f>IF($A27="",0,IF(E27="ja",1,IF(E27="Pauschale",2,0)))</f>
      </c>
      <c r="W27" s="1">
        <f>IF($A27="",0,IF(AU27&gt;0,1,0))</f>
      </c>
      <c r="X27" s="1">
        <f>IF(AND(T27=1,W27=0),1,0)</f>
      </c>
      <c r="Y27" s="1">
        <f>IF(AND(AS27=1,AT27=0,AU27=0),1,0)</f>
      </c>
      <c r="Z27" s="1">
        <f>IF(AND(Y27=1,T27=0,U27=1,V27=0),1,0)</f>
      </c>
      <c r="AA27" s="1">
        <f>IF(AND(X27=1,U27=0,V27=0,AN27=0,AO27=1,AP27=0),1,0)</f>
      </c>
      <c r="AB27" s="1">
        <f>IF(OR(W27=1,Z27=1),0,IF(T27=1,C27,0))</f>
      </c>
      <c r="AC27" s="1">
        <f>IF(OR(V27&gt;0,AA27=1),1,IF(U27=1,D27,1))</f>
      </c>
      <c r="AD27" s="1">
        <f>IF($A27="",0,IF(OR(T27=1,U27=1,V27&gt;0,W27=1),1,0))</f>
      </c>
      <c r="AE27" s="1">
        <f>IF(AD27=0,0,ROUND((AC27-AB27)*1440,0))</f>
      </c>
      <c r="AF27" s="1">
        <f>IF(AD27=0,"",IF(AND(F27&lt;&gt;"",ISNA(MATCH(F27,PauschLand,0))),"Land nicht in der Liste; ","")&amp;IF(AND(T27=0,W27=0,Z27=0),"Beginn fehlt; ","")&amp;IF(AND(V27=0,U27=0,AA27=0),"Ende fehlt; ","")&amp;IF(AND(X27=1,U27=1,V27=0,N(D27)&lt;N(C27)),"Ende vor Beginn (über Mitternacht: Ende in die Zeile des Folgetags); ",""))</f>
      </c>
      <c r="AG27" s="1">
        <f>IF(AD27=0,0,IFERROR(VLOOKUP(IF(F27="","Deutschland",F27),PauschTab,2,FALSE),0))</f>
      </c>
      <c r="AH27" s="1">
        <f>IF(AD27=0,0,IFERROR(VLOOKUP(IF(F27="","Deutschland",F27),PauschTab,3,FALSE),0))</f>
      </c>
      <c r="AI27" s="1">
        <f>IF(AD27=0,0,IFERROR(VLOOKUP(IF(F27="","Deutschland",F27),PauschTab,4,FALSE),0))</f>
      </c>
      <c r="AJ27" s="1">
        <f>IF(OR(AD27=0,AF27&lt;&gt;""),0,IF(AND(W27=1,V27&gt;0),IF(OR(T27=1,U27=1),AH27,AG27),IF(OR(W27=1,V27&gt;0),AH27,IF(AA27=1,IF(AND(AE27+AQ27&gt;480,AE27&gt;=AQ27),AH27,0),IF(Z27=1,IF(AND(AR27+AE27&gt;480,AE27&gt;AR27),AH27,0),IF(AE27&gt;480,AH27,0))))))</f>
      </c>
      <c r="AK27" s="1">
        <f>MIN(AJ27,AM27)</f>
      </c>
      <c r="AL27" s="1">
        <f>IF(OR(AD27=0,AF27&lt;&gt;""),"",IF(AND(W27=0,V27=0,AA27=0,Z27=0,AE27&lt;=480),"nicht mehr als 8 Std.; ","")&amp;IF(AA27=1,IF(AJ27&gt;0,"über Mitternacht, zusammen "&amp;TEXT((AE27+AQ27)/1440,"[h]:mm")&amp;" Std.; ",IF(AE27+AQ27&gt;480,"über Mitternacht: Pauschale am Folgetag; ","über Mitternacht, zusammen nicht mehr als 8 Std.; ")),"")&amp;IF(Z27=1,IF(AJ27&gt;0,"über Mitternacht, zusammen "&amp;TEXT((AR27+AE27)/1440,"[h]:mm")&amp;" Std.; ",IF(AR27+AE27&gt;480,"über Mitternacht: Pauschale am Vortag; ","über Mitternacht, zusammen nicht mehr als 8 Std.; ")),"")&amp;IF(AND(W27=1,V27&gt;0,OR(T27=1,U27=1)),"zwischendurch zu Hause: An- und Abreisetag; ","")&amp;IF(AND(W27=1,V27=0,T27=1),"Beginn leer lassen: unterwegs seit dem Vortag; ","")&amp;IF(AND(W27=0,V27&gt;0,U27=1),"Ende leer lassen: Übernachtung; ","")&amp;IF(AND(AJ27&gt;0,AM27&gt;AJ27),"Kürzung auf die Pauschale begrenzt; ",""))</f>
      </c>
      <c r="AM27" s="1">
        <f>ROUND(AG27*(IF(H27&lt;&gt;"",0.2,0)+IF(I27&lt;&gt;"",0.4,0)+IF(J27&lt;&gt;"",0.4,0)),2)</f>
      </c>
      <c r="AN27" s="1">
        <f>IF($A28="",'August'!$T$5,T28)</f>
      </c>
      <c r="AO27" s="1">
        <f>IF($A28="",'August'!$U$5,U28)</f>
      </c>
      <c r="AP27" s="1">
        <f>IF($A28="",'August'!$V$5,V28)</f>
      </c>
      <c r="AQ27" s="1">
        <f>IF($A28="",'August'!$AE$5,AE28)</f>
      </c>
      <c r="AR27" s="1">
        <f>AE26</f>
      </c>
      <c r="AS27" s="1">
        <f>X26</f>
      </c>
      <c r="AT27" s="1">
        <f>U26</f>
      </c>
      <c r="AU27" s="1">
        <f>V26</f>
      </c>
    </row>
    <row r="28" spans="1:47" x14ac:dyDescent="0.25">
      <c r="A28" s="17">
        <f>IF(MONTH(DATE(Jahr,7,24))=7,DATE(Jahr,7,24),"")</f>
      </c>
      <c r="B28" s="13">
        <f>IF(A28="","",CHOOSE(WEEKDAY(A28,2),"Mo","Di","Mi","Do","Fr","Sa","So"))</f>
      </c>
      <c r="C28" s="18"/>
      <c r="D28" s="18"/>
      <c r="E28" s="7"/>
      <c r="F28" s="7"/>
      <c r="G28" s="7"/>
      <c r="H28" s="19"/>
      <c r="I28" s="19"/>
      <c r="J28" s="19"/>
      <c r="K28" s="9"/>
      <c r="L28" s="20">
        <f>IF(OR(AD28=0,AF28&lt;&gt;"",AND(W28=1,V28&gt;0,OR(T28=1,U28=1))),"",AE28/1440)</f>
      </c>
      <c r="M28" s="21">
        <f>IF(OR(AD28=0,AF28&lt;&gt;""),"",AJ28)</f>
      </c>
      <c r="N28" s="21">
        <f>IF(AK28=0,"",AK28)</f>
      </c>
      <c r="O28" s="21">
        <f>IF(OR(AD28=0,AF28&lt;&gt;""),"",AJ28-AK28)</f>
      </c>
      <c r="P28" s="21">
        <f>IF(AND(AD28=1,AF28="",V28=2),AI28,"")</f>
      </c>
      <c r="Q28" s="21">
        <f>IF(OR($A28="",N(K28)=0),"",ROUND(K28*KmSatz,2))</f>
      </c>
      <c r="R28" s="22">
        <f>IF(AF28&amp;AL28="","",LEFT(AF28&amp;AL28,LEN(AF28&amp;AL28)-2))</f>
      </c>
      <c r="S28" s="1"/>
      <c r="T28" s="1">
        <f>IF(AND($A28&lt;&gt;"",ISNUMBER(C28)),1,0)</f>
      </c>
      <c r="U28" s="1">
        <f>IF(AND($A28&lt;&gt;"",ISNUMBER(D28)),1,0)</f>
      </c>
      <c r="V28" s="1">
        <f>IF($A28="",0,IF(E28="ja",1,IF(E28="Pauschale",2,0)))</f>
      </c>
      <c r="W28" s="1">
        <f>IF($A28="",0,IF(AU28&gt;0,1,0))</f>
      </c>
      <c r="X28" s="1">
        <f>IF(AND(T28=1,W28=0),1,0)</f>
      </c>
      <c r="Y28" s="1">
        <f>IF(AND(AS28=1,AT28=0,AU28=0),1,0)</f>
      </c>
      <c r="Z28" s="1">
        <f>IF(AND(Y28=1,T28=0,U28=1,V28=0),1,0)</f>
      </c>
      <c r="AA28" s="1">
        <f>IF(AND(X28=1,U28=0,V28=0,AN28=0,AO28=1,AP28=0),1,0)</f>
      </c>
      <c r="AB28" s="1">
        <f>IF(OR(W28=1,Z28=1),0,IF(T28=1,C28,0))</f>
      </c>
      <c r="AC28" s="1">
        <f>IF(OR(V28&gt;0,AA28=1),1,IF(U28=1,D28,1))</f>
      </c>
      <c r="AD28" s="1">
        <f>IF($A28="",0,IF(OR(T28=1,U28=1,V28&gt;0,W28=1),1,0))</f>
      </c>
      <c r="AE28" s="1">
        <f>IF(AD28=0,0,ROUND((AC28-AB28)*1440,0))</f>
      </c>
      <c r="AF28" s="1">
        <f>IF(AD28=0,"",IF(AND(F28&lt;&gt;"",ISNA(MATCH(F28,PauschLand,0))),"Land nicht in der Liste; ","")&amp;IF(AND(T28=0,W28=0,Z28=0),"Beginn fehlt; ","")&amp;IF(AND(V28=0,U28=0,AA28=0),"Ende fehlt; ","")&amp;IF(AND(X28=1,U28=1,V28=0,N(D28)&lt;N(C28)),"Ende vor Beginn (über Mitternacht: Ende in die Zeile des Folgetags); ",""))</f>
      </c>
      <c r="AG28" s="1">
        <f>IF(AD28=0,0,IFERROR(VLOOKUP(IF(F28="","Deutschland",F28),PauschTab,2,FALSE),0))</f>
      </c>
      <c r="AH28" s="1">
        <f>IF(AD28=0,0,IFERROR(VLOOKUP(IF(F28="","Deutschland",F28),PauschTab,3,FALSE),0))</f>
      </c>
      <c r="AI28" s="1">
        <f>IF(AD28=0,0,IFERROR(VLOOKUP(IF(F28="","Deutschland",F28),PauschTab,4,FALSE),0))</f>
      </c>
      <c r="AJ28" s="1">
        <f>IF(OR(AD28=0,AF28&lt;&gt;""),0,IF(AND(W28=1,V28&gt;0),IF(OR(T28=1,U28=1),AH28,AG28),IF(OR(W28=1,V28&gt;0),AH28,IF(AA28=1,IF(AND(AE28+AQ28&gt;480,AE28&gt;=AQ28),AH28,0),IF(Z28=1,IF(AND(AR28+AE28&gt;480,AE28&gt;AR28),AH28,0),IF(AE28&gt;480,AH28,0))))))</f>
      </c>
      <c r="AK28" s="1">
        <f>MIN(AJ28,AM28)</f>
      </c>
      <c r="AL28" s="1">
        <f>IF(OR(AD28=0,AF28&lt;&gt;""),"",IF(AND(W28=0,V28=0,AA28=0,Z28=0,AE28&lt;=480),"nicht mehr als 8 Std.; ","")&amp;IF(AA28=1,IF(AJ28&gt;0,"über Mitternacht, zusammen "&amp;TEXT((AE28+AQ28)/1440,"[h]:mm")&amp;" Std.; ",IF(AE28+AQ28&gt;480,"über Mitternacht: Pauschale am Folgetag; ","über Mitternacht, zusammen nicht mehr als 8 Std.; ")),"")&amp;IF(Z28=1,IF(AJ28&gt;0,"über Mitternacht, zusammen "&amp;TEXT((AR28+AE28)/1440,"[h]:mm")&amp;" Std.; ",IF(AR28+AE28&gt;480,"über Mitternacht: Pauschale am Vortag; ","über Mitternacht, zusammen nicht mehr als 8 Std.; ")),"")&amp;IF(AND(W28=1,V28&gt;0,OR(T28=1,U28=1)),"zwischendurch zu Hause: An- und Abreisetag; ","")&amp;IF(AND(W28=1,V28=0,T28=1),"Beginn leer lassen: unterwegs seit dem Vortag; ","")&amp;IF(AND(W28=0,V28&gt;0,U28=1),"Ende leer lassen: Übernachtung; ","")&amp;IF(AND(AJ28&gt;0,AM28&gt;AJ28),"Kürzung auf die Pauschale begrenzt; ",""))</f>
      </c>
      <c r="AM28" s="1">
        <f>ROUND(AG28*(IF(H28&lt;&gt;"",0.2,0)+IF(I28&lt;&gt;"",0.4,0)+IF(J28&lt;&gt;"",0.4,0)),2)</f>
      </c>
      <c r="AN28" s="1">
        <f>IF($A29="",'August'!$T$5,T29)</f>
      </c>
      <c r="AO28" s="1">
        <f>IF($A29="",'August'!$U$5,U29)</f>
      </c>
      <c r="AP28" s="1">
        <f>IF($A29="",'August'!$V$5,V29)</f>
      </c>
      <c r="AQ28" s="1">
        <f>IF($A29="",'August'!$AE$5,AE29)</f>
      </c>
      <c r="AR28" s="1">
        <f>AE27</f>
      </c>
      <c r="AS28" s="1">
        <f>X27</f>
      </c>
      <c r="AT28" s="1">
        <f>U27</f>
      </c>
      <c r="AU28" s="1">
        <f>V27</f>
      </c>
    </row>
    <row r="29" spans="1:47" x14ac:dyDescent="0.25">
      <c r="A29" s="17">
        <f>IF(MONTH(DATE(Jahr,7,25))=7,DATE(Jahr,7,25),"")</f>
      </c>
      <c r="B29" s="13">
        <f>IF(A29="","",CHOOSE(WEEKDAY(A29,2),"Mo","Di","Mi","Do","Fr","Sa","So"))</f>
      </c>
      <c r="C29" s="18"/>
      <c r="D29" s="18"/>
      <c r="E29" s="7"/>
      <c r="F29" s="7"/>
      <c r="G29" s="7"/>
      <c r="H29" s="19"/>
      <c r="I29" s="19"/>
      <c r="J29" s="19"/>
      <c r="K29" s="9"/>
      <c r="L29" s="20">
        <f>IF(OR(AD29=0,AF29&lt;&gt;"",AND(W29=1,V29&gt;0,OR(T29=1,U29=1))),"",AE29/1440)</f>
      </c>
      <c r="M29" s="21">
        <f>IF(OR(AD29=0,AF29&lt;&gt;""),"",AJ29)</f>
      </c>
      <c r="N29" s="21">
        <f>IF(AK29=0,"",AK29)</f>
      </c>
      <c r="O29" s="21">
        <f>IF(OR(AD29=0,AF29&lt;&gt;""),"",AJ29-AK29)</f>
      </c>
      <c r="P29" s="21">
        <f>IF(AND(AD29=1,AF29="",V29=2),AI29,"")</f>
      </c>
      <c r="Q29" s="21">
        <f>IF(OR($A29="",N(K29)=0),"",ROUND(K29*KmSatz,2))</f>
      </c>
      <c r="R29" s="22">
        <f>IF(AF29&amp;AL29="","",LEFT(AF29&amp;AL29,LEN(AF29&amp;AL29)-2))</f>
      </c>
      <c r="S29" s="1"/>
      <c r="T29" s="1">
        <f>IF(AND($A29&lt;&gt;"",ISNUMBER(C29)),1,0)</f>
      </c>
      <c r="U29" s="1">
        <f>IF(AND($A29&lt;&gt;"",ISNUMBER(D29)),1,0)</f>
      </c>
      <c r="V29" s="1">
        <f>IF($A29="",0,IF(E29="ja",1,IF(E29="Pauschale",2,0)))</f>
      </c>
      <c r="W29" s="1">
        <f>IF($A29="",0,IF(AU29&gt;0,1,0))</f>
      </c>
      <c r="X29" s="1">
        <f>IF(AND(T29=1,W29=0),1,0)</f>
      </c>
      <c r="Y29" s="1">
        <f>IF(AND(AS29=1,AT29=0,AU29=0),1,0)</f>
      </c>
      <c r="Z29" s="1">
        <f>IF(AND(Y29=1,T29=0,U29=1,V29=0),1,0)</f>
      </c>
      <c r="AA29" s="1">
        <f>IF(AND(X29=1,U29=0,V29=0,AN29=0,AO29=1,AP29=0),1,0)</f>
      </c>
      <c r="AB29" s="1">
        <f>IF(OR(W29=1,Z29=1),0,IF(T29=1,C29,0))</f>
      </c>
      <c r="AC29" s="1">
        <f>IF(OR(V29&gt;0,AA29=1),1,IF(U29=1,D29,1))</f>
      </c>
      <c r="AD29" s="1">
        <f>IF($A29="",0,IF(OR(T29=1,U29=1,V29&gt;0,W29=1),1,0))</f>
      </c>
      <c r="AE29" s="1">
        <f>IF(AD29=0,0,ROUND((AC29-AB29)*1440,0))</f>
      </c>
      <c r="AF29" s="1">
        <f>IF(AD29=0,"",IF(AND(F29&lt;&gt;"",ISNA(MATCH(F29,PauschLand,0))),"Land nicht in der Liste; ","")&amp;IF(AND(T29=0,W29=0,Z29=0),"Beginn fehlt; ","")&amp;IF(AND(V29=0,U29=0,AA29=0),"Ende fehlt; ","")&amp;IF(AND(X29=1,U29=1,V29=0,N(D29)&lt;N(C29)),"Ende vor Beginn (über Mitternacht: Ende in die Zeile des Folgetags); ",""))</f>
      </c>
      <c r="AG29" s="1">
        <f>IF(AD29=0,0,IFERROR(VLOOKUP(IF(F29="","Deutschland",F29),PauschTab,2,FALSE),0))</f>
      </c>
      <c r="AH29" s="1">
        <f>IF(AD29=0,0,IFERROR(VLOOKUP(IF(F29="","Deutschland",F29),PauschTab,3,FALSE),0))</f>
      </c>
      <c r="AI29" s="1">
        <f>IF(AD29=0,0,IFERROR(VLOOKUP(IF(F29="","Deutschland",F29),PauschTab,4,FALSE),0))</f>
      </c>
      <c r="AJ29" s="1">
        <f>IF(OR(AD29=0,AF29&lt;&gt;""),0,IF(AND(W29=1,V29&gt;0),IF(OR(T29=1,U29=1),AH29,AG29),IF(OR(W29=1,V29&gt;0),AH29,IF(AA29=1,IF(AND(AE29+AQ29&gt;480,AE29&gt;=AQ29),AH29,0),IF(Z29=1,IF(AND(AR29+AE29&gt;480,AE29&gt;AR29),AH29,0),IF(AE29&gt;480,AH29,0))))))</f>
      </c>
      <c r="AK29" s="1">
        <f>MIN(AJ29,AM29)</f>
      </c>
      <c r="AL29" s="1">
        <f>IF(OR(AD29=0,AF29&lt;&gt;""),"",IF(AND(W29=0,V29=0,AA29=0,Z29=0,AE29&lt;=480),"nicht mehr als 8 Std.; ","")&amp;IF(AA29=1,IF(AJ29&gt;0,"über Mitternacht, zusammen "&amp;TEXT((AE29+AQ29)/1440,"[h]:mm")&amp;" Std.; ",IF(AE29+AQ29&gt;480,"über Mitternacht: Pauschale am Folgetag; ","über Mitternacht, zusammen nicht mehr als 8 Std.; ")),"")&amp;IF(Z29=1,IF(AJ29&gt;0,"über Mitternacht, zusammen "&amp;TEXT((AR29+AE29)/1440,"[h]:mm")&amp;" Std.; ",IF(AR29+AE29&gt;480,"über Mitternacht: Pauschale am Vortag; ","über Mitternacht, zusammen nicht mehr als 8 Std.; ")),"")&amp;IF(AND(W29=1,V29&gt;0,OR(T29=1,U29=1)),"zwischendurch zu Hause: An- und Abreisetag; ","")&amp;IF(AND(W29=1,V29=0,T29=1),"Beginn leer lassen: unterwegs seit dem Vortag; ","")&amp;IF(AND(W29=0,V29&gt;0,U29=1),"Ende leer lassen: Übernachtung; ","")&amp;IF(AND(AJ29&gt;0,AM29&gt;AJ29),"Kürzung auf die Pauschale begrenzt; ",""))</f>
      </c>
      <c r="AM29" s="1">
        <f>ROUND(AG29*(IF(H29&lt;&gt;"",0.2,0)+IF(I29&lt;&gt;"",0.4,0)+IF(J29&lt;&gt;"",0.4,0)),2)</f>
      </c>
      <c r="AN29" s="1">
        <f>IF($A30="",'August'!$T$5,T30)</f>
      </c>
      <c r="AO29" s="1">
        <f>IF($A30="",'August'!$U$5,U30)</f>
      </c>
      <c r="AP29" s="1">
        <f>IF($A30="",'August'!$V$5,V30)</f>
      </c>
      <c r="AQ29" s="1">
        <f>IF($A30="",'August'!$AE$5,AE30)</f>
      </c>
      <c r="AR29" s="1">
        <f>AE28</f>
      </c>
      <c r="AS29" s="1">
        <f>X28</f>
      </c>
      <c r="AT29" s="1">
        <f>U28</f>
      </c>
      <c r="AU29" s="1">
        <f>V28</f>
      </c>
    </row>
    <row r="30" spans="1:47" x14ac:dyDescent="0.25">
      <c r="A30" s="17">
        <f>IF(MONTH(DATE(Jahr,7,26))=7,DATE(Jahr,7,26),"")</f>
      </c>
      <c r="B30" s="13">
        <f>IF(A30="","",CHOOSE(WEEKDAY(A30,2),"Mo","Di","Mi","Do","Fr","Sa","So"))</f>
      </c>
      <c r="C30" s="18"/>
      <c r="D30" s="18"/>
      <c r="E30" s="7"/>
      <c r="F30" s="7"/>
      <c r="G30" s="7"/>
      <c r="H30" s="19"/>
      <c r="I30" s="19"/>
      <c r="J30" s="19"/>
      <c r="K30" s="9"/>
      <c r="L30" s="20">
        <f>IF(OR(AD30=0,AF30&lt;&gt;"",AND(W30=1,V30&gt;0,OR(T30=1,U30=1))),"",AE30/1440)</f>
      </c>
      <c r="M30" s="21">
        <f>IF(OR(AD30=0,AF30&lt;&gt;""),"",AJ30)</f>
      </c>
      <c r="N30" s="21">
        <f>IF(AK30=0,"",AK30)</f>
      </c>
      <c r="O30" s="21">
        <f>IF(OR(AD30=0,AF30&lt;&gt;""),"",AJ30-AK30)</f>
      </c>
      <c r="P30" s="21">
        <f>IF(AND(AD30=1,AF30="",V30=2),AI30,"")</f>
      </c>
      <c r="Q30" s="21">
        <f>IF(OR($A30="",N(K30)=0),"",ROUND(K30*KmSatz,2))</f>
      </c>
      <c r="R30" s="22">
        <f>IF(AF30&amp;AL30="","",LEFT(AF30&amp;AL30,LEN(AF30&amp;AL30)-2))</f>
      </c>
      <c r="S30" s="1"/>
      <c r="T30" s="1">
        <f>IF(AND($A30&lt;&gt;"",ISNUMBER(C30)),1,0)</f>
      </c>
      <c r="U30" s="1">
        <f>IF(AND($A30&lt;&gt;"",ISNUMBER(D30)),1,0)</f>
      </c>
      <c r="V30" s="1">
        <f>IF($A30="",0,IF(E30="ja",1,IF(E30="Pauschale",2,0)))</f>
      </c>
      <c r="W30" s="1">
        <f>IF($A30="",0,IF(AU30&gt;0,1,0))</f>
      </c>
      <c r="X30" s="1">
        <f>IF(AND(T30=1,W30=0),1,0)</f>
      </c>
      <c r="Y30" s="1">
        <f>IF(AND(AS30=1,AT30=0,AU30=0),1,0)</f>
      </c>
      <c r="Z30" s="1">
        <f>IF(AND(Y30=1,T30=0,U30=1,V30=0),1,0)</f>
      </c>
      <c r="AA30" s="1">
        <f>IF(AND(X30=1,U30=0,V30=0,AN30=0,AO30=1,AP30=0),1,0)</f>
      </c>
      <c r="AB30" s="1">
        <f>IF(OR(W30=1,Z30=1),0,IF(T30=1,C30,0))</f>
      </c>
      <c r="AC30" s="1">
        <f>IF(OR(V30&gt;0,AA30=1),1,IF(U30=1,D30,1))</f>
      </c>
      <c r="AD30" s="1">
        <f>IF($A30="",0,IF(OR(T30=1,U30=1,V30&gt;0,W30=1),1,0))</f>
      </c>
      <c r="AE30" s="1">
        <f>IF(AD30=0,0,ROUND((AC30-AB30)*1440,0))</f>
      </c>
      <c r="AF30" s="1">
        <f>IF(AD30=0,"",IF(AND(F30&lt;&gt;"",ISNA(MATCH(F30,PauschLand,0))),"Land nicht in der Liste; ","")&amp;IF(AND(T30=0,W30=0,Z30=0),"Beginn fehlt; ","")&amp;IF(AND(V30=0,U30=0,AA30=0),"Ende fehlt; ","")&amp;IF(AND(X30=1,U30=1,V30=0,N(D30)&lt;N(C30)),"Ende vor Beginn (über Mitternacht: Ende in die Zeile des Folgetags); ",""))</f>
      </c>
      <c r="AG30" s="1">
        <f>IF(AD30=0,0,IFERROR(VLOOKUP(IF(F30="","Deutschland",F30),PauschTab,2,FALSE),0))</f>
      </c>
      <c r="AH30" s="1">
        <f>IF(AD30=0,0,IFERROR(VLOOKUP(IF(F30="","Deutschland",F30),PauschTab,3,FALSE),0))</f>
      </c>
      <c r="AI30" s="1">
        <f>IF(AD30=0,0,IFERROR(VLOOKUP(IF(F30="","Deutschland",F30),PauschTab,4,FALSE),0))</f>
      </c>
      <c r="AJ30" s="1">
        <f>IF(OR(AD30=0,AF30&lt;&gt;""),0,IF(AND(W30=1,V30&gt;0),IF(OR(T30=1,U30=1),AH30,AG30),IF(OR(W30=1,V30&gt;0),AH30,IF(AA30=1,IF(AND(AE30+AQ30&gt;480,AE30&gt;=AQ30),AH30,0),IF(Z30=1,IF(AND(AR30+AE30&gt;480,AE30&gt;AR30),AH30,0),IF(AE30&gt;480,AH30,0))))))</f>
      </c>
      <c r="AK30" s="1">
        <f>MIN(AJ30,AM30)</f>
      </c>
      <c r="AL30" s="1">
        <f>IF(OR(AD30=0,AF30&lt;&gt;""),"",IF(AND(W30=0,V30=0,AA30=0,Z30=0,AE30&lt;=480),"nicht mehr als 8 Std.; ","")&amp;IF(AA30=1,IF(AJ30&gt;0,"über Mitternacht, zusammen "&amp;TEXT((AE30+AQ30)/1440,"[h]:mm")&amp;" Std.; ",IF(AE30+AQ30&gt;480,"über Mitternacht: Pauschale am Folgetag; ","über Mitternacht, zusammen nicht mehr als 8 Std.; ")),"")&amp;IF(Z30=1,IF(AJ30&gt;0,"über Mitternacht, zusammen "&amp;TEXT((AR30+AE30)/1440,"[h]:mm")&amp;" Std.; ",IF(AR30+AE30&gt;480,"über Mitternacht: Pauschale am Vortag; ","über Mitternacht, zusammen nicht mehr als 8 Std.; ")),"")&amp;IF(AND(W30=1,V30&gt;0,OR(T30=1,U30=1)),"zwischendurch zu Hause: An- und Abreisetag; ","")&amp;IF(AND(W30=1,V30=0,T30=1),"Beginn leer lassen: unterwegs seit dem Vortag; ","")&amp;IF(AND(W30=0,V30&gt;0,U30=1),"Ende leer lassen: Übernachtung; ","")&amp;IF(AND(AJ30&gt;0,AM30&gt;AJ30),"Kürzung auf die Pauschale begrenzt; ",""))</f>
      </c>
      <c r="AM30" s="1">
        <f>ROUND(AG30*(IF(H30&lt;&gt;"",0.2,0)+IF(I30&lt;&gt;"",0.4,0)+IF(J30&lt;&gt;"",0.4,0)),2)</f>
      </c>
      <c r="AN30" s="1">
        <f>IF($A31="",'August'!$T$5,T31)</f>
      </c>
      <c r="AO30" s="1">
        <f>IF($A31="",'August'!$U$5,U31)</f>
      </c>
      <c r="AP30" s="1">
        <f>IF($A31="",'August'!$V$5,V31)</f>
      </c>
      <c r="AQ30" s="1">
        <f>IF($A31="",'August'!$AE$5,AE31)</f>
      </c>
      <c r="AR30" s="1">
        <f>AE29</f>
      </c>
      <c r="AS30" s="1">
        <f>X29</f>
      </c>
      <c r="AT30" s="1">
        <f>U29</f>
      </c>
      <c r="AU30" s="1">
        <f>V29</f>
      </c>
    </row>
    <row r="31" spans="1:47" x14ac:dyDescent="0.25">
      <c r="A31" s="17">
        <f>IF(MONTH(DATE(Jahr,7,27))=7,DATE(Jahr,7,27),"")</f>
      </c>
      <c r="B31" s="13">
        <f>IF(A31="","",CHOOSE(WEEKDAY(A31,2),"Mo","Di","Mi","Do","Fr","Sa","So"))</f>
      </c>
      <c r="C31" s="18"/>
      <c r="D31" s="18"/>
      <c r="E31" s="7"/>
      <c r="F31" s="7"/>
      <c r="G31" s="7"/>
      <c r="H31" s="19"/>
      <c r="I31" s="19"/>
      <c r="J31" s="19"/>
      <c r="K31" s="9"/>
      <c r="L31" s="20">
        <f>IF(OR(AD31=0,AF31&lt;&gt;"",AND(W31=1,V31&gt;0,OR(T31=1,U31=1))),"",AE31/1440)</f>
      </c>
      <c r="M31" s="21">
        <f>IF(OR(AD31=0,AF31&lt;&gt;""),"",AJ31)</f>
      </c>
      <c r="N31" s="21">
        <f>IF(AK31=0,"",AK31)</f>
      </c>
      <c r="O31" s="21">
        <f>IF(OR(AD31=0,AF31&lt;&gt;""),"",AJ31-AK31)</f>
      </c>
      <c r="P31" s="21">
        <f>IF(AND(AD31=1,AF31="",V31=2),AI31,"")</f>
      </c>
      <c r="Q31" s="21">
        <f>IF(OR($A31="",N(K31)=0),"",ROUND(K31*KmSatz,2))</f>
      </c>
      <c r="R31" s="22">
        <f>IF(AF31&amp;AL31="","",LEFT(AF31&amp;AL31,LEN(AF31&amp;AL31)-2))</f>
      </c>
      <c r="S31" s="1"/>
      <c r="T31" s="1">
        <f>IF(AND($A31&lt;&gt;"",ISNUMBER(C31)),1,0)</f>
      </c>
      <c r="U31" s="1">
        <f>IF(AND($A31&lt;&gt;"",ISNUMBER(D31)),1,0)</f>
      </c>
      <c r="V31" s="1">
        <f>IF($A31="",0,IF(E31="ja",1,IF(E31="Pauschale",2,0)))</f>
      </c>
      <c r="W31" s="1">
        <f>IF($A31="",0,IF(AU31&gt;0,1,0))</f>
      </c>
      <c r="X31" s="1">
        <f>IF(AND(T31=1,W31=0),1,0)</f>
      </c>
      <c r="Y31" s="1">
        <f>IF(AND(AS31=1,AT31=0,AU31=0),1,0)</f>
      </c>
      <c r="Z31" s="1">
        <f>IF(AND(Y31=1,T31=0,U31=1,V31=0),1,0)</f>
      </c>
      <c r="AA31" s="1">
        <f>IF(AND(X31=1,U31=0,V31=0,AN31=0,AO31=1,AP31=0),1,0)</f>
      </c>
      <c r="AB31" s="1">
        <f>IF(OR(W31=1,Z31=1),0,IF(T31=1,C31,0))</f>
      </c>
      <c r="AC31" s="1">
        <f>IF(OR(V31&gt;0,AA31=1),1,IF(U31=1,D31,1))</f>
      </c>
      <c r="AD31" s="1">
        <f>IF($A31="",0,IF(OR(T31=1,U31=1,V31&gt;0,W31=1),1,0))</f>
      </c>
      <c r="AE31" s="1">
        <f>IF(AD31=0,0,ROUND((AC31-AB31)*1440,0))</f>
      </c>
      <c r="AF31" s="1">
        <f>IF(AD31=0,"",IF(AND(F31&lt;&gt;"",ISNA(MATCH(F31,PauschLand,0))),"Land nicht in der Liste; ","")&amp;IF(AND(T31=0,W31=0,Z31=0),"Beginn fehlt; ","")&amp;IF(AND(V31=0,U31=0,AA31=0),"Ende fehlt; ","")&amp;IF(AND(X31=1,U31=1,V31=0,N(D31)&lt;N(C31)),"Ende vor Beginn (über Mitternacht: Ende in die Zeile des Folgetags); ",""))</f>
      </c>
      <c r="AG31" s="1">
        <f>IF(AD31=0,0,IFERROR(VLOOKUP(IF(F31="","Deutschland",F31),PauschTab,2,FALSE),0))</f>
      </c>
      <c r="AH31" s="1">
        <f>IF(AD31=0,0,IFERROR(VLOOKUP(IF(F31="","Deutschland",F31),PauschTab,3,FALSE),0))</f>
      </c>
      <c r="AI31" s="1">
        <f>IF(AD31=0,0,IFERROR(VLOOKUP(IF(F31="","Deutschland",F31),PauschTab,4,FALSE),0))</f>
      </c>
      <c r="AJ31" s="1">
        <f>IF(OR(AD31=0,AF31&lt;&gt;""),0,IF(AND(W31=1,V31&gt;0),IF(OR(T31=1,U31=1),AH31,AG31),IF(OR(W31=1,V31&gt;0),AH31,IF(AA31=1,IF(AND(AE31+AQ31&gt;480,AE31&gt;=AQ31),AH31,0),IF(Z31=1,IF(AND(AR31+AE31&gt;480,AE31&gt;AR31),AH31,0),IF(AE31&gt;480,AH31,0))))))</f>
      </c>
      <c r="AK31" s="1">
        <f>MIN(AJ31,AM31)</f>
      </c>
      <c r="AL31" s="1">
        <f>IF(OR(AD31=0,AF31&lt;&gt;""),"",IF(AND(W31=0,V31=0,AA31=0,Z31=0,AE31&lt;=480),"nicht mehr als 8 Std.; ","")&amp;IF(AA31=1,IF(AJ31&gt;0,"über Mitternacht, zusammen "&amp;TEXT((AE31+AQ31)/1440,"[h]:mm")&amp;" Std.; ",IF(AE31+AQ31&gt;480,"über Mitternacht: Pauschale am Folgetag; ","über Mitternacht, zusammen nicht mehr als 8 Std.; ")),"")&amp;IF(Z31=1,IF(AJ31&gt;0,"über Mitternacht, zusammen "&amp;TEXT((AR31+AE31)/1440,"[h]:mm")&amp;" Std.; ",IF(AR31+AE31&gt;480,"über Mitternacht: Pauschale am Vortag; ","über Mitternacht, zusammen nicht mehr als 8 Std.; ")),"")&amp;IF(AND(W31=1,V31&gt;0,OR(T31=1,U31=1)),"zwischendurch zu Hause: An- und Abreisetag; ","")&amp;IF(AND(W31=1,V31=0,T31=1),"Beginn leer lassen: unterwegs seit dem Vortag; ","")&amp;IF(AND(W31=0,V31&gt;0,U31=1),"Ende leer lassen: Übernachtung; ","")&amp;IF(AND(AJ31&gt;0,AM31&gt;AJ31),"Kürzung auf die Pauschale begrenzt; ",""))</f>
      </c>
      <c r="AM31" s="1">
        <f>ROUND(AG31*(IF(H31&lt;&gt;"",0.2,0)+IF(I31&lt;&gt;"",0.4,0)+IF(J31&lt;&gt;"",0.4,0)),2)</f>
      </c>
      <c r="AN31" s="1">
        <f>IF($A32="",'August'!$T$5,T32)</f>
      </c>
      <c r="AO31" s="1">
        <f>IF($A32="",'August'!$U$5,U32)</f>
      </c>
      <c r="AP31" s="1">
        <f>IF($A32="",'August'!$V$5,V32)</f>
      </c>
      <c r="AQ31" s="1">
        <f>IF($A32="",'August'!$AE$5,AE32)</f>
      </c>
      <c r="AR31" s="1">
        <f>AE30</f>
      </c>
      <c r="AS31" s="1">
        <f>X30</f>
      </c>
      <c r="AT31" s="1">
        <f>U30</f>
      </c>
      <c r="AU31" s="1">
        <f>V30</f>
      </c>
    </row>
    <row r="32" spans="1:47" x14ac:dyDescent="0.25">
      <c r="A32" s="17">
        <f>IF(MONTH(DATE(Jahr,7,28))=7,DATE(Jahr,7,28),"")</f>
      </c>
      <c r="B32" s="13">
        <f>IF(A32="","",CHOOSE(WEEKDAY(A32,2),"Mo","Di","Mi","Do","Fr","Sa","So"))</f>
      </c>
      <c r="C32" s="18"/>
      <c r="D32" s="18"/>
      <c r="E32" s="7"/>
      <c r="F32" s="7"/>
      <c r="G32" s="7"/>
      <c r="H32" s="19"/>
      <c r="I32" s="19"/>
      <c r="J32" s="19"/>
      <c r="K32" s="9"/>
      <c r="L32" s="20">
        <f>IF(OR(AD32=0,AF32&lt;&gt;"",AND(W32=1,V32&gt;0,OR(T32=1,U32=1))),"",AE32/1440)</f>
      </c>
      <c r="M32" s="21">
        <f>IF(OR(AD32=0,AF32&lt;&gt;""),"",AJ32)</f>
      </c>
      <c r="N32" s="21">
        <f>IF(AK32=0,"",AK32)</f>
      </c>
      <c r="O32" s="21">
        <f>IF(OR(AD32=0,AF32&lt;&gt;""),"",AJ32-AK32)</f>
      </c>
      <c r="P32" s="21">
        <f>IF(AND(AD32=1,AF32="",V32=2),AI32,"")</f>
      </c>
      <c r="Q32" s="21">
        <f>IF(OR($A32="",N(K32)=0),"",ROUND(K32*KmSatz,2))</f>
      </c>
      <c r="R32" s="22">
        <f>IF(AF32&amp;AL32="","",LEFT(AF32&amp;AL32,LEN(AF32&amp;AL32)-2))</f>
      </c>
      <c r="S32" s="1"/>
      <c r="T32" s="1">
        <f>IF(AND($A32&lt;&gt;"",ISNUMBER(C32)),1,0)</f>
      </c>
      <c r="U32" s="1">
        <f>IF(AND($A32&lt;&gt;"",ISNUMBER(D32)),1,0)</f>
      </c>
      <c r="V32" s="1">
        <f>IF($A32="",0,IF(E32="ja",1,IF(E32="Pauschale",2,0)))</f>
      </c>
      <c r="W32" s="1">
        <f>IF($A32="",0,IF(AU32&gt;0,1,0))</f>
      </c>
      <c r="X32" s="1">
        <f>IF(AND(T32=1,W32=0),1,0)</f>
      </c>
      <c r="Y32" s="1">
        <f>IF(AND(AS32=1,AT32=0,AU32=0),1,0)</f>
      </c>
      <c r="Z32" s="1">
        <f>IF(AND(Y32=1,T32=0,U32=1,V32=0),1,0)</f>
      </c>
      <c r="AA32" s="1">
        <f>IF(AND(X32=1,U32=0,V32=0,AN32=0,AO32=1,AP32=0),1,0)</f>
      </c>
      <c r="AB32" s="1">
        <f>IF(OR(W32=1,Z32=1),0,IF(T32=1,C32,0))</f>
      </c>
      <c r="AC32" s="1">
        <f>IF(OR(V32&gt;0,AA32=1),1,IF(U32=1,D32,1))</f>
      </c>
      <c r="AD32" s="1">
        <f>IF($A32="",0,IF(OR(T32=1,U32=1,V32&gt;0,W32=1),1,0))</f>
      </c>
      <c r="AE32" s="1">
        <f>IF(AD32=0,0,ROUND((AC32-AB32)*1440,0))</f>
      </c>
      <c r="AF32" s="1">
        <f>IF(AD32=0,"",IF(AND(F32&lt;&gt;"",ISNA(MATCH(F32,PauschLand,0))),"Land nicht in der Liste; ","")&amp;IF(AND(T32=0,W32=0,Z32=0),"Beginn fehlt; ","")&amp;IF(AND(V32=0,U32=0,AA32=0),"Ende fehlt; ","")&amp;IF(AND(X32=1,U32=1,V32=0,N(D32)&lt;N(C32)),"Ende vor Beginn (über Mitternacht: Ende in die Zeile des Folgetags); ",""))</f>
      </c>
      <c r="AG32" s="1">
        <f>IF(AD32=0,0,IFERROR(VLOOKUP(IF(F32="","Deutschland",F32),PauschTab,2,FALSE),0))</f>
      </c>
      <c r="AH32" s="1">
        <f>IF(AD32=0,0,IFERROR(VLOOKUP(IF(F32="","Deutschland",F32),PauschTab,3,FALSE),0))</f>
      </c>
      <c r="AI32" s="1">
        <f>IF(AD32=0,0,IFERROR(VLOOKUP(IF(F32="","Deutschland",F32),PauschTab,4,FALSE),0))</f>
      </c>
      <c r="AJ32" s="1">
        <f>IF(OR(AD32=0,AF32&lt;&gt;""),0,IF(AND(W32=1,V32&gt;0),IF(OR(T32=1,U32=1),AH32,AG32),IF(OR(W32=1,V32&gt;0),AH32,IF(AA32=1,IF(AND(AE32+AQ32&gt;480,AE32&gt;=AQ32),AH32,0),IF(Z32=1,IF(AND(AR32+AE32&gt;480,AE32&gt;AR32),AH32,0),IF(AE32&gt;480,AH32,0))))))</f>
      </c>
      <c r="AK32" s="1">
        <f>MIN(AJ32,AM32)</f>
      </c>
      <c r="AL32" s="1">
        <f>IF(OR(AD32=0,AF32&lt;&gt;""),"",IF(AND(W32=0,V32=0,AA32=0,Z32=0,AE32&lt;=480),"nicht mehr als 8 Std.; ","")&amp;IF(AA32=1,IF(AJ32&gt;0,"über Mitternacht, zusammen "&amp;TEXT((AE32+AQ32)/1440,"[h]:mm")&amp;" Std.; ",IF(AE32+AQ32&gt;480,"über Mitternacht: Pauschale am Folgetag; ","über Mitternacht, zusammen nicht mehr als 8 Std.; ")),"")&amp;IF(Z32=1,IF(AJ32&gt;0,"über Mitternacht, zusammen "&amp;TEXT((AR32+AE32)/1440,"[h]:mm")&amp;" Std.; ",IF(AR32+AE32&gt;480,"über Mitternacht: Pauschale am Vortag; ","über Mitternacht, zusammen nicht mehr als 8 Std.; ")),"")&amp;IF(AND(W32=1,V32&gt;0,OR(T32=1,U32=1)),"zwischendurch zu Hause: An- und Abreisetag; ","")&amp;IF(AND(W32=1,V32=0,T32=1),"Beginn leer lassen: unterwegs seit dem Vortag; ","")&amp;IF(AND(W32=0,V32&gt;0,U32=1),"Ende leer lassen: Übernachtung; ","")&amp;IF(AND(AJ32&gt;0,AM32&gt;AJ32),"Kürzung auf die Pauschale begrenzt; ",""))</f>
      </c>
      <c r="AM32" s="1">
        <f>ROUND(AG32*(IF(H32&lt;&gt;"",0.2,0)+IF(I32&lt;&gt;"",0.4,0)+IF(J32&lt;&gt;"",0.4,0)),2)</f>
      </c>
      <c r="AN32" s="1">
        <f>IF($A33="",'August'!$T$5,T33)</f>
      </c>
      <c r="AO32" s="1">
        <f>IF($A33="",'August'!$U$5,U33)</f>
      </c>
      <c r="AP32" s="1">
        <f>IF($A33="",'August'!$V$5,V33)</f>
      </c>
      <c r="AQ32" s="1">
        <f>IF($A33="",'August'!$AE$5,AE33)</f>
      </c>
      <c r="AR32" s="1">
        <f>AE31</f>
      </c>
      <c r="AS32" s="1">
        <f>X31</f>
      </c>
      <c r="AT32" s="1">
        <f>U31</f>
      </c>
      <c r="AU32" s="1">
        <f>V31</f>
      </c>
    </row>
    <row r="33" spans="1:47" x14ac:dyDescent="0.25">
      <c r="A33" s="17">
        <f>IF(MONTH(DATE(Jahr,7,29))=7,DATE(Jahr,7,29),"")</f>
      </c>
      <c r="B33" s="13">
        <f>IF(A33="","",CHOOSE(WEEKDAY(A33,2),"Mo","Di","Mi","Do","Fr","Sa","So"))</f>
      </c>
      <c r="C33" s="18"/>
      <c r="D33" s="18"/>
      <c r="E33" s="7"/>
      <c r="F33" s="7"/>
      <c r="G33" s="7"/>
      <c r="H33" s="19"/>
      <c r="I33" s="19"/>
      <c r="J33" s="19"/>
      <c r="K33" s="9"/>
      <c r="L33" s="20">
        <f>IF(OR(AD33=0,AF33&lt;&gt;"",AND(W33=1,V33&gt;0,OR(T33=1,U33=1))),"",AE33/1440)</f>
      </c>
      <c r="M33" s="21">
        <f>IF(OR(AD33=0,AF33&lt;&gt;""),"",AJ33)</f>
      </c>
      <c r="N33" s="21">
        <f>IF(AK33=0,"",AK33)</f>
      </c>
      <c r="O33" s="21">
        <f>IF(OR(AD33=0,AF33&lt;&gt;""),"",AJ33-AK33)</f>
      </c>
      <c r="P33" s="21">
        <f>IF(AND(AD33=1,AF33="",V33=2),AI33,"")</f>
      </c>
      <c r="Q33" s="21">
        <f>IF(OR($A33="",N(K33)=0),"",ROUND(K33*KmSatz,2))</f>
      </c>
      <c r="R33" s="22">
        <f>IF(AF33&amp;AL33="","",LEFT(AF33&amp;AL33,LEN(AF33&amp;AL33)-2))</f>
      </c>
      <c r="S33" s="1"/>
      <c r="T33" s="1">
        <f>IF(AND($A33&lt;&gt;"",ISNUMBER(C33)),1,0)</f>
      </c>
      <c r="U33" s="1">
        <f>IF(AND($A33&lt;&gt;"",ISNUMBER(D33)),1,0)</f>
      </c>
      <c r="V33" s="1">
        <f>IF($A33="",0,IF(E33="ja",1,IF(E33="Pauschale",2,0)))</f>
      </c>
      <c r="W33" s="1">
        <f>IF($A33="",0,IF(AU33&gt;0,1,0))</f>
      </c>
      <c r="X33" s="1">
        <f>IF(AND(T33=1,W33=0),1,0)</f>
      </c>
      <c r="Y33" s="1">
        <f>IF(AND(AS33=1,AT33=0,AU33=0),1,0)</f>
      </c>
      <c r="Z33" s="1">
        <f>IF(AND(Y33=1,T33=0,U33=1,V33=0),1,0)</f>
      </c>
      <c r="AA33" s="1">
        <f>IF(AND(X33=1,U33=0,V33=0,AN33=0,AO33=1,AP33=0),1,0)</f>
      </c>
      <c r="AB33" s="1">
        <f>IF(OR(W33=1,Z33=1),0,IF(T33=1,C33,0))</f>
      </c>
      <c r="AC33" s="1">
        <f>IF(OR(V33&gt;0,AA33=1),1,IF(U33=1,D33,1))</f>
      </c>
      <c r="AD33" s="1">
        <f>IF($A33="",0,IF(OR(T33=1,U33=1,V33&gt;0,W33=1),1,0))</f>
      </c>
      <c r="AE33" s="1">
        <f>IF(AD33=0,0,ROUND((AC33-AB33)*1440,0))</f>
      </c>
      <c r="AF33" s="1">
        <f>IF(AD33=0,"",IF(AND(F33&lt;&gt;"",ISNA(MATCH(F33,PauschLand,0))),"Land nicht in der Liste; ","")&amp;IF(AND(T33=0,W33=0,Z33=0),"Beginn fehlt; ","")&amp;IF(AND(V33=0,U33=0,AA33=0),"Ende fehlt; ","")&amp;IF(AND(X33=1,U33=1,V33=0,N(D33)&lt;N(C33)),"Ende vor Beginn (über Mitternacht: Ende in die Zeile des Folgetags); ",""))</f>
      </c>
      <c r="AG33" s="1">
        <f>IF(AD33=0,0,IFERROR(VLOOKUP(IF(F33="","Deutschland",F33),PauschTab,2,FALSE),0))</f>
      </c>
      <c r="AH33" s="1">
        <f>IF(AD33=0,0,IFERROR(VLOOKUP(IF(F33="","Deutschland",F33),PauschTab,3,FALSE),0))</f>
      </c>
      <c r="AI33" s="1">
        <f>IF(AD33=0,0,IFERROR(VLOOKUP(IF(F33="","Deutschland",F33),PauschTab,4,FALSE),0))</f>
      </c>
      <c r="AJ33" s="1">
        <f>IF(OR(AD33=0,AF33&lt;&gt;""),0,IF(AND(W33=1,V33&gt;0),IF(OR(T33=1,U33=1),AH33,AG33),IF(OR(W33=1,V33&gt;0),AH33,IF(AA33=1,IF(AND(AE33+AQ33&gt;480,AE33&gt;=AQ33),AH33,0),IF(Z33=1,IF(AND(AR33+AE33&gt;480,AE33&gt;AR33),AH33,0),IF(AE33&gt;480,AH33,0))))))</f>
      </c>
      <c r="AK33" s="1">
        <f>MIN(AJ33,AM33)</f>
      </c>
      <c r="AL33" s="1">
        <f>IF(OR(AD33=0,AF33&lt;&gt;""),"",IF(AND(W33=0,V33=0,AA33=0,Z33=0,AE33&lt;=480),"nicht mehr als 8 Std.; ","")&amp;IF(AA33=1,IF(AJ33&gt;0,"über Mitternacht, zusammen "&amp;TEXT((AE33+AQ33)/1440,"[h]:mm")&amp;" Std.; ",IF(AE33+AQ33&gt;480,"über Mitternacht: Pauschale am Folgetag; ","über Mitternacht, zusammen nicht mehr als 8 Std.; ")),"")&amp;IF(Z33=1,IF(AJ33&gt;0,"über Mitternacht, zusammen "&amp;TEXT((AR33+AE33)/1440,"[h]:mm")&amp;" Std.; ",IF(AR33+AE33&gt;480,"über Mitternacht: Pauschale am Vortag; ","über Mitternacht, zusammen nicht mehr als 8 Std.; ")),"")&amp;IF(AND(W33=1,V33&gt;0,OR(T33=1,U33=1)),"zwischendurch zu Hause: An- und Abreisetag; ","")&amp;IF(AND(W33=1,V33=0,T33=1),"Beginn leer lassen: unterwegs seit dem Vortag; ","")&amp;IF(AND(W33=0,V33&gt;0,U33=1),"Ende leer lassen: Übernachtung; ","")&amp;IF(AND(AJ33&gt;0,AM33&gt;AJ33),"Kürzung auf die Pauschale begrenzt; ",""))</f>
      </c>
      <c r="AM33" s="1">
        <f>ROUND(AG33*(IF(H33&lt;&gt;"",0.2,0)+IF(I33&lt;&gt;"",0.4,0)+IF(J33&lt;&gt;"",0.4,0)),2)</f>
      </c>
      <c r="AN33" s="1">
        <f>IF($A34="",'August'!$T$5,T34)</f>
      </c>
      <c r="AO33" s="1">
        <f>IF($A34="",'August'!$U$5,U34)</f>
      </c>
      <c r="AP33" s="1">
        <f>IF($A34="",'August'!$V$5,V34)</f>
      </c>
      <c r="AQ33" s="1">
        <f>IF($A34="",'August'!$AE$5,AE34)</f>
      </c>
      <c r="AR33" s="1">
        <f>AE32</f>
      </c>
      <c r="AS33" s="1">
        <f>X32</f>
      </c>
      <c r="AT33" s="1">
        <f>U32</f>
      </c>
      <c r="AU33" s="1">
        <f>V32</f>
      </c>
    </row>
    <row r="34" spans="1:47" x14ac:dyDescent="0.25">
      <c r="A34" s="17">
        <f>IF(MONTH(DATE(Jahr,7,30))=7,DATE(Jahr,7,30),"")</f>
      </c>
      <c r="B34" s="13">
        <f>IF(A34="","",CHOOSE(WEEKDAY(A34,2),"Mo","Di","Mi","Do","Fr","Sa","So"))</f>
      </c>
      <c r="C34" s="18"/>
      <c r="D34" s="18"/>
      <c r="E34" s="7"/>
      <c r="F34" s="7"/>
      <c r="G34" s="7"/>
      <c r="H34" s="19"/>
      <c r="I34" s="19"/>
      <c r="J34" s="19"/>
      <c r="K34" s="9"/>
      <c r="L34" s="20">
        <f>IF(OR(AD34=0,AF34&lt;&gt;"",AND(W34=1,V34&gt;0,OR(T34=1,U34=1))),"",AE34/1440)</f>
      </c>
      <c r="M34" s="21">
        <f>IF(OR(AD34=0,AF34&lt;&gt;""),"",AJ34)</f>
      </c>
      <c r="N34" s="21">
        <f>IF(AK34=0,"",AK34)</f>
      </c>
      <c r="O34" s="21">
        <f>IF(OR(AD34=0,AF34&lt;&gt;""),"",AJ34-AK34)</f>
      </c>
      <c r="P34" s="21">
        <f>IF(AND(AD34=1,AF34="",V34=2),AI34,"")</f>
      </c>
      <c r="Q34" s="21">
        <f>IF(OR($A34="",N(K34)=0),"",ROUND(K34*KmSatz,2))</f>
      </c>
      <c r="R34" s="22">
        <f>IF(AF34&amp;AL34="","",LEFT(AF34&amp;AL34,LEN(AF34&amp;AL34)-2))</f>
      </c>
      <c r="S34" s="1"/>
      <c r="T34" s="1">
        <f>IF(AND($A34&lt;&gt;"",ISNUMBER(C34)),1,0)</f>
      </c>
      <c r="U34" s="1">
        <f>IF(AND($A34&lt;&gt;"",ISNUMBER(D34)),1,0)</f>
      </c>
      <c r="V34" s="1">
        <f>IF($A34="",0,IF(E34="ja",1,IF(E34="Pauschale",2,0)))</f>
      </c>
      <c r="W34" s="1">
        <f>IF($A34="",0,IF(AU34&gt;0,1,0))</f>
      </c>
      <c r="X34" s="1">
        <f>IF(AND(T34=1,W34=0),1,0)</f>
      </c>
      <c r="Y34" s="1">
        <f>IF(AND(AS34=1,AT34=0,AU34=0),1,0)</f>
      </c>
      <c r="Z34" s="1">
        <f>IF(AND(Y34=1,T34=0,U34=1,V34=0),1,0)</f>
      </c>
      <c r="AA34" s="1">
        <f>IF(AND(X34=1,U34=0,V34=0,AN34=0,AO34=1,AP34=0),1,0)</f>
      </c>
      <c r="AB34" s="1">
        <f>IF(OR(W34=1,Z34=1),0,IF(T34=1,C34,0))</f>
      </c>
      <c r="AC34" s="1">
        <f>IF(OR(V34&gt;0,AA34=1),1,IF(U34=1,D34,1))</f>
      </c>
      <c r="AD34" s="1">
        <f>IF($A34="",0,IF(OR(T34=1,U34=1,V34&gt;0,W34=1),1,0))</f>
      </c>
      <c r="AE34" s="1">
        <f>IF(AD34=0,0,ROUND((AC34-AB34)*1440,0))</f>
      </c>
      <c r="AF34" s="1">
        <f>IF(AD34=0,"",IF(AND(F34&lt;&gt;"",ISNA(MATCH(F34,PauschLand,0))),"Land nicht in der Liste; ","")&amp;IF(AND(T34=0,W34=0,Z34=0),"Beginn fehlt; ","")&amp;IF(AND(V34=0,U34=0,AA34=0),"Ende fehlt; ","")&amp;IF(AND(X34=1,U34=1,V34=0,N(D34)&lt;N(C34)),"Ende vor Beginn (über Mitternacht: Ende in die Zeile des Folgetags); ",""))</f>
      </c>
      <c r="AG34" s="1">
        <f>IF(AD34=0,0,IFERROR(VLOOKUP(IF(F34="","Deutschland",F34),PauschTab,2,FALSE),0))</f>
      </c>
      <c r="AH34" s="1">
        <f>IF(AD34=0,0,IFERROR(VLOOKUP(IF(F34="","Deutschland",F34),PauschTab,3,FALSE),0))</f>
      </c>
      <c r="AI34" s="1">
        <f>IF(AD34=0,0,IFERROR(VLOOKUP(IF(F34="","Deutschland",F34),PauschTab,4,FALSE),0))</f>
      </c>
      <c r="AJ34" s="1">
        <f>IF(OR(AD34=0,AF34&lt;&gt;""),0,IF(AND(W34=1,V34&gt;0),IF(OR(T34=1,U34=1),AH34,AG34),IF(OR(W34=1,V34&gt;0),AH34,IF(AA34=1,IF(AND(AE34+AQ34&gt;480,AE34&gt;=AQ34),AH34,0),IF(Z34=1,IF(AND(AR34+AE34&gt;480,AE34&gt;AR34),AH34,0),IF(AE34&gt;480,AH34,0))))))</f>
      </c>
      <c r="AK34" s="1">
        <f>MIN(AJ34,AM34)</f>
      </c>
      <c r="AL34" s="1">
        <f>IF(OR(AD34=0,AF34&lt;&gt;""),"",IF(AND(W34=0,V34=0,AA34=0,Z34=0,AE34&lt;=480),"nicht mehr als 8 Std.; ","")&amp;IF(AA34=1,IF(AJ34&gt;0,"über Mitternacht, zusammen "&amp;TEXT((AE34+AQ34)/1440,"[h]:mm")&amp;" Std.; ",IF(AE34+AQ34&gt;480,"über Mitternacht: Pauschale am Folgetag; ","über Mitternacht, zusammen nicht mehr als 8 Std.; ")),"")&amp;IF(Z34=1,IF(AJ34&gt;0,"über Mitternacht, zusammen "&amp;TEXT((AR34+AE34)/1440,"[h]:mm")&amp;" Std.; ",IF(AR34+AE34&gt;480,"über Mitternacht: Pauschale am Vortag; ","über Mitternacht, zusammen nicht mehr als 8 Std.; ")),"")&amp;IF(AND(W34=1,V34&gt;0,OR(T34=1,U34=1)),"zwischendurch zu Hause: An- und Abreisetag; ","")&amp;IF(AND(W34=1,V34=0,T34=1),"Beginn leer lassen: unterwegs seit dem Vortag; ","")&amp;IF(AND(W34=0,V34&gt;0,U34=1),"Ende leer lassen: Übernachtung; ","")&amp;IF(AND(AJ34&gt;0,AM34&gt;AJ34),"Kürzung auf die Pauschale begrenzt; ",""))</f>
      </c>
      <c r="AM34" s="1">
        <f>ROUND(AG34*(IF(H34&lt;&gt;"",0.2,0)+IF(I34&lt;&gt;"",0.4,0)+IF(J34&lt;&gt;"",0.4,0)),2)</f>
      </c>
      <c r="AN34" s="1">
        <f>IF($A35="",'August'!$T$5,T35)</f>
      </c>
      <c r="AO34" s="1">
        <f>IF($A35="",'August'!$U$5,U35)</f>
      </c>
      <c r="AP34" s="1">
        <f>IF($A35="",'August'!$V$5,V35)</f>
      </c>
      <c r="AQ34" s="1">
        <f>IF($A35="",'August'!$AE$5,AE35)</f>
      </c>
      <c r="AR34" s="1">
        <f>AE33</f>
      </c>
      <c r="AS34" s="1">
        <f>X33</f>
      </c>
      <c r="AT34" s="1">
        <f>U33</f>
      </c>
      <c r="AU34" s="1">
        <f>V33</f>
      </c>
    </row>
    <row r="35" spans="1:47" x14ac:dyDescent="0.25">
      <c r="A35" s="17">
        <f>IF(MONTH(DATE(Jahr,7,31))=7,DATE(Jahr,7,31),"")</f>
      </c>
      <c r="B35" s="13">
        <f>IF(A35="","",CHOOSE(WEEKDAY(A35,2),"Mo","Di","Mi","Do","Fr","Sa","So"))</f>
      </c>
      <c r="C35" s="18"/>
      <c r="D35" s="18"/>
      <c r="E35" s="7"/>
      <c r="F35" s="7"/>
      <c r="G35" s="7"/>
      <c r="H35" s="19"/>
      <c r="I35" s="19"/>
      <c r="J35" s="19"/>
      <c r="K35" s="9"/>
      <c r="L35" s="20">
        <f>IF(OR(AD35=0,AF35&lt;&gt;"",AND(W35=1,V35&gt;0,OR(T35=1,U35=1))),"",AE35/1440)</f>
      </c>
      <c r="M35" s="21">
        <f>IF(OR(AD35=0,AF35&lt;&gt;""),"",AJ35)</f>
      </c>
      <c r="N35" s="21">
        <f>IF(AK35=0,"",AK35)</f>
      </c>
      <c r="O35" s="21">
        <f>IF(OR(AD35=0,AF35&lt;&gt;""),"",AJ35-AK35)</f>
      </c>
      <c r="P35" s="21">
        <f>IF(AND(AD35=1,AF35="",V35=2),AI35,"")</f>
      </c>
      <c r="Q35" s="21">
        <f>IF(OR($A35="",N(K35)=0),"",ROUND(K35*KmSatz,2))</f>
      </c>
      <c r="R35" s="22">
        <f>IF(AF35&amp;AL35="","",LEFT(AF35&amp;AL35,LEN(AF35&amp;AL35)-2))</f>
      </c>
      <c r="S35" s="1"/>
      <c r="T35" s="1">
        <f>IF(AND($A35&lt;&gt;"",ISNUMBER(C35)),1,0)</f>
      </c>
      <c r="U35" s="1">
        <f>IF(AND($A35&lt;&gt;"",ISNUMBER(D35)),1,0)</f>
      </c>
      <c r="V35" s="1">
        <f>IF($A35="",0,IF(E35="ja",1,IF(E35="Pauschale",2,0)))</f>
      </c>
      <c r="W35" s="1">
        <f>IF($A35="",0,IF(AU35&gt;0,1,0))</f>
      </c>
      <c r="X35" s="1">
        <f>IF(AND(T35=1,W35=0),1,0)</f>
      </c>
      <c r="Y35" s="1">
        <f>IF(AND(AS35=1,AT35=0,AU35=0),1,0)</f>
      </c>
      <c r="Z35" s="1">
        <f>IF(AND(Y35=1,T35=0,U35=1,V35=0),1,0)</f>
      </c>
      <c r="AA35" s="1">
        <f>IF(AND(X35=1,U35=0,V35=0,AN35=0,AO35=1,AP35=0),1,0)</f>
      </c>
      <c r="AB35" s="1">
        <f>IF(OR(W35=1,Z35=1),0,IF(T35=1,C35,0))</f>
      </c>
      <c r="AC35" s="1">
        <f>IF(OR(V35&gt;0,AA35=1),1,IF(U35=1,D35,1))</f>
      </c>
      <c r="AD35" s="1">
        <f>IF($A35="",0,IF(OR(T35=1,U35=1,V35&gt;0,W35=1),1,0))</f>
      </c>
      <c r="AE35" s="1">
        <f>IF(AD35=0,0,ROUND((AC35-AB35)*1440,0))</f>
      </c>
      <c r="AF35" s="1">
        <f>IF(AD35=0,"",IF(AND(F35&lt;&gt;"",ISNA(MATCH(F35,PauschLand,0))),"Land nicht in der Liste; ","")&amp;IF(AND(T35=0,W35=0,Z35=0),"Beginn fehlt; ","")&amp;IF(AND(V35=0,U35=0,AA35=0),"Ende fehlt; ","")&amp;IF(AND(X35=1,U35=1,V35=0,N(D35)&lt;N(C35)),"Ende vor Beginn (über Mitternacht: Ende in die Zeile des Folgetags); ",""))</f>
      </c>
      <c r="AG35" s="1">
        <f>IF(AD35=0,0,IFERROR(VLOOKUP(IF(F35="","Deutschland",F35),PauschTab,2,FALSE),0))</f>
      </c>
      <c r="AH35" s="1">
        <f>IF(AD35=0,0,IFERROR(VLOOKUP(IF(F35="","Deutschland",F35),PauschTab,3,FALSE),0))</f>
      </c>
      <c r="AI35" s="1">
        <f>IF(AD35=0,0,IFERROR(VLOOKUP(IF(F35="","Deutschland",F35),PauschTab,4,FALSE),0))</f>
      </c>
      <c r="AJ35" s="1">
        <f>IF(OR(AD35=0,AF35&lt;&gt;""),0,IF(AND(W35=1,V35&gt;0),IF(OR(T35=1,U35=1),AH35,AG35),IF(OR(W35=1,V35&gt;0),AH35,IF(AA35=1,IF(AND(AE35+AQ35&gt;480,AE35&gt;=AQ35),AH35,0),IF(Z35=1,IF(AND(AR35+AE35&gt;480,AE35&gt;AR35),AH35,0),IF(AE35&gt;480,AH35,0))))))</f>
      </c>
      <c r="AK35" s="1">
        <f>MIN(AJ35,AM35)</f>
      </c>
      <c r="AL35" s="1">
        <f>IF(OR(AD35=0,AF35&lt;&gt;""),"",IF(AND(W35=0,V35=0,AA35=0,Z35=0,AE35&lt;=480),"nicht mehr als 8 Std.; ","")&amp;IF(AA35=1,IF(AJ35&gt;0,"über Mitternacht, zusammen "&amp;TEXT((AE35+AQ35)/1440,"[h]:mm")&amp;" Std.; ",IF(AE35+AQ35&gt;480,"über Mitternacht: Pauschale am Folgetag; ","über Mitternacht, zusammen nicht mehr als 8 Std.; ")),"")&amp;IF(Z35=1,IF(AJ35&gt;0,"über Mitternacht, zusammen "&amp;TEXT((AR35+AE35)/1440,"[h]:mm")&amp;" Std.; ",IF(AR35+AE35&gt;480,"über Mitternacht: Pauschale am Vortag; ","über Mitternacht, zusammen nicht mehr als 8 Std.; ")),"")&amp;IF(AND(W35=1,V35&gt;0,OR(T35=1,U35=1)),"zwischendurch zu Hause: An- und Abreisetag; ","")&amp;IF(AND(W35=1,V35=0,T35=1),"Beginn leer lassen: unterwegs seit dem Vortag; ","")&amp;IF(AND(W35=0,V35&gt;0,U35=1),"Ende leer lassen: Übernachtung; ","")&amp;IF(AND(AJ35&gt;0,AM35&gt;AJ35),"Kürzung auf die Pauschale begrenzt; ",""))</f>
      </c>
      <c r="AM35" s="1">
        <f>ROUND(AG35*(IF(H35&lt;&gt;"",0.2,0)+IF(I35&lt;&gt;"",0.4,0)+IF(J35&lt;&gt;"",0.4,0)),2)</f>
      </c>
      <c r="AN35" s="1">
        <f>'August'!$T$5</f>
      </c>
      <c r="AO35" s="1">
        <f>'August'!$U$5</f>
      </c>
      <c r="AP35" s="1">
        <f>'August'!$V$5</f>
      </c>
      <c r="AQ35" s="1">
        <f>'August'!$AE$5</f>
      </c>
      <c r="AR35" s="1">
        <f>AE34</f>
      </c>
      <c r="AS35" s="1">
        <f>X34</f>
      </c>
      <c r="AT35" s="1">
        <f>U34</f>
      </c>
      <c r="AU35" s="1">
        <f>V34</f>
      </c>
    </row>
    <row r="37" spans="1:21" x14ac:dyDescent="0.25">
      <c r="A37" s="23">
        <f>"Abrechnung Juli "&amp;Jahr</f>
      </c>
      <c r="B37" s="1"/>
      <c r="C37" s="1"/>
      <c r="D37" s="1"/>
      <c r="E37" s="1"/>
      <c r="F37" s="1"/>
      <c r="G37" s="1"/>
      <c r="H37" s="1"/>
      <c r="I37" s="1"/>
      <c r="J37" s="1"/>
      <c r="K37" s="23">
        <f>"Buchung ("&amp;Kontenrahmen&amp;IF(Vorsteuerabzug="nein",", ohne Vorsteuer","")&amp;")"</f>
      </c>
      <c r="L37" s="1"/>
      <c r="M37" s="1"/>
      <c r="N37" s="1"/>
      <c r="O37" s="1"/>
      <c r="P37" s="1"/>
      <c r="Q37" s="1"/>
      <c r="R37" s="1"/>
      <c r="S37" s="1"/>
      <c r="T37" s="1">
        <f>COUNTIF(AD5:AD35,1)</f>
      </c>
      <c r="U37" s="1">
        <f>SUM(K5:K35)</f>
      </c>
    </row>
    <row r="38" spans="1:19" x14ac:dyDescent="0.25">
      <c r="A38" s="6" t="s">
        <v>49</v>
      </c>
      <c r="B38" s="6"/>
      <c r="C38" s="6"/>
      <c r="D38" s="6"/>
      <c r="E38" s="6"/>
      <c r="F38" s="6"/>
      <c r="G38" s="24">
        <f>SUM(O5:O35)</f>
      </c>
      <c r="H38" s="1"/>
      <c r="I38" s="1"/>
      <c r="J38" s="1"/>
      <c r="K38" s="25">
        <f>KtoVerpflegung</f>
      </c>
      <c r="L38" s="1" t="s">
        <v>49</v>
      </c>
      <c r="M38" s="1"/>
      <c r="N38" s="1"/>
      <c r="O38" s="1"/>
      <c r="P38" s="1"/>
      <c r="Q38" s="1"/>
      <c r="R38" s="26">
        <f>S38</f>
      </c>
      <c r="S38" s="1">
        <f>G38</f>
      </c>
    </row>
    <row r="39" spans="1:19" x14ac:dyDescent="0.25">
      <c r="A39" s="6" t="s">
        <v>75</v>
      </c>
      <c r="B39" s="6"/>
      <c r="C39" s="6"/>
      <c r="D39" s="6"/>
      <c r="E39" s="6"/>
      <c r="F39" s="6"/>
      <c r="G39" s="24">
        <f>SUMIFS(Belege!$O$5:$O$304,Belege!$L$5:$L$304,7,Belege!$C$5:$C$304,"Übernachtung")+SUM(P5:P35)</f>
      </c>
      <c r="H39" s="1"/>
      <c r="I39" s="1"/>
      <c r="J39" s="1"/>
      <c r="K39" s="25">
        <f>KtoUebernachtung</f>
      </c>
      <c r="L39" s="1" t="s">
        <v>50</v>
      </c>
      <c r="M39" s="1"/>
      <c r="N39" s="1"/>
      <c r="O39" s="1"/>
      <c r="P39" s="1"/>
      <c r="Q39" s="1"/>
      <c r="R39" s="26">
        <f>S39</f>
      </c>
      <c r="S39" s="1">
        <f>IF(Vorsteuerabzug="nein",SUMIFS(Belege!$O$5:$O$304,Belege!$L$5:$L$304,7,Belege!$C$5:$C$304,"Übernachtung"),SUMIFS(Belege!$P$5:$P$304,Belege!$L$5:$L$304,7,Belege!$C$5:$C$304,"Übernachtung"))+SUM(P5:P35)</f>
      </c>
    </row>
    <row r="40" spans="1:19" x14ac:dyDescent="0.25">
      <c r="A40" s="6" t="s">
        <v>76</v>
      </c>
      <c r="B40" s="6"/>
      <c r="C40" s="6"/>
      <c r="D40" s="6"/>
      <c r="E40" s="6"/>
      <c r="F40" s="6"/>
      <c r="G40" s="24">
        <f>SUMIFS(Belege!$O$5:$O$304,Belege!$L$5:$L$304,7,Belege!$C$5:$C$304,"Fahrtkosten")</f>
      </c>
      <c r="H40" s="1"/>
      <c r="I40" s="1"/>
      <c r="J40" s="1"/>
      <c r="K40" s="25">
        <f>KtoFahrtkosten</f>
      </c>
      <c r="L40" s="1" t="s">
        <v>51</v>
      </c>
      <c r="M40" s="1"/>
      <c r="N40" s="1"/>
      <c r="O40" s="1"/>
      <c r="P40" s="1"/>
      <c r="Q40" s="1"/>
      <c r="R40" s="26">
        <f>S40</f>
      </c>
      <c r="S40" s="1">
        <f>IF(Vorsteuerabzug="nein",SUMIFS(Belege!$O$5:$O$304,Belege!$L$5:$L$304,7,Belege!$C$5:$C$304,"Fahrtkosten"),SUMIFS(Belege!$P$5:$P$304,Belege!$L$5:$L$304,7,Belege!$C$5:$C$304,"Fahrtkosten"))</f>
      </c>
    </row>
    <row r="41" spans="1:19" x14ac:dyDescent="0.25">
      <c r="A41" s="6">
        <f>"Kilometergeld ("&amp;SUM(K5:K35)&amp;" km zu "&amp;IF(KmSatz=0.2,"0,20","0,30")&amp;" €)"</f>
      </c>
      <c r="B41" s="6"/>
      <c r="C41" s="6"/>
      <c r="D41" s="6"/>
      <c r="E41" s="6"/>
      <c r="F41" s="6"/>
      <c r="G41" s="24">
        <f>SUM(Q5:Q35)</f>
      </c>
      <c r="H41" s="1"/>
      <c r="I41" s="1"/>
      <c r="J41" s="1"/>
      <c r="K41" s="25">
        <f>KtoKilometergeld</f>
      </c>
      <c r="L41" s="1" t="s">
        <v>52</v>
      </c>
      <c r="M41" s="1"/>
      <c r="N41" s="1"/>
      <c r="O41" s="1"/>
      <c r="P41" s="1"/>
      <c r="Q41" s="1"/>
      <c r="R41" s="26">
        <f>S41</f>
      </c>
      <c r="S41" s="1">
        <f>G41</f>
      </c>
    </row>
    <row r="42" spans="1:19" x14ac:dyDescent="0.25">
      <c r="A42" s="6" t="s">
        <v>77</v>
      </c>
      <c r="B42" s="6"/>
      <c r="C42" s="6"/>
      <c r="D42" s="6"/>
      <c r="E42" s="6"/>
      <c r="F42" s="6"/>
      <c r="G42" s="24">
        <f>SUMIFS(Belege!$O$5:$O$304,Belege!$L$5:$L$304,7,Belege!$C$5:$C$304,"Nebenkosten")</f>
      </c>
      <c r="H42" s="1"/>
      <c r="I42" s="1"/>
      <c r="J42" s="1"/>
      <c r="K42" s="25">
        <f>KtoNebenkosten</f>
      </c>
      <c r="L42" s="1" t="s">
        <v>53</v>
      </c>
      <c r="M42" s="1"/>
      <c r="N42" s="1"/>
      <c r="O42" s="1"/>
      <c r="P42" s="1"/>
      <c r="Q42" s="1"/>
      <c r="R42" s="26">
        <f>S42</f>
      </c>
      <c r="S42" s="1">
        <f>IF(Vorsteuerabzug="nein",SUMIFS(Belege!$O$5:$O$304,Belege!$L$5:$L$304,7,Belege!$C$5:$C$304,"Nebenkosten"),SUMIFS(Belege!$P$5:$P$304,Belege!$L$5:$L$304,7,Belege!$C$5:$C$304,"Nebenkosten"))</f>
      </c>
    </row>
    <row r="43" spans="1:19" x14ac:dyDescent="0.25">
      <c r="A43" s="11" t="s">
        <v>78</v>
      </c>
      <c r="B43" s="11"/>
      <c r="C43" s="11"/>
      <c r="D43" s="11"/>
      <c r="E43" s="11"/>
      <c r="F43" s="11"/>
      <c r="G43" s="27">
        <f>SUM(G38:G42)</f>
      </c>
      <c r="H43" s="1"/>
      <c r="I43" s="1"/>
      <c r="J43" s="1"/>
      <c r="K43" s="25">
        <f>KtoVSt7</f>
      </c>
      <c r="L43" s="1" t="s">
        <v>54</v>
      </c>
      <c r="M43" s="1"/>
      <c r="N43" s="1"/>
      <c r="O43" s="1"/>
      <c r="P43" s="1"/>
      <c r="Q43" s="1"/>
      <c r="R43" s="26">
        <f>IF(Vorsteuerabzug="nein","",S43)</f>
      </c>
      <c r="S43" s="1">
        <f>IF(Vorsteuerabzug="nein",0,SUMIFS(Belege!$Q$5:$Q$304,Belege!$L$5:$L$304,7,Belege!$M$5:$M$304,0.07))</f>
      </c>
    </row>
    <row r="44" spans="1:19" x14ac:dyDescent="0.25">
      <c r="A44" s="6" t="s">
        <v>79</v>
      </c>
      <c r="B44" s="6"/>
      <c r="C44" s="6"/>
      <c r="D44" s="6"/>
      <c r="E44" s="6"/>
      <c r="F44" s="6"/>
      <c r="G44" s="28"/>
      <c r="H44" s="1"/>
      <c r="I44" s="1"/>
      <c r="J44" s="1"/>
      <c r="K44" s="25">
        <f>KtoVSt19</f>
      </c>
      <c r="L44" s="1" t="s">
        <v>55</v>
      </c>
      <c r="M44" s="1"/>
      <c r="N44" s="1"/>
      <c r="O44" s="1"/>
      <c r="P44" s="1"/>
      <c r="Q44" s="1"/>
      <c r="R44" s="26">
        <f>IF(Vorsteuerabzug="nein","",S44)</f>
      </c>
      <c r="S44" s="1">
        <f>IF(Vorsteuerabzug="nein",0,SUMIFS(Belege!$Q$5:$Q$304,Belege!$L$5:$L$304,7,Belege!$M$5:$M$304,0.19))</f>
      </c>
    </row>
    <row r="45" spans="1:18" x14ac:dyDescent="0.25">
      <c r="A45" s="11" t="s">
        <v>80</v>
      </c>
      <c r="B45" s="11"/>
      <c r="C45" s="11"/>
      <c r="D45" s="11"/>
      <c r="E45" s="11"/>
      <c r="F45" s="11"/>
      <c r="G45" s="27">
        <f>G43-N(G44)</f>
      </c>
      <c r="H45" s="1"/>
      <c r="I45" s="1"/>
      <c r="J45" s="1"/>
      <c r="K45" s="11" t="s">
        <v>81</v>
      </c>
      <c r="L45" s="11"/>
      <c r="M45" s="11"/>
      <c r="N45" s="11"/>
      <c r="O45" s="11"/>
      <c r="P45" s="11"/>
      <c r="Q45" s="11"/>
      <c r="R45" s="27">
        <f>SUM(S38:S44)</f>
      </c>
    </row>
    <row r="46" spans="1:7" x14ac:dyDescent="0.25">
      <c r="A46" s="29" t="s">
        <v>82</v>
      </c>
      <c r="B46" s="29"/>
      <c r="C46" s="29"/>
      <c r="D46" s="29"/>
      <c r="E46" s="29"/>
      <c r="F46" s="29"/>
      <c r="G46" s="30">
        <f>SUMIFS(Belege!$E$5:$E$304,Belege!$L$5:$L$304,7,Belege!$N$5:$N$304,0)</f>
      </c>
    </row>
    <row r="49" spans="1:18" x14ac:dyDescent="0.25">
      <c r="A49" s="31"/>
      <c r="B49" s="31"/>
      <c r="C49" s="31"/>
      <c r="D49" s="31"/>
      <c r="E49" s="31"/>
      <c r="F49" s="31"/>
      <c r="G49" s="31"/>
      <c r="H49" s="31"/>
      <c r="I49" s="31"/>
      <c r="J49" s="31"/>
      <c r="K49" s="31"/>
      <c r="M49" s="31"/>
      <c r="N49" s="31"/>
      <c r="O49" s="31"/>
      <c r="P49" s="31"/>
      <c r="Q49" s="31"/>
      <c r="R49" s="31"/>
    </row>
    <row r="50" spans="1:13" x14ac:dyDescent="0.25">
      <c r="A50" s="32" t="s">
        <v>83</v>
      </c>
      <c r="B50" s="1"/>
      <c r="C50" s="1"/>
      <c r="D50" s="1"/>
      <c r="E50" s="1"/>
      <c r="F50" s="1"/>
      <c r="G50" s="32" t="s">
        <v>84</v>
      </c>
      <c r="H50" s="1"/>
      <c r="I50" s="1"/>
      <c r="J50" s="1"/>
      <c r="K50" s="1"/>
      <c r="L50" s="1"/>
      <c r="M50" s="32" t="s">
        <v>85</v>
      </c>
    </row>
  </sheetData>
  <sheetProtection sheet="1" formatCells="0" formatColumns="0" formatRows="0"/>
  <mergeCells count="17">
    <mergeCell ref="A38:F38"/>
    <mergeCell ref="L38:Q38"/>
    <mergeCell ref="A39:F39"/>
    <mergeCell ref="L39:Q39"/>
    <mergeCell ref="A40:F40"/>
    <mergeCell ref="L40:Q40"/>
    <mergeCell ref="A41:F41"/>
    <mergeCell ref="L41:Q41"/>
    <mergeCell ref="A42:F42"/>
    <mergeCell ref="L42:Q42"/>
    <mergeCell ref="A43:F43"/>
    <mergeCell ref="L43:Q43"/>
    <mergeCell ref="A44:F44"/>
    <mergeCell ref="L44:Q44"/>
    <mergeCell ref="A45:F45"/>
    <mergeCell ref="K45:Q45"/>
    <mergeCell ref="A46:F46"/>
  </mergeCells>
  <conditionalFormatting sqref="A5:Q35">
    <cfRule type="expression" dxfId="36" priority="1">
      <formula>$A5=""</formula>
    </cfRule>
    <cfRule type="expression" dxfId="37" priority="2">
      <formula>WEEKDAY($A5,2)&gt;5</formula>
    </cfRule>
  </conditionalFormatting>
  <conditionalFormatting sqref="R5:R35">
    <cfRule type="expression" dxfId="38" priority="3">
      <formula>$A5=""</formula>
    </cfRule>
    <cfRule type="expression" dxfId="39" priority="4">
      <formula>AND($AF5&lt;&gt;"",WEEKDAY($A5,2)&gt;5)</formula>
    </cfRule>
    <cfRule type="expression" dxfId="40" priority="5">
      <formula>$AF5&lt;&gt;""</formula>
    </cfRule>
    <cfRule type="expression" dxfId="41" priority="6">
      <formula>WEEKDAY($A5,2)&gt;5</formula>
    </cfRule>
  </conditionalFormatting>
  <dataValidations count="11">
    <dataValidation type="decimal" allowBlank="1" showErrorMessage="1" errorTitle="Uhrzeit" error="Bitte als Uhrzeit hh:mm eingeben, z. B. 7:30 oder 16:45." sqref="C10:D35">
      <formula1>0</formula1>
      <formula2>0.99999</formula2>
    </dataValidation>
    <dataValidation type="decimal" allowBlank="1" showErrorMessage="1" errorTitle="Uhrzeit" error="Bitte als Uhrzeit hh:mm eingeben, z. B. 7:30 oder 16:45." sqref="C5:D35">
      <formula1>0</formula1>
      <formula2>0.99999</formula2>
    </dataValidation>
    <dataValidation type="list" allowBlank="1" showErrorMessage="1" errorTitle="Übernachtung" error="Bitte aus der Liste wählen." sqref="E10:E35">
      <formula1>"ja,Pauschale"</formula1>
    </dataValidation>
    <dataValidation type="list" allowBlank="1" showErrorMessage="1" errorTitle="Übernachtung" error="Bitte aus der Liste wählen." sqref="E5:E35">
      <formula1>"ja,Pauschale"</formula1>
    </dataValidation>
    <dataValidation type="list" allowBlank="1" showErrorMessage="1" errorTitle="Land / Ort" error="Bitte aus der Liste wählen; nicht aufgeführte Länder: Luxemburg." sqref="F10:F35">
      <formula1>Pauschalen!$A$4:$A$218</formula1>
    </dataValidation>
    <dataValidation type="list" allowBlank="1" showErrorMessage="1" errorTitle="Land / Ort" error="Bitte aus der Liste wählen; nicht aufgeführte Länder: Luxemburg." sqref="F5:F35">
      <formula1>Pauschalen!$A$4:$A$218</formula1>
    </dataValidation>
    <dataValidation type="decimal" allowBlank="1" showErrorMessage="1" errorTitle="Vorschuss" error="Bitte einen Betrag in Euro eintragen." sqref="G44">
      <formula1>0</formula1>
      <formula2>99999</formula2>
    </dataValidation>
    <dataValidation type="list" allowBlank="1" showErrorMessage="1" errorTitle="Mahlzeit" error="Bitte aus der Liste wählen." sqref="H10:J35">
      <formula1>"x"</formula1>
    </dataValidation>
    <dataValidation type="list" allowBlank="1" showErrorMessage="1" errorTitle="Mahlzeit" error="Bitte aus der Liste wählen." sqref="H5:J35">
      <formula1>"x"</formula1>
    </dataValidation>
    <dataValidation type="whole" allowBlank="1" showErrorMessage="1" errorTitle="Kilometer" error="Bitte die gefahrenen Kilometer als ganze Zahl eintragen." sqref="K10:K35">
      <formula1>0</formula1>
      <formula2>5000</formula2>
    </dataValidation>
    <dataValidation type="whole" allowBlank="1" showErrorMessage="1" errorTitle="Kilometer" error="Bitte die gefahrenen Kilometer als ganze Zahl eintragen." sqref="K5:K35">
      <formula1>0</formula1>
      <formula2>5000</formula2>
    </dataValidation>
  </dataValidations>
  <pageMargins left="0.4" right="0.4" top="0.5" bottom="0.5" header="0.2" footer="0.2"/>
  <pageSetup paperSize="9" orientation="landscape"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0"/>
  <sheetViews>
    <sheetView workbookViewId="0" showGridLines="0">
      <pane xSplit="2" ySplit="4" topLeftCell="C5" activePane="bottomRight" state="frozen"/>
      <selection pane="bottomRight"/>
    </sheetView>
  </sheetViews>
  <sheetFormatPr defaultRowHeight="15" outlineLevelRow="0" outlineLevelCol="0" x14ac:dyDescent="55"/>
  <cols>
    <col min="1" max="1" width="7" customWidth="1"/>
    <col min="2" max="2" width="4" customWidth="1"/>
    <col min="3" max="4" width="6.5" customWidth="1"/>
    <col min="5" max="5" width="10" customWidth="1"/>
    <col min="6" max="6" width="18" customWidth="1"/>
    <col min="7" max="7" width="24" customWidth="1"/>
    <col min="8" max="10" width="5.5" customWidth="1"/>
    <col min="11" max="11" width="8" customWidth="1"/>
    <col min="14" max="14" width="8.5" customWidth="1"/>
    <col min="15" max="15" width="10.5" customWidth="1"/>
    <col min="16" max="16" width="12" customWidth="1"/>
    <col min="17" max="17" width="10" customWidth="1"/>
    <col min="18" max="18" width="36" customWidth="1"/>
    <col min="19" max="19" width="9" hidden="1" customWidth="1"/>
    <col min="20" max="20" width="9" hidden="1" customWidth="1"/>
    <col min="21" max="21" width="9" hidden="1" customWidth="1"/>
    <col min="22" max="22" width="9" hidden="1" customWidth="1"/>
    <col min="23" max="23" width="9" hidden="1" customWidth="1"/>
    <col min="24" max="24" width="9" hidden="1" customWidth="1"/>
    <col min="25" max="25" width="9" hidden="1" customWidth="1"/>
    <col min="26" max="26" width="9" hidden="1" customWidth="1"/>
    <col min="27" max="27" width="9" hidden="1" customWidth="1"/>
    <col min="28" max="28" width="9" hidden="1" customWidth="1"/>
    <col min="29" max="29" width="9" hidden="1" customWidth="1"/>
    <col min="30" max="30" width="9" hidden="1" customWidth="1"/>
    <col min="31" max="31" width="9" hidden="1" customWidth="1"/>
    <col min="32" max="32" width="9" hidden="1" customWidth="1"/>
    <col min="33" max="33" width="9" hidden="1" customWidth="1"/>
    <col min="34" max="34" width="9" hidden="1" customWidth="1"/>
    <col min="35" max="35" width="9" hidden="1" customWidth="1"/>
    <col min="36" max="36" width="9" hidden="1" customWidth="1"/>
    <col min="37" max="37" width="9" hidden="1" customWidth="1"/>
    <col min="38" max="38" width="9" hidden="1" customWidth="1"/>
    <col min="39" max="39" width="9" hidden="1" customWidth="1"/>
    <col min="40" max="40" width="9" hidden="1" customWidth="1"/>
    <col min="41" max="41" width="9" hidden="1" customWidth="1"/>
    <col min="42" max="42" width="9" hidden="1" customWidth="1"/>
    <col min="43" max="43" width="9" hidden="1" customWidth="1"/>
    <col min="44" max="44" width="9" hidden="1" customWidth="1"/>
    <col min="45" max="45" width="9" hidden="1" customWidth="1"/>
    <col min="46" max="46" width="9" hidden="1" customWidth="1"/>
    <col min="47" max="47" width="9" hidden="1" customWidth="1"/>
  </cols>
  <sheetData>
    <row r="1" spans="1:1" x14ac:dyDescent="0.25">
      <c r="A1" s="5">
        <f>"Reisekostenabrechnung August "&amp;Jahr</f>
      </c>
    </row>
    <row r="2" spans="1:1" x14ac:dyDescent="0.25">
      <c r="A2" s="6">
        <f>"Name: "&amp;IF(MitarbeiterName="","…",MitarbeiterName)&amp;IF(Personalnummer="",""," · Personalnr. "&amp;Personalnummer)&amp;IF(Kostenstelle="",""," · "&amp;Kostenstelle)&amp;IF(Firma="",""," · "&amp;Firma)</f>
      </c>
    </row>
    <row r="3" spans="1:1" x14ac:dyDescent="0.25">
      <c r="A3" s="16">
        <f>IF(Jahr&lt;&gt;2026,"Die Pauschalen in dieser Datei gelten für 2026. ","")&amp;IF(MitarbeiterName="","Bitte in den Einstellungen den Namen eintragen.","")</f>
      </c>
    </row>
    <row r="4" ht="40" customHeight="1" spans="1:18" x14ac:dyDescent="0.25">
      <c r="A4" s="12" t="s">
        <v>57</v>
      </c>
      <c r="B4" s="12" t="s">
        <v>58</v>
      </c>
      <c r="C4" s="12" t="s">
        <v>59</v>
      </c>
      <c r="D4" s="12" t="s">
        <v>60</v>
      </c>
      <c r="E4" s="12" t="s">
        <v>61</v>
      </c>
      <c r="F4" s="12" t="s">
        <v>62</v>
      </c>
      <c r="G4" s="12" t="s">
        <v>63</v>
      </c>
      <c r="H4" s="12" t="s">
        <v>64</v>
      </c>
      <c r="I4" s="12" t="s">
        <v>65</v>
      </c>
      <c r="J4" s="12" t="s">
        <v>66</v>
      </c>
      <c r="K4" s="12" t="s">
        <v>67</v>
      </c>
      <c r="L4" s="12" t="s">
        <v>68</v>
      </c>
      <c r="M4" s="12" t="s">
        <v>69</v>
      </c>
      <c r="N4" s="12" t="s">
        <v>70</v>
      </c>
      <c r="O4" s="12" t="s">
        <v>71</v>
      </c>
      <c r="P4" s="12" t="s">
        <v>72</v>
      </c>
      <c r="Q4" s="12" t="s">
        <v>73</v>
      </c>
      <c r="R4" s="12" t="s">
        <v>74</v>
      </c>
    </row>
    <row r="5" spans="1:47" x14ac:dyDescent="0.25">
      <c r="A5" s="17">
        <f>IF(MONTH(DATE(Jahr,8,1))=8,DATE(Jahr,8,1),"")</f>
      </c>
      <c r="B5" s="13">
        <f>IF(A5="","",CHOOSE(WEEKDAY(A5,2),"Mo","Di","Mi","Do","Fr","Sa","So"))</f>
      </c>
      <c r="C5" s="18"/>
      <c r="D5" s="18"/>
      <c r="E5" s="7"/>
      <c r="F5" s="7"/>
      <c r="G5" s="7"/>
      <c r="H5" s="19"/>
      <c r="I5" s="19"/>
      <c r="J5" s="19"/>
      <c r="K5" s="9"/>
      <c r="L5" s="20">
        <f>IF(OR(AD5=0,AF5&lt;&gt;"",AND(W5=1,V5&gt;0,OR(T5=1,U5=1))),"",AE5/1440)</f>
      </c>
      <c r="M5" s="21">
        <f>IF(OR(AD5=0,AF5&lt;&gt;""),"",AJ5)</f>
      </c>
      <c r="N5" s="21">
        <f>IF(AK5=0,"",AK5)</f>
      </c>
      <c r="O5" s="21">
        <f>IF(OR(AD5=0,AF5&lt;&gt;""),"",AJ5-AK5)</f>
      </c>
      <c r="P5" s="21">
        <f>IF(AND(AD5=1,AF5="",V5=2),AI5,"")</f>
      </c>
      <c r="Q5" s="21">
        <f>IF(OR($A5="",N(K5)=0),"",ROUND(K5*KmSatz,2))</f>
      </c>
      <c r="R5" s="22">
        <f>IF(AF5&amp;AL5="","",LEFT(AF5&amp;AL5,LEN(AF5&amp;AL5)-2))</f>
      </c>
      <c r="S5" s="1"/>
      <c r="T5" s="1">
        <f>IF(AND($A5&lt;&gt;"",ISNUMBER(C5)),1,0)</f>
      </c>
      <c r="U5" s="1">
        <f>IF(AND($A5&lt;&gt;"",ISNUMBER(D5)),1,0)</f>
      </c>
      <c r="V5" s="1">
        <f>IF($A5="",0,IF(E5="ja",1,IF(E5="Pauschale",2,0)))</f>
      </c>
      <c r="W5" s="1">
        <f>IF($A5="",0,IF(AU5&gt;0,1,0))</f>
      </c>
      <c r="X5" s="1">
        <f>IF(AND(T5=1,W5=0),1,0)</f>
      </c>
      <c r="Y5" s="1">
        <f>IF(AND(AS5=1,AT5=0,AU5=0),1,0)</f>
      </c>
      <c r="Z5" s="1">
        <f>IF(AND(Y5=1,T5=0,U5=1,V5=0),1,0)</f>
      </c>
      <c r="AA5" s="1">
        <f>IF(AND(X5=1,U5=0,V5=0,AN5=0,AO5=1,AP5=0),1,0)</f>
      </c>
      <c r="AB5" s="1">
        <f>IF(OR(W5=1,Z5=1),0,IF(T5=1,C5,0))</f>
      </c>
      <c r="AC5" s="1">
        <f>IF(OR(V5&gt;0,AA5=1),1,IF(U5=1,D5,1))</f>
      </c>
      <c r="AD5" s="1">
        <f>IF($A5="",0,IF(OR(T5=1,U5=1,V5&gt;0,W5=1),1,0))</f>
      </c>
      <c r="AE5" s="1">
        <f>IF(AD5=0,0,ROUND((AC5-AB5)*1440,0))</f>
      </c>
      <c r="AF5" s="1">
        <f>IF(AD5=0,"",IF(AND(F5&lt;&gt;"",ISNA(MATCH(F5,PauschLand,0))),"Land nicht in der Liste; ","")&amp;IF(AND(T5=0,W5=0,Z5=0),"Beginn fehlt; ","")&amp;IF(AND(V5=0,U5=0,AA5=0),"Ende fehlt; ","")&amp;IF(AND(X5=1,U5=1,V5=0,N(D5)&lt;N(C5)),"Ende vor Beginn (über Mitternacht: Ende in die Zeile des Folgetags); ",""))</f>
      </c>
      <c r="AG5" s="1">
        <f>IF(AD5=0,0,IFERROR(VLOOKUP(IF(F5="","Deutschland",F5),PauschTab,2,FALSE),0))</f>
      </c>
      <c r="AH5" s="1">
        <f>IF(AD5=0,0,IFERROR(VLOOKUP(IF(F5="","Deutschland",F5),PauschTab,3,FALSE),0))</f>
      </c>
      <c r="AI5" s="1">
        <f>IF(AD5=0,0,IFERROR(VLOOKUP(IF(F5="","Deutschland",F5),PauschTab,4,FALSE),0))</f>
      </c>
      <c r="AJ5" s="1">
        <f>IF(OR(AD5=0,AF5&lt;&gt;""),0,IF(AND(W5=1,V5&gt;0),IF(OR(T5=1,U5=1),AH5,AG5),IF(OR(W5=1,V5&gt;0),AH5,IF(AA5=1,IF(AND(AE5+AQ5&gt;480,AE5&gt;=AQ5),AH5,0),IF(Z5=1,IF(AND(AR5+AE5&gt;480,AE5&gt;AR5),AH5,0),IF(AE5&gt;480,AH5,0))))))</f>
      </c>
      <c r="AK5" s="1">
        <f>MIN(AJ5,AM5)</f>
      </c>
      <c r="AL5" s="1">
        <f>IF(OR(AD5=0,AF5&lt;&gt;""),"",IF(AND(W5=0,V5=0,AA5=0,Z5=0,AE5&lt;=480),"nicht mehr als 8 Std.; ","")&amp;IF(AA5=1,IF(AJ5&gt;0,"über Mitternacht, zusammen "&amp;TEXT((AE5+AQ5)/1440,"[h]:mm")&amp;" Std.; ",IF(AE5+AQ5&gt;480,"über Mitternacht: Pauschale am Folgetag; ","über Mitternacht, zusammen nicht mehr als 8 Std.; ")),"")&amp;IF(Z5=1,IF(AJ5&gt;0,"über Mitternacht, zusammen "&amp;TEXT((AR5+AE5)/1440,"[h]:mm")&amp;" Std.; ",IF(AR5+AE5&gt;480,"über Mitternacht: Pauschale am Vortag; ","über Mitternacht, zusammen nicht mehr als 8 Std.; ")),"")&amp;IF(AND(W5=1,V5&gt;0,OR(T5=1,U5=1)),"zwischendurch zu Hause: An- und Abreisetag; ","")&amp;IF(AND(W5=1,V5=0,T5=1),"Beginn leer lassen: unterwegs seit dem Vortag; ","")&amp;IF(AND(W5=0,V5&gt;0,U5=1),"Ende leer lassen: Übernachtung; ","")&amp;IF(AND(AJ5&gt;0,AM5&gt;AJ5),"Kürzung auf die Pauschale begrenzt; ",""))</f>
      </c>
      <c r="AM5" s="1">
        <f>ROUND(AG5*(IF(H5&lt;&gt;"",0.2,0)+IF(I5&lt;&gt;"",0.4,0)+IF(J5&lt;&gt;"",0.4,0)),2)</f>
      </c>
      <c r="AN5" s="1">
        <f>IF($A6="",'September'!$T$5,T6)</f>
      </c>
      <c r="AO5" s="1">
        <f>IF($A6="",'September'!$U$5,U6)</f>
      </c>
      <c r="AP5" s="1">
        <f>IF($A6="",'September'!$V$5,V6)</f>
      </c>
      <c r="AQ5" s="1">
        <f>IF($A6="",'September'!$AE$5,AE6)</f>
      </c>
      <c r="AR5" s="1">
        <f>INDEX('Juli'!$AE$5:$AE$35,DAY(DATE(Jahr,8,0)))</f>
      </c>
      <c r="AS5" s="1">
        <f>INDEX('Juli'!$X$5:$X$35,DAY(DATE(Jahr,8,0)))</f>
      </c>
      <c r="AT5" s="1">
        <f>INDEX('Juli'!$U$5:$U$35,DAY(DATE(Jahr,8,0)))</f>
      </c>
      <c r="AU5" s="1">
        <f>INDEX('Juli'!$V$5:$V$35,DAY(DATE(Jahr,8,0)))</f>
      </c>
    </row>
    <row r="6" spans="1:47" x14ac:dyDescent="0.25">
      <c r="A6" s="17">
        <f>IF(MONTH(DATE(Jahr,8,2))=8,DATE(Jahr,8,2),"")</f>
      </c>
      <c r="B6" s="13">
        <f>IF(A6="","",CHOOSE(WEEKDAY(A6,2),"Mo","Di","Mi","Do","Fr","Sa","So"))</f>
      </c>
      <c r="C6" s="18"/>
      <c r="D6" s="18"/>
      <c r="E6" s="7"/>
      <c r="F6" s="7"/>
      <c r="G6" s="7"/>
      <c r="H6" s="19"/>
      <c r="I6" s="19"/>
      <c r="J6" s="19"/>
      <c r="K6" s="9"/>
      <c r="L6" s="20">
        <f>IF(OR(AD6=0,AF6&lt;&gt;"",AND(W6=1,V6&gt;0,OR(T6=1,U6=1))),"",AE6/1440)</f>
      </c>
      <c r="M6" s="21">
        <f>IF(OR(AD6=0,AF6&lt;&gt;""),"",AJ6)</f>
      </c>
      <c r="N6" s="21">
        <f>IF(AK6=0,"",AK6)</f>
      </c>
      <c r="O6" s="21">
        <f>IF(OR(AD6=0,AF6&lt;&gt;""),"",AJ6-AK6)</f>
      </c>
      <c r="P6" s="21">
        <f>IF(AND(AD6=1,AF6="",V6=2),AI6,"")</f>
      </c>
      <c r="Q6" s="21">
        <f>IF(OR($A6="",N(K6)=0),"",ROUND(K6*KmSatz,2))</f>
      </c>
      <c r="R6" s="22">
        <f>IF(AF6&amp;AL6="","",LEFT(AF6&amp;AL6,LEN(AF6&amp;AL6)-2))</f>
      </c>
      <c r="S6" s="1"/>
      <c r="T6" s="1">
        <f>IF(AND($A6&lt;&gt;"",ISNUMBER(C6)),1,0)</f>
      </c>
      <c r="U6" s="1">
        <f>IF(AND($A6&lt;&gt;"",ISNUMBER(D6)),1,0)</f>
      </c>
      <c r="V6" s="1">
        <f>IF($A6="",0,IF(E6="ja",1,IF(E6="Pauschale",2,0)))</f>
      </c>
      <c r="W6" s="1">
        <f>IF($A6="",0,IF(AU6&gt;0,1,0))</f>
      </c>
      <c r="X6" s="1">
        <f>IF(AND(T6=1,W6=0),1,0)</f>
      </c>
      <c r="Y6" s="1">
        <f>IF(AND(AS6=1,AT6=0,AU6=0),1,0)</f>
      </c>
      <c r="Z6" s="1">
        <f>IF(AND(Y6=1,T6=0,U6=1,V6=0),1,0)</f>
      </c>
      <c r="AA6" s="1">
        <f>IF(AND(X6=1,U6=0,V6=0,AN6=0,AO6=1,AP6=0),1,0)</f>
      </c>
      <c r="AB6" s="1">
        <f>IF(OR(W6=1,Z6=1),0,IF(T6=1,C6,0))</f>
      </c>
      <c r="AC6" s="1">
        <f>IF(OR(V6&gt;0,AA6=1),1,IF(U6=1,D6,1))</f>
      </c>
      <c r="AD6" s="1">
        <f>IF($A6="",0,IF(OR(T6=1,U6=1,V6&gt;0,W6=1),1,0))</f>
      </c>
      <c r="AE6" s="1">
        <f>IF(AD6=0,0,ROUND((AC6-AB6)*1440,0))</f>
      </c>
      <c r="AF6" s="1">
        <f>IF(AD6=0,"",IF(AND(F6&lt;&gt;"",ISNA(MATCH(F6,PauschLand,0))),"Land nicht in der Liste; ","")&amp;IF(AND(T6=0,W6=0,Z6=0),"Beginn fehlt; ","")&amp;IF(AND(V6=0,U6=0,AA6=0),"Ende fehlt; ","")&amp;IF(AND(X6=1,U6=1,V6=0,N(D6)&lt;N(C6)),"Ende vor Beginn (über Mitternacht: Ende in die Zeile des Folgetags); ",""))</f>
      </c>
      <c r="AG6" s="1">
        <f>IF(AD6=0,0,IFERROR(VLOOKUP(IF(F6="","Deutschland",F6),PauschTab,2,FALSE),0))</f>
      </c>
      <c r="AH6" s="1">
        <f>IF(AD6=0,0,IFERROR(VLOOKUP(IF(F6="","Deutschland",F6),PauschTab,3,FALSE),0))</f>
      </c>
      <c r="AI6" s="1">
        <f>IF(AD6=0,0,IFERROR(VLOOKUP(IF(F6="","Deutschland",F6),PauschTab,4,FALSE),0))</f>
      </c>
      <c r="AJ6" s="1">
        <f>IF(OR(AD6=0,AF6&lt;&gt;""),0,IF(AND(W6=1,V6&gt;0),IF(OR(T6=1,U6=1),AH6,AG6),IF(OR(W6=1,V6&gt;0),AH6,IF(AA6=1,IF(AND(AE6+AQ6&gt;480,AE6&gt;=AQ6),AH6,0),IF(Z6=1,IF(AND(AR6+AE6&gt;480,AE6&gt;AR6),AH6,0),IF(AE6&gt;480,AH6,0))))))</f>
      </c>
      <c r="AK6" s="1">
        <f>MIN(AJ6,AM6)</f>
      </c>
      <c r="AL6" s="1">
        <f>IF(OR(AD6=0,AF6&lt;&gt;""),"",IF(AND(W6=0,V6=0,AA6=0,Z6=0,AE6&lt;=480),"nicht mehr als 8 Std.; ","")&amp;IF(AA6=1,IF(AJ6&gt;0,"über Mitternacht, zusammen "&amp;TEXT((AE6+AQ6)/1440,"[h]:mm")&amp;" Std.; ",IF(AE6+AQ6&gt;480,"über Mitternacht: Pauschale am Folgetag; ","über Mitternacht, zusammen nicht mehr als 8 Std.; ")),"")&amp;IF(Z6=1,IF(AJ6&gt;0,"über Mitternacht, zusammen "&amp;TEXT((AR6+AE6)/1440,"[h]:mm")&amp;" Std.; ",IF(AR6+AE6&gt;480,"über Mitternacht: Pauschale am Vortag; ","über Mitternacht, zusammen nicht mehr als 8 Std.; ")),"")&amp;IF(AND(W6=1,V6&gt;0,OR(T6=1,U6=1)),"zwischendurch zu Hause: An- und Abreisetag; ","")&amp;IF(AND(W6=1,V6=0,T6=1),"Beginn leer lassen: unterwegs seit dem Vortag; ","")&amp;IF(AND(W6=0,V6&gt;0,U6=1),"Ende leer lassen: Übernachtung; ","")&amp;IF(AND(AJ6&gt;0,AM6&gt;AJ6),"Kürzung auf die Pauschale begrenzt; ",""))</f>
      </c>
      <c r="AM6" s="1">
        <f>ROUND(AG6*(IF(H6&lt;&gt;"",0.2,0)+IF(I6&lt;&gt;"",0.4,0)+IF(J6&lt;&gt;"",0.4,0)),2)</f>
      </c>
      <c r="AN6" s="1">
        <f>IF($A7="",'September'!$T$5,T7)</f>
      </c>
      <c r="AO6" s="1">
        <f>IF($A7="",'September'!$U$5,U7)</f>
      </c>
      <c r="AP6" s="1">
        <f>IF($A7="",'September'!$V$5,V7)</f>
      </c>
      <c r="AQ6" s="1">
        <f>IF($A7="",'September'!$AE$5,AE7)</f>
      </c>
      <c r="AR6" s="1">
        <f>AE5</f>
      </c>
      <c r="AS6" s="1">
        <f>X5</f>
      </c>
      <c r="AT6" s="1">
        <f>U5</f>
      </c>
      <c r="AU6" s="1">
        <f>V5</f>
      </c>
    </row>
    <row r="7" spans="1:47" x14ac:dyDescent="0.25">
      <c r="A7" s="17">
        <f>IF(MONTH(DATE(Jahr,8,3))=8,DATE(Jahr,8,3),"")</f>
      </c>
      <c r="B7" s="13">
        <f>IF(A7="","",CHOOSE(WEEKDAY(A7,2),"Mo","Di","Mi","Do","Fr","Sa","So"))</f>
      </c>
      <c r="C7" s="18"/>
      <c r="D7" s="18"/>
      <c r="E7" s="7"/>
      <c r="F7" s="7"/>
      <c r="G7" s="7"/>
      <c r="H7" s="19"/>
      <c r="I7" s="19"/>
      <c r="J7" s="19"/>
      <c r="K7" s="9"/>
      <c r="L7" s="20">
        <f>IF(OR(AD7=0,AF7&lt;&gt;"",AND(W7=1,V7&gt;0,OR(T7=1,U7=1))),"",AE7/1440)</f>
      </c>
      <c r="M7" s="21">
        <f>IF(OR(AD7=0,AF7&lt;&gt;""),"",AJ7)</f>
      </c>
      <c r="N7" s="21">
        <f>IF(AK7=0,"",AK7)</f>
      </c>
      <c r="O7" s="21">
        <f>IF(OR(AD7=0,AF7&lt;&gt;""),"",AJ7-AK7)</f>
      </c>
      <c r="P7" s="21">
        <f>IF(AND(AD7=1,AF7="",V7=2),AI7,"")</f>
      </c>
      <c r="Q7" s="21">
        <f>IF(OR($A7="",N(K7)=0),"",ROUND(K7*KmSatz,2))</f>
      </c>
      <c r="R7" s="22">
        <f>IF(AF7&amp;AL7="","",LEFT(AF7&amp;AL7,LEN(AF7&amp;AL7)-2))</f>
      </c>
      <c r="S7" s="1"/>
      <c r="T7" s="1">
        <f>IF(AND($A7&lt;&gt;"",ISNUMBER(C7)),1,0)</f>
      </c>
      <c r="U7" s="1">
        <f>IF(AND($A7&lt;&gt;"",ISNUMBER(D7)),1,0)</f>
      </c>
      <c r="V7" s="1">
        <f>IF($A7="",0,IF(E7="ja",1,IF(E7="Pauschale",2,0)))</f>
      </c>
      <c r="W7" s="1">
        <f>IF($A7="",0,IF(AU7&gt;0,1,0))</f>
      </c>
      <c r="X7" s="1">
        <f>IF(AND(T7=1,W7=0),1,0)</f>
      </c>
      <c r="Y7" s="1">
        <f>IF(AND(AS7=1,AT7=0,AU7=0),1,0)</f>
      </c>
      <c r="Z7" s="1">
        <f>IF(AND(Y7=1,T7=0,U7=1,V7=0),1,0)</f>
      </c>
      <c r="AA7" s="1">
        <f>IF(AND(X7=1,U7=0,V7=0,AN7=0,AO7=1,AP7=0),1,0)</f>
      </c>
      <c r="AB7" s="1">
        <f>IF(OR(W7=1,Z7=1),0,IF(T7=1,C7,0))</f>
      </c>
      <c r="AC7" s="1">
        <f>IF(OR(V7&gt;0,AA7=1),1,IF(U7=1,D7,1))</f>
      </c>
      <c r="AD7" s="1">
        <f>IF($A7="",0,IF(OR(T7=1,U7=1,V7&gt;0,W7=1),1,0))</f>
      </c>
      <c r="AE7" s="1">
        <f>IF(AD7=0,0,ROUND((AC7-AB7)*1440,0))</f>
      </c>
      <c r="AF7" s="1">
        <f>IF(AD7=0,"",IF(AND(F7&lt;&gt;"",ISNA(MATCH(F7,PauschLand,0))),"Land nicht in der Liste; ","")&amp;IF(AND(T7=0,W7=0,Z7=0),"Beginn fehlt; ","")&amp;IF(AND(V7=0,U7=0,AA7=0),"Ende fehlt; ","")&amp;IF(AND(X7=1,U7=1,V7=0,N(D7)&lt;N(C7)),"Ende vor Beginn (über Mitternacht: Ende in die Zeile des Folgetags); ",""))</f>
      </c>
      <c r="AG7" s="1">
        <f>IF(AD7=0,0,IFERROR(VLOOKUP(IF(F7="","Deutschland",F7),PauschTab,2,FALSE),0))</f>
      </c>
      <c r="AH7" s="1">
        <f>IF(AD7=0,0,IFERROR(VLOOKUP(IF(F7="","Deutschland",F7),PauschTab,3,FALSE),0))</f>
      </c>
      <c r="AI7" s="1">
        <f>IF(AD7=0,0,IFERROR(VLOOKUP(IF(F7="","Deutschland",F7),PauschTab,4,FALSE),0))</f>
      </c>
      <c r="AJ7" s="1">
        <f>IF(OR(AD7=0,AF7&lt;&gt;""),0,IF(AND(W7=1,V7&gt;0),IF(OR(T7=1,U7=1),AH7,AG7),IF(OR(W7=1,V7&gt;0),AH7,IF(AA7=1,IF(AND(AE7+AQ7&gt;480,AE7&gt;=AQ7),AH7,0),IF(Z7=1,IF(AND(AR7+AE7&gt;480,AE7&gt;AR7),AH7,0),IF(AE7&gt;480,AH7,0))))))</f>
      </c>
      <c r="AK7" s="1">
        <f>MIN(AJ7,AM7)</f>
      </c>
      <c r="AL7" s="1">
        <f>IF(OR(AD7=0,AF7&lt;&gt;""),"",IF(AND(W7=0,V7=0,AA7=0,Z7=0,AE7&lt;=480),"nicht mehr als 8 Std.; ","")&amp;IF(AA7=1,IF(AJ7&gt;0,"über Mitternacht, zusammen "&amp;TEXT((AE7+AQ7)/1440,"[h]:mm")&amp;" Std.; ",IF(AE7+AQ7&gt;480,"über Mitternacht: Pauschale am Folgetag; ","über Mitternacht, zusammen nicht mehr als 8 Std.; ")),"")&amp;IF(Z7=1,IF(AJ7&gt;0,"über Mitternacht, zusammen "&amp;TEXT((AR7+AE7)/1440,"[h]:mm")&amp;" Std.; ",IF(AR7+AE7&gt;480,"über Mitternacht: Pauschale am Vortag; ","über Mitternacht, zusammen nicht mehr als 8 Std.; ")),"")&amp;IF(AND(W7=1,V7&gt;0,OR(T7=1,U7=1)),"zwischendurch zu Hause: An- und Abreisetag; ","")&amp;IF(AND(W7=1,V7=0,T7=1),"Beginn leer lassen: unterwegs seit dem Vortag; ","")&amp;IF(AND(W7=0,V7&gt;0,U7=1),"Ende leer lassen: Übernachtung; ","")&amp;IF(AND(AJ7&gt;0,AM7&gt;AJ7),"Kürzung auf die Pauschale begrenzt; ",""))</f>
      </c>
      <c r="AM7" s="1">
        <f>ROUND(AG7*(IF(H7&lt;&gt;"",0.2,0)+IF(I7&lt;&gt;"",0.4,0)+IF(J7&lt;&gt;"",0.4,0)),2)</f>
      </c>
      <c r="AN7" s="1">
        <f>IF($A8="",'September'!$T$5,T8)</f>
      </c>
      <c r="AO7" s="1">
        <f>IF($A8="",'September'!$U$5,U8)</f>
      </c>
      <c r="AP7" s="1">
        <f>IF($A8="",'September'!$V$5,V8)</f>
      </c>
      <c r="AQ7" s="1">
        <f>IF($A8="",'September'!$AE$5,AE8)</f>
      </c>
      <c r="AR7" s="1">
        <f>AE6</f>
      </c>
      <c r="AS7" s="1">
        <f>X6</f>
      </c>
      <c r="AT7" s="1">
        <f>U6</f>
      </c>
      <c r="AU7" s="1">
        <f>V6</f>
      </c>
    </row>
    <row r="8" spans="1:47" x14ac:dyDescent="0.25">
      <c r="A8" s="17">
        <f>IF(MONTH(DATE(Jahr,8,4))=8,DATE(Jahr,8,4),"")</f>
      </c>
      <c r="B8" s="13">
        <f>IF(A8="","",CHOOSE(WEEKDAY(A8,2),"Mo","Di","Mi","Do","Fr","Sa","So"))</f>
      </c>
      <c r="C8" s="18"/>
      <c r="D8" s="18"/>
      <c r="E8" s="7"/>
      <c r="F8" s="7"/>
      <c r="G8" s="7"/>
      <c r="H8" s="19"/>
      <c r="I8" s="19"/>
      <c r="J8" s="19"/>
      <c r="K8" s="9"/>
      <c r="L8" s="20">
        <f>IF(OR(AD8=0,AF8&lt;&gt;"",AND(W8=1,V8&gt;0,OR(T8=1,U8=1))),"",AE8/1440)</f>
      </c>
      <c r="M8" s="21">
        <f>IF(OR(AD8=0,AF8&lt;&gt;""),"",AJ8)</f>
      </c>
      <c r="N8" s="21">
        <f>IF(AK8=0,"",AK8)</f>
      </c>
      <c r="O8" s="21">
        <f>IF(OR(AD8=0,AF8&lt;&gt;""),"",AJ8-AK8)</f>
      </c>
      <c r="P8" s="21">
        <f>IF(AND(AD8=1,AF8="",V8=2),AI8,"")</f>
      </c>
      <c r="Q8" s="21">
        <f>IF(OR($A8="",N(K8)=0),"",ROUND(K8*KmSatz,2))</f>
      </c>
      <c r="R8" s="22">
        <f>IF(AF8&amp;AL8="","",LEFT(AF8&amp;AL8,LEN(AF8&amp;AL8)-2))</f>
      </c>
      <c r="S8" s="1"/>
      <c r="T8" s="1">
        <f>IF(AND($A8&lt;&gt;"",ISNUMBER(C8)),1,0)</f>
      </c>
      <c r="U8" s="1">
        <f>IF(AND($A8&lt;&gt;"",ISNUMBER(D8)),1,0)</f>
      </c>
      <c r="V8" s="1">
        <f>IF($A8="",0,IF(E8="ja",1,IF(E8="Pauschale",2,0)))</f>
      </c>
      <c r="W8" s="1">
        <f>IF($A8="",0,IF(AU8&gt;0,1,0))</f>
      </c>
      <c r="X8" s="1">
        <f>IF(AND(T8=1,W8=0),1,0)</f>
      </c>
      <c r="Y8" s="1">
        <f>IF(AND(AS8=1,AT8=0,AU8=0),1,0)</f>
      </c>
      <c r="Z8" s="1">
        <f>IF(AND(Y8=1,T8=0,U8=1,V8=0),1,0)</f>
      </c>
      <c r="AA8" s="1">
        <f>IF(AND(X8=1,U8=0,V8=0,AN8=0,AO8=1,AP8=0),1,0)</f>
      </c>
      <c r="AB8" s="1">
        <f>IF(OR(W8=1,Z8=1),0,IF(T8=1,C8,0))</f>
      </c>
      <c r="AC8" s="1">
        <f>IF(OR(V8&gt;0,AA8=1),1,IF(U8=1,D8,1))</f>
      </c>
      <c r="AD8" s="1">
        <f>IF($A8="",0,IF(OR(T8=1,U8=1,V8&gt;0,W8=1),1,0))</f>
      </c>
      <c r="AE8" s="1">
        <f>IF(AD8=0,0,ROUND((AC8-AB8)*1440,0))</f>
      </c>
      <c r="AF8" s="1">
        <f>IF(AD8=0,"",IF(AND(F8&lt;&gt;"",ISNA(MATCH(F8,PauschLand,0))),"Land nicht in der Liste; ","")&amp;IF(AND(T8=0,W8=0,Z8=0),"Beginn fehlt; ","")&amp;IF(AND(V8=0,U8=0,AA8=0),"Ende fehlt; ","")&amp;IF(AND(X8=1,U8=1,V8=0,N(D8)&lt;N(C8)),"Ende vor Beginn (über Mitternacht: Ende in die Zeile des Folgetags); ",""))</f>
      </c>
      <c r="AG8" s="1">
        <f>IF(AD8=0,0,IFERROR(VLOOKUP(IF(F8="","Deutschland",F8),PauschTab,2,FALSE),0))</f>
      </c>
      <c r="AH8" s="1">
        <f>IF(AD8=0,0,IFERROR(VLOOKUP(IF(F8="","Deutschland",F8),PauschTab,3,FALSE),0))</f>
      </c>
      <c r="AI8" s="1">
        <f>IF(AD8=0,0,IFERROR(VLOOKUP(IF(F8="","Deutschland",F8),PauschTab,4,FALSE),0))</f>
      </c>
      <c r="AJ8" s="1">
        <f>IF(OR(AD8=0,AF8&lt;&gt;""),0,IF(AND(W8=1,V8&gt;0),IF(OR(T8=1,U8=1),AH8,AG8),IF(OR(W8=1,V8&gt;0),AH8,IF(AA8=1,IF(AND(AE8+AQ8&gt;480,AE8&gt;=AQ8),AH8,0),IF(Z8=1,IF(AND(AR8+AE8&gt;480,AE8&gt;AR8),AH8,0),IF(AE8&gt;480,AH8,0))))))</f>
      </c>
      <c r="AK8" s="1">
        <f>MIN(AJ8,AM8)</f>
      </c>
      <c r="AL8" s="1">
        <f>IF(OR(AD8=0,AF8&lt;&gt;""),"",IF(AND(W8=0,V8=0,AA8=0,Z8=0,AE8&lt;=480),"nicht mehr als 8 Std.; ","")&amp;IF(AA8=1,IF(AJ8&gt;0,"über Mitternacht, zusammen "&amp;TEXT((AE8+AQ8)/1440,"[h]:mm")&amp;" Std.; ",IF(AE8+AQ8&gt;480,"über Mitternacht: Pauschale am Folgetag; ","über Mitternacht, zusammen nicht mehr als 8 Std.; ")),"")&amp;IF(Z8=1,IF(AJ8&gt;0,"über Mitternacht, zusammen "&amp;TEXT((AR8+AE8)/1440,"[h]:mm")&amp;" Std.; ",IF(AR8+AE8&gt;480,"über Mitternacht: Pauschale am Vortag; ","über Mitternacht, zusammen nicht mehr als 8 Std.; ")),"")&amp;IF(AND(W8=1,V8&gt;0,OR(T8=1,U8=1)),"zwischendurch zu Hause: An- und Abreisetag; ","")&amp;IF(AND(W8=1,V8=0,T8=1),"Beginn leer lassen: unterwegs seit dem Vortag; ","")&amp;IF(AND(W8=0,V8&gt;0,U8=1),"Ende leer lassen: Übernachtung; ","")&amp;IF(AND(AJ8&gt;0,AM8&gt;AJ8),"Kürzung auf die Pauschale begrenzt; ",""))</f>
      </c>
      <c r="AM8" s="1">
        <f>ROUND(AG8*(IF(H8&lt;&gt;"",0.2,0)+IF(I8&lt;&gt;"",0.4,0)+IF(J8&lt;&gt;"",0.4,0)),2)</f>
      </c>
      <c r="AN8" s="1">
        <f>IF($A9="",'September'!$T$5,T9)</f>
      </c>
      <c r="AO8" s="1">
        <f>IF($A9="",'September'!$U$5,U9)</f>
      </c>
      <c r="AP8" s="1">
        <f>IF($A9="",'September'!$V$5,V9)</f>
      </c>
      <c r="AQ8" s="1">
        <f>IF($A9="",'September'!$AE$5,AE9)</f>
      </c>
      <c r="AR8" s="1">
        <f>AE7</f>
      </c>
      <c r="AS8" s="1">
        <f>X7</f>
      </c>
      <c r="AT8" s="1">
        <f>U7</f>
      </c>
      <c r="AU8" s="1">
        <f>V7</f>
      </c>
    </row>
    <row r="9" spans="1:47" x14ac:dyDescent="0.25">
      <c r="A9" s="17">
        <f>IF(MONTH(DATE(Jahr,8,5))=8,DATE(Jahr,8,5),"")</f>
      </c>
      <c r="B9" s="13">
        <f>IF(A9="","",CHOOSE(WEEKDAY(A9,2),"Mo","Di","Mi","Do","Fr","Sa","So"))</f>
      </c>
      <c r="C9" s="18"/>
      <c r="D9" s="18"/>
      <c r="E9" s="7"/>
      <c r="F9" s="7"/>
      <c r="G9" s="7"/>
      <c r="H9" s="19"/>
      <c r="I9" s="19"/>
      <c r="J9" s="19"/>
      <c r="K9" s="9"/>
      <c r="L9" s="20">
        <f>IF(OR(AD9=0,AF9&lt;&gt;"",AND(W9=1,V9&gt;0,OR(T9=1,U9=1))),"",AE9/1440)</f>
      </c>
      <c r="M9" s="21">
        <f>IF(OR(AD9=0,AF9&lt;&gt;""),"",AJ9)</f>
      </c>
      <c r="N9" s="21">
        <f>IF(AK9=0,"",AK9)</f>
      </c>
      <c r="O9" s="21">
        <f>IF(OR(AD9=0,AF9&lt;&gt;""),"",AJ9-AK9)</f>
      </c>
      <c r="P9" s="21">
        <f>IF(AND(AD9=1,AF9="",V9=2),AI9,"")</f>
      </c>
      <c r="Q9" s="21">
        <f>IF(OR($A9="",N(K9)=0),"",ROUND(K9*KmSatz,2))</f>
      </c>
      <c r="R9" s="22">
        <f>IF(AF9&amp;AL9="","",LEFT(AF9&amp;AL9,LEN(AF9&amp;AL9)-2))</f>
      </c>
      <c r="S9" s="1"/>
      <c r="T9" s="1">
        <f>IF(AND($A9&lt;&gt;"",ISNUMBER(C9)),1,0)</f>
      </c>
      <c r="U9" s="1">
        <f>IF(AND($A9&lt;&gt;"",ISNUMBER(D9)),1,0)</f>
      </c>
      <c r="V9" s="1">
        <f>IF($A9="",0,IF(E9="ja",1,IF(E9="Pauschale",2,0)))</f>
      </c>
      <c r="W9" s="1">
        <f>IF($A9="",0,IF(AU9&gt;0,1,0))</f>
      </c>
      <c r="X9" s="1">
        <f>IF(AND(T9=1,W9=0),1,0)</f>
      </c>
      <c r="Y9" s="1">
        <f>IF(AND(AS9=1,AT9=0,AU9=0),1,0)</f>
      </c>
      <c r="Z9" s="1">
        <f>IF(AND(Y9=1,T9=0,U9=1,V9=0),1,0)</f>
      </c>
      <c r="AA9" s="1">
        <f>IF(AND(X9=1,U9=0,V9=0,AN9=0,AO9=1,AP9=0),1,0)</f>
      </c>
      <c r="AB9" s="1">
        <f>IF(OR(W9=1,Z9=1),0,IF(T9=1,C9,0))</f>
      </c>
      <c r="AC9" s="1">
        <f>IF(OR(V9&gt;0,AA9=1),1,IF(U9=1,D9,1))</f>
      </c>
      <c r="AD9" s="1">
        <f>IF($A9="",0,IF(OR(T9=1,U9=1,V9&gt;0,W9=1),1,0))</f>
      </c>
      <c r="AE9" s="1">
        <f>IF(AD9=0,0,ROUND((AC9-AB9)*1440,0))</f>
      </c>
      <c r="AF9" s="1">
        <f>IF(AD9=0,"",IF(AND(F9&lt;&gt;"",ISNA(MATCH(F9,PauschLand,0))),"Land nicht in der Liste; ","")&amp;IF(AND(T9=0,W9=0,Z9=0),"Beginn fehlt; ","")&amp;IF(AND(V9=0,U9=0,AA9=0),"Ende fehlt; ","")&amp;IF(AND(X9=1,U9=1,V9=0,N(D9)&lt;N(C9)),"Ende vor Beginn (über Mitternacht: Ende in die Zeile des Folgetags); ",""))</f>
      </c>
      <c r="AG9" s="1">
        <f>IF(AD9=0,0,IFERROR(VLOOKUP(IF(F9="","Deutschland",F9),PauschTab,2,FALSE),0))</f>
      </c>
      <c r="AH9" s="1">
        <f>IF(AD9=0,0,IFERROR(VLOOKUP(IF(F9="","Deutschland",F9),PauschTab,3,FALSE),0))</f>
      </c>
      <c r="AI9" s="1">
        <f>IF(AD9=0,0,IFERROR(VLOOKUP(IF(F9="","Deutschland",F9),PauschTab,4,FALSE),0))</f>
      </c>
      <c r="AJ9" s="1">
        <f>IF(OR(AD9=0,AF9&lt;&gt;""),0,IF(AND(W9=1,V9&gt;0),IF(OR(T9=1,U9=1),AH9,AG9),IF(OR(W9=1,V9&gt;0),AH9,IF(AA9=1,IF(AND(AE9+AQ9&gt;480,AE9&gt;=AQ9),AH9,0),IF(Z9=1,IF(AND(AR9+AE9&gt;480,AE9&gt;AR9),AH9,0),IF(AE9&gt;480,AH9,0))))))</f>
      </c>
      <c r="AK9" s="1">
        <f>MIN(AJ9,AM9)</f>
      </c>
      <c r="AL9" s="1">
        <f>IF(OR(AD9=0,AF9&lt;&gt;""),"",IF(AND(W9=0,V9=0,AA9=0,Z9=0,AE9&lt;=480),"nicht mehr als 8 Std.; ","")&amp;IF(AA9=1,IF(AJ9&gt;0,"über Mitternacht, zusammen "&amp;TEXT((AE9+AQ9)/1440,"[h]:mm")&amp;" Std.; ",IF(AE9+AQ9&gt;480,"über Mitternacht: Pauschale am Folgetag; ","über Mitternacht, zusammen nicht mehr als 8 Std.; ")),"")&amp;IF(Z9=1,IF(AJ9&gt;0,"über Mitternacht, zusammen "&amp;TEXT((AR9+AE9)/1440,"[h]:mm")&amp;" Std.; ",IF(AR9+AE9&gt;480,"über Mitternacht: Pauschale am Vortag; ","über Mitternacht, zusammen nicht mehr als 8 Std.; ")),"")&amp;IF(AND(W9=1,V9&gt;0,OR(T9=1,U9=1)),"zwischendurch zu Hause: An- und Abreisetag; ","")&amp;IF(AND(W9=1,V9=0,T9=1),"Beginn leer lassen: unterwegs seit dem Vortag; ","")&amp;IF(AND(W9=0,V9&gt;0,U9=1),"Ende leer lassen: Übernachtung; ","")&amp;IF(AND(AJ9&gt;0,AM9&gt;AJ9),"Kürzung auf die Pauschale begrenzt; ",""))</f>
      </c>
      <c r="AM9" s="1">
        <f>ROUND(AG9*(IF(H9&lt;&gt;"",0.2,0)+IF(I9&lt;&gt;"",0.4,0)+IF(J9&lt;&gt;"",0.4,0)),2)</f>
      </c>
      <c r="AN9" s="1">
        <f>IF($A10="",'September'!$T$5,T10)</f>
      </c>
      <c r="AO9" s="1">
        <f>IF($A10="",'September'!$U$5,U10)</f>
      </c>
      <c r="AP9" s="1">
        <f>IF($A10="",'September'!$V$5,V10)</f>
      </c>
      <c r="AQ9" s="1">
        <f>IF($A10="",'September'!$AE$5,AE10)</f>
      </c>
      <c r="AR9" s="1">
        <f>AE8</f>
      </c>
      <c r="AS9" s="1">
        <f>X8</f>
      </c>
      <c r="AT9" s="1">
        <f>U8</f>
      </c>
      <c r="AU9" s="1">
        <f>V8</f>
      </c>
    </row>
    <row r="10" spans="1:47" x14ac:dyDescent="0.25">
      <c r="A10" s="17">
        <f>IF(MONTH(DATE(Jahr,8,6))=8,DATE(Jahr,8,6),"")</f>
      </c>
      <c r="B10" s="13">
        <f>IF(A10="","",CHOOSE(WEEKDAY(A10,2),"Mo","Di","Mi","Do","Fr","Sa","So"))</f>
      </c>
      <c r="C10" s="18"/>
      <c r="D10" s="18"/>
      <c r="E10" s="7"/>
      <c r="F10" s="7"/>
      <c r="G10" s="7"/>
      <c r="H10" s="19"/>
      <c r="I10" s="19"/>
      <c r="J10" s="19"/>
      <c r="K10" s="9"/>
      <c r="L10" s="20">
        <f>IF(OR(AD10=0,AF10&lt;&gt;"",AND(W10=1,V10&gt;0,OR(T10=1,U10=1))),"",AE10/1440)</f>
      </c>
      <c r="M10" s="21">
        <f>IF(OR(AD10=0,AF10&lt;&gt;""),"",AJ10)</f>
      </c>
      <c r="N10" s="21">
        <f>IF(AK10=0,"",AK10)</f>
      </c>
      <c r="O10" s="21">
        <f>IF(OR(AD10=0,AF10&lt;&gt;""),"",AJ10-AK10)</f>
      </c>
      <c r="P10" s="21">
        <f>IF(AND(AD10=1,AF10="",V10=2),AI10,"")</f>
      </c>
      <c r="Q10" s="21">
        <f>IF(OR($A10="",N(K10)=0),"",ROUND(K10*KmSatz,2))</f>
      </c>
      <c r="R10" s="22">
        <f>IF(AF10&amp;AL10="","",LEFT(AF10&amp;AL10,LEN(AF10&amp;AL10)-2))</f>
      </c>
      <c r="S10" s="1"/>
      <c r="T10" s="1">
        <f>IF(AND($A10&lt;&gt;"",ISNUMBER(C10)),1,0)</f>
      </c>
      <c r="U10" s="1">
        <f>IF(AND($A10&lt;&gt;"",ISNUMBER(D10)),1,0)</f>
      </c>
      <c r="V10" s="1">
        <f>IF($A10="",0,IF(E10="ja",1,IF(E10="Pauschale",2,0)))</f>
      </c>
      <c r="W10" s="1">
        <f>IF($A10="",0,IF(AU10&gt;0,1,0))</f>
      </c>
      <c r="X10" s="1">
        <f>IF(AND(T10=1,W10=0),1,0)</f>
      </c>
      <c r="Y10" s="1">
        <f>IF(AND(AS10=1,AT10=0,AU10=0),1,0)</f>
      </c>
      <c r="Z10" s="1">
        <f>IF(AND(Y10=1,T10=0,U10=1,V10=0),1,0)</f>
      </c>
      <c r="AA10" s="1">
        <f>IF(AND(X10=1,U10=0,V10=0,AN10=0,AO10=1,AP10=0),1,0)</f>
      </c>
      <c r="AB10" s="1">
        <f>IF(OR(W10=1,Z10=1),0,IF(T10=1,C10,0))</f>
      </c>
      <c r="AC10" s="1">
        <f>IF(OR(V10&gt;0,AA10=1),1,IF(U10=1,D10,1))</f>
      </c>
      <c r="AD10" s="1">
        <f>IF($A10="",0,IF(OR(T10=1,U10=1,V10&gt;0,W10=1),1,0))</f>
      </c>
      <c r="AE10" s="1">
        <f>IF(AD10=0,0,ROUND((AC10-AB10)*1440,0))</f>
      </c>
      <c r="AF10" s="1">
        <f>IF(AD10=0,"",IF(AND(F10&lt;&gt;"",ISNA(MATCH(F10,PauschLand,0))),"Land nicht in der Liste; ","")&amp;IF(AND(T10=0,W10=0,Z10=0),"Beginn fehlt; ","")&amp;IF(AND(V10=0,U10=0,AA10=0),"Ende fehlt; ","")&amp;IF(AND(X10=1,U10=1,V10=0,N(D10)&lt;N(C10)),"Ende vor Beginn (über Mitternacht: Ende in die Zeile des Folgetags); ",""))</f>
      </c>
      <c r="AG10" s="1">
        <f>IF(AD10=0,0,IFERROR(VLOOKUP(IF(F10="","Deutschland",F10),PauschTab,2,FALSE),0))</f>
      </c>
      <c r="AH10" s="1">
        <f>IF(AD10=0,0,IFERROR(VLOOKUP(IF(F10="","Deutschland",F10),PauschTab,3,FALSE),0))</f>
      </c>
      <c r="AI10" s="1">
        <f>IF(AD10=0,0,IFERROR(VLOOKUP(IF(F10="","Deutschland",F10),PauschTab,4,FALSE),0))</f>
      </c>
      <c r="AJ10" s="1">
        <f>IF(OR(AD10=0,AF10&lt;&gt;""),0,IF(AND(W10=1,V10&gt;0),IF(OR(T10=1,U10=1),AH10,AG10),IF(OR(W10=1,V10&gt;0),AH10,IF(AA10=1,IF(AND(AE10+AQ10&gt;480,AE10&gt;=AQ10),AH10,0),IF(Z10=1,IF(AND(AR10+AE10&gt;480,AE10&gt;AR10),AH10,0),IF(AE10&gt;480,AH10,0))))))</f>
      </c>
      <c r="AK10" s="1">
        <f>MIN(AJ10,AM10)</f>
      </c>
      <c r="AL10" s="1">
        <f>IF(OR(AD10=0,AF10&lt;&gt;""),"",IF(AND(W10=0,V10=0,AA10=0,Z10=0,AE10&lt;=480),"nicht mehr als 8 Std.; ","")&amp;IF(AA10=1,IF(AJ10&gt;0,"über Mitternacht, zusammen "&amp;TEXT((AE10+AQ10)/1440,"[h]:mm")&amp;" Std.; ",IF(AE10+AQ10&gt;480,"über Mitternacht: Pauschale am Folgetag; ","über Mitternacht, zusammen nicht mehr als 8 Std.; ")),"")&amp;IF(Z10=1,IF(AJ10&gt;0,"über Mitternacht, zusammen "&amp;TEXT((AR10+AE10)/1440,"[h]:mm")&amp;" Std.; ",IF(AR10+AE10&gt;480,"über Mitternacht: Pauschale am Vortag; ","über Mitternacht, zusammen nicht mehr als 8 Std.; ")),"")&amp;IF(AND(W10=1,V10&gt;0,OR(T10=1,U10=1)),"zwischendurch zu Hause: An- und Abreisetag; ","")&amp;IF(AND(W10=1,V10=0,T10=1),"Beginn leer lassen: unterwegs seit dem Vortag; ","")&amp;IF(AND(W10=0,V10&gt;0,U10=1),"Ende leer lassen: Übernachtung; ","")&amp;IF(AND(AJ10&gt;0,AM10&gt;AJ10),"Kürzung auf die Pauschale begrenzt; ",""))</f>
      </c>
      <c r="AM10" s="1">
        <f>ROUND(AG10*(IF(H10&lt;&gt;"",0.2,0)+IF(I10&lt;&gt;"",0.4,0)+IF(J10&lt;&gt;"",0.4,0)),2)</f>
      </c>
      <c r="AN10" s="1">
        <f>IF($A11="",'September'!$T$5,T11)</f>
      </c>
      <c r="AO10" s="1">
        <f>IF($A11="",'September'!$U$5,U11)</f>
      </c>
      <c r="AP10" s="1">
        <f>IF($A11="",'September'!$V$5,V11)</f>
      </c>
      <c r="AQ10" s="1">
        <f>IF($A11="",'September'!$AE$5,AE11)</f>
      </c>
      <c r="AR10" s="1">
        <f>AE9</f>
      </c>
      <c r="AS10" s="1">
        <f>X9</f>
      </c>
      <c r="AT10" s="1">
        <f>U9</f>
      </c>
      <c r="AU10" s="1">
        <f>V9</f>
      </c>
    </row>
    <row r="11" spans="1:47" x14ac:dyDescent="0.25">
      <c r="A11" s="17">
        <f>IF(MONTH(DATE(Jahr,8,7))=8,DATE(Jahr,8,7),"")</f>
      </c>
      <c r="B11" s="13">
        <f>IF(A11="","",CHOOSE(WEEKDAY(A11,2),"Mo","Di","Mi","Do","Fr","Sa","So"))</f>
      </c>
      <c r="C11" s="18"/>
      <c r="D11" s="18"/>
      <c r="E11" s="7"/>
      <c r="F11" s="7"/>
      <c r="G11" s="7"/>
      <c r="H11" s="19"/>
      <c r="I11" s="19"/>
      <c r="J11" s="19"/>
      <c r="K11" s="9"/>
      <c r="L11" s="20">
        <f>IF(OR(AD11=0,AF11&lt;&gt;"",AND(W11=1,V11&gt;0,OR(T11=1,U11=1))),"",AE11/1440)</f>
      </c>
      <c r="M11" s="21">
        <f>IF(OR(AD11=0,AF11&lt;&gt;""),"",AJ11)</f>
      </c>
      <c r="N11" s="21">
        <f>IF(AK11=0,"",AK11)</f>
      </c>
      <c r="O11" s="21">
        <f>IF(OR(AD11=0,AF11&lt;&gt;""),"",AJ11-AK11)</f>
      </c>
      <c r="P11" s="21">
        <f>IF(AND(AD11=1,AF11="",V11=2),AI11,"")</f>
      </c>
      <c r="Q11" s="21">
        <f>IF(OR($A11="",N(K11)=0),"",ROUND(K11*KmSatz,2))</f>
      </c>
      <c r="R11" s="22">
        <f>IF(AF11&amp;AL11="","",LEFT(AF11&amp;AL11,LEN(AF11&amp;AL11)-2))</f>
      </c>
      <c r="S11" s="1"/>
      <c r="T11" s="1">
        <f>IF(AND($A11&lt;&gt;"",ISNUMBER(C11)),1,0)</f>
      </c>
      <c r="U11" s="1">
        <f>IF(AND($A11&lt;&gt;"",ISNUMBER(D11)),1,0)</f>
      </c>
      <c r="V11" s="1">
        <f>IF($A11="",0,IF(E11="ja",1,IF(E11="Pauschale",2,0)))</f>
      </c>
      <c r="W11" s="1">
        <f>IF($A11="",0,IF(AU11&gt;0,1,0))</f>
      </c>
      <c r="X11" s="1">
        <f>IF(AND(T11=1,W11=0),1,0)</f>
      </c>
      <c r="Y11" s="1">
        <f>IF(AND(AS11=1,AT11=0,AU11=0),1,0)</f>
      </c>
      <c r="Z11" s="1">
        <f>IF(AND(Y11=1,T11=0,U11=1,V11=0),1,0)</f>
      </c>
      <c r="AA11" s="1">
        <f>IF(AND(X11=1,U11=0,V11=0,AN11=0,AO11=1,AP11=0),1,0)</f>
      </c>
      <c r="AB11" s="1">
        <f>IF(OR(W11=1,Z11=1),0,IF(T11=1,C11,0))</f>
      </c>
      <c r="AC11" s="1">
        <f>IF(OR(V11&gt;0,AA11=1),1,IF(U11=1,D11,1))</f>
      </c>
      <c r="AD11" s="1">
        <f>IF($A11="",0,IF(OR(T11=1,U11=1,V11&gt;0,W11=1),1,0))</f>
      </c>
      <c r="AE11" s="1">
        <f>IF(AD11=0,0,ROUND((AC11-AB11)*1440,0))</f>
      </c>
      <c r="AF11" s="1">
        <f>IF(AD11=0,"",IF(AND(F11&lt;&gt;"",ISNA(MATCH(F11,PauschLand,0))),"Land nicht in der Liste; ","")&amp;IF(AND(T11=0,W11=0,Z11=0),"Beginn fehlt; ","")&amp;IF(AND(V11=0,U11=0,AA11=0),"Ende fehlt; ","")&amp;IF(AND(X11=1,U11=1,V11=0,N(D11)&lt;N(C11)),"Ende vor Beginn (über Mitternacht: Ende in die Zeile des Folgetags); ",""))</f>
      </c>
      <c r="AG11" s="1">
        <f>IF(AD11=0,0,IFERROR(VLOOKUP(IF(F11="","Deutschland",F11),PauschTab,2,FALSE),0))</f>
      </c>
      <c r="AH11" s="1">
        <f>IF(AD11=0,0,IFERROR(VLOOKUP(IF(F11="","Deutschland",F11),PauschTab,3,FALSE),0))</f>
      </c>
      <c r="AI11" s="1">
        <f>IF(AD11=0,0,IFERROR(VLOOKUP(IF(F11="","Deutschland",F11),PauschTab,4,FALSE),0))</f>
      </c>
      <c r="AJ11" s="1">
        <f>IF(OR(AD11=0,AF11&lt;&gt;""),0,IF(AND(W11=1,V11&gt;0),IF(OR(T11=1,U11=1),AH11,AG11),IF(OR(W11=1,V11&gt;0),AH11,IF(AA11=1,IF(AND(AE11+AQ11&gt;480,AE11&gt;=AQ11),AH11,0),IF(Z11=1,IF(AND(AR11+AE11&gt;480,AE11&gt;AR11),AH11,0),IF(AE11&gt;480,AH11,0))))))</f>
      </c>
      <c r="AK11" s="1">
        <f>MIN(AJ11,AM11)</f>
      </c>
      <c r="AL11" s="1">
        <f>IF(OR(AD11=0,AF11&lt;&gt;""),"",IF(AND(W11=0,V11=0,AA11=0,Z11=0,AE11&lt;=480),"nicht mehr als 8 Std.; ","")&amp;IF(AA11=1,IF(AJ11&gt;0,"über Mitternacht, zusammen "&amp;TEXT((AE11+AQ11)/1440,"[h]:mm")&amp;" Std.; ",IF(AE11+AQ11&gt;480,"über Mitternacht: Pauschale am Folgetag; ","über Mitternacht, zusammen nicht mehr als 8 Std.; ")),"")&amp;IF(Z11=1,IF(AJ11&gt;0,"über Mitternacht, zusammen "&amp;TEXT((AR11+AE11)/1440,"[h]:mm")&amp;" Std.; ",IF(AR11+AE11&gt;480,"über Mitternacht: Pauschale am Vortag; ","über Mitternacht, zusammen nicht mehr als 8 Std.; ")),"")&amp;IF(AND(W11=1,V11&gt;0,OR(T11=1,U11=1)),"zwischendurch zu Hause: An- und Abreisetag; ","")&amp;IF(AND(W11=1,V11=0,T11=1),"Beginn leer lassen: unterwegs seit dem Vortag; ","")&amp;IF(AND(W11=0,V11&gt;0,U11=1),"Ende leer lassen: Übernachtung; ","")&amp;IF(AND(AJ11&gt;0,AM11&gt;AJ11),"Kürzung auf die Pauschale begrenzt; ",""))</f>
      </c>
      <c r="AM11" s="1">
        <f>ROUND(AG11*(IF(H11&lt;&gt;"",0.2,0)+IF(I11&lt;&gt;"",0.4,0)+IF(J11&lt;&gt;"",0.4,0)),2)</f>
      </c>
      <c r="AN11" s="1">
        <f>IF($A12="",'September'!$T$5,T12)</f>
      </c>
      <c r="AO11" s="1">
        <f>IF($A12="",'September'!$U$5,U12)</f>
      </c>
      <c r="AP11" s="1">
        <f>IF($A12="",'September'!$V$5,V12)</f>
      </c>
      <c r="AQ11" s="1">
        <f>IF($A12="",'September'!$AE$5,AE12)</f>
      </c>
      <c r="AR11" s="1">
        <f>AE10</f>
      </c>
      <c r="AS11" s="1">
        <f>X10</f>
      </c>
      <c r="AT11" s="1">
        <f>U10</f>
      </c>
      <c r="AU11" s="1">
        <f>V10</f>
      </c>
    </row>
    <row r="12" spans="1:47" x14ac:dyDescent="0.25">
      <c r="A12" s="17">
        <f>IF(MONTH(DATE(Jahr,8,8))=8,DATE(Jahr,8,8),"")</f>
      </c>
      <c r="B12" s="13">
        <f>IF(A12="","",CHOOSE(WEEKDAY(A12,2),"Mo","Di","Mi","Do","Fr","Sa","So"))</f>
      </c>
      <c r="C12" s="18"/>
      <c r="D12" s="18"/>
      <c r="E12" s="7"/>
      <c r="F12" s="7"/>
      <c r="G12" s="7"/>
      <c r="H12" s="19"/>
      <c r="I12" s="19"/>
      <c r="J12" s="19"/>
      <c r="K12" s="9"/>
      <c r="L12" s="20">
        <f>IF(OR(AD12=0,AF12&lt;&gt;"",AND(W12=1,V12&gt;0,OR(T12=1,U12=1))),"",AE12/1440)</f>
      </c>
      <c r="M12" s="21">
        <f>IF(OR(AD12=0,AF12&lt;&gt;""),"",AJ12)</f>
      </c>
      <c r="N12" s="21">
        <f>IF(AK12=0,"",AK12)</f>
      </c>
      <c r="O12" s="21">
        <f>IF(OR(AD12=0,AF12&lt;&gt;""),"",AJ12-AK12)</f>
      </c>
      <c r="P12" s="21">
        <f>IF(AND(AD12=1,AF12="",V12=2),AI12,"")</f>
      </c>
      <c r="Q12" s="21">
        <f>IF(OR($A12="",N(K12)=0),"",ROUND(K12*KmSatz,2))</f>
      </c>
      <c r="R12" s="22">
        <f>IF(AF12&amp;AL12="","",LEFT(AF12&amp;AL12,LEN(AF12&amp;AL12)-2))</f>
      </c>
      <c r="S12" s="1"/>
      <c r="T12" s="1">
        <f>IF(AND($A12&lt;&gt;"",ISNUMBER(C12)),1,0)</f>
      </c>
      <c r="U12" s="1">
        <f>IF(AND($A12&lt;&gt;"",ISNUMBER(D12)),1,0)</f>
      </c>
      <c r="V12" s="1">
        <f>IF($A12="",0,IF(E12="ja",1,IF(E12="Pauschale",2,0)))</f>
      </c>
      <c r="W12" s="1">
        <f>IF($A12="",0,IF(AU12&gt;0,1,0))</f>
      </c>
      <c r="X12" s="1">
        <f>IF(AND(T12=1,W12=0),1,0)</f>
      </c>
      <c r="Y12" s="1">
        <f>IF(AND(AS12=1,AT12=0,AU12=0),1,0)</f>
      </c>
      <c r="Z12" s="1">
        <f>IF(AND(Y12=1,T12=0,U12=1,V12=0),1,0)</f>
      </c>
      <c r="AA12" s="1">
        <f>IF(AND(X12=1,U12=0,V12=0,AN12=0,AO12=1,AP12=0),1,0)</f>
      </c>
      <c r="AB12" s="1">
        <f>IF(OR(W12=1,Z12=1),0,IF(T12=1,C12,0))</f>
      </c>
      <c r="AC12" s="1">
        <f>IF(OR(V12&gt;0,AA12=1),1,IF(U12=1,D12,1))</f>
      </c>
      <c r="AD12" s="1">
        <f>IF($A12="",0,IF(OR(T12=1,U12=1,V12&gt;0,W12=1),1,0))</f>
      </c>
      <c r="AE12" s="1">
        <f>IF(AD12=0,0,ROUND((AC12-AB12)*1440,0))</f>
      </c>
      <c r="AF12" s="1">
        <f>IF(AD12=0,"",IF(AND(F12&lt;&gt;"",ISNA(MATCH(F12,PauschLand,0))),"Land nicht in der Liste; ","")&amp;IF(AND(T12=0,W12=0,Z12=0),"Beginn fehlt; ","")&amp;IF(AND(V12=0,U12=0,AA12=0),"Ende fehlt; ","")&amp;IF(AND(X12=1,U12=1,V12=0,N(D12)&lt;N(C12)),"Ende vor Beginn (über Mitternacht: Ende in die Zeile des Folgetags); ",""))</f>
      </c>
      <c r="AG12" s="1">
        <f>IF(AD12=0,0,IFERROR(VLOOKUP(IF(F12="","Deutschland",F12),PauschTab,2,FALSE),0))</f>
      </c>
      <c r="AH12" s="1">
        <f>IF(AD12=0,0,IFERROR(VLOOKUP(IF(F12="","Deutschland",F12),PauschTab,3,FALSE),0))</f>
      </c>
      <c r="AI12" s="1">
        <f>IF(AD12=0,0,IFERROR(VLOOKUP(IF(F12="","Deutschland",F12),PauschTab,4,FALSE),0))</f>
      </c>
      <c r="AJ12" s="1">
        <f>IF(OR(AD12=0,AF12&lt;&gt;""),0,IF(AND(W12=1,V12&gt;0),IF(OR(T12=1,U12=1),AH12,AG12),IF(OR(W12=1,V12&gt;0),AH12,IF(AA12=1,IF(AND(AE12+AQ12&gt;480,AE12&gt;=AQ12),AH12,0),IF(Z12=1,IF(AND(AR12+AE12&gt;480,AE12&gt;AR12),AH12,0),IF(AE12&gt;480,AH12,0))))))</f>
      </c>
      <c r="AK12" s="1">
        <f>MIN(AJ12,AM12)</f>
      </c>
      <c r="AL12" s="1">
        <f>IF(OR(AD12=0,AF12&lt;&gt;""),"",IF(AND(W12=0,V12=0,AA12=0,Z12=0,AE12&lt;=480),"nicht mehr als 8 Std.; ","")&amp;IF(AA12=1,IF(AJ12&gt;0,"über Mitternacht, zusammen "&amp;TEXT((AE12+AQ12)/1440,"[h]:mm")&amp;" Std.; ",IF(AE12+AQ12&gt;480,"über Mitternacht: Pauschale am Folgetag; ","über Mitternacht, zusammen nicht mehr als 8 Std.; ")),"")&amp;IF(Z12=1,IF(AJ12&gt;0,"über Mitternacht, zusammen "&amp;TEXT((AR12+AE12)/1440,"[h]:mm")&amp;" Std.; ",IF(AR12+AE12&gt;480,"über Mitternacht: Pauschale am Vortag; ","über Mitternacht, zusammen nicht mehr als 8 Std.; ")),"")&amp;IF(AND(W12=1,V12&gt;0,OR(T12=1,U12=1)),"zwischendurch zu Hause: An- und Abreisetag; ","")&amp;IF(AND(W12=1,V12=0,T12=1),"Beginn leer lassen: unterwegs seit dem Vortag; ","")&amp;IF(AND(W12=0,V12&gt;0,U12=1),"Ende leer lassen: Übernachtung; ","")&amp;IF(AND(AJ12&gt;0,AM12&gt;AJ12),"Kürzung auf die Pauschale begrenzt; ",""))</f>
      </c>
      <c r="AM12" s="1">
        <f>ROUND(AG12*(IF(H12&lt;&gt;"",0.2,0)+IF(I12&lt;&gt;"",0.4,0)+IF(J12&lt;&gt;"",0.4,0)),2)</f>
      </c>
      <c r="AN12" s="1">
        <f>IF($A13="",'September'!$T$5,T13)</f>
      </c>
      <c r="AO12" s="1">
        <f>IF($A13="",'September'!$U$5,U13)</f>
      </c>
      <c r="AP12" s="1">
        <f>IF($A13="",'September'!$V$5,V13)</f>
      </c>
      <c r="AQ12" s="1">
        <f>IF($A13="",'September'!$AE$5,AE13)</f>
      </c>
      <c r="AR12" s="1">
        <f>AE11</f>
      </c>
      <c r="AS12" s="1">
        <f>X11</f>
      </c>
      <c r="AT12" s="1">
        <f>U11</f>
      </c>
      <c r="AU12" s="1">
        <f>V11</f>
      </c>
    </row>
    <row r="13" spans="1:47" x14ac:dyDescent="0.25">
      <c r="A13" s="17">
        <f>IF(MONTH(DATE(Jahr,8,9))=8,DATE(Jahr,8,9),"")</f>
      </c>
      <c r="B13" s="13">
        <f>IF(A13="","",CHOOSE(WEEKDAY(A13,2),"Mo","Di","Mi","Do","Fr","Sa","So"))</f>
      </c>
      <c r="C13" s="18"/>
      <c r="D13" s="18"/>
      <c r="E13" s="7"/>
      <c r="F13" s="7"/>
      <c r="G13" s="7"/>
      <c r="H13" s="19"/>
      <c r="I13" s="19"/>
      <c r="J13" s="19"/>
      <c r="K13" s="9"/>
      <c r="L13" s="20">
        <f>IF(OR(AD13=0,AF13&lt;&gt;"",AND(W13=1,V13&gt;0,OR(T13=1,U13=1))),"",AE13/1440)</f>
      </c>
      <c r="M13" s="21">
        <f>IF(OR(AD13=0,AF13&lt;&gt;""),"",AJ13)</f>
      </c>
      <c r="N13" s="21">
        <f>IF(AK13=0,"",AK13)</f>
      </c>
      <c r="O13" s="21">
        <f>IF(OR(AD13=0,AF13&lt;&gt;""),"",AJ13-AK13)</f>
      </c>
      <c r="P13" s="21">
        <f>IF(AND(AD13=1,AF13="",V13=2),AI13,"")</f>
      </c>
      <c r="Q13" s="21">
        <f>IF(OR($A13="",N(K13)=0),"",ROUND(K13*KmSatz,2))</f>
      </c>
      <c r="R13" s="22">
        <f>IF(AF13&amp;AL13="","",LEFT(AF13&amp;AL13,LEN(AF13&amp;AL13)-2))</f>
      </c>
      <c r="S13" s="1"/>
      <c r="T13" s="1">
        <f>IF(AND($A13&lt;&gt;"",ISNUMBER(C13)),1,0)</f>
      </c>
      <c r="U13" s="1">
        <f>IF(AND($A13&lt;&gt;"",ISNUMBER(D13)),1,0)</f>
      </c>
      <c r="V13" s="1">
        <f>IF($A13="",0,IF(E13="ja",1,IF(E13="Pauschale",2,0)))</f>
      </c>
      <c r="W13" s="1">
        <f>IF($A13="",0,IF(AU13&gt;0,1,0))</f>
      </c>
      <c r="X13" s="1">
        <f>IF(AND(T13=1,W13=0),1,0)</f>
      </c>
      <c r="Y13" s="1">
        <f>IF(AND(AS13=1,AT13=0,AU13=0),1,0)</f>
      </c>
      <c r="Z13" s="1">
        <f>IF(AND(Y13=1,T13=0,U13=1,V13=0),1,0)</f>
      </c>
      <c r="AA13" s="1">
        <f>IF(AND(X13=1,U13=0,V13=0,AN13=0,AO13=1,AP13=0),1,0)</f>
      </c>
      <c r="AB13" s="1">
        <f>IF(OR(W13=1,Z13=1),0,IF(T13=1,C13,0))</f>
      </c>
      <c r="AC13" s="1">
        <f>IF(OR(V13&gt;0,AA13=1),1,IF(U13=1,D13,1))</f>
      </c>
      <c r="AD13" s="1">
        <f>IF($A13="",0,IF(OR(T13=1,U13=1,V13&gt;0,W13=1),1,0))</f>
      </c>
      <c r="AE13" s="1">
        <f>IF(AD13=0,0,ROUND((AC13-AB13)*1440,0))</f>
      </c>
      <c r="AF13" s="1">
        <f>IF(AD13=0,"",IF(AND(F13&lt;&gt;"",ISNA(MATCH(F13,PauschLand,0))),"Land nicht in der Liste; ","")&amp;IF(AND(T13=0,W13=0,Z13=0),"Beginn fehlt; ","")&amp;IF(AND(V13=0,U13=0,AA13=0),"Ende fehlt; ","")&amp;IF(AND(X13=1,U13=1,V13=0,N(D13)&lt;N(C13)),"Ende vor Beginn (über Mitternacht: Ende in die Zeile des Folgetags); ",""))</f>
      </c>
      <c r="AG13" s="1">
        <f>IF(AD13=0,0,IFERROR(VLOOKUP(IF(F13="","Deutschland",F13),PauschTab,2,FALSE),0))</f>
      </c>
      <c r="AH13" s="1">
        <f>IF(AD13=0,0,IFERROR(VLOOKUP(IF(F13="","Deutschland",F13),PauschTab,3,FALSE),0))</f>
      </c>
      <c r="AI13" s="1">
        <f>IF(AD13=0,0,IFERROR(VLOOKUP(IF(F13="","Deutschland",F13),PauschTab,4,FALSE),0))</f>
      </c>
      <c r="AJ13" s="1">
        <f>IF(OR(AD13=0,AF13&lt;&gt;""),0,IF(AND(W13=1,V13&gt;0),IF(OR(T13=1,U13=1),AH13,AG13),IF(OR(W13=1,V13&gt;0),AH13,IF(AA13=1,IF(AND(AE13+AQ13&gt;480,AE13&gt;=AQ13),AH13,0),IF(Z13=1,IF(AND(AR13+AE13&gt;480,AE13&gt;AR13),AH13,0),IF(AE13&gt;480,AH13,0))))))</f>
      </c>
      <c r="AK13" s="1">
        <f>MIN(AJ13,AM13)</f>
      </c>
      <c r="AL13" s="1">
        <f>IF(OR(AD13=0,AF13&lt;&gt;""),"",IF(AND(W13=0,V13=0,AA13=0,Z13=0,AE13&lt;=480),"nicht mehr als 8 Std.; ","")&amp;IF(AA13=1,IF(AJ13&gt;0,"über Mitternacht, zusammen "&amp;TEXT((AE13+AQ13)/1440,"[h]:mm")&amp;" Std.; ",IF(AE13+AQ13&gt;480,"über Mitternacht: Pauschale am Folgetag; ","über Mitternacht, zusammen nicht mehr als 8 Std.; ")),"")&amp;IF(Z13=1,IF(AJ13&gt;0,"über Mitternacht, zusammen "&amp;TEXT((AR13+AE13)/1440,"[h]:mm")&amp;" Std.; ",IF(AR13+AE13&gt;480,"über Mitternacht: Pauschale am Vortag; ","über Mitternacht, zusammen nicht mehr als 8 Std.; ")),"")&amp;IF(AND(W13=1,V13&gt;0,OR(T13=1,U13=1)),"zwischendurch zu Hause: An- und Abreisetag; ","")&amp;IF(AND(W13=1,V13=0,T13=1),"Beginn leer lassen: unterwegs seit dem Vortag; ","")&amp;IF(AND(W13=0,V13&gt;0,U13=1),"Ende leer lassen: Übernachtung; ","")&amp;IF(AND(AJ13&gt;0,AM13&gt;AJ13),"Kürzung auf die Pauschale begrenzt; ",""))</f>
      </c>
      <c r="AM13" s="1">
        <f>ROUND(AG13*(IF(H13&lt;&gt;"",0.2,0)+IF(I13&lt;&gt;"",0.4,0)+IF(J13&lt;&gt;"",0.4,0)),2)</f>
      </c>
      <c r="AN13" s="1">
        <f>IF($A14="",'September'!$T$5,T14)</f>
      </c>
      <c r="AO13" s="1">
        <f>IF($A14="",'September'!$U$5,U14)</f>
      </c>
      <c r="AP13" s="1">
        <f>IF($A14="",'September'!$V$5,V14)</f>
      </c>
      <c r="AQ13" s="1">
        <f>IF($A14="",'September'!$AE$5,AE14)</f>
      </c>
      <c r="AR13" s="1">
        <f>AE12</f>
      </c>
      <c r="AS13" s="1">
        <f>X12</f>
      </c>
      <c r="AT13" s="1">
        <f>U12</f>
      </c>
      <c r="AU13" s="1">
        <f>V12</f>
      </c>
    </row>
    <row r="14" spans="1:47" x14ac:dyDescent="0.25">
      <c r="A14" s="17">
        <f>IF(MONTH(DATE(Jahr,8,10))=8,DATE(Jahr,8,10),"")</f>
      </c>
      <c r="B14" s="13">
        <f>IF(A14="","",CHOOSE(WEEKDAY(A14,2),"Mo","Di","Mi","Do","Fr","Sa","So"))</f>
      </c>
      <c r="C14" s="18"/>
      <c r="D14" s="18"/>
      <c r="E14" s="7"/>
      <c r="F14" s="7"/>
      <c r="G14" s="7"/>
      <c r="H14" s="19"/>
      <c r="I14" s="19"/>
      <c r="J14" s="19"/>
      <c r="K14" s="9"/>
      <c r="L14" s="20">
        <f>IF(OR(AD14=0,AF14&lt;&gt;"",AND(W14=1,V14&gt;0,OR(T14=1,U14=1))),"",AE14/1440)</f>
      </c>
      <c r="M14" s="21">
        <f>IF(OR(AD14=0,AF14&lt;&gt;""),"",AJ14)</f>
      </c>
      <c r="N14" s="21">
        <f>IF(AK14=0,"",AK14)</f>
      </c>
      <c r="O14" s="21">
        <f>IF(OR(AD14=0,AF14&lt;&gt;""),"",AJ14-AK14)</f>
      </c>
      <c r="P14" s="21">
        <f>IF(AND(AD14=1,AF14="",V14=2),AI14,"")</f>
      </c>
      <c r="Q14" s="21">
        <f>IF(OR($A14="",N(K14)=0),"",ROUND(K14*KmSatz,2))</f>
      </c>
      <c r="R14" s="22">
        <f>IF(AF14&amp;AL14="","",LEFT(AF14&amp;AL14,LEN(AF14&amp;AL14)-2))</f>
      </c>
      <c r="S14" s="1"/>
      <c r="T14" s="1">
        <f>IF(AND($A14&lt;&gt;"",ISNUMBER(C14)),1,0)</f>
      </c>
      <c r="U14" s="1">
        <f>IF(AND($A14&lt;&gt;"",ISNUMBER(D14)),1,0)</f>
      </c>
      <c r="V14" s="1">
        <f>IF($A14="",0,IF(E14="ja",1,IF(E14="Pauschale",2,0)))</f>
      </c>
      <c r="W14" s="1">
        <f>IF($A14="",0,IF(AU14&gt;0,1,0))</f>
      </c>
      <c r="X14" s="1">
        <f>IF(AND(T14=1,W14=0),1,0)</f>
      </c>
      <c r="Y14" s="1">
        <f>IF(AND(AS14=1,AT14=0,AU14=0),1,0)</f>
      </c>
      <c r="Z14" s="1">
        <f>IF(AND(Y14=1,T14=0,U14=1,V14=0),1,0)</f>
      </c>
      <c r="AA14" s="1">
        <f>IF(AND(X14=1,U14=0,V14=0,AN14=0,AO14=1,AP14=0),1,0)</f>
      </c>
      <c r="AB14" s="1">
        <f>IF(OR(W14=1,Z14=1),0,IF(T14=1,C14,0))</f>
      </c>
      <c r="AC14" s="1">
        <f>IF(OR(V14&gt;0,AA14=1),1,IF(U14=1,D14,1))</f>
      </c>
      <c r="AD14" s="1">
        <f>IF($A14="",0,IF(OR(T14=1,U14=1,V14&gt;0,W14=1),1,0))</f>
      </c>
      <c r="AE14" s="1">
        <f>IF(AD14=0,0,ROUND((AC14-AB14)*1440,0))</f>
      </c>
      <c r="AF14" s="1">
        <f>IF(AD14=0,"",IF(AND(F14&lt;&gt;"",ISNA(MATCH(F14,PauschLand,0))),"Land nicht in der Liste; ","")&amp;IF(AND(T14=0,W14=0,Z14=0),"Beginn fehlt; ","")&amp;IF(AND(V14=0,U14=0,AA14=0),"Ende fehlt; ","")&amp;IF(AND(X14=1,U14=1,V14=0,N(D14)&lt;N(C14)),"Ende vor Beginn (über Mitternacht: Ende in die Zeile des Folgetags); ",""))</f>
      </c>
      <c r="AG14" s="1">
        <f>IF(AD14=0,0,IFERROR(VLOOKUP(IF(F14="","Deutschland",F14),PauschTab,2,FALSE),0))</f>
      </c>
      <c r="AH14" s="1">
        <f>IF(AD14=0,0,IFERROR(VLOOKUP(IF(F14="","Deutschland",F14),PauschTab,3,FALSE),0))</f>
      </c>
      <c r="AI14" s="1">
        <f>IF(AD14=0,0,IFERROR(VLOOKUP(IF(F14="","Deutschland",F14),PauschTab,4,FALSE),0))</f>
      </c>
      <c r="AJ14" s="1">
        <f>IF(OR(AD14=0,AF14&lt;&gt;""),0,IF(AND(W14=1,V14&gt;0),IF(OR(T14=1,U14=1),AH14,AG14),IF(OR(W14=1,V14&gt;0),AH14,IF(AA14=1,IF(AND(AE14+AQ14&gt;480,AE14&gt;=AQ14),AH14,0),IF(Z14=1,IF(AND(AR14+AE14&gt;480,AE14&gt;AR14),AH14,0),IF(AE14&gt;480,AH14,0))))))</f>
      </c>
      <c r="AK14" s="1">
        <f>MIN(AJ14,AM14)</f>
      </c>
      <c r="AL14" s="1">
        <f>IF(OR(AD14=0,AF14&lt;&gt;""),"",IF(AND(W14=0,V14=0,AA14=0,Z14=0,AE14&lt;=480),"nicht mehr als 8 Std.; ","")&amp;IF(AA14=1,IF(AJ14&gt;0,"über Mitternacht, zusammen "&amp;TEXT((AE14+AQ14)/1440,"[h]:mm")&amp;" Std.; ",IF(AE14+AQ14&gt;480,"über Mitternacht: Pauschale am Folgetag; ","über Mitternacht, zusammen nicht mehr als 8 Std.; ")),"")&amp;IF(Z14=1,IF(AJ14&gt;0,"über Mitternacht, zusammen "&amp;TEXT((AR14+AE14)/1440,"[h]:mm")&amp;" Std.; ",IF(AR14+AE14&gt;480,"über Mitternacht: Pauschale am Vortag; ","über Mitternacht, zusammen nicht mehr als 8 Std.; ")),"")&amp;IF(AND(W14=1,V14&gt;0,OR(T14=1,U14=1)),"zwischendurch zu Hause: An- und Abreisetag; ","")&amp;IF(AND(W14=1,V14=0,T14=1),"Beginn leer lassen: unterwegs seit dem Vortag; ","")&amp;IF(AND(W14=0,V14&gt;0,U14=1),"Ende leer lassen: Übernachtung; ","")&amp;IF(AND(AJ14&gt;0,AM14&gt;AJ14),"Kürzung auf die Pauschale begrenzt; ",""))</f>
      </c>
      <c r="AM14" s="1">
        <f>ROUND(AG14*(IF(H14&lt;&gt;"",0.2,0)+IF(I14&lt;&gt;"",0.4,0)+IF(J14&lt;&gt;"",0.4,0)),2)</f>
      </c>
      <c r="AN14" s="1">
        <f>IF($A15="",'September'!$T$5,T15)</f>
      </c>
      <c r="AO14" s="1">
        <f>IF($A15="",'September'!$U$5,U15)</f>
      </c>
      <c r="AP14" s="1">
        <f>IF($A15="",'September'!$V$5,V15)</f>
      </c>
      <c r="AQ14" s="1">
        <f>IF($A15="",'September'!$AE$5,AE15)</f>
      </c>
      <c r="AR14" s="1">
        <f>AE13</f>
      </c>
      <c r="AS14" s="1">
        <f>X13</f>
      </c>
      <c r="AT14" s="1">
        <f>U13</f>
      </c>
      <c r="AU14" s="1">
        <f>V13</f>
      </c>
    </row>
    <row r="15" spans="1:47" x14ac:dyDescent="0.25">
      <c r="A15" s="17">
        <f>IF(MONTH(DATE(Jahr,8,11))=8,DATE(Jahr,8,11),"")</f>
      </c>
      <c r="B15" s="13">
        <f>IF(A15="","",CHOOSE(WEEKDAY(A15,2),"Mo","Di","Mi","Do","Fr","Sa","So"))</f>
      </c>
      <c r="C15" s="18"/>
      <c r="D15" s="18"/>
      <c r="E15" s="7"/>
      <c r="F15" s="7"/>
      <c r="G15" s="7"/>
      <c r="H15" s="19"/>
      <c r="I15" s="19"/>
      <c r="J15" s="19"/>
      <c r="K15" s="9"/>
      <c r="L15" s="20">
        <f>IF(OR(AD15=0,AF15&lt;&gt;"",AND(W15=1,V15&gt;0,OR(T15=1,U15=1))),"",AE15/1440)</f>
      </c>
      <c r="M15" s="21">
        <f>IF(OR(AD15=0,AF15&lt;&gt;""),"",AJ15)</f>
      </c>
      <c r="N15" s="21">
        <f>IF(AK15=0,"",AK15)</f>
      </c>
      <c r="O15" s="21">
        <f>IF(OR(AD15=0,AF15&lt;&gt;""),"",AJ15-AK15)</f>
      </c>
      <c r="P15" s="21">
        <f>IF(AND(AD15=1,AF15="",V15=2),AI15,"")</f>
      </c>
      <c r="Q15" s="21">
        <f>IF(OR($A15="",N(K15)=0),"",ROUND(K15*KmSatz,2))</f>
      </c>
      <c r="R15" s="22">
        <f>IF(AF15&amp;AL15="","",LEFT(AF15&amp;AL15,LEN(AF15&amp;AL15)-2))</f>
      </c>
      <c r="S15" s="1"/>
      <c r="T15" s="1">
        <f>IF(AND($A15&lt;&gt;"",ISNUMBER(C15)),1,0)</f>
      </c>
      <c r="U15" s="1">
        <f>IF(AND($A15&lt;&gt;"",ISNUMBER(D15)),1,0)</f>
      </c>
      <c r="V15" s="1">
        <f>IF($A15="",0,IF(E15="ja",1,IF(E15="Pauschale",2,0)))</f>
      </c>
      <c r="W15" s="1">
        <f>IF($A15="",0,IF(AU15&gt;0,1,0))</f>
      </c>
      <c r="X15" s="1">
        <f>IF(AND(T15=1,W15=0),1,0)</f>
      </c>
      <c r="Y15" s="1">
        <f>IF(AND(AS15=1,AT15=0,AU15=0),1,0)</f>
      </c>
      <c r="Z15" s="1">
        <f>IF(AND(Y15=1,T15=0,U15=1,V15=0),1,0)</f>
      </c>
      <c r="AA15" s="1">
        <f>IF(AND(X15=1,U15=0,V15=0,AN15=0,AO15=1,AP15=0),1,0)</f>
      </c>
      <c r="AB15" s="1">
        <f>IF(OR(W15=1,Z15=1),0,IF(T15=1,C15,0))</f>
      </c>
      <c r="AC15" s="1">
        <f>IF(OR(V15&gt;0,AA15=1),1,IF(U15=1,D15,1))</f>
      </c>
      <c r="AD15" s="1">
        <f>IF($A15="",0,IF(OR(T15=1,U15=1,V15&gt;0,W15=1),1,0))</f>
      </c>
      <c r="AE15" s="1">
        <f>IF(AD15=0,0,ROUND((AC15-AB15)*1440,0))</f>
      </c>
      <c r="AF15" s="1">
        <f>IF(AD15=0,"",IF(AND(F15&lt;&gt;"",ISNA(MATCH(F15,PauschLand,0))),"Land nicht in der Liste; ","")&amp;IF(AND(T15=0,W15=0,Z15=0),"Beginn fehlt; ","")&amp;IF(AND(V15=0,U15=0,AA15=0),"Ende fehlt; ","")&amp;IF(AND(X15=1,U15=1,V15=0,N(D15)&lt;N(C15)),"Ende vor Beginn (über Mitternacht: Ende in die Zeile des Folgetags); ",""))</f>
      </c>
      <c r="AG15" s="1">
        <f>IF(AD15=0,0,IFERROR(VLOOKUP(IF(F15="","Deutschland",F15),PauschTab,2,FALSE),0))</f>
      </c>
      <c r="AH15" s="1">
        <f>IF(AD15=0,0,IFERROR(VLOOKUP(IF(F15="","Deutschland",F15),PauschTab,3,FALSE),0))</f>
      </c>
      <c r="AI15" s="1">
        <f>IF(AD15=0,0,IFERROR(VLOOKUP(IF(F15="","Deutschland",F15),PauschTab,4,FALSE),0))</f>
      </c>
      <c r="AJ15" s="1">
        <f>IF(OR(AD15=0,AF15&lt;&gt;""),0,IF(AND(W15=1,V15&gt;0),IF(OR(T15=1,U15=1),AH15,AG15),IF(OR(W15=1,V15&gt;0),AH15,IF(AA15=1,IF(AND(AE15+AQ15&gt;480,AE15&gt;=AQ15),AH15,0),IF(Z15=1,IF(AND(AR15+AE15&gt;480,AE15&gt;AR15),AH15,0),IF(AE15&gt;480,AH15,0))))))</f>
      </c>
      <c r="AK15" s="1">
        <f>MIN(AJ15,AM15)</f>
      </c>
      <c r="AL15" s="1">
        <f>IF(OR(AD15=0,AF15&lt;&gt;""),"",IF(AND(W15=0,V15=0,AA15=0,Z15=0,AE15&lt;=480),"nicht mehr als 8 Std.; ","")&amp;IF(AA15=1,IF(AJ15&gt;0,"über Mitternacht, zusammen "&amp;TEXT((AE15+AQ15)/1440,"[h]:mm")&amp;" Std.; ",IF(AE15+AQ15&gt;480,"über Mitternacht: Pauschale am Folgetag; ","über Mitternacht, zusammen nicht mehr als 8 Std.; ")),"")&amp;IF(Z15=1,IF(AJ15&gt;0,"über Mitternacht, zusammen "&amp;TEXT((AR15+AE15)/1440,"[h]:mm")&amp;" Std.; ",IF(AR15+AE15&gt;480,"über Mitternacht: Pauschale am Vortag; ","über Mitternacht, zusammen nicht mehr als 8 Std.; ")),"")&amp;IF(AND(W15=1,V15&gt;0,OR(T15=1,U15=1)),"zwischendurch zu Hause: An- und Abreisetag; ","")&amp;IF(AND(W15=1,V15=0,T15=1),"Beginn leer lassen: unterwegs seit dem Vortag; ","")&amp;IF(AND(W15=0,V15&gt;0,U15=1),"Ende leer lassen: Übernachtung; ","")&amp;IF(AND(AJ15&gt;0,AM15&gt;AJ15),"Kürzung auf die Pauschale begrenzt; ",""))</f>
      </c>
      <c r="AM15" s="1">
        <f>ROUND(AG15*(IF(H15&lt;&gt;"",0.2,0)+IF(I15&lt;&gt;"",0.4,0)+IF(J15&lt;&gt;"",0.4,0)),2)</f>
      </c>
      <c r="AN15" s="1">
        <f>IF($A16="",'September'!$T$5,T16)</f>
      </c>
      <c r="AO15" s="1">
        <f>IF($A16="",'September'!$U$5,U16)</f>
      </c>
      <c r="AP15" s="1">
        <f>IF($A16="",'September'!$V$5,V16)</f>
      </c>
      <c r="AQ15" s="1">
        <f>IF($A16="",'September'!$AE$5,AE16)</f>
      </c>
      <c r="AR15" s="1">
        <f>AE14</f>
      </c>
      <c r="AS15" s="1">
        <f>X14</f>
      </c>
      <c r="AT15" s="1">
        <f>U14</f>
      </c>
      <c r="AU15" s="1">
        <f>V14</f>
      </c>
    </row>
    <row r="16" spans="1:47" x14ac:dyDescent="0.25">
      <c r="A16" s="17">
        <f>IF(MONTH(DATE(Jahr,8,12))=8,DATE(Jahr,8,12),"")</f>
      </c>
      <c r="B16" s="13">
        <f>IF(A16="","",CHOOSE(WEEKDAY(A16,2),"Mo","Di","Mi","Do","Fr","Sa","So"))</f>
      </c>
      <c r="C16" s="18"/>
      <c r="D16" s="18"/>
      <c r="E16" s="7"/>
      <c r="F16" s="7"/>
      <c r="G16" s="7"/>
      <c r="H16" s="19"/>
      <c r="I16" s="19"/>
      <c r="J16" s="19"/>
      <c r="K16" s="9"/>
      <c r="L16" s="20">
        <f>IF(OR(AD16=0,AF16&lt;&gt;"",AND(W16=1,V16&gt;0,OR(T16=1,U16=1))),"",AE16/1440)</f>
      </c>
      <c r="M16" s="21">
        <f>IF(OR(AD16=0,AF16&lt;&gt;""),"",AJ16)</f>
      </c>
      <c r="N16" s="21">
        <f>IF(AK16=0,"",AK16)</f>
      </c>
      <c r="O16" s="21">
        <f>IF(OR(AD16=0,AF16&lt;&gt;""),"",AJ16-AK16)</f>
      </c>
      <c r="P16" s="21">
        <f>IF(AND(AD16=1,AF16="",V16=2),AI16,"")</f>
      </c>
      <c r="Q16" s="21">
        <f>IF(OR($A16="",N(K16)=0),"",ROUND(K16*KmSatz,2))</f>
      </c>
      <c r="R16" s="22">
        <f>IF(AF16&amp;AL16="","",LEFT(AF16&amp;AL16,LEN(AF16&amp;AL16)-2))</f>
      </c>
      <c r="S16" s="1"/>
      <c r="T16" s="1">
        <f>IF(AND($A16&lt;&gt;"",ISNUMBER(C16)),1,0)</f>
      </c>
      <c r="U16" s="1">
        <f>IF(AND($A16&lt;&gt;"",ISNUMBER(D16)),1,0)</f>
      </c>
      <c r="V16" s="1">
        <f>IF($A16="",0,IF(E16="ja",1,IF(E16="Pauschale",2,0)))</f>
      </c>
      <c r="W16" s="1">
        <f>IF($A16="",0,IF(AU16&gt;0,1,0))</f>
      </c>
      <c r="X16" s="1">
        <f>IF(AND(T16=1,W16=0),1,0)</f>
      </c>
      <c r="Y16" s="1">
        <f>IF(AND(AS16=1,AT16=0,AU16=0),1,0)</f>
      </c>
      <c r="Z16" s="1">
        <f>IF(AND(Y16=1,T16=0,U16=1,V16=0),1,0)</f>
      </c>
      <c r="AA16" s="1">
        <f>IF(AND(X16=1,U16=0,V16=0,AN16=0,AO16=1,AP16=0),1,0)</f>
      </c>
      <c r="AB16" s="1">
        <f>IF(OR(W16=1,Z16=1),0,IF(T16=1,C16,0))</f>
      </c>
      <c r="AC16" s="1">
        <f>IF(OR(V16&gt;0,AA16=1),1,IF(U16=1,D16,1))</f>
      </c>
      <c r="AD16" s="1">
        <f>IF($A16="",0,IF(OR(T16=1,U16=1,V16&gt;0,W16=1),1,0))</f>
      </c>
      <c r="AE16" s="1">
        <f>IF(AD16=0,0,ROUND((AC16-AB16)*1440,0))</f>
      </c>
      <c r="AF16" s="1">
        <f>IF(AD16=0,"",IF(AND(F16&lt;&gt;"",ISNA(MATCH(F16,PauschLand,0))),"Land nicht in der Liste; ","")&amp;IF(AND(T16=0,W16=0,Z16=0),"Beginn fehlt; ","")&amp;IF(AND(V16=0,U16=0,AA16=0),"Ende fehlt; ","")&amp;IF(AND(X16=1,U16=1,V16=0,N(D16)&lt;N(C16)),"Ende vor Beginn (über Mitternacht: Ende in die Zeile des Folgetags); ",""))</f>
      </c>
      <c r="AG16" s="1">
        <f>IF(AD16=0,0,IFERROR(VLOOKUP(IF(F16="","Deutschland",F16),PauschTab,2,FALSE),0))</f>
      </c>
      <c r="AH16" s="1">
        <f>IF(AD16=0,0,IFERROR(VLOOKUP(IF(F16="","Deutschland",F16),PauschTab,3,FALSE),0))</f>
      </c>
      <c r="AI16" s="1">
        <f>IF(AD16=0,0,IFERROR(VLOOKUP(IF(F16="","Deutschland",F16),PauschTab,4,FALSE),0))</f>
      </c>
      <c r="AJ16" s="1">
        <f>IF(OR(AD16=0,AF16&lt;&gt;""),0,IF(AND(W16=1,V16&gt;0),IF(OR(T16=1,U16=1),AH16,AG16),IF(OR(W16=1,V16&gt;0),AH16,IF(AA16=1,IF(AND(AE16+AQ16&gt;480,AE16&gt;=AQ16),AH16,0),IF(Z16=1,IF(AND(AR16+AE16&gt;480,AE16&gt;AR16),AH16,0),IF(AE16&gt;480,AH16,0))))))</f>
      </c>
      <c r="AK16" s="1">
        <f>MIN(AJ16,AM16)</f>
      </c>
      <c r="AL16" s="1">
        <f>IF(OR(AD16=0,AF16&lt;&gt;""),"",IF(AND(W16=0,V16=0,AA16=0,Z16=0,AE16&lt;=480),"nicht mehr als 8 Std.; ","")&amp;IF(AA16=1,IF(AJ16&gt;0,"über Mitternacht, zusammen "&amp;TEXT((AE16+AQ16)/1440,"[h]:mm")&amp;" Std.; ",IF(AE16+AQ16&gt;480,"über Mitternacht: Pauschale am Folgetag; ","über Mitternacht, zusammen nicht mehr als 8 Std.; ")),"")&amp;IF(Z16=1,IF(AJ16&gt;0,"über Mitternacht, zusammen "&amp;TEXT((AR16+AE16)/1440,"[h]:mm")&amp;" Std.; ",IF(AR16+AE16&gt;480,"über Mitternacht: Pauschale am Vortag; ","über Mitternacht, zusammen nicht mehr als 8 Std.; ")),"")&amp;IF(AND(W16=1,V16&gt;0,OR(T16=1,U16=1)),"zwischendurch zu Hause: An- und Abreisetag; ","")&amp;IF(AND(W16=1,V16=0,T16=1),"Beginn leer lassen: unterwegs seit dem Vortag; ","")&amp;IF(AND(W16=0,V16&gt;0,U16=1),"Ende leer lassen: Übernachtung; ","")&amp;IF(AND(AJ16&gt;0,AM16&gt;AJ16),"Kürzung auf die Pauschale begrenzt; ",""))</f>
      </c>
      <c r="AM16" s="1">
        <f>ROUND(AG16*(IF(H16&lt;&gt;"",0.2,0)+IF(I16&lt;&gt;"",0.4,0)+IF(J16&lt;&gt;"",0.4,0)),2)</f>
      </c>
      <c r="AN16" s="1">
        <f>IF($A17="",'September'!$T$5,T17)</f>
      </c>
      <c r="AO16" s="1">
        <f>IF($A17="",'September'!$U$5,U17)</f>
      </c>
      <c r="AP16" s="1">
        <f>IF($A17="",'September'!$V$5,V17)</f>
      </c>
      <c r="AQ16" s="1">
        <f>IF($A17="",'September'!$AE$5,AE17)</f>
      </c>
      <c r="AR16" s="1">
        <f>AE15</f>
      </c>
      <c r="AS16" s="1">
        <f>X15</f>
      </c>
      <c r="AT16" s="1">
        <f>U15</f>
      </c>
      <c r="AU16" s="1">
        <f>V15</f>
      </c>
    </row>
    <row r="17" spans="1:47" x14ac:dyDescent="0.25">
      <c r="A17" s="17">
        <f>IF(MONTH(DATE(Jahr,8,13))=8,DATE(Jahr,8,13),"")</f>
      </c>
      <c r="B17" s="13">
        <f>IF(A17="","",CHOOSE(WEEKDAY(A17,2),"Mo","Di","Mi","Do","Fr","Sa","So"))</f>
      </c>
      <c r="C17" s="18"/>
      <c r="D17" s="18"/>
      <c r="E17" s="7"/>
      <c r="F17" s="7"/>
      <c r="G17" s="7"/>
      <c r="H17" s="19"/>
      <c r="I17" s="19"/>
      <c r="J17" s="19"/>
      <c r="K17" s="9"/>
      <c r="L17" s="20">
        <f>IF(OR(AD17=0,AF17&lt;&gt;"",AND(W17=1,V17&gt;0,OR(T17=1,U17=1))),"",AE17/1440)</f>
      </c>
      <c r="M17" s="21">
        <f>IF(OR(AD17=0,AF17&lt;&gt;""),"",AJ17)</f>
      </c>
      <c r="N17" s="21">
        <f>IF(AK17=0,"",AK17)</f>
      </c>
      <c r="O17" s="21">
        <f>IF(OR(AD17=0,AF17&lt;&gt;""),"",AJ17-AK17)</f>
      </c>
      <c r="P17" s="21">
        <f>IF(AND(AD17=1,AF17="",V17=2),AI17,"")</f>
      </c>
      <c r="Q17" s="21">
        <f>IF(OR($A17="",N(K17)=0),"",ROUND(K17*KmSatz,2))</f>
      </c>
      <c r="R17" s="22">
        <f>IF(AF17&amp;AL17="","",LEFT(AF17&amp;AL17,LEN(AF17&amp;AL17)-2))</f>
      </c>
      <c r="S17" s="1"/>
      <c r="T17" s="1">
        <f>IF(AND($A17&lt;&gt;"",ISNUMBER(C17)),1,0)</f>
      </c>
      <c r="U17" s="1">
        <f>IF(AND($A17&lt;&gt;"",ISNUMBER(D17)),1,0)</f>
      </c>
      <c r="V17" s="1">
        <f>IF($A17="",0,IF(E17="ja",1,IF(E17="Pauschale",2,0)))</f>
      </c>
      <c r="W17" s="1">
        <f>IF($A17="",0,IF(AU17&gt;0,1,0))</f>
      </c>
      <c r="X17" s="1">
        <f>IF(AND(T17=1,W17=0),1,0)</f>
      </c>
      <c r="Y17" s="1">
        <f>IF(AND(AS17=1,AT17=0,AU17=0),1,0)</f>
      </c>
      <c r="Z17" s="1">
        <f>IF(AND(Y17=1,T17=0,U17=1,V17=0),1,0)</f>
      </c>
      <c r="AA17" s="1">
        <f>IF(AND(X17=1,U17=0,V17=0,AN17=0,AO17=1,AP17=0),1,0)</f>
      </c>
      <c r="AB17" s="1">
        <f>IF(OR(W17=1,Z17=1),0,IF(T17=1,C17,0))</f>
      </c>
      <c r="AC17" s="1">
        <f>IF(OR(V17&gt;0,AA17=1),1,IF(U17=1,D17,1))</f>
      </c>
      <c r="AD17" s="1">
        <f>IF($A17="",0,IF(OR(T17=1,U17=1,V17&gt;0,W17=1),1,0))</f>
      </c>
      <c r="AE17" s="1">
        <f>IF(AD17=0,0,ROUND((AC17-AB17)*1440,0))</f>
      </c>
      <c r="AF17" s="1">
        <f>IF(AD17=0,"",IF(AND(F17&lt;&gt;"",ISNA(MATCH(F17,PauschLand,0))),"Land nicht in der Liste; ","")&amp;IF(AND(T17=0,W17=0,Z17=0),"Beginn fehlt; ","")&amp;IF(AND(V17=0,U17=0,AA17=0),"Ende fehlt; ","")&amp;IF(AND(X17=1,U17=1,V17=0,N(D17)&lt;N(C17)),"Ende vor Beginn (über Mitternacht: Ende in die Zeile des Folgetags); ",""))</f>
      </c>
      <c r="AG17" s="1">
        <f>IF(AD17=0,0,IFERROR(VLOOKUP(IF(F17="","Deutschland",F17),PauschTab,2,FALSE),0))</f>
      </c>
      <c r="AH17" s="1">
        <f>IF(AD17=0,0,IFERROR(VLOOKUP(IF(F17="","Deutschland",F17),PauschTab,3,FALSE),0))</f>
      </c>
      <c r="AI17" s="1">
        <f>IF(AD17=0,0,IFERROR(VLOOKUP(IF(F17="","Deutschland",F17),PauschTab,4,FALSE),0))</f>
      </c>
      <c r="AJ17" s="1">
        <f>IF(OR(AD17=0,AF17&lt;&gt;""),0,IF(AND(W17=1,V17&gt;0),IF(OR(T17=1,U17=1),AH17,AG17),IF(OR(W17=1,V17&gt;0),AH17,IF(AA17=1,IF(AND(AE17+AQ17&gt;480,AE17&gt;=AQ17),AH17,0),IF(Z17=1,IF(AND(AR17+AE17&gt;480,AE17&gt;AR17),AH17,0),IF(AE17&gt;480,AH17,0))))))</f>
      </c>
      <c r="AK17" s="1">
        <f>MIN(AJ17,AM17)</f>
      </c>
      <c r="AL17" s="1">
        <f>IF(OR(AD17=0,AF17&lt;&gt;""),"",IF(AND(W17=0,V17=0,AA17=0,Z17=0,AE17&lt;=480),"nicht mehr als 8 Std.; ","")&amp;IF(AA17=1,IF(AJ17&gt;0,"über Mitternacht, zusammen "&amp;TEXT((AE17+AQ17)/1440,"[h]:mm")&amp;" Std.; ",IF(AE17+AQ17&gt;480,"über Mitternacht: Pauschale am Folgetag; ","über Mitternacht, zusammen nicht mehr als 8 Std.; ")),"")&amp;IF(Z17=1,IF(AJ17&gt;0,"über Mitternacht, zusammen "&amp;TEXT((AR17+AE17)/1440,"[h]:mm")&amp;" Std.; ",IF(AR17+AE17&gt;480,"über Mitternacht: Pauschale am Vortag; ","über Mitternacht, zusammen nicht mehr als 8 Std.; ")),"")&amp;IF(AND(W17=1,V17&gt;0,OR(T17=1,U17=1)),"zwischendurch zu Hause: An- und Abreisetag; ","")&amp;IF(AND(W17=1,V17=0,T17=1),"Beginn leer lassen: unterwegs seit dem Vortag; ","")&amp;IF(AND(W17=0,V17&gt;0,U17=1),"Ende leer lassen: Übernachtung; ","")&amp;IF(AND(AJ17&gt;0,AM17&gt;AJ17),"Kürzung auf die Pauschale begrenzt; ",""))</f>
      </c>
      <c r="AM17" s="1">
        <f>ROUND(AG17*(IF(H17&lt;&gt;"",0.2,0)+IF(I17&lt;&gt;"",0.4,0)+IF(J17&lt;&gt;"",0.4,0)),2)</f>
      </c>
      <c r="AN17" s="1">
        <f>IF($A18="",'September'!$T$5,T18)</f>
      </c>
      <c r="AO17" s="1">
        <f>IF($A18="",'September'!$U$5,U18)</f>
      </c>
      <c r="AP17" s="1">
        <f>IF($A18="",'September'!$V$5,V18)</f>
      </c>
      <c r="AQ17" s="1">
        <f>IF($A18="",'September'!$AE$5,AE18)</f>
      </c>
      <c r="AR17" s="1">
        <f>AE16</f>
      </c>
      <c r="AS17" s="1">
        <f>X16</f>
      </c>
      <c r="AT17" s="1">
        <f>U16</f>
      </c>
      <c r="AU17" s="1">
        <f>V16</f>
      </c>
    </row>
    <row r="18" spans="1:47" x14ac:dyDescent="0.25">
      <c r="A18" s="17">
        <f>IF(MONTH(DATE(Jahr,8,14))=8,DATE(Jahr,8,14),"")</f>
      </c>
      <c r="B18" s="13">
        <f>IF(A18="","",CHOOSE(WEEKDAY(A18,2),"Mo","Di","Mi","Do","Fr","Sa","So"))</f>
      </c>
      <c r="C18" s="18"/>
      <c r="D18" s="18"/>
      <c r="E18" s="7"/>
      <c r="F18" s="7"/>
      <c r="G18" s="7"/>
      <c r="H18" s="19"/>
      <c r="I18" s="19"/>
      <c r="J18" s="19"/>
      <c r="K18" s="9"/>
      <c r="L18" s="20">
        <f>IF(OR(AD18=0,AF18&lt;&gt;"",AND(W18=1,V18&gt;0,OR(T18=1,U18=1))),"",AE18/1440)</f>
      </c>
      <c r="M18" s="21">
        <f>IF(OR(AD18=0,AF18&lt;&gt;""),"",AJ18)</f>
      </c>
      <c r="N18" s="21">
        <f>IF(AK18=0,"",AK18)</f>
      </c>
      <c r="O18" s="21">
        <f>IF(OR(AD18=0,AF18&lt;&gt;""),"",AJ18-AK18)</f>
      </c>
      <c r="P18" s="21">
        <f>IF(AND(AD18=1,AF18="",V18=2),AI18,"")</f>
      </c>
      <c r="Q18" s="21">
        <f>IF(OR($A18="",N(K18)=0),"",ROUND(K18*KmSatz,2))</f>
      </c>
      <c r="R18" s="22">
        <f>IF(AF18&amp;AL18="","",LEFT(AF18&amp;AL18,LEN(AF18&amp;AL18)-2))</f>
      </c>
      <c r="S18" s="1"/>
      <c r="T18" s="1">
        <f>IF(AND($A18&lt;&gt;"",ISNUMBER(C18)),1,0)</f>
      </c>
      <c r="U18" s="1">
        <f>IF(AND($A18&lt;&gt;"",ISNUMBER(D18)),1,0)</f>
      </c>
      <c r="V18" s="1">
        <f>IF($A18="",0,IF(E18="ja",1,IF(E18="Pauschale",2,0)))</f>
      </c>
      <c r="W18" s="1">
        <f>IF($A18="",0,IF(AU18&gt;0,1,0))</f>
      </c>
      <c r="X18" s="1">
        <f>IF(AND(T18=1,W18=0),1,0)</f>
      </c>
      <c r="Y18" s="1">
        <f>IF(AND(AS18=1,AT18=0,AU18=0),1,0)</f>
      </c>
      <c r="Z18" s="1">
        <f>IF(AND(Y18=1,T18=0,U18=1,V18=0),1,0)</f>
      </c>
      <c r="AA18" s="1">
        <f>IF(AND(X18=1,U18=0,V18=0,AN18=0,AO18=1,AP18=0),1,0)</f>
      </c>
      <c r="AB18" s="1">
        <f>IF(OR(W18=1,Z18=1),0,IF(T18=1,C18,0))</f>
      </c>
      <c r="AC18" s="1">
        <f>IF(OR(V18&gt;0,AA18=1),1,IF(U18=1,D18,1))</f>
      </c>
      <c r="AD18" s="1">
        <f>IF($A18="",0,IF(OR(T18=1,U18=1,V18&gt;0,W18=1),1,0))</f>
      </c>
      <c r="AE18" s="1">
        <f>IF(AD18=0,0,ROUND((AC18-AB18)*1440,0))</f>
      </c>
      <c r="AF18" s="1">
        <f>IF(AD18=0,"",IF(AND(F18&lt;&gt;"",ISNA(MATCH(F18,PauschLand,0))),"Land nicht in der Liste; ","")&amp;IF(AND(T18=0,W18=0,Z18=0),"Beginn fehlt; ","")&amp;IF(AND(V18=0,U18=0,AA18=0),"Ende fehlt; ","")&amp;IF(AND(X18=1,U18=1,V18=0,N(D18)&lt;N(C18)),"Ende vor Beginn (über Mitternacht: Ende in die Zeile des Folgetags); ",""))</f>
      </c>
      <c r="AG18" s="1">
        <f>IF(AD18=0,0,IFERROR(VLOOKUP(IF(F18="","Deutschland",F18),PauschTab,2,FALSE),0))</f>
      </c>
      <c r="AH18" s="1">
        <f>IF(AD18=0,0,IFERROR(VLOOKUP(IF(F18="","Deutschland",F18),PauschTab,3,FALSE),0))</f>
      </c>
      <c r="AI18" s="1">
        <f>IF(AD18=0,0,IFERROR(VLOOKUP(IF(F18="","Deutschland",F18),PauschTab,4,FALSE),0))</f>
      </c>
      <c r="AJ18" s="1">
        <f>IF(OR(AD18=0,AF18&lt;&gt;""),0,IF(AND(W18=1,V18&gt;0),IF(OR(T18=1,U18=1),AH18,AG18),IF(OR(W18=1,V18&gt;0),AH18,IF(AA18=1,IF(AND(AE18+AQ18&gt;480,AE18&gt;=AQ18),AH18,0),IF(Z18=1,IF(AND(AR18+AE18&gt;480,AE18&gt;AR18),AH18,0),IF(AE18&gt;480,AH18,0))))))</f>
      </c>
      <c r="AK18" s="1">
        <f>MIN(AJ18,AM18)</f>
      </c>
      <c r="AL18" s="1">
        <f>IF(OR(AD18=0,AF18&lt;&gt;""),"",IF(AND(W18=0,V18=0,AA18=0,Z18=0,AE18&lt;=480),"nicht mehr als 8 Std.; ","")&amp;IF(AA18=1,IF(AJ18&gt;0,"über Mitternacht, zusammen "&amp;TEXT((AE18+AQ18)/1440,"[h]:mm")&amp;" Std.; ",IF(AE18+AQ18&gt;480,"über Mitternacht: Pauschale am Folgetag; ","über Mitternacht, zusammen nicht mehr als 8 Std.; ")),"")&amp;IF(Z18=1,IF(AJ18&gt;0,"über Mitternacht, zusammen "&amp;TEXT((AR18+AE18)/1440,"[h]:mm")&amp;" Std.; ",IF(AR18+AE18&gt;480,"über Mitternacht: Pauschale am Vortag; ","über Mitternacht, zusammen nicht mehr als 8 Std.; ")),"")&amp;IF(AND(W18=1,V18&gt;0,OR(T18=1,U18=1)),"zwischendurch zu Hause: An- und Abreisetag; ","")&amp;IF(AND(W18=1,V18=0,T18=1),"Beginn leer lassen: unterwegs seit dem Vortag; ","")&amp;IF(AND(W18=0,V18&gt;0,U18=1),"Ende leer lassen: Übernachtung; ","")&amp;IF(AND(AJ18&gt;0,AM18&gt;AJ18),"Kürzung auf die Pauschale begrenzt; ",""))</f>
      </c>
      <c r="AM18" s="1">
        <f>ROUND(AG18*(IF(H18&lt;&gt;"",0.2,0)+IF(I18&lt;&gt;"",0.4,0)+IF(J18&lt;&gt;"",0.4,0)),2)</f>
      </c>
      <c r="AN18" s="1">
        <f>IF($A19="",'September'!$T$5,T19)</f>
      </c>
      <c r="AO18" s="1">
        <f>IF($A19="",'September'!$U$5,U19)</f>
      </c>
      <c r="AP18" s="1">
        <f>IF($A19="",'September'!$V$5,V19)</f>
      </c>
      <c r="AQ18" s="1">
        <f>IF($A19="",'September'!$AE$5,AE19)</f>
      </c>
      <c r="AR18" s="1">
        <f>AE17</f>
      </c>
      <c r="AS18" s="1">
        <f>X17</f>
      </c>
      <c r="AT18" s="1">
        <f>U17</f>
      </c>
      <c r="AU18" s="1">
        <f>V17</f>
      </c>
    </row>
    <row r="19" spans="1:47" x14ac:dyDescent="0.25">
      <c r="A19" s="17">
        <f>IF(MONTH(DATE(Jahr,8,15))=8,DATE(Jahr,8,15),"")</f>
      </c>
      <c r="B19" s="13">
        <f>IF(A19="","",CHOOSE(WEEKDAY(A19,2),"Mo","Di","Mi","Do","Fr","Sa","So"))</f>
      </c>
      <c r="C19" s="18"/>
      <c r="D19" s="18"/>
      <c r="E19" s="7"/>
      <c r="F19" s="7"/>
      <c r="G19" s="7"/>
      <c r="H19" s="19"/>
      <c r="I19" s="19"/>
      <c r="J19" s="19"/>
      <c r="K19" s="9"/>
      <c r="L19" s="20">
        <f>IF(OR(AD19=0,AF19&lt;&gt;"",AND(W19=1,V19&gt;0,OR(T19=1,U19=1))),"",AE19/1440)</f>
      </c>
      <c r="M19" s="21">
        <f>IF(OR(AD19=0,AF19&lt;&gt;""),"",AJ19)</f>
      </c>
      <c r="N19" s="21">
        <f>IF(AK19=0,"",AK19)</f>
      </c>
      <c r="O19" s="21">
        <f>IF(OR(AD19=0,AF19&lt;&gt;""),"",AJ19-AK19)</f>
      </c>
      <c r="P19" s="21">
        <f>IF(AND(AD19=1,AF19="",V19=2),AI19,"")</f>
      </c>
      <c r="Q19" s="21">
        <f>IF(OR($A19="",N(K19)=0),"",ROUND(K19*KmSatz,2))</f>
      </c>
      <c r="R19" s="22">
        <f>IF(AF19&amp;AL19="","",LEFT(AF19&amp;AL19,LEN(AF19&amp;AL19)-2))</f>
      </c>
      <c r="S19" s="1"/>
      <c r="T19" s="1">
        <f>IF(AND($A19&lt;&gt;"",ISNUMBER(C19)),1,0)</f>
      </c>
      <c r="U19" s="1">
        <f>IF(AND($A19&lt;&gt;"",ISNUMBER(D19)),1,0)</f>
      </c>
      <c r="V19" s="1">
        <f>IF($A19="",0,IF(E19="ja",1,IF(E19="Pauschale",2,0)))</f>
      </c>
      <c r="W19" s="1">
        <f>IF($A19="",0,IF(AU19&gt;0,1,0))</f>
      </c>
      <c r="X19" s="1">
        <f>IF(AND(T19=1,W19=0),1,0)</f>
      </c>
      <c r="Y19" s="1">
        <f>IF(AND(AS19=1,AT19=0,AU19=0),1,0)</f>
      </c>
      <c r="Z19" s="1">
        <f>IF(AND(Y19=1,T19=0,U19=1,V19=0),1,0)</f>
      </c>
      <c r="AA19" s="1">
        <f>IF(AND(X19=1,U19=0,V19=0,AN19=0,AO19=1,AP19=0),1,0)</f>
      </c>
      <c r="AB19" s="1">
        <f>IF(OR(W19=1,Z19=1),0,IF(T19=1,C19,0))</f>
      </c>
      <c r="AC19" s="1">
        <f>IF(OR(V19&gt;0,AA19=1),1,IF(U19=1,D19,1))</f>
      </c>
      <c r="AD19" s="1">
        <f>IF($A19="",0,IF(OR(T19=1,U19=1,V19&gt;0,W19=1),1,0))</f>
      </c>
      <c r="AE19" s="1">
        <f>IF(AD19=0,0,ROUND((AC19-AB19)*1440,0))</f>
      </c>
      <c r="AF19" s="1">
        <f>IF(AD19=0,"",IF(AND(F19&lt;&gt;"",ISNA(MATCH(F19,PauschLand,0))),"Land nicht in der Liste; ","")&amp;IF(AND(T19=0,W19=0,Z19=0),"Beginn fehlt; ","")&amp;IF(AND(V19=0,U19=0,AA19=0),"Ende fehlt; ","")&amp;IF(AND(X19=1,U19=1,V19=0,N(D19)&lt;N(C19)),"Ende vor Beginn (über Mitternacht: Ende in die Zeile des Folgetags); ",""))</f>
      </c>
      <c r="AG19" s="1">
        <f>IF(AD19=0,0,IFERROR(VLOOKUP(IF(F19="","Deutschland",F19),PauschTab,2,FALSE),0))</f>
      </c>
      <c r="AH19" s="1">
        <f>IF(AD19=0,0,IFERROR(VLOOKUP(IF(F19="","Deutschland",F19),PauschTab,3,FALSE),0))</f>
      </c>
      <c r="AI19" s="1">
        <f>IF(AD19=0,0,IFERROR(VLOOKUP(IF(F19="","Deutschland",F19),PauschTab,4,FALSE),0))</f>
      </c>
      <c r="AJ19" s="1">
        <f>IF(OR(AD19=0,AF19&lt;&gt;""),0,IF(AND(W19=1,V19&gt;0),IF(OR(T19=1,U19=1),AH19,AG19),IF(OR(W19=1,V19&gt;0),AH19,IF(AA19=1,IF(AND(AE19+AQ19&gt;480,AE19&gt;=AQ19),AH19,0),IF(Z19=1,IF(AND(AR19+AE19&gt;480,AE19&gt;AR19),AH19,0),IF(AE19&gt;480,AH19,0))))))</f>
      </c>
      <c r="AK19" s="1">
        <f>MIN(AJ19,AM19)</f>
      </c>
      <c r="AL19" s="1">
        <f>IF(OR(AD19=0,AF19&lt;&gt;""),"",IF(AND(W19=0,V19=0,AA19=0,Z19=0,AE19&lt;=480),"nicht mehr als 8 Std.; ","")&amp;IF(AA19=1,IF(AJ19&gt;0,"über Mitternacht, zusammen "&amp;TEXT((AE19+AQ19)/1440,"[h]:mm")&amp;" Std.; ",IF(AE19+AQ19&gt;480,"über Mitternacht: Pauschale am Folgetag; ","über Mitternacht, zusammen nicht mehr als 8 Std.; ")),"")&amp;IF(Z19=1,IF(AJ19&gt;0,"über Mitternacht, zusammen "&amp;TEXT((AR19+AE19)/1440,"[h]:mm")&amp;" Std.; ",IF(AR19+AE19&gt;480,"über Mitternacht: Pauschale am Vortag; ","über Mitternacht, zusammen nicht mehr als 8 Std.; ")),"")&amp;IF(AND(W19=1,V19&gt;0,OR(T19=1,U19=1)),"zwischendurch zu Hause: An- und Abreisetag; ","")&amp;IF(AND(W19=1,V19=0,T19=1),"Beginn leer lassen: unterwegs seit dem Vortag; ","")&amp;IF(AND(W19=0,V19&gt;0,U19=1),"Ende leer lassen: Übernachtung; ","")&amp;IF(AND(AJ19&gt;0,AM19&gt;AJ19),"Kürzung auf die Pauschale begrenzt; ",""))</f>
      </c>
      <c r="AM19" s="1">
        <f>ROUND(AG19*(IF(H19&lt;&gt;"",0.2,0)+IF(I19&lt;&gt;"",0.4,0)+IF(J19&lt;&gt;"",0.4,0)),2)</f>
      </c>
      <c r="AN19" s="1">
        <f>IF($A20="",'September'!$T$5,T20)</f>
      </c>
      <c r="AO19" s="1">
        <f>IF($A20="",'September'!$U$5,U20)</f>
      </c>
      <c r="AP19" s="1">
        <f>IF($A20="",'September'!$V$5,V20)</f>
      </c>
      <c r="AQ19" s="1">
        <f>IF($A20="",'September'!$AE$5,AE20)</f>
      </c>
      <c r="AR19" s="1">
        <f>AE18</f>
      </c>
      <c r="AS19" s="1">
        <f>X18</f>
      </c>
      <c r="AT19" s="1">
        <f>U18</f>
      </c>
      <c r="AU19" s="1">
        <f>V18</f>
      </c>
    </row>
    <row r="20" spans="1:47" x14ac:dyDescent="0.25">
      <c r="A20" s="17">
        <f>IF(MONTH(DATE(Jahr,8,16))=8,DATE(Jahr,8,16),"")</f>
      </c>
      <c r="B20" s="13">
        <f>IF(A20="","",CHOOSE(WEEKDAY(A20,2),"Mo","Di","Mi","Do","Fr","Sa","So"))</f>
      </c>
      <c r="C20" s="18"/>
      <c r="D20" s="18"/>
      <c r="E20" s="7"/>
      <c r="F20" s="7"/>
      <c r="G20" s="7"/>
      <c r="H20" s="19"/>
      <c r="I20" s="19"/>
      <c r="J20" s="19"/>
      <c r="K20" s="9"/>
      <c r="L20" s="20">
        <f>IF(OR(AD20=0,AF20&lt;&gt;"",AND(W20=1,V20&gt;0,OR(T20=1,U20=1))),"",AE20/1440)</f>
      </c>
      <c r="M20" s="21">
        <f>IF(OR(AD20=0,AF20&lt;&gt;""),"",AJ20)</f>
      </c>
      <c r="N20" s="21">
        <f>IF(AK20=0,"",AK20)</f>
      </c>
      <c r="O20" s="21">
        <f>IF(OR(AD20=0,AF20&lt;&gt;""),"",AJ20-AK20)</f>
      </c>
      <c r="P20" s="21">
        <f>IF(AND(AD20=1,AF20="",V20=2),AI20,"")</f>
      </c>
      <c r="Q20" s="21">
        <f>IF(OR($A20="",N(K20)=0),"",ROUND(K20*KmSatz,2))</f>
      </c>
      <c r="R20" s="22">
        <f>IF(AF20&amp;AL20="","",LEFT(AF20&amp;AL20,LEN(AF20&amp;AL20)-2))</f>
      </c>
      <c r="S20" s="1"/>
      <c r="T20" s="1">
        <f>IF(AND($A20&lt;&gt;"",ISNUMBER(C20)),1,0)</f>
      </c>
      <c r="U20" s="1">
        <f>IF(AND($A20&lt;&gt;"",ISNUMBER(D20)),1,0)</f>
      </c>
      <c r="V20" s="1">
        <f>IF($A20="",0,IF(E20="ja",1,IF(E20="Pauschale",2,0)))</f>
      </c>
      <c r="W20" s="1">
        <f>IF($A20="",0,IF(AU20&gt;0,1,0))</f>
      </c>
      <c r="X20" s="1">
        <f>IF(AND(T20=1,W20=0),1,0)</f>
      </c>
      <c r="Y20" s="1">
        <f>IF(AND(AS20=1,AT20=0,AU20=0),1,0)</f>
      </c>
      <c r="Z20" s="1">
        <f>IF(AND(Y20=1,T20=0,U20=1,V20=0),1,0)</f>
      </c>
      <c r="AA20" s="1">
        <f>IF(AND(X20=1,U20=0,V20=0,AN20=0,AO20=1,AP20=0),1,0)</f>
      </c>
      <c r="AB20" s="1">
        <f>IF(OR(W20=1,Z20=1),0,IF(T20=1,C20,0))</f>
      </c>
      <c r="AC20" s="1">
        <f>IF(OR(V20&gt;0,AA20=1),1,IF(U20=1,D20,1))</f>
      </c>
      <c r="AD20" s="1">
        <f>IF($A20="",0,IF(OR(T20=1,U20=1,V20&gt;0,W20=1),1,0))</f>
      </c>
      <c r="AE20" s="1">
        <f>IF(AD20=0,0,ROUND((AC20-AB20)*1440,0))</f>
      </c>
      <c r="AF20" s="1">
        <f>IF(AD20=0,"",IF(AND(F20&lt;&gt;"",ISNA(MATCH(F20,PauschLand,0))),"Land nicht in der Liste; ","")&amp;IF(AND(T20=0,W20=0,Z20=0),"Beginn fehlt; ","")&amp;IF(AND(V20=0,U20=0,AA20=0),"Ende fehlt; ","")&amp;IF(AND(X20=1,U20=1,V20=0,N(D20)&lt;N(C20)),"Ende vor Beginn (über Mitternacht: Ende in die Zeile des Folgetags); ",""))</f>
      </c>
      <c r="AG20" s="1">
        <f>IF(AD20=0,0,IFERROR(VLOOKUP(IF(F20="","Deutschland",F20),PauschTab,2,FALSE),0))</f>
      </c>
      <c r="AH20" s="1">
        <f>IF(AD20=0,0,IFERROR(VLOOKUP(IF(F20="","Deutschland",F20),PauschTab,3,FALSE),0))</f>
      </c>
      <c r="AI20" s="1">
        <f>IF(AD20=0,0,IFERROR(VLOOKUP(IF(F20="","Deutschland",F20),PauschTab,4,FALSE),0))</f>
      </c>
      <c r="AJ20" s="1">
        <f>IF(OR(AD20=0,AF20&lt;&gt;""),0,IF(AND(W20=1,V20&gt;0),IF(OR(T20=1,U20=1),AH20,AG20),IF(OR(W20=1,V20&gt;0),AH20,IF(AA20=1,IF(AND(AE20+AQ20&gt;480,AE20&gt;=AQ20),AH20,0),IF(Z20=1,IF(AND(AR20+AE20&gt;480,AE20&gt;AR20),AH20,0),IF(AE20&gt;480,AH20,0))))))</f>
      </c>
      <c r="AK20" s="1">
        <f>MIN(AJ20,AM20)</f>
      </c>
      <c r="AL20" s="1">
        <f>IF(OR(AD20=0,AF20&lt;&gt;""),"",IF(AND(W20=0,V20=0,AA20=0,Z20=0,AE20&lt;=480),"nicht mehr als 8 Std.; ","")&amp;IF(AA20=1,IF(AJ20&gt;0,"über Mitternacht, zusammen "&amp;TEXT((AE20+AQ20)/1440,"[h]:mm")&amp;" Std.; ",IF(AE20+AQ20&gt;480,"über Mitternacht: Pauschale am Folgetag; ","über Mitternacht, zusammen nicht mehr als 8 Std.; ")),"")&amp;IF(Z20=1,IF(AJ20&gt;0,"über Mitternacht, zusammen "&amp;TEXT((AR20+AE20)/1440,"[h]:mm")&amp;" Std.; ",IF(AR20+AE20&gt;480,"über Mitternacht: Pauschale am Vortag; ","über Mitternacht, zusammen nicht mehr als 8 Std.; ")),"")&amp;IF(AND(W20=1,V20&gt;0,OR(T20=1,U20=1)),"zwischendurch zu Hause: An- und Abreisetag; ","")&amp;IF(AND(W20=1,V20=0,T20=1),"Beginn leer lassen: unterwegs seit dem Vortag; ","")&amp;IF(AND(W20=0,V20&gt;0,U20=1),"Ende leer lassen: Übernachtung; ","")&amp;IF(AND(AJ20&gt;0,AM20&gt;AJ20),"Kürzung auf die Pauschale begrenzt; ",""))</f>
      </c>
      <c r="AM20" s="1">
        <f>ROUND(AG20*(IF(H20&lt;&gt;"",0.2,0)+IF(I20&lt;&gt;"",0.4,0)+IF(J20&lt;&gt;"",0.4,0)),2)</f>
      </c>
      <c r="AN20" s="1">
        <f>IF($A21="",'September'!$T$5,T21)</f>
      </c>
      <c r="AO20" s="1">
        <f>IF($A21="",'September'!$U$5,U21)</f>
      </c>
      <c r="AP20" s="1">
        <f>IF($A21="",'September'!$V$5,V21)</f>
      </c>
      <c r="AQ20" s="1">
        <f>IF($A21="",'September'!$AE$5,AE21)</f>
      </c>
      <c r="AR20" s="1">
        <f>AE19</f>
      </c>
      <c r="AS20" s="1">
        <f>X19</f>
      </c>
      <c r="AT20" s="1">
        <f>U19</f>
      </c>
      <c r="AU20" s="1">
        <f>V19</f>
      </c>
    </row>
    <row r="21" spans="1:47" x14ac:dyDescent="0.25">
      <c r="A21" s="17">
        <f>IF(MONTH(DATE(Jahr,8,17))=8,DATE(Jahr,8,17),"")</f>
      </c>
      <c r="B21" s="13">
        <f>IF(A21="","",CHOOSE(WEEKDAY(A21,2),"Mo","Di","Mi","Do","Fr","Sa","So"))</f>
      </c>
      <c r="C21" s="18"/>
      <c r="D21" s="18"/>
      <c r="E21" s="7"/>
      <c r="F21" s="7"/>
      <c r="G21" s="7"/>
      <c r="H21" s="19"/>
      <c r="I21" s="19"/>
      <c r="J21" s="19"/>
      <c r="K21" s="9"/>
      <c r="L21" s="20">
        <f>IF(OR(AD21=0,AF21&lt;&gt;"",AND(W21=1,V21&gt;0,OR(T21=1,U21=1))),"",AE21/1440)</f>
      </c>
      <c r="M21" s="21">
        <f>IF(OR(AD21=0,AF21&lt;&gt;""),"",AJ21)</f>
      </c>
      <c r="N21" s="21">
        <f>IF(AK21=0,"",AK21)</f>
      </c>
      <c r="O21" s="21">
        <f>IF(OR(AD21=0,AF21&lt;&gt;""),"",AJ21-AK21)</f>
      </c>
      <c r="P21" s="21">
        <f>IF(AND(AD21=1,AF21="",V21=2),AI21,"")</f>
      </c>
      <c r="Q21" s="21">
        <f>IF(OR($A21="",N(K21)=0),"",ROUND(K21*KmSatz,2))</f>
      </c>
      <c r="R21" s="22">
        <f>IF(AF21&amp;AL21="","",LEFT(AF21&amp;AL21,LEN(AF21&amp;AL21)-2))</f>
      </c>
      <c r="S21" s="1"/>
      <c r="T21" s="1">
        <f>IF(AND($A21&lt;&gt;"",ISNUMBER(C21)),1,0)</f>
      </c>
      <c r="U21" s="1">
        <f>IF(AND($A21&lt;&gt;"",ISNUMBER(D21)),1,0)</f>
      </c>
      <c r="V21" s="1">
        <f>IF($A21="",0,IF(E21="ja",1,IF(E21="Pauschale",2,0)))</f>
      </c>
      <c r="W21" s="1">
        <f>IF($A21="",0,IF(AU21&gt;0,1,0))</f>
      </c>
      <c r="X21" s="1">
        <f>IF(AND(T21=1,W21=0),1,0)</f>
      </c>
      <c r="Y21" s="1">
        <f>IF(AND(AS21=1,AT21=0,AU21=0),1,0)</f>
      </c>
      <c r="Z21" s="1">
        <f>IF(AND(Y21=1,T21=0,U21=1,V21=0),1,0)</f>
      </c>
      <c r="AA21" s="1">
        <f>IF(AND(X21=1,U21=0,V21=0,AN21=0,AO21=1,AP21=0),1,0)</f>
      </c>
      <c r="AB21" s="1">
        <f>IF(OR(W21=1,Z21=1),0,IF(T21=1,C21,0))</f>
      </c>
      <c r="AC21" s="1">
        <f>IF(OR(V21&gt;0,AA21=1),1,IF(U21=1,D21,1))</f>
      </c>
      <c r="AD21" s="1">
        <f>IF($A21="",0,IF(OR(T21=1,U21=1,V21&gt;0,W21=1),1,0))</f>
      </c>
      <c r="AE21" s="1">
        <f>IF(AD21=0,0,ROUND((AC21-AB21)*1440,0))</f>
      </c>
      <c r="AF21" s="1">
        <f>IF(AD21=0,"",IF(AND(F21&lt;&gt;"",ISNA(MATCH(F21,PauschLand,0))),"Land nicht in der Liste; ","")&amp;IF(AND(T21=0,W21=0,Z21=0),"Beginn fehlt; ","")&amp;IF(AND(V21=0,U21=0,AA21=0),"Ende fehlt; ","")&amp;IF(AND(X21=1,U21=1,V21=0,N(D21)&lt;N(C21)),"Ende vor Beginn (über Mitternacht: Ende in die Zeile des Folgetags); ",""))</f>
      </c>
      <c r="AG21" s="1">
        <f>IF(AD21=0,0,IFERROR(VLOOKUP(IF(F21="","Deutschland",F21),PauschTab,2,FALSE),0))</f>
      </c>
      <c r="AH21" s="1">
        <f>IF(AD21=0,0,IFERROR(VLOOKUP(IF(F21="","Deutschland",F21),PauschTab,3,FALSE),0))</f>
      </c>
      <c r="AI21" s="1">
        <f>IF(AD21=0,0,IFERROR(VLOOKUP(IF(F21="","Deutschland",F21),PauschTab,4,FALSE),0))</f>
      </c>
      <c r="AJ21" s="1">
        <f>IF(OR(AD21=0,AF21&lt;&gt;""),0,IF(AND(W21=1,V21&gt;0),IF(OR(T21=1,U21=1),AH21,AG21),IF(OR(W21=1,V21&gt;0),AH21,IF(AA21=1,IF(AND(AE21+AQ21&gt;480,AE21&gt;=AQ21),AH21,0),IF(Z21=1,IF(AND(AR21+AE21&gt;480,AE21&gt;AR21),AH21,0),IF(AE21&gt;480,AH21,0))))))</f>
      </c>
      <c r="AK21" s="1">
        <f>MIN(AJ21,AM21)</f>
      </c>
      <c r="AL21" s="1">
        <f>IF(OR(AD21=0,AF21&lt;&gt;""),"",IF(AND(W21=0,V21=0,AA21=0,Z21=0,AE21&lt;=480),"nicht mehr als 8 Std.; ","")&amp;IF(AA21=1,IF(AJ21&gt;0,"über Mitternacht, zusammen "&amp;TEXT((AE21+AQ21)/1440,"[h]:mm")&amp;" Std.; ",IF(AE21+AQ21&gt;480,"über Mitternacht: Pauschale am Folgetag; ","über Mitternacht, zusammen nicht mehr als 8 Std.; ")),"")&amp;IF(Z21=1,IF(AJ21&gt;0,"über Mitternacht, zusammen "&amp;TEXT((AR21+AE21)/1440,"[h]:mm")&amp;" Std.; ",IF(AR21+AE21&gt;480,"über Mitternacht: Pauschale am Vortag; ","über Mitternacht, zusammen nicht mehr als 8 Std.; ")),"")&amp;IF(AND(W21=1,V21&gt;0,OR(T21=1,U21=1)),"zwischendurch zu Hause: An- und Abreisetag; ","")&amp;IF(AND(W21=1,V21=0,T21=1),"Beginn leer lassen: unterwegs seit dem Vortag; ","")&amp;IF(AND(W21=0,V21&gt;0,U21=1),"Ende leer lassen: Übernachtung; ","")&amp;IF(AND(AJ21&gt;0,AM21&gt;AJ21),"Kürzung auf die Pauschale begrenzt; ",""))</f>
      </c>
      <c r="AM21" s="1">
        <f>ROUND(AG21*(IF(H21&lt;&gt;"",0.2,0)+IF(I21&lt;&gt;"",0.4,0)+IF(J21&lt;&gt;"",0.4,0)),2)</f>
      </c>
      <c r="AN21" s="1">
        <f>IF($A22="",'September'!$T$5,T22)</f>
      </c>
      <c r="AO21" s="1">
        <f>IF($A22="",'September'!$U$5,U22)</f>
      </c>
      <c r="AP21" s="1">
        <f>IF($A22="",'September'!$V$5,V22)</f>
      </c>
      <c r="AQ21" s="1">
        <f>IF($A22="",'September'!$AE$5,AE22)</f>
      </c>
      <c r="AR21" s="1">
        <f>AE20</f>
      </c>
      <c r="AS21" s="1">
        <f>X20</f>
      </c>
      <c r="AT21" s="1">
        <f>U20</f>
      </c>
      <c r="AU21" s="1">
        <f>V20</f>
      </c>
    </row>
    <row r="22" spans="1:47" x14ac:dyDescent="0.25">
      <c r="A22" s="17">
        <f>IF(MONTH(DATE(Jahr,8,18))=8,DATE(Jahr,8,18),"")</f>
      </c>
      <c r="B22" s="13">
        <f>IF(A22="","",CHOOSE(WEEKDAY(A22,2),"Mo","Di","Mi","Do","Fr","Sa","So"))</f>
      </c>
      <c r="C22" s="18"/>
      <c r="D22" s="18"/>
      <c r="E22" s="7"/>
      <c r="F22" s="7"/>
      <c r="G22" s="7"/>
      <c r="H22" s="19"/>
      <c r="I22" s="19"/>
      <c r="J22" s="19"/>
      <c r="K22" s="9"/>
      <c r="L22" s="20">
        <f>IF(OR(AD22=0,AF22&lt;&gt;"",AND(W22=1,V22&gt;0,OR(T22=1,U22=1))),"",AE22/1440)</f>
      </c>
      <c r="M22" s="21">
        <f>IF(OR(AD22=0,AF22&lt;&gt;""),"",AJ22)</f>
      </c>
      <c r="N22" s="21">
        <f>IF(AK22=0,"",AK22)</f>
      </c>
      <c r="O22" s="21">
        <f>IF(OR(AD22=0,AF22&lt;&gt;""),"",AJ22-AK22)</f>
      </c>
      <c r="P22" s="21">
        <f>IF(AND(AD22=1,AF22="",V22=2),AI22,"")</f>
      </c>
      <c r="Q22" s="21">
        <f>IF(OR($A22="",N(K22)=0),"",ROUND(K22*KmSatz,2))</f>
      </c>
      <c r="R22" s="22">
        <f>IF(AF22&amp;AL22="","",LEFT(AF22&amp;AL22,LEN(AF22&amp;AL22)-2))</f>
      </c>
      <c r="S22" s="1"/>
      <c r="T22" s="1">
        <f>IF(AND($A22&lt;&gt;"",ISNUMBER(C22)),1,0)</f>
      </c>
      <c r="U22" s="1">
        <f>IF(AND($A22&lt;&gt;"",ISNUMBER(D22)),1,0)</f>
      </c>
      <c r="V22" s="1">
        <f>IF($A22="",0,IF(E22="ja",1,IF(E22="Pauschale",2,0)))</f>
      </c>
      <c r="W22" s="1">
        <f>IF($A22="",0,IF(AU22&gt;0,1,0))</f>
      </c>
      <c r="X22" s="1">
        <f>IF(AND(T22=1,W22=0),1,0)</f>
      </c>
      <c r="Y22" s="1">
        <f>IF(AND(AS22=1,AT22=0,AU22=0),1,0)</f>
      </c>
      <c r="Z22" s="1">
        <f>IF(AND(Y22=1,T22=0,U22=1,V22=0),1,0)</f>
      </c>
      <c r="AA22" s="1">
        <f>IF(AND(X22=1,U22=0,V22=0,AN22=0,AO22=1,AP22=0),1,0)</f>
      </c>
      <c r="AB22" s="1">
        <f>IF(OR(W22=1,Z22=1),0,IF(T22=1,C22,0))</f>
      </c>
      <c r="AC22" s="1">
        <f>IF(OR(V22&gt;0,AA22=1),1,IF(U22=1,D22,1))</f>
      </c>
      <c r="AD22" s="1">
        <f>IF($A22="",0,IF(OR(T22=1,U22=1,V22&gt;0,W22=1),1,0))</f>
      </c>
      <c r="AE22" s="1">
        <f>IF(AD22=0,0,ROUND((AC22-AB22)*1440,0))</f>
      </c>
      <c r="AF22" s="1">
        <f>IF(AD22=0,"",IF(AND(F22&lt;&gt;"",ISNA(MATCH(F22,PauschLand,0))),"Land nicht in der Liste; ","")&amp;IF(AND(T22=0,W22=0,Z22=0),"Beginn fehlt; ","")&amp;IF(AND(V22=0,U22=0,AA22=0),"Ende fehlt; ","")&amp;IF(AND(X22=1,U22=1,V22=0,N(D22)&lt;N(C22)),"Ende vor Beginn (über Mitternacht: Ende in die Zeile des Folgetags); ",""))</f>
      </c>
      <c r="AG22" s="1">
        <f>IF(AD22=0,0,IFERROR(VLOOKUP(IF(F22="","Deutschland",F22),PauschTab,2,FALSE),0))</f>
      </c>
      <c r="AH22" s="1">
        <f>IF(AD22=0,0,IFERROR(VLOOKUP(IF(F22="","Deutschland",F22),PauschTab,3,FALSE),0))</f>
      </c>
      <c r="AI22" s="1">
        <f>IF(AD22=0,0,IFERROR(VLOOKUP(IF(F22="","Deutschland",F22),PauschTab,4,FALSE),0))</f>
      </c>
      <c r="AJ22" s="1">
        <f>IF(OR(AD22=0,AF22&lt;&gt;""),0,IF(AND(W22=1,V22&gt;0),IF(OR(T22=1,U22=1),AH22,AG22),IF(OR(W22=1,V22&gt;0),AH22,IF(AA22=1,IF(AND(AE22+AQ22&gt;480,AE22&gt;=AQ22),AH22,0),IF(Z22=1,IF(AND(AR22+AE22&gt;480,AE22&gt;AR22),AH22,0),IF(AE22&gt;480,AH22,0))))))</f>
      </c>
      <c r="AK22" s="1">
        <f>MIN(AJ22,AM22)</f>
      </c>
      <c r="AL22" s="1">
        <f>IF(OR(AD22=0,AF22&lt;&gt;""),"",IF(AND(W22=0,V22=0,AA22=0,Z22=0,AE22&lt;=480),"nicht mehr als 8 Std.; ","")&amp;IF(AA22=1,IF(AJ22&gt;0,"über Mitternacht, zusammen "&amp;TEXT((AE22+AQ22)/1440,"[h]:mm")&amp;" Std.; ",IF(AE22+AQ22&gt;480,"über Mitternacht: Pauschale am Folgetag; ","über Mitternacht, zusammen nicht mehr als 8 Std.; ")),"")&amp;IF(Z22=1,IF(AJ22&gt;0,"über Mitternacht, zusammen "&amp;TEXT((AR22+AE22)/1440,"[h]:mm")&amp;" Std.; ",IF(AR22+AE22&gt;480,"über Mitternacht: Pauschale am Vortag; ","über Mitternacht, zusammen nicht mehr als 8 Std.; ")),"")&amp;IF(AND(W22=1,V22&gt;0,OR(T22=1,U22=1)),"zwischendurch zu Hause: An- und Abreisetag; ","")&amp;IF(AND(W22=1,V22=0,T22=1),"Beginn leer lassen: unterwegs seit dem Vortag; ","")&amp;IF(AND(W22=0,V22&gt;0,U22=1),"Ende leer lassen: Übernachtung; ","")&amp;IF(AND(AJ22&gt;0,AM22&gt;AJ22),"Kürzung auf die Pauschale begrenzt; ",""))</f>
      </c>
      <c r="AM22" s="1">
        <f>ROUND(AG22*(IF(H22&lt;&gt;"",0.2,0)+IF(I22&lt;&gt;"",0.4,0)+IF(J22&lt;&gt;"",0.4,0)),2)</f>
      </c>
      <c r="AN22" s="1">
        <f>IF($A23="",'September'!$T$5,T23)</f>
      </c>
      <c r="AO22" s="1">
        <f>IF($A23="",'September'!$U$5,U23)</f>
      </c>
      <c r="AP22" s="1">
        <f>IF($A23="",'September'!$V$5,V23)</f>
      </c>
      <c r="AQ22" s="1">
        <f>IF($A23="",'September'!$AE$5,AE23)</f>
      </c>
      <c r="AR22" s="1">
        <f>AE21</f>
      </c>
      <c r="AS22" s="1">
        <f>X21</f>
      </c>
      <c r="AT22" s="1">
        <f>U21</f>
      </c>
      <c r="AU22" s="1">
        <f>V21</f>
      </c>
    </row>
    <row r="23" spans="1:47" x14ac:dyDescent="0.25">
      <c r="A23" s="17">
        <f>IF(MONTH(DATE(Jahr,8,19))=8,DATE(Jahr,8,19),"")</f>
      </c>
      <c r="B23" s="13">
        <f>IF(A23="","",CHOOSE(WEEKDAY(A23,2),"Mo","Di","Mi","Do","Fr","Sa","So"))</f>
      </c>
      <c r="C23" s="18"/>
      <c r="D23" s="18"/>
      <c r="E23" s="7"/>
      <c r="F23" s="7"/>
      <c r="G23" s="7"/>
      <c r="H23" s="19"/>
      <c r="I23" s="19"/>
      <c r="J23" s="19"/>
      <c r="K23" s="9"/>
      <c r="L23" s="20">
        <f>IF(OR(AD23=0,AF23&lt;&gt;"",AND(W23=1,V23&gt;0,OR(T23=1,U23=1))),"",AE23/1440)</f>
      </c>
      <c r="M23" s="21">
        <f>IF(OR(AD23=0,AF23&lt;&gt;""),"",AJ23)</f>
      </c>
      <c r="N23" s="21">
        <f>IF(AK23=0,"",AK23)</f>
      </c>
      <c r="O23" s="21">
        <f>IF(OR(AD23=0,AF23&lt;&gt;""),"",AJ23-AK23)</f>
      </c>
      <c r="P23" s="21">
        <f>IF(AND(AD23=1,AF23="",V23=2),AI23,"")</f>
      </c>
      <c r="Q23" s="21">
        <f>IF(OR($A23="",N(K23)=0),"",ROUND(K23*KmSatz,2))</f>
      </c>
      <c r="R23" s="22">
        <f>IF(AF23&amp;AL23="","",LEFT(AF23&amp;AL23,LEN(AF23&amp;AL23)-2))</f>
      </c>
      <c r="S23" s="1"/>
      <c r="T23" s="1">
        <f>IF(AND($A23&lt;&gt;"",ISNUMBER(C23)),1,0)</f>
      </c>
      <c r="U23" s="1">
        <f>IF(AND($A23&lt;&gt;"",ISNUMBER(D23)),1,0)</f>
      </c>
      <c r="V23" s="1">
        <f>IF($A23="",0,IF(E23="ja",1,IF(E23="Pauschale",2,0)))</f>
      </c>
      <c r="W23" s="1">
        <f>IF($A23="",0,IF(AU23&gt;0,1,0))</f>
      </c>
      <c r="X23" s="1">
        <f>IF(AND(T23=1,W23=0),1,0)</f>
      </c>
      <c r="Y23" s="1">
        <f>IF(AND(AS23=1,AT23=0,AU23=0),1,0)</f>
      </c>
      <c r="Z23" s="1">
        <f>IF(AND(Y23=1,T23=0,U23=1,V23=0),1,0)</f>
      </c>
      <c r="AA23" s="1">
        <f>IF(AND(X23=1,U23=0,V23=0,AN23=0,AO23=1,AP23=0),1,0)</f>
      </c>
      <c r="AB23" s="1">
        <f>IF(OR(W23=1,Z23=1),0,IF(T23=1,C23,0))</f>
      </c>
      <c r="AC23" s="1">
        <f>IF(OR(V23&gt;0,AA23=1),1,IF(U23=1,D23,1))</f>
      </c>
      <c r="AD23" s="1">
        <f>IF($A23="",0,IF(OR(T23=1,U23=1,V23&gt;0,W23=1),1,0))</f>
      </c>
      <c r="AE23" s="1">
        <f>IF(AD23=0,0,ROUND((AC23-AB23)*1440,0))</f>
      </c>
      <c r="AF23" s="1">
        <f>IF(AD23=0,"",IF(AND(F23&lt;&gt;"",ISNA(MATCH(F23,PauschLand,0))),"Land nicht in der Liste; ","")&amp;IF(AND(T23=0,W23=0,Z23=0),"Beginn fehlt; ","")&amp;IF(AND(V23=0,U23=0,AA23=0),"Ende fehlt; ","")&amp;IF(AND(X23=1,U23=1,V23=0,N(D23)&lt;N(C23)),"Ende vor Beginn (über Mitternacht: Ende in die Zeile des Folgetags); ",""))</f>
      </c>
      <c r="AG23" s="1">
        <f>IF(AD23=0,0,IFERROR(VLOOKUP(IF(F23="","Deutschland",F23),PauschTab,2,FALSE),0))</f>
      </c>
      <c r="AH23" s="1">
        <f>IF(AD23=0,0,IFERROR(VLOOKUP(IF(F23="","Deutschland",F23),PauschTab,3,FALSE),0))</f>
      </c>
      <c r="AI23" s="1">
        <f>IF(AD23=0,0,IFERROR(VLOOKUP(IF(F23="","Deutschland",F23),PauschTab,4,FALSE),0))</f>
      </c>
      <c r="AJ23" s="1">
        <f>IF(OR(AD23=0,AF23&lt;&gt;""),0,IF(AND(W23=1,V23&gt;0),IF(OR(T23=1,U23=1),AH23,AG23),IF(OR(W23=1,V23&gt;0),AH23,IF(AA23=1,IF(AND(AE23+AQ23&gt;480,AE23&gt;=AQ23),AH23,0),IF(Z23=1,IF(AND(AR23+AE23&gt;480,AE23&gt;AR23),AH23,0),IF(AE23&gt;480,AH23,0))))))</f>
      </c>
      <c r="AK23" s="1">
        <f>MIN(AJ23,AM23)</f>
      </c>
      <c r="AL23" s="1">
        <f>IF(OR(AD23=0,AF23&lt;&gt;""),"",IF(AND(W23=0,V23=0,AA23=0,Z23=0,AE23&lt;=480),"nicht mehr als 8 Std.; ","")&amp;IF(AA23=1,IF(AJ23&gt;0,"über Mitternacht, zusammen "&amp;TEXT((AE23+AQ23)/1440,"[h]:mm")&amp;" Std.; ",IF(AE23+AQ23&gt;480,"über Mitternacht: Pauschale am Folgetag; ","über Mitternacht, zusammen nicht mehr als 8 Std.; ")),"")&amp;IF(Z23=1,IF(AJ23&gt;0,"über Mitternacht, zusammen "&amp;TEXT((AR23+AE23)/1440,"[h]:mm")&amp;" Std.; ",IF(AR23+AE23&gt;480,"über Mitternacht: Pauschale am Vortag; ","über Mitternacht, zusammen nicht mehr als 8 Std.; ")),"")&amp;IF(AND(W23=1,V23&gt;0,OR(T23=1,U23=1)),"zwischendurch zu Hause: An- und Abreisetag; ","")&amp;IF(AND(W23=1,V23=0,T23=1),"Beginn leer lassen: unterwegs seit dem Vortag; ","")&amp;IF(AND(W23=0,V23&gt;0,U23=1),"Ende leer lassen: Übernachtung; ","")&amp;IF(AND(AJ23&gt;0,AM23&gt;AJ23),"Kürzung auf die Pauschale begrenzt; ",""))</f>
      </c>
      <c r="AM23" s="1">
        <f>ROUND(AG23*(IF(H23&lt;&gt;"",0.2,0)+IF(I23&lt;&gt;"",0.4,0)+IF(J23&lt;&gt;"",0.4,0)),2)</f>
      </c>
      <c r="AN23" s="1">
        <f>IF($A24="",'September'!$T$5,T24)</f>
      </c>
      <c r="AO23" s="1">
        <f>IF($A24="",'September'!$U$5,U24)</f>
      </c>
      <c r="AP23" s="1">
        <f>IF($A24="",'September'!$V$5,V24)</f>
      </c>
      <c r="AQ23" s="1">
        <f>IF($A24="",'September'!$AE$5,AE24)</f>
      </c>
      <c r="AR23" s="1">
        <f>AE22</f>
      </c>
      <c r="AS23" s="1">
        <f>X22</f>
      </c>
      <c r="AT23" s="1">
        <f>U22</f>
      </c>
      <c r="AU23" s="1">
        <f>V22</f>
      </c>
    </row>
    <row r="24" spans="1:47" x14ac:dyDescent="0.25">
      <c r="A24" s="17">
        <f>IF(MONTH(DATE(Jahr,8,20))=8,DATE(Jahr,8,20),"")</f>
      </c>
      <c r="B24" s="13">
        <f>IF(A24="","",CHOOSE(WEEKDAY(A24,2),"Mo","Di","Mi","Do","Fr","Sa","So"))</f>
      </c>
      <c r="C24" s="18"/>
      <c r="D24" s="18"/>
      <c r="E24" s="7"/>
      <c r="F24" s="7"/>
      <c r="G24" s="7"/>
      <c r="H24" s="19"/>
      <c r="I24" s="19"/>
      <c r="J24" s="19"/>
      <c r="K24" s="9"/>
      <c r="L24" s="20">
        <f>IF(OR(AD24=0,AF24&lt;&gt;"",AND(W24=1,V24&gt;0,OR(T24=1,U24=1))),"",AE24/1440)</f>
      </c>
      <c r="M24" s="21">
        <f>IF(OR(AD24=0,AF24&lt;&gt;""),"",AJ24)</f>
      </c>
      <c r="N24" s="21">
        <f>IF(AK24=0,"",AK24)</f>
      </c>
      <c r="O24" s="21">
        <f>IF(OR(AD24=0,AF24&lt;&gt;""),"",AJ24-AK24)</f>
      </c>
      <c r="P24" s="21">
        <f>IF(AND(AD24=1,AF24="",V24=2),AI24,"")</f>
      </c>
      <c r="Q24" s="21">
        <f>IF(OR($A24="",N(K24)=0),"",ROUND(K24*KmSatz,2))</f>
      </c>
      <c r="R24" s="22">
        <f>IF(AF24&amp;AL24="","",LEFT(AF24&amp;AL24,LEN(AF24&amp;AL24)-2))</f>
      </c>
      <c r="S24" s="1"/>
      <c r="T24" s="1">
        <f>IF(AND($A24&lt;&gt;"",ISNUMBER(C24)),1,0)</f>
      </c>
      <c r="U24" s="1">
        <f>IF(AND($A24&lt;&gt;"",ISNUMBER(D24)),1,0)</f>
      </c>
      <c r="V24" s="1">
        <f>IF($A24="",0,IF(E24="ja",1,IF(E24="Pauschale",2,0)))</f>
      </c>
      <c r="W24" s="1">
        <f>IF($A24="",0,IF(AU24&gt;0,1,0))</f>
      </c>
      <c r="X24" s="1">
        <f>IF(AND(T24=1,W24=0),1,0)</f>
      </c>
      <c r="Y24" s="1">
        <f>IF(AND(AS24=1,AT24=0,AU24=0),1,0)</f>
      </c>
      <c r="Z24" s="1">
        <f>IF(AND(Y24=1,T24=0,U24=1,V24=0),1,0)</f>
      </c>
      <c r="AA24" s="1">
        <f>IF(AND(X24=1,U24=0,V24=0,AN24=0,AO24=1,AP24=0),1,0)</f>
      </c>
      <c r="AB24" s="1">
        <f>IF(OR(W24=1,Z24=1),0,IF(T24=1,C24,0))</f>
      </c>
      <c r="AC24" s="1">
        <f>IF(OR(V24&gt;0,AA24=1),1,IF(U24=1,D24,1))</f>
      </c>
      <c r="AD24" s="1">
        <f>IF($A24="",0,IF(OR(T24=1,U24=1,V24&gt;0,W24=1),1,0))</f>
      </c>
      <c r="AE24" s="1">
        <f>IF(AD24=0,0,ROUND((AC24-AB24)*1440,0))</f>
      </c>
      <c r="AF24" s="1">
        <f>IF(AD24=0,"",IF(AND(F24&lt;&gt;"",ISNA(MATCH(F24,PauschLand,0))),"Land nicht in der Liste; ","")&amp;IF(AND(T24=0,W24=0,Z24=0),"Beginn fehlt; ","")&amp;IF(AND(V24=0,U24=0,AA24=0),"Ende fehlt; ","")&amp;IF(AND(X24=1,U24=1,V24=0,N(D24)&lt;N(C24)),"Ende vor Beginn (über Mitternacht: Ende in die Zeile des Folgetags); ",""))</f>
      </c>
      <c r="AG24" s="1">
        <f>IF(AD24=0,0,IFERROR(VLOOKUP(IF(F24="","Deutschland",F24),PauschTab,2,FALSE),0))</f>
      </c>
      <c r="AH24" s="1">
        <f>IF(AD24=0,0,IFERROR(VLOOKUP(IF(F24="","Deutschland",F24),PauschTab,3,FALSE),0))</f>
      </c>
      <c r="AI24" s="1">
        <f>IF(AD24=0,0,IFERROR(VLOOKUP(IF(F24="","Deutschland",F24),PauschTab,4,FALSE),0))</f>
      </c>
      <c r="AJ24" s="1">
        <f>IF(OR(AD24=0,AF24&lt;&gt;""),0,IF(AND(W24=1,V24&gt;0),IF(OR(T24=1,U24=1),AH24,AG24),IF(OR(W24=1,V24&gt;0),AH24,IF(AA24=1,IF(AND(AE24+AQ24&gt;480,AE24&gt;=AQ24),AH24,0),IF(Z24=1,IF(AND(AR24+AE24&gt;480,AE24&gt;AR24),AH24,0),IF(AE24&gt;480,AH24,0))))))</f>
      </c>
      <c r="AK24" s="1">
        <f>MIN(AJ24,AM24)</f>
      </c>
      <c r="AL24" s="1">
        <f>IF(OR(AD24=0,AF24&lt;&gt;""),"",IF(AND(W24=0,V24=0,AA24=0,Z24=0,AE24&lt;=480),"nicht mehr als 8 Std.; ","")&amp;IF(AA24=1,IF(AJ24&gt;0,"über Mitternacht, zusammen "&amp;TEXT((AE24+AQ24)/1440,"[h]:mm")&amp;" Std.; ",IF(AE24+AQ24&gt;480,"über Mitternacht: Pauschale am Folgetag; ","über Mitternacht, zusammen nicht mehr als 8 Std.; ")),"")&amp;IF(Z24=1,IF(AJ24&gt;0,"über Mitternacht, zusammen "&amp;TEXT((AR24+AE24)/1440,"[h]:mm")&amp;" Std.; ",IF(AR24+AE24&gt;480,"über Mitternacht: Pauschale am Vortag; ","über Mitternacht, zusammen nicht mehr als 8 Std.; ")),"")&amp;IF(AND(W24=1,V24&gt;0,OR(T24=1,U24=1)),"zwischendurch zu Hause: An- und Abreisetag; ","")&amp;IF(AND(W24=1,V24=0,T24=1),"Beginn leer lassen: unterwegs seit dem Vortag; ","")&amp;IF(AND(W24=0,V24&gt;0,U24=1),"Ende leer lassen: Übernachtung; ","")&amp;IF(AND(AJ24&gt;0,AM24&gt;AJ24),"Kürzung auf die Pauschale begrenzt; ",""))</f>
      </c>
      <c r="AM24" s="1">
        <f>ROUND(AG24*(IF(H24&lt;&gt;"",0.2,0)+IF(I24&lt;&gt;"",0.4,0)+IF(J24&lt;&gt;"",0.4,0)),2)</f>
      </c>
      <c r="AN24" s="1">
        <f>IF($A25="",'September'!$T$5,T25)</f>
      </c>
      <c r="AO24" s="1">
        <f>IF($A25="",'September'!$U$5,U25)</f>
      </c>
      <c r="AP24" s="1">
        <f>IF($A25="",'September'!$V$5,V25)</f>
      </c>
      <c r="AQ24" s="1">
        <f>IF($A25="",'September'!$AE$5,AE25)</f>
      </c>
      <c r="AR24" s="1">
        <f>AE23</f>
      </c>
      <c r="AS24" s="1">
        <f>X23</f>
      </c>
      <c r="AT24" s="1">
        <f>U23</f>
      </c>
      <c r="AU24" s="1">
        <f>V23</f>
      </c>
    </row>
    <row r="25" spans="1:47" x14ac:dyDescent="0.25">
      <c r="A25" s="17">
        <f>IF(MONTH(DATE(Jahr,8,21))=8,DATE(Jahr,8,21),"")</f>
      </c>
      <c r="B25" s="13">
        <f>IF(A25="","",CHOOSE(WEEKDAY(A25,2),"Mo","Di","Mi","Do","Fr","Sa","So"))</f>
      </c>
      <c r="C25" s="18"/>
      <c r="D25" s="18"/>
      <c r="E25" s="7"/>
      <c r="F25" s="7"/>
      <c r="G25" s="7"/>
      <c r="H25" s="19"/>
      <c r="I25" s="19"/>
      <c r="J25" s="19"/>
      <c r="K25" s="9"/>
      <c r="L25" s="20">
        <f>IF(OR(AD25=0,AF25&lt;&gt;"",AND(W25=1,V25&gt;0,OR(T25=1,U25=1))),"",AE25/1440)</f>
      </c>
      <c r="M25" s="21">
        <f>IF(OR(AD25=0,AF25&lt;&gt;""),"",AJ25)</f>
      </c>
      <c r="N25" s="21">
        <f>IF(AK25=0,"",AK25)</f>
      </c>
      <c r="O25" s="21">
        <f>IF(OR(AD25=0,AF25&lt;&gt;""),"",AJ25-AK25)</f>
      </c>
      <c r="P25" s="21">
        <f>IF(AND(AD25=1,AF25="",V25=2),AI25,"")</f>
      </c>
      <c r="Q25" s="21">
        <f>IF(OR($A25="",N(K25)=0),"",ROUND(K25*KmSatz,2))</f>
      </c>
      <c r="R25" s="22">
        <f>IF(AF25&amp;AL25="","",LEFT(AF25&amp;AL25,LEN(AF25&amp;AL25)-2))</f>
      </c>
      <c r="S25" s="1"/>
      <c r="T25" s="1">
        <f>IF(AND($A25&lt;&gt;"",ISNUMBER(C25)),1,0)</f>
      </c>
      <c r="U25" s="1">
        <f>IF(AND($A25&lt;&gt;"",ISNUMBER(D25)),1,0)</f>
      </c>
      <c r="V25" s="1">
        <f>IF($A25="",0,IF(E25="ja",1,IF(E25="Pauschale",2,0)))</f>
      </c>
      <c r="W25" s="1">
        <f>IF($A25="",0,IF(AU25&gt;0,1,0))</f>
      </c>
      <c r="X25" s="1">
        <f>IF(AND(T25=1,W25=0),1,0)</f>
      </c>
      <c r="Y25" s="1">
        <f>IF(AND(AS25=1,AT25=0,AU25=0),1,0)</f>
      </c>
      <c r="Z25" s="1">
        <f>IF(AND(Y25=1,T25=0,U25=1,V25=0),1,0)</f>
      </c>
      <c r="AA25" s="1">
        <f>IF(AND(X25=1,U25=0,V25=0,AN25=0,AO25=1,AP25=0),1,0)</f>
      </c>
      <c r="AB25" s="1">
        <f>IF(OR(W25=1,Z25=1),0,IF(T25=1,C25,0))</f>
      </c>
      <c r="AC25" s="1">
        <f>IF(OR(V25&gt;0,AA25=1),1,IF(U25=1,D25,1))</f>
      </c>
      <c r="AD25" s="1">
        <f>IF($A25="",0,IF(OR(T25=1,U25=1,V25&gt;0,W25=1),1,0))</f>
      </c>
      <c r="AE25" s="1">
        <f>IF(AD25=0,0,ROUND((AC25-AB25)*1440,0))</f>
      </c>
      <c r="AF25" s="1">
        <f>IF(AD25=0,"",IF(AND(F25&lt;&gt;"",ISNA(MATCH(F25,PauschLand,0))),"Land nicht in der Liste; ","")&amp;IF(AND(T25=0,W25=0,Z25=0),"Beginn fehlt; ","")&amp;IF(AND(V25=0,U25=0,AA25=0),"Ende fehlt; ","")&amp;IF(AND(X25=1,U25=1,V25=0,N(D25)&lt;N(C25)),"Ende vor Beginn (über Mitternacht: Ende in die Zeile des Folgetags); ",""))</f>
      </c>
      <c r="AG25" s="1">
        <f>IF(AD25=0,0,IFERROR(VLOOKUP(IF(F25="","Deutschland",F25),PauschTab,2,FALSE),0))</f>
      </c>
      <c r="AH25" s="1">
        <f>IF(AD25=0,0,IFERROR(VLOOKUP(IF(F25="","Deutschland",F25),PauschTab,3,FALSE),0))</f>
      </c>
      <c r="AI25" s="1">
        <f>IF(AD25=0,0,IFERROR(VLOOKUP(IF(F25="","Deutschland",F25),PauschTab,4,FALSE),0))</f>
      </c>
      <c r="AJ25" s="1">
        <f>IF(OR(AD25=0,AF25&lt;&gt;""),0,IF(AND(W25=1,V25&gt;0),IF(OR(T25=1,U25=1),AH25,AG25),IF(OR(W25=1,V25&gt;0),AH25,IF(AA25=1,IF(AND(AE25+AQ25&gt;480,AE25&gt;=AQ25),AH25,0),IF(Z25=1,IF(AND(AR25+AE25&gt;480,AE25&gt;AR25),AH25,0),IF(AE25&gt;480,AH25,0))))))</f>
      </c>
      <c r="AK25" s="1">
        <f>MIN(AJ25,AM25)</f>
      </c>
      <c r="AL25" s="1">
        <f>IF(OR(AD25=0,AF25&lt;&gt;""),"",IF(AND(W25=0,V25=0,AA25=0,Z25=0,AE25&lt;=480),"nicht mehr als 8 Std.; ","")&amp;IF(AA25=1,IF(AJ25&gt;0,"über Mitternacht, zusammen "&amp;TEXT((AE25+AQ25)/1440,"[h]:mm")&amp;" Std.; ",IF(AE25+AQ25&gt;480,"über Mitternacht: Pauschale am Folgetag; ","über Mitternacht, zusammen nicht mehr als 8 Std.; ")),"")&amp;IF(Z25=1,IF(AJ25&gt;0,"über Mitternacht, zusammen "&amp;TEXT((AR25+AE25)/1440,"[h]:mm")&amp;" Std.; ",IF(AR25+AE25&gt;480,"über Mitternacht: Pauschale am Vortag; ","über Mitternacht, zusammen nicht mehr als 8 Std.; ")),"")&amp;IF(AND(W25=1,V25&gt;0,OR(T25=1,U25=1)),"zwischendurch zu Hause: An- und Abreisetag; ","")&amp;IF(AND(W25=1,V25=0,T25=1),"Beginn leer lassen: unterwegs seit dem Vortag; ","")&amp;IF(AND(W25=0,V25&gt;0,U25=1),"Ende leer lassen: Übernachtung; ","")&amp;IF(AND(AJ25&gt;0,AM25&gt;AJ25),"Kürzung auf die Pauschale begrenzt; ",""))</f>
      </c>
      <c r="AM25" s="1">
        <f>ROUND(AG25*(IF(H25&lt;&gt;"",0.2,0)+IF(I25&lt;&gt;"",0.4,0)+IF(J25&lt;&gt;"",0.4,0)),2)</f>
      </c>
      <c r="AN25" s="1">
        <f>IF($A26="",'September'!$T$5,T26)</f>
      </c>
      <c r="AO25" s="1">
        <f>IF($A26="",'September'!$U$5,U26)</f>
      </c>
      <c r="AP25" s="1">
        <f>IF($A26="",'September'!$V$5,V26)</f>
      </c>
      <c r="AQ25" s="1">
        <f>IF($A26="",'September'!$AE$5,AE26)</f>
      </c>
      <c r="AR25" s="1">
        <f>AE24</f>
      </c>
      <c r="AS25" s="1">
        <f>X24</f>
      </c>
      <c r="AT25" s="1">
        <f>U24</f>
      </c>
      <c r="AU25" s="1">
        <f>V24</f>
      </c>
    </row>
    <row r="26" spans="1:47" x14ac:dyDescent="0.25">
      <c r="A26" s="17">
        <f>IF(MONTH(DATE(Jahr,8,22))=8,DATE(Jahr,8,22),"")</f>
      </c>
      <c r="B26" s="13">
        <f>IF(A26="","",CHOOSE(WEEKDAY(A26,2),"Mo","Di","Mi","Do","Fr","Sa","So"))</f>
      </c>
      <c r="C26" s="18"/>
      <c r="D26" s="18"/>
      <c r="E26" s="7"/>
      <c r="F26" s="7"/>
      <c r="G26" s="7"/>
      <c r="H26" s="19"/>
      <c r="I26" s="19"/>
      <c r="J26" s="19"/>
      <c r="K26" s="9"/>
      <c r="L26" s="20">
        <f>IF(OR(AD26=0,AF26&lt;&gt;"",AND(W26=1,V26&gt;0,OR(T26=1,U26=1))),"",AE26/1440)</f>
      </c>
      <c r="M26" s="21">
        <f>IF(OR(AD26=0,AF26&lt;&gt;""),"",AJ26)</f>
      </c>
      <c r="N26" s="21">
        <f>IF(AK26=0,"",AK26)</f>
      </c>
      <c r="O26" s="21">
        <f>IF(OR(AD26=0,AF26&lt;&gt;""),"",AJ26-AK26)</f>
      </c>
      <c r="P26" s="21">
        <f>IF(AND(AD26=1,AF26="",V26=2),AI26,"")</f>
      </c>
      <c r="Q26" s="21">
        <f>IF(OR($A26="",N(K26)=0),"",ROUND(K26*KmSatz,2))</f>
      </c>
      <c r="R26" s="22">
        <f>IF(AF26&amp;AL26="","",LEFT(AF26&amp;AL26,LEN(AF26&amp;AL26)-2))</f>
      </c>
      <c r="S26" s="1"/>
      <c r="T26" s="1">
        <f>IF(AND($A26&lt;&gt;"",ISNUMBER(C26)),1,0)</f>
      </c>
      <c r="U26" s="1">
        <f>IF(AND($A26&lt;&gt;"",ISNUMBER(D26)),1,0)</f>
      </c>
      <c r="V26" s="1">
        <f>IF($A26="",0,IF(E26="ja",1,IF(E26="Pauschale",2,0)))</f>
      </c>
      <c r="W26" s="1">
        <f>IF($A26="",0,IF(AU26&gt;0,1,0))</f>
      </c>
      <c r="X26" s="1">
        <f>IF(AND(T26=1,W26=0),1,0)</f>
      </c>
      <c r="Y26" s="1">
        <f>IF(AND(AS26=1,AT26=0,AU26=0),1,0)</f>
      </c>
      <c r="Z26" s="1">
        <f>IF(AND(Y26=1,T26=0,U26=1,V26=0),1,0)</f>
      </c>
      <c r="AA26" s="1">
        <f>IF(AND(X26=1,U26=0,V26=0,AN26=0,AO26=1,AP26=0),1,0)</f>
      </c>
      <c r="AB26" s="1">
        <f>IF(OR(W26=1,Z26=1),0,IF(T26=1,C26,0))</f>
      </c>
      <c r="AC26" s="1">
        <f>IF(OR(V26&gt;0,AA26=1),1,IF(U26=1,D26,1))</f>
      </c>
      <c r="AD26" s="1">
        <f>IF($A26="",0,IF(OR(T26=1,U26=1,V26&gt;0,W26=1),1,0))</f>
      </c>
      <c r="AE26" s="1">
        <f>IF(AD26=0,0,ROUND((AC26-AB26)*1440,0))</f>
      </c>
      <c r="AF26" s="1">
        <f>IF(AD26=0,"",IF(AND(F26&lt;&gt;"",ISNA(MATCH(F26,PauschLand,0))),"Land nicht in der Liste; ","")&amp;IF(AND(T26=0,W26=0,Z26=0),"Beginn fehlt; ","")&amp;IF(AND(V26=0,U26=0,AA26=0),"Ende fehlt; ","")&amp;IF(AND(X26=1,U26=1,V26=0,N(D26)&lt;N(C26)),"Ende vor Beginn (über Mitternacht: Ende in die Zeile des Folgetags); ",""))</f>
      </c>
      <c r="AG26" s="1">
        <f>IF(AD26=0,0,IFERROR(VLOOKUP(IF(F26="","Deutschland",F26),PauschTab,2,FALSE),0))</f>
      </c>
      <c r="AH26" s="1">
        <f>IF(AD26=0,0,IFERROR(VLOOKUP(IF(F26="","Deutschland",F26),PauschTab,3,FALSE),0))</f>
      </c>
      <c r="AI26" s="1">
        <f>IF(AD26=0,0,IFERROR(VLOOKUP(IF(F26="","Deutschland",F26),PauschTab,4,FALSE),0))</f>
      </c>
      <c r="AJ26" s="1">
        <f>IF(OR(AD26=0,AF26&lt;&gt;""),0,IF(AND(W26=1,V26&gt;0),IF(OR(T26=1,U26=1),AH26,AG26),IF(OR(W26=1,V26&gt;0),AH26,IF(AA26=1,IF(AND(AE26+AQ26&gt;480,AE26&gt;=AQ26),AH26,0),IF(Z26=1,IF(AND(AR26+AE26&gt;480,AE26&gt;AR26),AH26,0),IF(AE26&gt;480,AH26,0))))))</f>
      </c>
      <c r="AK26" s="1">
        <f>MIN(AJ26,AM26)</f>
      </c>
      <c r="AL26" s="1">
        <f>IF(OR(AD26=0,AF26&lt;&gt;""),"",IF(AND(W26=0,V26=0,AA26=0,Z26=0,AE26&lt;=480),"nicht mehr als 8 Std.; ","")&amp;IF(AA26=1,IF(AJ26&gt;0,"über Mitternacht, zusammen "&amp;TEXT((AE26+AQ26)/1440,"[h]:mm")&amp;" Std.; ",IF(AE26+AQ26&gt;480,"über Mitternacht: Pauschale am Folgetag; ","über Mitternacht, zusammen nicht mehr als 8 Std.; ")),"")&amp;IF(Z26=1,IF(AJ26&gt;0,"über Mitternacht, zusammen "&amp;TEXT((AR26+AE26)/1440,"[h]:mm")&amp;" Std.; ",IF(AR26+AE26&gt;480,"über Mitternacht: Pauschale am Vortag; ","über Mitternacht, zusammen nicht mehr als 8 Std.; ")),"")&amp;IF(AND(W26=1,V26&gt;0,OR(T26=1,U26=1)),"zwischendurch zu Hause: An- und Abreisetag; ","")&amp;IF(AND(W26=1,V26=0,T26=1),"Beginn leer lassen: unterwegs seit dem Vortag; ","")&amp;IF(AND(W26=0,V26&gt;0,U26=1),"Ende leer lassen: Übernachtung; ","")&amp;IF(AND(AJ26&gt;0,AM26&gt;AJ26),"Kürzung auf die Pauschale begrenzt; ",""))</f>
      </c>
      <c r="AM26" s="1">
        <f>ROUND(AG26*(IF(H26&lt;&gt;"",0.2,0)+IF(I26&lt;&gt;"",0.4,0)+IF(J26&lt;&gt;"",0.4,0)),2)</f>
      </c>
      <c r="AN26" s="1">
        <f>IF($A27="",'September'!$T$5,T27)</f>
      </c>
      <c r="AO26" s="1">
        <f>IF($A27="",'September'!$U$5,U27)</f>
      </c>
      <c r="AP26" s="1">
        <f>IF($A27="",'September'!$V$5,V27)</f>
      </c>
      <c r="AQ26" s="1">
        <f>IF($A27="",'September'!$AE$5,AE27)</f>
      </c>
      <c r="AR26" s="1">
        <f>AE25</f>
      </c>
      <c r="AS26" s="1">
        <f>X25</f>
      </c>
      <c r="AT26" s="1">
        <f>U25</f>
      </c>
      <c r="AU26" s="1">
        <f>V25</f>
      </c>
    </row>
    <row r="27" spans="1:47" x14ac:dyDescent="0.25">
      <c r="A27" s="17">
        <f>IF(MONTH(DATE(Jahr,8,23))=8,DATE(Jahr,8,23),"")</f>
      </c>
      <c r="B27" s="13">
        <f>IF(A27="","",CHOOSE(WEEKDAY(A27,2),"Mo","Di","Mi","Do","Fr","Sa","So"))</f>
      </c>
      <c r="C27" s="18"/>
      <c r="D27" s="18"/>
      <c r="E27" s="7"/>
      <c r="F27" s="7"/>
      <c r="G27" s="7"/>
      <c r="H27" s="19"/>
      <c r="I27" s="19"/>
      <c r="J27" s="19"/>
      <c r="K27" s="9"/>
      <c r="L27" s="20">
        <f>IF(OR(AD27=0,AF27&lt;&gt;"",AND(W27=1,V27&gt;0,OR(T27=1,U27=1))),"",AE27/1440)</f>
      </c>
      <c r="M27" s="21">
        <f>IF(OR(AD27=0,AF27&lt;&gt;""),"",AJ27)</f>
      </c>
      <c r="N27" s="21">
        <f>IF(AK27=0,"",AK27)</f>
      </c>
      <c r="O27" s="21">
        <f>IF(OR(AD27=0,AF27&lt;&gt;""),"",AJ27-AK27)</f>
      </c>
      <c r="P27" s="21">
        <f>IF(AND(AD27=1,AF27="",V27=2),AI27,"")</f>
      </c>
      <c r="Q27" s="21">
        <f>IF(OR($A27="",N(K27)=0),"",ROUND(K27*KmSatz,2))</f>
      </c>
      <c r="R27" s="22">
        <f>IF(AF27&amp;AL27="","",LEFT(AF27&amp;AL27,LEN(AF27&amp;AL27)-2))</f>
      </c>
      <c r="S27" s="1"/>
      <c r="T27" s="1">
        <f>IF(AND($A27&lt;&gt;"",ISNUMBER(C27)),1,0)</f>
      </c>
      <c r="U27" s="1">
        <f>IF(AND($A27&lt;&gt;"",ISNUMBER(D27)),1,0)</f>
      </c>
      <c r="V27" s="1">
        <f>IF($A27="",0,IF(E27="ja",1,IF(E27="Pauschale",2,0)))</f>
      </c>
      <c r="W27" s="1">
        <f>IF($A27="",0,IF(AU27&gt;0,1,0))</f>
      </c>
      <c r="X27" s="1">
        <f>IF(AND(T27=1,W27=0),1,0)</f>
      </c>
      <c r="Y27" s="1">
        <f>IF(AND(AS27=1,AT27=0,AU27=0),1,0)</f>
      </c>
      <c r="Z27" s="1">
        <f>IF(AND(Y27=1,T27=0,U27=1,V27=0),1,0)</f>
      </c>
      <c r="AA27" s="1">
        <f>IF(AND(X27=1,U27=0,V27=0,AN27=0,AO27=1,AP27=0),1,0)</f>
      </c>
      <c r="AB27" s="1">
        <f>IF(OR(W27=1,Z27=1),0,IF(T27=1,C27,0))</f>
      </c>
      <c r="AC27" s="1">
        <f>IF(OR(V27&gt;0,AA27=1),1,IF(U27=1,D27,1))</f>
      </c>
      <c r="AD27" s="1">
        <f>IF($A27="",0,IF(OR(T27=1,U27=1,V27&gt;0,W27=1),1,0))</f>
      </c>
      <c r="AE27" s="1">
        <f>IF(AD27=0,0,ROUND((AC27-AB27)*1440,0))</f>
      </c>
      <c r="AF27" s="1">
        <f>IF(AD27=0,"",IF(AND(F27&lt;&gt;"",ISNA(MATCH(F27,PauschLand,0))),"Land nicht in der Liste; ","")&amp;IF(AND(T27=0,W27=0,Z27=0),"Beginn fehlt; ","")&amp;IF(AND(V27=0,U27=0,AA27=0),"Ende fehlt; ","")&amp;IF(AND(X27=1,U27=1,V27=0,N(D27)&lt;N(C27)),"Ende vor Beginn (über Mitternacht: Ende in die Zeile des Folgetags); ",""))</f>
      </c>
      <c r="AG27" s="1">
        <f>IF(AD27=0,0,IFERROR(VLOOKUP(IF(F27="","Deutschland",F27),PauschTab,2,FALSE),0))</f>
      </c>
      <c r="AH27" s="1">
        <f>IF(AD27=0,0,IFERROR(VLOOKUP(IF(F27="","Deutschland",F27),PauschTab,3,FALSE),0))</f>
      </c>
      <c r="AI27" s="1">
        <f>IF(AD27=0,0,IFERROR(VLOOKUP(IF(F27="","Deutschland",F27),PauschTab,4,FALSE),0))</f>
      </c>
      <c r="AJ27" s="1">
        <f>IF(OR(AD27=0,AF27&lt;&gt;""),0,IF(AND(W27=1,V27&gt;0),IF(OR(T27=1,U27=1),AH27,AG27),IF(OR(W27=1,V27&gt;0),AH27,IF(AA27=1,IF(AND(AE27+AQ27&gt;480,AE27&gt;=AQ27),AH27,0),IF(Z27=1,IF(AND(AR27+AE27&gt;480,AE27&gt;AR27),AH27,0),IF(AE27&gt;480,AH27,0))))))</f>
      </c>
      <c r="AK27" s="1">
        <f>MIN(AJ27,AM27)</f>
      </c>
      <c r="AL27" s="1">
        <f>IF(OR(AD27=0,AF27&lt;&gt;""),"",IF(AND(W27=0,V27=0,AA27=0,Z27=0,AE27&lt;=480),"nicht mehr als 8 Std.; ","")&amp;IF(AA27=1,IF(AJ27&gt;0,"über Mitternacht, zusammen "&amp;TEXT((AE27+AQ27)/1440,"[h]:mm")&amp;" Std.; ",IF(AE27+AQ27&gt;480,"über Mitternacht: Pauschale am Folgetag; ","über Mitternacht, zusammen nicht mehr als 8 Std.; ")),"")&amp;IF(Z27=1,IF(AJ27&gt;0,"über Mitternacht, zusammen "&amp;TEXT((AR27+AE27)/1440,"[h]:mm")&amp;" Std.; ",IF(AR27+AE27&gt;480,"über Mitternacht: Pauschale am Vortag; ","über Mitternacht, zusammen nicht mehr als 8 Std.; ")),"")&amp;IF(AND(W27=1,V27&gt;0,OR(T27=1,U27=1)),"zwischendurch zu Hause: An- und Abreisetag; ","")&amp;IF(AND(W27=1,V27=0,T27=1),"Beginn leer lassen: unterwegs seit dem Vortag; ","")&amp;IF(AND(W27=0,V27&gt;0,U27=1),"Ende leer lassen: Übernachtung; ","")&amp;IF(AND(AJ27&gt;0,AM27&gt;AJ27),"Kürzung auf die Pauschale begrenzt; ",""))</f>
      </c>
      <c r="AM27" s="1">
        <f>ROUND(AG27*(IF(H27&lt;&gt;"",0.2,0)+IF(I27&lt;&gt;"",0.4,0)+IF(J27&lt;&gt;"",0.4,0)),2)</f>
      </c>
      <c r="AN27" s="1">
        <f>IF($A28="",'September'!$T$5,T28)</f>
      </c>
      <c r="AO27" s="1">
        <f>IF($A28="",'September'!$U$5,U28)</f>
      </c>
      <c r="AP27" s="1">
        <f>IF($A28="",'September'!$V$5,V28)</f>
      </c>
      <c r="AQ27" s="1">
        <f>IF($A28="",'September'!$AE$5,AE28)</f>
      </c>
      <c r="AR27" s="1">
        <f>AE26</f>
      </c>
      <c r="AS27" s="1">
        <f>X26</f>
      </c>
      <c r="AT27" s="1">
        <f>U26</f>
      </c>
      <c r="AU27" s="1">
        <f>V26</f>
      </c>
    </row>
    <row r="28" spans="1:47" x14ac:dyDescent="0.25">
      <c r="A28" s="17">
        <f>IF(MONTH(DATE(Jahr,8,24))=8,DATE(Jahr,8,24),"")</f>
      </c>
      <c r="B28" s="13">
        <f>IF(A28="","",CHOOSE(WEEKDAY(A28,2),"Mo","Di","Mi","Do","Fr","Sa","So"))</f>
      </c>
      <c r="C28" s="18"/>
      <c r="D28" s="18"/>
      <c r="E28" s="7"/>
      <c r="F28" s="7"/>
      <c r="G28" s="7"/>
      <c r="H28" s="19"/>
      <c r="I28" s="19"/>
      <c r="J28" s="19"/>
      <c r="K28" s="9"/>
      <c r="L28" s="20">
        <f>IF(OR(AD28=0,AF28&lt;&gt;"",AND(W28=1,V28&gt;0,OR(T28=1,U28=1))),"",AE28/1440)</f>
      </c>
      <c r="M28" s="21">
        <f>IF(OR(AD28=0,AF28&lt;&gt;""),"",AJ28)</f>
      </c>
      <c r="N28" s="21">
        <f>IF(AK28=0,"",AK28)</f>
      </c>
      <c r="O28" s="21">
        <f>IF(OR(AD28=0,AF28&lt;&gt;""),"",AJ28-AK28)</f>
      </c>
      <c r="P28" s="21">
        <f>IF(AND(AD28=1,AF28="",V28=2),AI28,"")</f>
      </c>
      <c r="Q28" s="21">
        <f>IF(OR($A28="",N(K28)=0),"",ROUND(K28*KmSatz,2))</f>
      </c>
      <c r="R28" s="22">
        <f>IF(AF28&amp;AL28="","",LEFT(AF28&amp;AL28,LEN(AF28&amp;AL28)-2))</f>
      </c>
      <c r="S28" s="1"/>
      <c r="T28" s="1">
        <f>IF(AND($A28&lt;&gt;"",ISNUMBER(C28)),1,0)</f>
      </c>
      <c r="U28" s="1">
        <f>IF(AND($A28&lt;&gt;"",ISNUMBER(D28)),1,0)</f>
      </c>
      <c r="V28" s="1">
        <f>IF($A28="",0,IF(E28="ja",1,IF(E28="Pauschale",2,0)))</f>
      </c>
      <c r="W28" s="1">
        <f>IF($A28="",0,IF(AU28&gt;0,1,0))</f>
      </c>
      <c r="X28" s="1">
        <f>IF(AND(T28=1,W28=0),1,0)</f>
      </c>
      <c r="Y28" s="1">
        <f>IF(AND(AS28=1,AT28=0,AU28=0),1,0)</f>
      </c>
      <c r="Z28" s="1">
        <f>IF(AND(Y28=1,T28=0,U28=1,V28=0),1,0)</f>
      </c>
      <c r="AA28" s="1">
        <f>IF(AND(X28=1,U28=0,V28=0,AN28=0,AO28=1,AP28=0),1,0)</f>
      </c>
      <c r="AB28" s="1">
        <f>IF(OR(W28=1,Z28=1),0,IF(T28=1,C28,0))</f>
      </c>
      <c r="AC28" s="1">
        <f>IF(OR(V28&gt;0,AA28=1),1,IF(U28=1,D28,1))</f>
      </c>
      <c r="AD28" s="1">
        <f>IF($A28="",0,IF(OR(T28=1,U28=1,V28&gt;0,W28=1),1,0))</f>
      </c>
      <c r="AE28" s="1">
        <f>IF(AD28=0,0,ROUND((AC28-AB28)*1440,0))</f>
      </c>
      <c r="AF28" s="1">
        <f>IF(AD28=0,"",IF(AND(F28&lt;&gt;"",ISNA(MATCH(F28,PauschLand,0))),"Land nicht in der Liste; ","")&amp;IF(AND(T28=0,W28=0,Z28=0),"Beginn fehlt; ","")&amp;IF(AND(V28=0,U28=0,AA28=0),"Ende fehlt; ","")&amp;IF(AND(X28=1,U28=1,V28=0,N(D28)&lt;N(C28)),"Ende vor Beginn (über Mitternacht: Ende in die Zeile des Folgetags); ",""))</f>
      </c>
      <c r="AG28" s="1">
        <f>IF(AD28=0,0,IFERROR(VLOOKUP(IF(F28="","Deutschland",F28),PauschTab,2,FALSE),0))</f>
      </c>
      <c r="AH28" s="1">
        <f>IF(AD28=0,0,IFERROR(VLOOKUP(IF(F28="","Deutschland",F28),PauschTab,3,FALSE),0))</f>
      </c>
      <c r="AI28" s="1">
        <f>IF(AD28=0,0,IFERROR(VLOOKUP(IF(F28="","Deutschland",F28),PauschTab,4,FALSE),0))</f>
      </c>
      <c r="AJ28" s="1">
        <f>IF(OR(AD28=0,AF28&lt;&gt;""),0,IF(AND(W28=1,V28&gt;0),IF(OR(T28=1,U28=1),AH28,AG28),IF(OR(W28=1,V28&gt;0),AH28,IF(AA28=1,IF(AND(AE28+AQ28&gt;480,AE28&gt;=AQ28),AH28,0),IF(Z28=1,IF(AND(AR28+AE28&gt;480,AE28&gt;AR28),AH28,0),IF(AE28&gt;480,AH28,0))))))</f>
      </c>
      <c r="AK28" s="1">
        <f>MIN(AJ28,AM28)</f>
      </c>
      <c r="AL28" s="1">
        <f>IF(OR(AD28=0,AF28&lt;&gt;""),"",IF(AND(W28=0,V28=0,AA28=0,Z28=0,AE28&lt;=480),"nicht mehr als 8 Std.; ","")&amp;IF(AA28=1,IF(AJ28&gt;0,"über Mitternacht, zusammen "&amp;TEXT((AE28+AQ28)/1440,"[h]:mm")&amp;" Std.; ",IF(AE28+AQ28&gt;480,"über Mitternacht: Pauschale am Folgetag; ","über Mitternacht, zusammen nicht mehr als 8 Std.; ")),"")&amp;IF(Z28=1,IF(AJ28&gt;0,"über Mitternacht, zusammen "&amp;TEXT((AR28+AE28)/1440,"[h]:mm")&amp;" Std.; ",IF(AR28+AE28&gt;480,"über Mitternacht: Pauschale am Vortag; ","über Mitternacht, zusammen nicht mehr als 8 Std.; ")),"")&amp;IF(AND(W28=1,V28&gt;0,OR(T28=1,U28=1)),"zwischendurch zu Hause: An- und Abreisetag; ","")&amp;IF(AND(W28=1,V28=0,T28=1),"Beginn leer lassen: unterwegs seit dem Vortag; ","")&amp;IF(AND(W28=0,V28&gt;0,U28=1),"Ende leer lassen: Übernachtung; ","")&amp;IF(AND(AJ28&gt;0,AM28&gt;AJ28),"Kürzung auf die Pauschale begrenzt; ",""))</f>
      </c>
      <c r="AM28" s="1">
        <f>ROUND(AG28*(IF(H28&lt;&gt;"",0.2,0)+IF(I28&lt;&gt;"",0.4,0)+IF(J28&lt;&gt;"",0.4,0)),2)</f>
      </c>
      <c r="AN28" s="1">
        <f>IF($A29="",'September'!$T$5,T29)</f>
      </c>
      <c r="AO28" s="1">
        <f>IF($A29="",'September'!$U$5,U29)</f>
      </c>
      <c r="AP28" s="1">
        <f>IF($A29="",'September'!$V$5,V29)</f>
      </c>
      <c r="AQ28" s="1">
        <f>IF($A29="",'September'!$AE$5,AE29)</f>
      </c>
      <c r="AR28" s="1">
        <f>AE27</f>
      </c>
      <c r="AS28" s="1">
        <f>X27</f>
      </c>
      <c r="AT28" s="1">
        <f>U27</f>
      </c>
      <c r="AU28" s="1">
        <f>V27</f>
      </c>
    </row>
    <row r="29" spans="1:47" x14ac:dyDescent="0.25">
      <c r="A29" s="17">
        <f>IF(MONTH(DATE(Jahr,8,25))=8,DATE(Jahr,8,25),"")</f>
      </c>
      <c r="B29" s="13">
        <f>IF(A29="","",CHOOSE(WEEKDAY(A29,2),"Mo","Di","Mi","Do","Fr","Sa","So"))</f>
      </c>
      <c r="C29" s="18"/>
      <c r="D29" s="18"/>
      <c r="E29" s="7"/>
      <c r="F29" s="7"/>
      <c r="G29" s="7"/>
      <c r="H29" s="19"/>
      <c r="I29" s="19"/>
      <c r="J29" s="19"/>
      <c r="K29" s="9"/>
      <c r="L29" s="20">
        <f>IF(OR(AD29=0,AF29&lt;&gt;"",AND(W29=1,V29&gt;0,OR(T29=1,U29=1))),"",AE29/1440)</f>
      </c>
      <c r="M29" s="21">
        <f>IF(OR(AD29=0,AF29&lt;&gt;""),"",AJ29)</f>
      </c>
      <c r="N29" s="21">
        <f>IF(AK29=0,"",AK29)</f>
      </c>
      <c r="O29" s="21">
        <f>IF(OR(AD29=0,AF29&lt;&gt;""),"",AJ29-AK29)</f>
      </c>
      <c r="P29" s="21">
        <f>IF(AND(AD29=1,AF29="",V29=2),AI29,"")</f>
      </c>
      <c r="Q29" s="21">
        <f>IF(OR($A29="",N(K29)=0),"",ROUND(K29*KmSatz,2))</f>
      </c>
      <c r="R29" s="22">
        <f>IF(AF29&amp;AL29="","",LEFT(AF29&amp;AL29,LEN(AF29&amp;AL29)-2))</f>
      </c>
      <c r="S29" s="1"/>
      <c r="T29" s="1">
        <f>IF(AND($A29&lt;&gt;"",ISNUMBER(C29)),1,0)</f>
      </c>
      <c r="U29" s="1">
        <f>IF(AND($A29&lt;&gt;"",ISNUMBER(D29)),1,0)</f>
      </c>
      <c r="V29" s="1">
        <f>IF($A29="",0,IF(E29="ja",1,IF(E29="Pauschale",2,0)))</f>
      </c>
      <c r="W29" s="1">
        <f>IF($A29="",0,IF(AU29&gt;0,1,0))</f>
      </c>
      <c r="X29" s="1">
        <f>IF(AND(T29=1,W29=0),1,0)</f>
      </c>
      <c r="Y29" s="1">
        <f>IF(AND(AS29=1,AT29=0,AU29=0),1,0)</f>
      </c>
      <c r="Z29" s="1">
        <f>IF(AND(Y29=1,T29=0,U29=1,V29=0),1,0)</f>
      </c>
      <c r="AA29" s="1">
        <f>IF(AND(X29=1,U29=0,V29=0,AN29=0,AO29=1,AP29=0),1,0)</f>
      </c>
      <c r="AB29" s="1">
        <f>IF(OR(W29=1,Z29=1),0,IF(T29=1,C29,0))</f>
      </c>
      <c r="AC29" s="1">
        <f>IF(OR(V29&gt;0,AA29=1),1,IF(U29=1,D29,1))</f>
      </c>
      <c r="AD29" s="1">
        <f>IF($A29="",0,IF(OR(T29=1,U29=1,V29&gt;0,W29=1),1,0))</f>
      </c>
      <c r="AE29" s="1">
        <f>IF(AD29=0,0,ROUND((AC29-AB29)*1440,0))</f>
      </c>
      <c r="AF29" s="1">
        <f>IF(AD29=0,"",IF(AND(F29&lt;&gt;"",ISNA(MATCH(F29,PauschLand,0))),"Land nicht in der Liste; ","")&amp;IF(AND(T29=0,W29=0,Z29=0),"Beginn fehlt; ","")&amp;IF(AND(V29=0,U29=0,AA29=0),"Ende fehlt; ","")&amp;IF(AND(X29=1,U29=1,V29=0,N(D29)&lt;N(C29)),"Ende vor Beginn (über Mitternacht: Ende in die Zeile des Folgetags); ",""))</f>
      </c>
      <c r="AG29" s="1">
        <f>IF(AD29=0,0,IFERROR(VLOOKUP(IF(F29="","Deutschland",F29),PauschTab,2,FALSE),0))</f>
      </c>
      <c r="AH29" s="1">
        <f>IF(AD29=0,0,IFERROR(VLOOKUP(IF(F29="","Deutschland",F29),PauschTab,3,FALSE),0))</f>
      </c>
      <c r="AI29" s="1">
        <f>IF(AD29=0,0,IFERROR(VLOOKUP(IF(F29="","Deutschland",F29),PauschTab,4,FALSE),0))</f>
      </c>
      <c r="AJ29" s="1">
        <f>IF(OR(AD29=0,AF29&lt;&gt;""),0,IF(AND(W29=1,V29&gt;0),IF(OR(T29=1,U29=1),AH29,AG29),IF(OR(W29=1,V29&gt;0),AH29,IF(AA29=1,IF(AND(AE29+AQ29&gt;480,AE29&gt;=AQ29),AH29,0),IF(Z29=1,IF(AND(AR29+AE29&gt;480,AE29&gt;AR29),AH29,0),IF(AE29&gt;480,AH29,0))))))</f>
      </c>
      <c r="AK29" s="1">
        <f>MIN(AJ29,AM29)</f>
      </c>
      <c r="AL29" s="1">
        <f>IF(OR(AD29=0,AF29&lt;&gt;""),"",IF(AND(W29=0,V29=0,AA29=0,Z29=0,AE29&lt;=480),"nicht mehr als 8 Std.; ","")&amp;IF(AA29=1,IF(AJ29&gt;0,"über Mitternacht, zusammen "&amp;TEXT((AE29+AQ29)/1440,"[h]:mm")&amp;" Std.; ",IF(AE29+AQ29&gt;480,"über Mitternacht: Pauschale am Folgetag; ","über Mitternacht, zusammen nicht mehr als 8 Std.; ")),"")&amp;IF(Z29=1,IF(AJ29&gt;0,"über Mitternacht, zusammen "&amp;TEXT((AR29+AE29)/1440,"[h]:mm")&amp;" Std.; ",IF(AR29+AE29&gt;480,"über Mitternacht: Pauschale am Vortag; ","über Mitternacht, zusammen nicht mehr als 8 Std.; ")),"")&amp;IF(AND(W29=1,V29&gt;0,OR(T29=1,U29=1)),"zwischendurch zu Hause: An- und Abreisetag; ","")&amp;IF(AND(W29=1,V29=0,T29=1),"Beginn leer lassen: unterwegs seit dem Vortag; ","")&amp;IF(AND(W29=0,V29&gt;0,U29=1),"Ende leer lassen: Übernachtung; ","")&amp;IF(AND(AJ29&gt;0,AM29&gt;AJ29),"Kürzung auf die Pauschale begrenzt; ",""))</f>
      </c>
      <c r="AM29" s="1">
        <f>ROUND(AG29*(IF(H29&lt;&gt;"",0.2,0)+IF(I29&lt;&gt;"",0.4,0)+IF(J29&lt;&gt;"",0.4,0)),2)</f>
      </c>
      <c r="AN29" s="1">
        <f>IF($A30="",'September'!$T$5,T30)</f>
      </c>
      <c r="AO29" s="1">
        <f>IF($A30="",'September'!$U$5,U30)</f>
      </c>
      <c r="AP29" s="1">
        <f>IF($A30="",'September'!$V$5,V30)</f>
      </c>
      <c r="AQ29" s="1">
        <f>IF($A30="",'September'!$AE$5,AE30)</f>
      </c>
      <c r="AR29" s="1">
        <f>AE28</f>
      </c>
      <c r="AS29" s="1">
        <f>X28</f>
      </c>
      <c r="AT29" s="1">
        <f>U28</f>
      </c>
      <c r="AU29" s="1">
        <f>V28</f>
      </c>
    </row>
    <row r="30" spans="1:47" x14ac:dyDescent="0.25">
      <c r="A30" s="17">
        <f>IF(MONTH(DATE(Jahr,8,26))=8,DATE(Jahr,8,26),"")</f>
      </c>
      <c r="B30" s="13">
        <f>IF(A30="","",CHOOSE(WEEKDAY(A30,2),"Mo","Di","Mi","Do","Fr","Sa","So"))</f>
      </c>
      <c r="C30" s="18"/>
      <c r="D30" s="18"/>
      <c r="E30" s="7"/>
      <c r="F30" s="7"/>
      <c r="G30" s="7"/>
      <c r="H30" s="19"/>
      <c r="I30" s="19"/>
      <c r="J30" s="19"/>
      <c r="K30" s="9"/>
      <c r="L30" s="20">
        <f>IF(OR(AD30=0,AF30&lt;&gt;"",AND(W30=1,V30&gt;0,OR(T30=1,U30=1))),"",AE30/1440)</f>
      </c>
      <c r="M30" s="21">
        <f>IF(OR(AD30=0,AF30&lt;&gt;""),"",AJ30)</f>
      </c>
      <c r="N30" s="21">
        <f>IF(AK30=0,"",AK30)</f>
      </c>
      <c r="O30" s="21">
        <f>IF(OR(AD30=0,AF30&lt;&gt;""),"",AJ30-AK30)</f>
      </c>
      <c r="P30" s="21">
        <f>IF(AND(AD30=1,AF30="",V30=2),AI30,"")</f>
      </c>
      <c r="Q30" s="21">
        <f>IF(OR($A30="",N(K30)=0),"",ROUND(K30*KmSatz,2))</f>
      </c>
      <c r="R30" s="22">
        <f>IF(AF30&amp;AL30="","",LEFT(AF30&amp;AL30,LEN(AF30&amp;AL30)-2))</f>
      </c>
      <c r="S30" s="1"/>
      <c r="T30" s="1">
        <f>IF(AND($A30&lt;&gt;"",ISNUMBER(C30)),1,0)</f>
      </c>
      <c r="U30" s="1">
        <f>IF(AND($A30&lt;&gt;"",ISNUMBER(D30)),1,0)</f>
      </c>
      <c r="V30" s="1">
        <f>IF($A30="",0,IF(E30="ja",1,IF(E30="Pauschale",2,0)))</f>
      </c>
      <c r="W30" s="1">
        <f>IF($A30="",0,IF(AU30&gt;0,1,0))</f>
      </c>
      <c r="X30" s="1">
        <f>IF(AND(T30=1,W30=0),1,0)</f>
      </c>
      <c r="Y30" s="1">
        <f>IF(AND(AS30=1,AT30=0,AU30=0),1,0)</f>
      </c>
      <c r="Z30" s="1">
        <f>IF(AND(Y30=1,T30=0,U30=1,V30=0),1,0)</f>
      </c>
      <c r="AA30" s="1">
        <f>IF(AND(X30=1,U30=0,V30=0,AN30=0,AO30=1,AP30=0),1,0)</f>
      </c>
      <c r="AB30" s="1">
        <f>IF(OR(W30=1,Z30=1),0,IF(T30=1,C30,0))</f>
      </c>
      <c r="AC30" s="1">
        <f>IF(OR(V30&gt;0,AA30=1),1,IF(U30=1,D30,1))</f>
      </c>
      <c r="AD30" s="1">
        <f>IF($A30="",0,IF(OR(T30=1,U30=1,V30&gt;0,W30=1),1,0))</f>
      </c>
      <c r="AE30" s="1">
        <f>IF(AD30=0,0,ROUND((AC30-AB30)*1440,0))</f>
      </c>
      <c r="AF30" s="1">
        <f>IF(AD30=0,"",IF(AND(F30&lt;&gt;"",ISNA(MATCH(F30,PauschLand,0))),"Land nicht in der Liste; ","")&amp;IF(AND(T30=0,W30=0,Z30=0),"Beginn fehlt; ","")&amp;IF(AND(V30=0,U30=0,AA30=0),"Ende fehlt; ","")&amp;IF(AND(X30=1,U30=1,V30=0,N(D30)&lt;N(C30)),"Ende vor Beginn (über Mitternacht: Ende in die Zeile des Folgetags); ",""))</f>
      </c>
      <c r="AG30" s="1">
        <f>IF(AD30=0,0,IFERROR(VLOOKUP(IF(F30="","Deutschland",F30),PauschTab,2,FALSE),0))</f>
      </c>
      <c r="AH30" s="1">
        <f>IF(AD30=0,0,IFERROR(VLOOKUP(IF(F30="","Deutschland",F30),PauschTab,3,FALSE),0))</f>
      </c>
      <c r="AI30" s="1">
        <f>IF(AD30=0,0,IFERROR(VLOOKUP(IF(F30="","Deutschland",F30),PauschTab,4,FALSE),0))</f>
      </c>
      <c r="AJ30" s="1">
        <f>IF(OR(AD30=0,AF30&lt;&gt;""),0,IF(AND(W30=1,V30&gt;0),IF(OR(T30=1,U30=1),AH30,AG30),IF(OR(W30=1,V30&gt;0),AH30,IF(AA30=1,IF(AND(AE30+AQ30&gt;480,AE30&gt;=AQ30),AH30,0),IF(Z30=1,IF(AND(AR30+AE30&gt;480,AE30&gt;AR30),AH30,0),IF(AE30&gt;480,AH30,0))))))</f>
      </c>
      <c r="AK30" s="1">
        <f>MIN(AJ30,AM30)</f>
      </c>
      <c r="AL30" s="1">
        <f>IF(OR(AD30=0,AF30&lt;&gt;""),"",IF(AND(W30=0,V30=0,AA30=0,Z30=0,AE30&lt;=480),"nicht mehr als 8 Std.; ","")&amp;IF(AA30=1,IF(AJ30&gt;0,"über Mitternacht, zusammen "&amp;TEXT((AE30+AQ30)/1440,"[h]:mm")&amp;" Std.; ",IF(AE30+AQ30&gt;480,"über Mitternacht: Pauschale am Folgetag; ","über Mitternacht, zusammen nicht mehr als 8 Std.; ")),"")&amp;IF(Z30=1,IF(AJ30&gt;0,"über Mitternacht, zusammen "&amp;TEXT((AR30+AE30)/1440,"[h]:mm")&amp;" Std.; ",IF(AR30+AE30&gt;480,"über Mitternacht: Pauschale am Vortag; ","über Mitternacht, zusammen nicht mehr als 8 Std.; ")),"")&amp;IF(AND(W30=1,V30&gt;0,OR(T30=1,U30=1)),"zwischendurch zu Hause: An- und Abreisetag; ","")&amp;IF(AND(W30=1,V30=0,T30=1),"Beginn leer lassen: unterwegs seit dem Vortag; ","")&amp;IF(AND(W30=0,V30&gt;0,U30=1),"Ende leer lassen: Übernachtung; ","")&amp;IF(AND(AJ30&gt;0,AM30&gt;AJ30),"Kürzung auf die Pauschale begrenzt; ",""))</f>
      </c>
      <c r="AM30" s="1">
        <f>ROUND(AG30*(IF(H30&lt;&gt;"",0.2,0)+IF(I30&lt;&gt;"",0.4,0)+IF(J30&lt;&gt;"",0.4,0)),2)</f>
      </c>
      <c r="AN30" s="1">
        <f>IF($A31="",'September'!$T$5,T31)</f>
      </c>
      <c r="AO30" s="1">
        <f>IF($A31="",'September'!$U$5,U31)</f>
      </c>
      <c r="AP30" s="1">
        <f>IF($A31="",'September'!$V$5,V31)</f>
      </c>
      <c r="AQ30" s="1">
        <f>IF($A31="",'September'!$AE$5,AE31)</f>
      </c>
      <c r="AR30" s="1">
        <f>AE29</f>
      </c>
      <c r="AS30" s="1">
        <f>X29</f>
      </c>
      <c r="AT30" s="1">
        <f>U29</f>
      </c>
      <c r="AU30" s="1">
        <f>V29</f>
      </c>
    </row>
    <row r="31" spans="1:47" x14ac:dyDescent="0.25">
      <c r="A31" s="17">
        <f>IF(MONTH(DATE(Jahr,8,27))=8,DATE(Jahr,8,27),"")</f>
      </c>
      <c r="B31" s="13">
        <f>IF(A31="","",CHOOSE(WEEKDAY(A31,2),"Mo","Di","Mi","Do","Fr","Sa","So"))</f>
      </c>
      <c r="C31" s="18"/>
      <c r="D31" s="18"/>
      <c r="E31" s="7"/>
      <c r="F31" s="7"/>
      <c r="G31" s="7"/>
      <c r="H31" s="19"/>
      <c r="I31" s="19"/>
      <c r="J31" s="19"/>
      <c r="K31" s="9"/>
      <c r="L31" s="20">
        <f>IF(OR(AD31=0,AF31&lt;&gt;"",AND(W31=1,V31&gt;0,OR(T31=1,U31=1))),"",AE31/1440)</f>
      </c>
      <c r="M31" s="21">
        <f>IF(OR(AD31=0,AF31&lt;&gt;""),"",AJ31)</f>
      </c>
      <c r="N31" s="21">
        <f>IF(AK31=0,"",AK31)</f>
      </c>
      <c r="O31" s="21">
        <f>IF(OR(AD31=0,AF31&lt;&gt;""),"",AJ31-AK31)</f>
      </c>
      <c r="P31" s="21">
        <f>IF(AND(AD31=1,AF31="",V31=2),AI31,"")</f>
      </c>
      <c r="Q31" s="21">
        <f>IF(OR($A31="",N(K31)=0),"",ROUND(K31*KmSatz,2))</f>
      </c>
      <c r="R31" s="22">
        <f>IF(AF31&amp;AL31="","",LEFT(AF31&amp;AL31,LEN(AF31&amp;AL31)-2))</f>
      </c>
      <c r="S31" s="1"/>
      <c r="T31" s="1">
        <f>IF(AND($A31&lt;&gt;"",ISNUMBER(C31)),1,0)</f>
      </c>
      <c r="U31" s="1">
        <f>IF(AND($A31&lt;&gt;"",ISNUMBER(D31)),1,0)</f>
      </c>
      <c r="V31" s="1">
        <f>IF($A31="",0,IF(E31="ja",1,IF(E31="Pauschale",2,0)))</f>
      </c>
      <c r="W31" s="1">
        <f>IF($A31="",0,IF(AU31&gt;0,1,0))</f>
      </c>
      <c r="X31" s="1">
        <f>IF(AND(T31=1,W31=0),1,0)</f>
      </c>
      <c r="Y31" s="1">
        <f>IF(AND(AS31=1,AT31=0,AU31=0),1,0)</f>
      </c>
      <c r="Z31" s="1">
        <f>IF(AND(Y31=1,T31=0,U31=1,V31=0),1,0)</f>
      </c>
      <c r="AA31" s="1">
        <f>IF(AND(X31=1,U31=0,V31=0,AN31=0,AO31=1,AP31=0),1,0)</f>
      </c>
      <c r="AB31" s="1">
        <f>IF(OR(W31=1,Z31=1),0,IF(T31=1,C31,0))</f>
      </c>
      <c r="AC31" s="1">
        <f>IF(OR(V31&gt;0,AA31=1),1,IF(U31=1,D31,1))</f>
      </c>
      <c r="AD31" s="1">
        <f>IF($A31="",0,IF(OR(T31=1,U31=1,V31&gt;0,W31=1),1,0))</f>
      </c>
      <c r="AE31" s="1">
        <f>IF(AD31=0,0,ROUND((AC31-AB31)*1440,0))</f>
      </c>
      <c r="AF31" s="1">
        <f>IF(AD31=0,"",IF(AND(F31&lt;&gt;"",ISNA(MATCH(F31,PauschLand,0))),"Land nicht in der Liste; ","")&amp;IF(AND(T31=0,W31=0,Z31=0),"Beginn fehlt; ","")&amp;IF(AND(V31=0,U31=0,AA31=0),"Ende fehlt; ","")&amp;IF(AND(X31=1,U31=1,V31=0,N(D31)&lt;N(C31)),"Ende vor Beginn (über Mitternacht: Ende in die Zeile des Folgetags); ",""))</f>
      </c>
      <c r="AG31" s="1">
        <f>IF(AD31=0,0,IFERROR(VLOOKUP(IF(F31="","Deutschland",F31),PauschTab,2,FALSE),0))</f>
      </c>
      <c r="AH31" s="1">
        <f>IF(AD31=0,0,IFERROR(VLOOKUP(IF(F31="","Deutschland",F31),PauschTab,3,FALSE),0))</f>
      </c>
      <c r="AI31" s="1">
        <f>IF(AD31=0,0,IFERROR(VLOOKUP(IF(F31="","Deutschland",F31),PauschTab,4,FALSE),0))</f>
      </c>
      <c r="AJ31" s="1">
        <f>IF(OR(AD31=0,AF31&lt;&gt;""),0,IF(AND(W31=1,V31&gt;0),IF(OR(T31=1,U31=1),AH31,AG31),IF(OR(W31=1,V31&gt;0),AH31,IF(AA31=1,IF(AND(AE31+AQ31&gt;480,AE31&gt;=AQ31),AH31,0),IF(Z31=1,IF(AND(AR31+AE31&gt;480,AE31&gt;AR31),AH31,0),IF(AE31&gt;480,AH31,0))))))</f>
      </c>
      <c r="AK31" s="1">
        <f>MIN(AJ31,AM31)</f>
      </c>
      <c r="AL31" s="1">
        <f>IF(OR(AD31=0,AF31&lt;&gt;""),"",IF(AND(W31=0,V31=0,AA31=0,Z31=0,AE31&lt;=480),"nicht mehr als 8 Std.; ","")&amp;IF(AA31=1,IF(AJ31&gt;0,"über Mitternacht, zusammen "&amp;TEXT((AE31+AQ31)/1440,"[h]:mm")&amp;" Std.; ",IF(AE31+AQ31&gt;480,"über Mitternacht: Pauschale am Folgetag; ","über Mitternacht, zusammen nicht mehr als 8 Std.; ")),"")&amp;IF(Z31=1,IF(AJ31&gt;0,"über Mitternacht, zusammen "&amp;TEXT((AR31+AE31)/1440,"[h]:mm")&amp;" Std.; ",IF(AR31+AE31&gt;480,"über Mitternacht: Pauschale am Vortag; ","über Mitternacht, zusammen nicht mehr als 8 Std.; ")),"")&amp;IF(AND(W31=1,V31&gt;0,OR(T31=1,U31=1)),"zwischendurch zu Hause: An- und Abreisetag; ","")&amp;IF(AND(W31=1,V31=0,T31=1),"Beginn leer lassen: unterwegs seit dem Vortag; ","")&amp;IF(AND(W31=0,V31&gt;0,U31=1),"Ende leer lassen: Übernachtung; ","")&amp;IF(AND(AJ31&gt;0,AM31&gt;AJ31),"Kürzung auf die Pauschale begrenzt; ",""))</f>
      </c>
      <c r="AM31" s="1">
        <f>ROUND(AG31*(IF(H31&lt;&gt;"",0.2,0)+IF(I31&lt;&gt;"",0.4,0)+IF(J31&lt;&gt;"",0.4,0)),2)</f>
      </c>
      <c r="AN31" s="1">
        <f>IF($A32="",'September'!$T$5,T32)</f>
      </c>
      <c r="AO31" s="1">
        <f>IF($A32="",'September'!$U$5,U32)</f>
      </c>
      <c r="AP31" s="1">
        <f>IF($A32="",'September'!$V$5,V32)</f>
      </c>
      <c r="AQ31" s="1">
        <f>IF($A32="",'September'!$AE$5,AE32)</f>
      </c>
      <c r="AR31" s="1">
        <f>AE30</f>
      </c>
      <c r="AS31" s="1">
        <f>X30</f>
      </c>
      <c r="AT31" s="1">
        <f>U30</f>
      </c>
      <c r="AU31" s="1">
        <f>V30</f>
      </c>
    </row>
    <row r="32" spans="1:47" x14ac:dyDescent="0.25">
      <c r="A32" s="17">
        <f>IF(MONTH(DATE(Jahr,8,28))=8,DATE(Jahr,8,28),"")</f>
      </c>
      <c r="B32" s="13">
        <f>IF(A32="","",CHOOSE(WEEKDAY(A32,2),"Mo","Di","Mi","Do","Fr","Sa","So"))</f>
      </c>
      <c r="C32" s="18"/>
      <c r="D32" s="18"/>
      <c r="E32" s="7"/>
      <c r="F32" s="7"/>
      <c r="G32" s="7"/>
      <c r="H32" s="19"/>
      <c r="I32" s="19"/>
      <c r="J32" s="19"/>
      <c r="K32" s="9"/>
      <c r="L32" s="20">
        <f>IF(OR(AD32=0,AF32&lt;&gt;"",AND(W32=1,V32&gt;0,OR(T32=1,U32=1))),"",AE32/1440)</f>
      </c>
      <c r="M32" s="21">
        <f>IF(OR(AD32=0,AF32&lt;&gt;""),"",AJ32)</f>
      </c>
      <c r="N32" s="21">
        <f>IF(AK32=0,"",AK32)</f>
      </c>
      <c r="O32" s="21">
        <f>IF(OR(AD32=0,AF32&lt;&gt;""),"",AJ32-AK32)</f>
      </c>
      <c r="P32" s="21">
        <f>IF(AND(AD32=1,AF32="",V32=2),AI32,"")</f>
      </c>
      <c r="Q32" s="21">
        <f>IF(OR($A32="",N(K32)=0),"",ROUND(K32*KmSatz,2))</f>
      </c>
      <c r="R32" s="22">
        <f>IF(AF32&amp;AL32="","",LEFT(AF32&amp;AL32,LEN(AF32&amp;AL32)-2))</f>
      </c>
      <c r="S32" s="1"/>
      <c r="T32" s="1">
        <f>IF(AND($A32&lt;&gt;"",ISNUMBER(C32)),1,0)</f>
      </c>
      <c r="U32" s="1">
        <f>IF(AND($A32&lt;&gt;"",ISNUMBER(D32)),1,0)</f>
      </c>
      <c r="V32" s="1">
        <f>IF($A32="",0,IF(E32="ja",1,IF(E32="Pauschale",2,0)))</f>
      </c>
      <c r="W32" s="1">
        <f>IF($A32="",0,IF(AU32&gt;0,1,0))</f>
      </c>
      <c r="X32" s="1">
        <f>IF(AND(T32=1,W32=0),1,0)</f>
      </c>
      <c r="Y32" s="1">
        <f>IF(AND(AS32=1,AT32=0,AU32=0),1,0)</f>
      </c>
      <c r="Z32" s="1">
        <f>IF(AND(Y32=1,T32=0,U32=1,V32=0),1,0)</f>
      </c>
      <c r="AA32" s="1">
        <f>IF(AND(X32=1,U32=0,V32=0,AN32=0,AO32=1,AP32=0),1,0)</f>
      </c>
      <c r="AB32" s="1">
        <f>IF(OR(W32=1,Z32=1),0,IF(T32=1,C32,0))</f>
      </c>
      <c r="AC32" s="1">
        <f>IF(OR(V32&gt;0,AA32=1),1,IF(U32=1,D32,1))</f>
      </c>
      <c r="AD32" s="1">
        <f>IF($A32="",0,IF(OR(T32=1,U32=1,V32&gt;0,W32=1),1,0))</f>
      </c>
      <c r="AE32" s="1">
        <f>IF(AD32=0,0,ROUND((AC32-AB32)*1440,0))</f>
      </c>
      <c r="AF32" s="1">
        <f>IF(AD32=0,"",IF(AND(F32&lt;&gt;"",ISNA(MATCH(F32,PauschLand,0))),"Land nicht in der Liste; ","")&amp;IF(AND(T32=0,W32=0,Z32=0),"Beginn fehlt; ","")&amp;IF(AND(V32=0,U32=0,AA32=0),"Ende fehlt; ","")&amp;IF(AND(X32=1,U32=1,V32=0,N(D32)&lt;N(C32)),"Ende vor Beginn (über Mitternacht: Ende in die Zeile des Folgetags); ",""))</f>
      </c>
      <c r="AG32" s="1">
        <f>IF(AD32=0,0,IFERROR(VLOOKUP(IF(F32="","Deutschland",F32),PauschTab,2,FALSE),0))</f>
      </c>
      <c r="AH32" s="1">
        <f>IF(AD32=0,0,IFERROR(VLOOKUP(IF(F32="","Deutschland",F32),PauschTab,3,FALSE),0))</f>
      </c>
      <c r="AI32" s="1">
        <f>IF(AD32=0,0,IFERROR(VLOOKUP(IF(F32="","Deutschland",F32),PauschTab,4,FALSE),0))</f>
      </c>
      <c r="AJ32" s="1">
        <f>IF(OR(AD32=0,AF32&lt;&gt;""),0,IF(AND(W32=1,V32&gt;0),IF(OR(T32=1,U32=1),AH32,AG32),IF(OR(W32=1,V32&gt;0),AH32,IF(AA32=1,IF(AND(AE32+AQ32&gt;480,AE32&gt;=AQ32),AH32,0),IF(Z32=1,IF(AND(AR32+AE32&gt;480,AE32&gt;AR32),AH32,0),IF(AE32&gt;480,AH32,0))))))</f>
      </c>
      <c r="AK32" s="1">
        <f>MIN(AJ32,AM32)</f>
      </c>
      <c r="AL32" s="1">
        <f>IF(OR(AD32=0,AF32&lt;&gt;""),"",IF(AND(W32=0,V32=0,AA32=0,Z32=0,AE32&lt;=480),"nicht mehr als 8 Std.; ","")&amp;IF(AA32=1,IF(AJ32&gt;0,"über Mitternacht, zusammen "&amp;TEXT((AE32+AQ32)/1440,"[h]:mm")&amp;" Std.; ",IF(AE32+AQ32&gt;480,"über Mitternacht: Pauschale am Folgetag; ","über Mitternacht, zusammen nicht mehr als 8 Std.; ")),"")&amp;IF(Z32=1,IF(AJ32&gt;0,"über Mitternacht, zusammen "&amp;TEXT((AR32+AE32)/1440,"[h]:mm")&amp;" Std.; ",IF(AR32+AE32&gt;480,"über Mitternacht: Pauschale am Vortag; ","über Mitternacht, zusammen nicht mehr als 8 Std.; ")),"")&amp;IF(AND(W32=1,V32&gt;0,OR(T32=1,U32=1)),"zwischendurch zu Hause: An- und Abreisetag; ","")&amp;IF(AND(W32=1,V32=0,T32=1),"Beginn leer lassen: unterwegs seit dem Vortag; ","")&amp;IF(AND(W32=0,V32&gt;0,U32=1),"Ende leer lassen: Übernachtung; ","")&amp;IF(AND(AJ32&gt;0,AM32&gt;AJ32),"Kürzung auf die Pauschale begrenzt; ",""))</f>
      </c>
      <c r="AM32" s="1">
        <f>ROUND(AG32*(IF(H32&lt;&gt;"",0.2,0)+IF(I32&lt;&gt;"",0.4,0)+IF(J32&lt;&gt;"",0.4,0)),2)</f>
      </c>
      <c r="AN32" s="1">
        <f>IF($A33="",'September'!$T$5,T33)</f>
      </c>
      <c r="AO32" s="1">
        <f>IF($A33="",'September'!$U$5,U33)</f>
      </c>
      <c r="AP32" s="1">
        <f>IF($A33="",'September'!$V$5,V33)</f>
      </c>
      <c r="AQ32" s="1">
        <f>IF($A33="",'September'!$AE$5,AE33)</f>
      </c>
      <c r="AR32" s="1">
        <f>AE31</f>
      </c>
      <c r="AS32" s="1">
        <f>X31</f>
      </c>
      <c r="AT32" s="1">
        <f>U31</f>
      </c>
      <c r="AU32" s="1">
        <f>V31</f>
      </c>
    </row>
    <row r="33" spans="1:47" x14ac:dyDescent="0.25">
      <c r="A33" s="17">
        <f>IF(MONTH(DATE(Jahr,8,29))=8,DATE(Jahr,8,29),"")</f>
      </c>
      <c r="B33" s="13">
        <f>IF(A33="","",CHOOSE(WEEKDAY(A33,2),"Mo","Di","Mi","Do","Fr","Sa","So"))</f>
      </c>
      <c r="C33" s="18"/>
      <c r="D33" s="18"/>
      <c r="E33" s="7"/>
      <c r="F33" s="7"/>
      <c r="G33" s="7"/>
      <c r="H33" s="19"/>
      <c r="I33" s="19"/>
      <c r="J33" s="19"/>
      <c r="K33" s="9"/>
      <c r="L33" s="20">
        <f>IF(OR(AD33=0,AF33&lt;&gt;"",AND(W33=1,V33&gt;0,OR(T33=1,U33=1))),"",AE33/1440)</f>
      </c>
      <c r="M33" s="21">
        <f>IF(OR(AD33=0,AF33&lt;&gt;""),"",AJ33)</f>
      </c>
      <c r="N33" s="21">
        <f>IF(AK33=0,"",AK33)</f>
      </c>
      <c r="O33" s="21">
        <f>IF(OR(AD33=0,AF33&lt;&gt;""),"",AJ33-AK33)</f>
      </c>
      <c r="P33" s="21">
        <f>IF(AND(AD33=1,AF33="",V33=2),AI33,"")</f>
      </c>
      <c r="Q33" s="21">
        <f>IF(OR($A33="",N(K33)=0),"",ROUND(K33*KmSatz,2))</f>
      </c>
      <c r="R33" s="22">
        <f>IF(AF33&amp;AL33="","",LEFT(AF33&amp;AL33,LEN(AF33&amp;AL33)-2))</f>
      </c>
      <c r="S33" s="1"/>
      <c r="T33" s="1">
        <f>IF(AND($A33&lt;&gt;"",ISNUMBER(C33)),1,0)</f>
      </c>
      <c r="U33" s="1">
        <f>IF(AND($A33&lt;&gt;"",ISNUMBER(D33)),1,0)</f>
      </c>
      <c r="V33" s="1">
        <f>IF($A33="",0,IF(E33="ja",1,IF(E33="Pauschale",2,0)))</f>
      </c>
      <c r="W33" s="1">
        <f>IF($A33="",0,IF(AU33&gt;0,1,0))</f>
      </c>
      <c r="X33" s="1">
        <f>IF(AND(T33=1,W33=0),1,0)</f>
      </c>
      <c r="Y33" s="1">
        <f>IF(AND(AS33=1,AT33=0,AU33=0),1,0)</f>
      </c>
      <c r="Z33" s="1">
        <f>IF(AND(Y33=1,T33=0,U33=1,V33=0),1,0)</f>
      </c>
      <c r="AA33" s="1">
        <f>IF(AND(X33=1,U33=0,V33=0,AN33=0,AO33=1,AP33=0),1,0)</f>
      </c>
      <c r="AB33" s="1">
        <f>IF(OR(W33=1,Z33=1),0,IF(T33=1,C33,0))</f>
      </c>
      <c r="AC33" s="1">
        <f>IF(OR(V33&gt;0,AA33=1),1,IF(U33=1,D33,1))</f>
      </c>
      <c r="AD33" s="1">
        <f>IF($A33="",0,IF(OR(T33=1,U33=1,V33&gt;0,W33=1),1,0))</f>
      </c>
      <c r="AE33" s="1">
        <f>IF(AD33=0,0,ROUND((AC33-AB33)*1440,0))</f>
      </c>
      <c r="AF33" s="1">
        <f>IF(AD33=0,"",IF(AND(F33&lt;&gt;"",ISNA(MATCH(F33,PauschLand,0))),"Land nicht in der Liste; ","")&amp;IF(AND(T33=0,W33=0,Z33=0),"Beginn fehlt; ","")&amp;IF(AND(V33=0,U33=0,AA33=0),"Ende fehlt; ","")&amp;IF(AND(X33=1,U33=1,V33=0,N(D33)&lt;N(C33)),"Ende vor Beginn (über Mitternacht: Ende in die Zeile des Folgetags); ",""))</f>
      </c>
      <c r="AG33" s="1">
        <f>IF(AD33=0,0,IFERROR(VLOOKUP(IF(F33="","Deutschland",F33),PauschTab,2,FALSE),0))</f>
      </c>
      <c r="AH33" s="1">
        <f>IF(AD33=0,0,IFERROR(VLOOKUP(IF(F33="","Deutschland",F33),PauschTab,3,FALSE),0))</f>
      </c>
      <c r="AI33" s="1">
        <f>IF(AD33=0,0,IFERROR(VLOOKUP(IF(F33="","Deutschland",F33),PauschTab,4,FALSE),0))</f>
      </c>
      <c r="AJ33" s="1">
        <f>IF(OR(AD33=0,AF33&lt;&gt;""),0,IF(AND(W33=1,V33&gt;0),IF(OR(T33=1,U33=1),AH33,AG33),IF(OR(W33=1,V33&gt;0),AH33,IF(AA33=1,IF(AND(AE33+AQ33&gt;480,AE33&gt;=AQ33),AH33,0),IF(Z33=1,IF(AND(AR33+AE33&gt;480,AE33&gt;AR33),AH33,0),IF(AE33&gt;480,AH33,0))))))</f>
      </c>
      <c r="AK33" s="1">
        <f>MIN(AJ33,AM33)</f>
      </c>
      <c r="AL33" s="1">
        <f>IF(OR(AD33=0,AF33&lt;&gt;""),"",IF(AND(W33=0,V33=0,AA33=0,Z33=0,AE33&lt;=480),"nicht mehr als 8 Std.; ","")&amp;IF(AA33=1,IF(AJ33&gt;0,"über Mitternacht, zusammen "&amp;TEXT((AE33+AQ33)/1440,"[h]:mm")&amp;" Std.; ",IF(AE33+AQ33&gt;480,"über Mitternacht: Pauschale am Folgetag; ","über Mitternacht, zusammen nicht mehr als 8 Std.; ")),"")&amp;IF(Z33=1,IF(AJ33&gt;0,"über Mitternacht, zusammen "&amp;TEXT((AR33+AE33)/1440,"[h]:mm")&amp;" Std.; ",IF(AR33+AE33&gt;480,"über Mitternacht: Pauschale am Vortag; ","über Mitternacht, zusammen nicht mehr als 8 Std.; ")),"")&amp;IF(AND(W33=1,V33&gt;0,OR(T33=1,U33=1)),"zwischendurch zu Hause: An- und Abreisetag; ","")&amp;IF(AND(W33=1,V33=0,T33=1),"Beginn leer lassen: unterwegs seit dem Vortag; ","")&amp;IF(AND(W33=0,V33&gt;0,U33=1),"Ende leer lassen: Übernachtung; ","")&amp;IF(AND(AJ33&gt;0,AM33&gt;AJ33),"Kürzung auf die Pauschale begrenzt; ",""))</f>
      </c>
      <c r="AM33" s="1">
        <f>ROUND(AG33*(IF(H33&lt;&gt;"",0.2,0)+IF(I33&lt;&gt;"",0.4,0)+IF(J33&lt;&gt;"",0.4,0)),2)</f>
      </c>
      <c r="AN33" s="1">
        <f>IF($A34="",'September'!$T$5,T34)</f>
      </c>
      <c r="AO33" s="1">
        <f>IF($A34="",'September'!$U$5,U34)</f>
      </c>
      <c r="AP33" s="1">
        <f>IF($A34="",'September'!$V$5,V34)</f>
      </c>
      <c r="AQ33" s="1">
        <f>IF($A34="",'September'!$AE$5,AE34)</f>
      </c>
      <c r="AR33" s="1">
        <f>AE32</f>
      </c>
      <c r="AS33" s="1">
        <f>X32</f>
      </c>
      <c r="AT33" s="1">
        <f>U32</f>
      </c>
      <c r="AU33" s="1">
        <f>V32</f>
      </c>
    </row>
    <row r="34" spans="1:47" x14ac:dyDescent="0.25">
      <c r="A34" s="17">
        <f>IF(MONTH(DATE(Jahr,8,30))=8,DATE(Jahr,8,30),"")</f>
      </c>
      <c r="B34" s="13">
        <f>IF(A34="","",CHOOSE(WEEKDAY(A34,2),"Mo","Di","Mi","Do","Fr","Sa","So"))</f>
      </c>
      <c r="C34" s="18"/>
      <c r="D34" s="18"/>
      <c r="E34" s="7"/>
      <c r="F34" s="7"/>
      <c r="G34" s="7"/>
      <c r="H34" s="19"/>
      <c r="I34" s="19"/>
      <c r="J34" s="19"/>
      <c r="K34" s="9"/>
      <c r="L34" s="20">
        <f>IF(OR(AD34=0,AF34&lt;&gt;"",AND(W34=1,V34&gt;0,OR(T34=1,U34=1))),"",AE34/1440)</f>
      </c>
      <c r="M34" s="21">
        <f>IF(OR(AD34=0,AF34&lt;&gt;""),"",AJ34)</f>
      </c>
      <c r="N34" s="21">
        <f>IF(AK34=0,"",AK34)</f>
      </c>
      <c r="O34" s="21">
        <f>IF(OR(AD34=0,AF34&lt;&gt;""),"",AJ34-AK34)</f>
      </c>
      <c r="P34" s="21">
        <f>IF(AND(AD34=1,AF34="",V34=2),AI34,"")</f>
      </c>
      <c r="Q34" s="21">
        <f>IF(OR($A34="",N(K34)=0),"",ROUND(K34*KmSatz,2))</f>
      </c>
      <c r="R34" s="22">
        <f>IF(AF34&amp;AL34="","",LEFT(AF34&amp;AL34,LEN(AF34&amp;AL34)-2))</f>
      </c>
      <c r="S34" s="1"/>
      <c r="T34" s="1">
        <f>IF(AND($A34&lt;&gt;"",ISNUMBER(C34)),1,0)</f>
      </c>
      <c r="U34" s="1">
        <f>IF(AND($A34&lt;&gt;"",ISNUMBER(D34)),1,0)</f>
      </c>
      <c r="V34" s="1">
        <f>IF($A34="",0,IF(E34="ja",1,IF(E34="Pauschale",2,0)))</f>
      </c>
      <c r="W34" s="1">
        <f>IF($A34="",0,IF(AU34&gt;0,1,0))</f>
      </c>
      <c r="X34" s="1">
        <f>IF(AND(T34=1,W34=0),1,0)</f>
      </c>
      <c r="Y34" s="1">
        <f>IF(AND(AS34=1,AT34=0,AU34=0),1,0)</f>
      </c>
      <c r="Z34" s="1">
        <f>IF(AND(Y34=1,T34=0,U34=1,V34=0),1,0)</f>
      </c>
      <c r="AA34" s="1">
        <f>IF(AND(X34=1,U34=0,V34=0,AN34=0,AO34=1,AP34=0),1,0)</f>
      </c>
      <c r="AB34" s="1">
        <f>IF(OR(W34=1,Z34=1),0,IF(T34=1,C34,0))</f>
      </c>
      <c r="AC34" s="1">
        <f>IF(OR(V34&gt;0,AA34=1),1,IF(U34=1,D34,1))</f>
      </c>
      <c r="AD34" s="1">
        <f>IF($A34="",0,IF(OR(T34=1,U34=1,V34&gt;0,W34=1),1,0))</f>
      </c>
      <c r="AE34" s="1">
        <f>IF(AD34=0,0,ROUND((AC34-AB34)*1440,0))</f>
      </c>
      <c r="AF34" s="1">
        <f>IF(AD34=0,"",IF(AND(F34&lt;&gt;"",ISNA(MATCH(F34,PauschLand,0))),"Land nicht in der Liste; ","")&amp;IF(AND(T34=0,W34=0,Z34=0),"Beginn fehlt; ","")&amp;IF(AND(V34=0,U34=0,AA34=0),"Ende fehlt; ","")&amp;IF(AND(X34=1,U34=1,V34=0,N(D34)&lt;N(C34)),"Ende vor Beginn (über Mitternacht: Ende in die Zeile des Folgetags); ",""))</f>
      </c>
      <c r="AG34" s="1">
        <f>IF(AD34=0,0,IFERROR(VLOOKUP(IF(F34="","Deutschland",F34),PauschTab,2,FALSE),0))</f>
      </c>
      <c r="AH34" s="1">
        <f>IF(AD34=0,0,IFERROR(VLOOKUP(IF(F34="","Deutschland",F34),PauschTab,3,FALSE),0))</f>
      </c>
      <c r="AI34" s="1">
        <f>IF(AD34=0,0,IFERROR(VLOOKUP(IF(F34="","Deutschland",F34),PauschTab,4,FALSE),0))</f>
      </c>
      <c r="AJ34" s="1">
        <f>IF(OR(AD34=0,AF34&lt;&gt;""),0,IF(AND(W34=1,V34&gt;0),IF(OR(T34=1,U34=1),AH34,AG34),IF(OR(W34=1,V34&gt;0),AH34,IF(AA34=1,IF(AND(AE34+AQ34&gt;480,AE34&gt;=AQ34),AH34,0),IF(Z34=1,IF(AND(AR34+AE34&gt;480,AE34&gt;AR34),AH34,0),IF(AE34&gt;480,AH34,0))))))</f>
      </c>
      <c r="AK34" s="1">
        <f>MIN(AJ34,AM34)</f>
      </c>
      <c r="AL34" s="1">
        <f>IF(OR(AD34=0,AF34&lt;&gt;""),"",IF(AND(W34=0,V34=0,AA34=0,Z34=0,AE34&lt;=480),"nicht mehr als 8 Std.; ","")&amp;IF(AA34=1,IF(AJ34&gt;0,"über Mitternacht, zusammen "&amp;TEXT((AE34+AQ34)/1440,"[h]:mm")&amp;" Std.; ",IF(AE34+AQ34&gt;480,"über Mitternacht: Pauschale am Folgetag; ","über Mitternacht, zusammen nicht mehr als 8 Std.; ")),"")&amp;IF(Z34=1,IF(AJ34&gt;0,"über Mitternacht, zusammen "&amp;TEXT((AR34+AE34)/1440,"[h]:mm")&amp;" Std.; ",IF(AR34+AE34&gt;480,"über Mitternacht: Pauschale am Vortag; ","über Mitternacht, zusammen nicht mehr als 8 Std.; ")),"")&amp;IF(AND(W34=1,V34&gt;0,OR(T34=1,U34=1)),"zwischendurch zu Hause: An- und Abreisetag; ","")&amp;IF(AND(W34=1,V34=0,T34=1),"Beginn leer lassen: unterwegs seit dem Vortag; ","")&amp;IF(AND(W34=0,V34&gt;0,U34=1),"Ende leer lassen: Übernachtung; ","")&amp;IF(AND(AJ34&gt;0,AM34&gt;AJ34),"Kürzung auf die Pauschale begrenzt; ",""))</f>
      </c>
      <c r="AM34" s="1">
        <f>ROUND(AG34*(IF(H34&lt;&gt;"",0.2,0)+IF(I34&lt;&gt;"",0.4,0)+IF(J34&lt;&gt;"",0.4,0)),2)</f>
      </c>
      <c r="AN34" s="1">
        <f>IF($A35="",'September'!$T$5,T35)</f>
      </c>
      <c r="AO34" s="1">
        <f>IF($A35="",'September'!$U$5,U35)</f>
      </c>
      <c r="AP34" s="1">
        <f>IF($A35="",'September'!$V$5,V35)</f>
      </c>
      <c r="AQ34" s="1">
        <f>IF($A35="",'September'!$AE$5,AE35)</f>
      </c>
      <c r="AR34" s="1">
        <f>AE33</f>
      </c>
      <c r="AS34" s="1">
        <f>X33</f>
      </c>
      <c r="AT34" s="1">
        <f>U33</f>
      </c>
      <c r="AU34" s="1">
        <f>V33</f>
      </c>
    </row>
    <row r="35" spans="1:47" x14ac:dyDescent="0.25">
      <c r="A35" s="17">
        <f>IF(MONTH(DATE(Jahr,8,31))=8,DATE(Jahr,8,31),"")</f>
      </c>
      <c r="B35" s="13">
        <f>IF(A35="","",CHOOSE(WEEKDAY(A35,2),"Mo","Di","Mi","Do","Fr","Sa","So"))</f>
      </c>
      <c r="C35" s="18"/>
      <c r="D35" s="18"/>
      <c r="E35" s="7"/>
      <c r="F35" s="7"/>
      <c r="G35" s="7"/>
      <c r="H35" s="19"/>
      <c r="I35" s="19"/>
      <c r="J35" s="19"/>
      <c r="K35" s="9"/>
      <c r="L35" s="20">
        <f>IF(OR(AD35=0,AF35&lt;&gt;"",AND(W35=1,V35&gt;0,OR(T35=1,U35=1))),"",AE35/1440)</f>
      </c>
      <c r="M35" s="21">
        <f>IF(OR(AD35=0,AF35&lt;&gt;""),"",AJ35)</f>
      </c>
      <c r="N35" s="21">
        <f>IF(AK35=0,"",AK35)</f>
      </c>
      <c r="O35" s="21">
        <f>IF(OR(AD35=0,AF35&lt;&gt;""),"",AJ35-AK35)</f>
      </c>
      <c r="P35" s="21">
        <f>IF(AND(AD35=1,AF35="",V35=2),AI35,"")</f>
      </c>
      <c r="Q35" s="21">
        <f>IF(OR($A35="",N(K35)=0),"",ROUND(K35*KmSatz,2))</f>
      </c>
      <c r="R35" s="22">
        <f>IF(AF35&amp;AL35="","",LEFT(AF35&amp;AL35,LEN(AF35&amp;AL35)-2))</f>
      </c>
      <c r="S35" s="1"/>
      <c r="T35" s="1">
        <f>IF(AND($A35&lt;&gt;"",ISNUMBER(C35)),1,0)</f>
      </c>
      <c r="U35" s="1">
        <f>IF(AND($A35&lt;&gt;"",ISNUMBER(D35)),1,0)</f>
      </c>
      <c r="V35" s="1">
        <f>IF($A35="",0,IF(E35="ja",1,IF(E35="Pauschale",2,0)))</f>
      </c>
      <c r="W35" s="1">
        <f>IF($A35="",0,IF(AU35&gt;0,1,0))</f>
      </c>
      <c r="X35" s="1">
        <f>IF(AND(T35=1,W35=0),1,0)</f>
      </c>
      <c r="Y35" s="1">
        <f>IF(AND(AS35=1,AT35=0,AU35=0),1,0)</f>
      </c>
      <c r="Z35" s="1">
        <f>IF(AND(Y35=1,T35=0,U35=1,V35=0),1,0)</f>
      </c>
      <c r="AA35" s="1">
        <f>IF(AND(X35=1,U35=0,V35=0,AN35=0,AO35=1,AP35=0),1,0)</f>
      </c>
      <c r="AB35" s="1">
        <f>IF(OR(W35=1,Z35=1),0,IF(T35=1,C35,0))</f>
      </c>
      <c r="AC35" s="1">
        <f>IF(OR(V35&gt;0,AA35=1),1,IF(U35=1,D35,1))</f>
      </c>
      <c r="AD35" s="1">
        <f>IF($A35="",0,IF(OR(T35=1,U35=1,V35&gt;0,W35=1),1,0))</f>
      </c>
      <c r="AE35" s="1">
        <f>IF(AD35=0,0,ROUND((AC35-AB35)*1440,0))</f>
      </c>
      <c r="AF35" s="1">
        <f>IF(AD35=0,"",IF(AND(F35&lt;&gt;"",ISNA(MATCH(F35,PauschLand,0))),"Land nicht in der Liste; ","")&amp;IF(AND(T35=0,W35=0,Z35=0),"Beginn fehlt; ","")&amp;IF(AND(V35=0,U35=0,AA35=0),"Ende fehlt; ","")&amp;IF(AND(X35=1,U35=1,V35=0,N(D35)&lt;N(C35)),"Ende vor Beginn (über Mitternacht: Ende in die Zeile des Folgetags); ",""))</f>
      </c>
      <c r="AG35" s="1">
        <f>IF(AD35=0,0,IFERROR(VLOOKUP(IF(F35="","Deutschland",F35),PauschTab,2,FALSE),0))</f>
      </c>
      <c r="AH35" s="1">
        <f>IF(AD35=0,0,IFERROR(VLOOKUP(IF(F35="","Deutschland",F35),PauschTab,3,FALSE),0))</f>
      </c>
      <c r="AI35" s="1">
        <f>IF(AD35=0,0,IFERROR(VLOOKUP(IF(F35="","Deutschland",F35),PauschTab,4,FALSE),0))</f>
      </c>
      <c r="AJ35" s="1">
        <f>IF(OR(AD35=0,AF35&lt;&gt;""),0,IF(AND(W35=1,V35&gt;0),IF(OR(T35=1,U35=1),AH35,AG35),IF(OR(W35=1,V35&gt;0),AH35,IF(AA35=1,IF(AND(AE35+AQ35&gt;480,AE35&gt;=AQ35),AH35,0),IF(Z35=1,IF(AND(AR35+AE35&gt;480,AE35&gt;AR35),AH35,0),IF(AE35&gt;480,AH35,0))))))</f>
      </c>
      <c r="AK35" s="1">
        <f>MIN(AJ35,AM35)</f>
      </c>
      <c r="AL35" s="1">
        <f>IF(OR(AD35=0,AF35&lt;&gt;""),"",IF(AND(W35=0,V35=0,AA35=0,Z35=0,AE35&lt;=480),"nicht mehr als 8 Std.; ","")&amp;IF(AA35=1,IF(AJ35&gt;0,"über Mitternacht, zusammen "&amp;TEXT((AE35+AQ35)/1440,"[h]:mm")&amp;" Std.; ",IF(AE35+AQ35&gt;480,"über Mitternacht: Pauschale am Folgetag; ","über Mitternacht, zusammen nicht mehr als 8 Std.; ")),"")&amp;IF(Z35=1,IF(AJ35&gt;0,"über Mitternacht, zusammen "&amp;TEXT((AR35+AE35)/1440,"[h]:mm")&amp;" Std.; ",IF(AR35+AE35&gt;480,"über Mitternacht: Pauschale am Vortag; ","über Mitternacht, zusammen nicht mehr als 8 Std.; ")),"")&amp;IF(AND(W35=1,V35&gt;0,OR(T35=1,U35=1)),"zwischendurch zu Hause: An- und Abreisetag; ","")&amp;IF(AND(W35=1,V35=0,T35=1),"Beginn leer lassen: unterwegs seit dem Vortag; ","")&amp;IF(AND(W35=0,V35&gt;0,U35=1),"Ende leer lassen: Übernachtung; ","")&amp;IF(AND(AJ35&gt;0,AM35&gt;AJ35),"Kürzung auf die Pauschale begrenzt; ",""))</f>
      </c>
      <c r="AM35" s="1">
        <f>ROUND(AG35*(IF(H35&lt;&gt;"",0.2,0)+IF(I35&lt;&gt;"",0.4,0)+IF(J35&lt;&gt;"",0.4,0)),2)</f>
      </c>
      <c r="AN35" s="1">
        <f>'September'!$T$5</f>
      </c>
      <c r="AO35" s="1">
        <f>'September'!$U$5</f>
      </c>
      <c r="AP35" s="1">
        <f>'September'!$V$5</f>
      </c>
      <c r="AQ35" s="1">
        <f>'September'!$AE$5</f>
      </c>
      <c r="AR35" s="1">
        <f>AE34</f>
      </c>
      <c r="AS35" s="1">
        <f>X34</f>
      </c>
      <c r="AT35" s="1">
        <f>U34</f>
      </c>
      <c r="AU35" s="1">
        <f>V34</f>
      </c>
    </row>
    <row r="37" spans="1:21" x14ac:dyDescent="0.25">
      <c r="A37" s="23">
        <f>"Abrechnung August "&amp;Jahr</f>
      </c>
      <c r="B37" s="1"/>
      <c r="C37" s="1"/>
      <c r="D37" s="1"/>
      <c r="E37" s="1"/>
      <c r="F37" s="1"/>
      <c r="G37" s="1"/>
      <c r="H37" s="1"/>
      <c r="I37" s="1"/>
      <c r="J37" s="1"/>
      <c r="K37" s="23">
        <f>"Buchung ("&amp;Kontenrahmen&amp;IF(Vorsteuerabzug="nein",", ohne Vorsteuer","")&amp;")"</f>
      </c>
      <c r="L37" s="1"/>
      <c r="M37" s="1"/>
      <c r="N37" s="1"/>
      <c r="O37" s="1"/>
      <c r="P37" s="1"/>
      <c r="Q37" s="1"/>
      <c r="R37" s="1"/>
      <c r="S37" s="1"/>
      <c r="T37" s="1">
        <f>COUNTIF(AD5:AD35,1)</f>
      </c>
      <c r="U37" s="1">
        <f>SUM(K5:K35)</f>
      </c>
    </row>
    <row r="38" spans="1:19" x14ac:dyDescent="0.25">
      <c r="A38" s="6" t="s">
        <v>49</v>
      </c>
      <c r="B38" s="6"/>
      <c r="C38" s="6"/>
      <c r="D38" s="6"/>
      <c r="E38" s="6"/>
      <c r="F38" s="6"/>
      <c r="G38" s="24">
        <f>SUM(O5:O35)</f>
      </c>
      <c r="H38" s="1"/>
      <c r="I38" s="1"/>
      <c r="J38" s="1"/>
      <c r="K38" s="25">
        <f>KtoVerpflegung</f>
      </c>
      <c r="L38" s="1" t="s">
        <v>49</v>
      </c>
      <c r="M38" s="1"/>
      <c r="N38" s="1"/>
      <c r="O38" s="1"/>
      <c r="P38" s="1"/>
      <c r="Q38" s="1"/>
      <c r="R38" s="26">
        <f>S38</f>
      </c>
      <c r="S38" s="1">
        <f>G38</f>
      </c>
    </row>
    <row r="39" spans="1:19" x14ac:dyDescent="0.25">
      <c r="A39" s="6" t="s">
        <v>75</v>
      </c>
      <c r="B39" s="6"/>
      <c r="C39" s="6"/>
      <c r="D39" s="6"/>
      <c r="E39" s="6"/>
      <c r="F39" s="6"/>
      <c r="G39" s="24">
        <f>SUMIFS(Belege!$O$5:$O$304,Belege!$L$5:$L$304,8,Belege!$C$5:$C$304,"Übernachtung")+SUM(P5:P35)</f>
      </c>
      <c r="H39" s="1"/>
      <c r="I39" s="1"/>
      <c r="J39" s="1"/>
      <c r="K39" s="25">
        <f>KtoUebernachtung</f>
      </c>
      <c r="L39" s="1" t="s">
        <v>50</v>
      </c>
      <c r="M39" s="1"/>
      <c r="N39" s="1"/>
      <c r="O39" s="1"/>
      <c r="P39" s="1"/>
      <c r="Q39" s="1"/>
      <c r="R39" s="26">
        <f>S39</f>
      </c>
      <c r="S39" s="1">
        <f>IF(Vorsteuerabzug="nein",SUMIFS(Belege!$O$5:$O$304,Belege!$L$5:$L$304,8,Belege!$C$5:$C$304,"Übernachtung"),SUMIFS(Belege!$P$5:$P$304,Belege!$L$5:$L$304,8,Belege!$C$5:$C$304,"Übernachtung"))+SUM(P5:P35)</f>
      </c>
    </row>
    <row r="40" spans="1:19" x14ac:dyDescent="0.25">
      <c r="A40" s="6" t="s">
        <v>76</v>
      </c>
      <c r="B40" s="6"/>
      <c r="C40" s="6"/>
      <c r="D40" s="6"/>
      <c r="E40" s="6"/>
      <c r="F40" s="6"/>
      <c r="G40" s="24">
        <f>SUMIFS(Belege!$O$5:$O$304,Belege!$L$5:$L$304,8,Belege!$C$5:$C$304,"Fahrtkosten")</f>
      </c>
      <c r="H40" s="1"/>
      <c r="I40" s="1"/>
      <c r="J40" s="1"/>
      <c r="K40" s="25">
        <f>KtoFahrtkosten</f>
      </c>
      <c r="L40" s="1" t="s">
        <v>51</v>
      </c>
      <c r="M40" s="1"/>
      <c r="N40" s="1"/>
      <c r="O40" s="1"/>
      <c r="P40" s="1"/>
      <c r="Q40" s="1"/>
      <c r="R40" s="26">
        <f>S40</f>
      </c>
      <c r="S40" s="1">
        <f>IF(Vorsteuerabzug="nein",SUMIFS(Belege!$O$5:$O$304,Belege!$L$5:$L$304,8,Belege!$C$5:$C$304,"Fahrtkosten"),SUMIFS(Belege!$P$5:$P$304,Belege!$L$5:$L$304,8,Belege!$C$5:$C$304,"Fahrtkosten"))</f>
      </c>
    </row>
    <row r="41" spans="1:19" x14ac:dyDescent="0.25">
      <c r="A41" s="6">
        <f>"Kilometergeld ("&amp;SUM(K5:K35)&amp;" km zu "&amp;IF(KmSatz=0.2,"0,20","0,30")&amp;" €)"</f>
      </c>
      <c r="B41" s="6"/>
      <c r="C41" s="6"/>
      <c r="D41" s="6"/>
      <c r="E41" s="6"/>
      <c r="F41" s="6"/>
      <c r="G41" s="24">
        <f>SUM(Q5:Q35)</f>
      </c>
      <c r="H41" s="1"/>
      <c r="I41" s="1"/>
      <c r="J41" s="1"/>
      <c r="K41" s="25">
        <f>KtoKilometergeld</f>
      </c>
      <c r="L41" s="1" t="s">
        <v>52</v>
      </c>
      <c r="M41" s="1"/>
      <c r="N41" s="1"/>
      <c r="O41" s="1"/>
      <c r="P41" s="1"/>
      <c r="Q41" s="1"/>
      <c r="R41" s="26">
        <f>S41</f>
      </c>
      <c r="S41" s="1">
        <f>G41</f>
      </c>
    </row>
    <row r="42" spans="1:19" x14ac:dyDescent="0.25">
      <c r="A42" s="6" t="s">
        <v>77</v>
      </c>
      <c r="B42" s="6"/>
      <c r="C42" s="6"/>
      <c r="D42" s="6"/>
      <c r="E42" s="6"/>
      <c r="F42" s="6"/>
      <c r="G42" s="24">
        <f>SUMIFS(Belege!$O$5:$O$304,Belege!$L$5:$L$304,8,Belege!$C$5:$C$304,"Nebenkosten")</f>
      </c>
      <c r="H42" s="1"/>
      <c r="I42" s="1"/>
      <c r="J42" s="1"/>
      <c r="K42" s="25">
        <f>KtoNebenkosten</f>
      </c>
      <c r="L42" s="1" t="s">
        <v>53</v>
      </c>
      <c r="M42" s="1"/>
      <c r="N42" s="1"/>
      <c r="O42" s="1"/>
      <c r="P42" s="1"/>
      <c r="Q42" s="1"/>
      <c r="R42" s="26">
        <f>S42</f>
      </c>
      <c r="S42" s="1">
        <f>IF(Vorsteuerabzug="nein",SUMIFS(Belege!$O$5:$O$304,Belege!$L$5:$L$304,8,Belege!$C$5:$C$304,"Nebenkosten"),SUMIFS(Belege!$P$5:$P$304,Belege!$L$5:$L$304,8,Belege!$C$5:$C$304,"Nebenkosten"))</f>
      </c>
    </row>
    <row r="43" spans="1:19" x14ac:dyDescent="0.25">
      <c r="A43" s="11" t="s">
        <v>78</v>
      </c>
      <c r="B43" s="11"/>
      <c r="C43" s="11"/>
      <c r="D43" s="11"/>
      <c r="E43" s="11"/>
      <c r="F43" s="11"/>
      <c r="G43" s="27">
        <f>SUM(G38:G42)</f>
      </c>
      <c r="H43" s="1"/>
      <c r="I43" s="1"/>
      <c r="J43" s="1"/>
      <c r="K43" s="25">
        <f>KtoVSt7</f>
      </c>
      <c r="L43" s="1" t="s">
        <v>54</v>
      </c>
      <c r="M43" s="1"/>
      <c r="N43" s="1"/>
      <c r="O43" s="1"/>
      <c r="P43" s="1"/>
      <c r="Q43" s="1"/>
      <c r="R43" s="26">
        <f>IF(Vorsteuerabzug="nein","",S43)</f>
      </c>
      <c r="S43" s="1">
        <f>IF(Vorsteuerabzug="nein",0,SUMIFS(Belege!$Q$5:$Q$304,Belege!$L$5:$L$304,8,Belege!$M$5:$M$304,0.07))</f>
      </c>
    </row>
    <row r="44" spans="1:19" x14ac:dyDescent="0.25">
      <c r="A44" s="6" t="s">
        <v>79</v>
      </c>
      <c r="B44" s="6"/>
      <c r="C44" s="6"/>
      <c r="D44" s="6"/>
      <c r="E44" s="6"/>
      <c r="F44" s="6"/>
      <c r="G44" s="28"/>
      <c r="H44" s="1"/>
      <c r="I44" s="1"/>
      <c r="J44" s="1"/>
      <c r="K44" s="25">
        <f>KtoVSt19</f>
      </c>
      <c r="L44" s="1" t="s">
        <v>55</v>
      </c>
      <c r="M44" s="1"/>
      <c r="N44" s="1"/>
      <c r="O44" s="1"/>
      <c r="P44" s="1"/>
      <c r="Q44" s="1"/>
      <c r="R44" s="26">
        <f>IF(Vorsteuerabzug="nein","",S44)</f>
      </c>
      <c r="S44" s="1">
        <f>IF(Vorsteuerabzug="nein",0,SUMIFS(Belege!$Q$5:$Q$304,Belege!$L$5:$L$304,8,Belege!$M$5:$M$304,0.19))</f>
      </c>
    </row>
    <row r="45" spans="1:18" x14ac:dyDescent="0.25">
      <c r="A45" s="11" t="s">
        <v>80</v>
      </c>
      <c r="B45" s="11"/>
      <c r="C45" s="11"/>
      <c r="D45" s="11"/>
      <c r="E45" s="11"/>
      <c r="F45" s="11"/>
      <c r="G45" s="27">
        <f>G43-N(G44)</f>
      </c>
      <c r="H45" s="1"/>
      <c r="I45" s="1"/>
      <c r="J45" s="1"/>
      <c r="K45" s="11" t="s">
        <v>81</v>
      </c>
      <c r="L45" s="11"/>
      <c r="M45" s="11"/>
      <c r="N45" s="11"/>
      <c r="O45" s="11"/>
      <c r="P45" s="11"/>
      <c r="Q45" s="11"/>
      <c r="R45" s="27">
        <f>SUM(S38:S44)</f>
      </c>
    </row>
    <row r="46" spans="1:7" x14ac:dyDescent="0.25">
      <c r="A46" s="29" t="s">
        <v>82</v>
      </c>
      <c r="B46" s="29"/>
      <c r="C46" s="29"/>
      <c r="D46" s="29"/>
      <c r="E46" s="29"/>
      <c r="F46" s="29"/>
      <c r="G46" s="30">
        <f>SUMIFS(Belege!$E$5:$E$304,Belege!$L$5:$L$304,8,Belege!$N$5:$N$304,0)</f>
      </c>
    </row>
    <row r="49" spans="1:18" x14ac:dyDescent="0.25">
      <c r="A49" s="31"/>
      <c r="B49" s="31"/>
      <c r="C49" s="31"/>
      <c r="D49" s="31"/>
      <c r="E49" s="31"/>
      <c r="F49" s="31"/>
      <c r="G49" s="31"/>
      <c r="H49" s="31"/>
      <c r="I49" s="31"/>
      <c r="J49" s="31"/>
      <c r="K49" s="31"/>
      <c r="M49" s="31"/>
      <c r="N49" s="31"/>
      <c r="O49" s="31"/>
      <c r="P49" s="31"/>
      <c r="Q49" s="31"/>
      <c r="R49" s="31"/>
    </row>
    <row r="50" spans="1:13" x14ac:dyDescent="0.25">
      <c r="A50" s="32" t="s">
        <v>83</v>
      </c>
      <c r="B50" s="1"/>
      <c r="C50" s="1"/>
      <c r="D50" s="1"/>
      <c r="E50" s="1"/>
      <c r="F50" s="1"/>
      <c r="G50" s="32" t="s">
        <v>84</v>
      </c>
      <c r="H50" s="1"/>
      <c r="I50" s="1"/>
      <c r="J50" s="1"/>
      <c r="K50" s="1"/>
      <c r="L50" s="1"/>
      <c r="M50" s="32" t="s">
        <v>85</v>
      </c>
    </row>
  </sheetData>
  <sheetProtection sheet="1" formatCells="0" formatColumns="0" formatRows="0"/>
  <mergeCells count="17">
    <mergeCell ref="A38:F38"/>
    <mergeCell ref="L38:Q38"/>
    <mergeCell ref="A39:F39"/>
    <mergeCell ref="L39:Q39"/>
    <mergeCell ref="A40:F40"/>
    <mergeCell ref="L40:Q40"/>
    <mergeCell ref="A41:F41"/>
    <mergeCell ref="L41:Q41"/>
    <mergeCell ref="A42:F42"/>
    <mergeCell ref="L42:Q42"/>
    <mergeCell ref="A43:F43"/>
    <mergeCell ref="L43:Q43"/>
    <mergeCell ref="A44:F44"/>
    <mergeCell ref="L44:Q44"/>
    <mergeCell ref="A45:F45"/>
    <mergeCell ref="K45:Q45"/>
    <mergeCell ref="A46:F46"/>
  </mergeCells>
  <conditionalFormatting sqref="A5:Q35">
    <cfRule type="expression" dxfId="42" priority="1">
      <formula>$A5=""</formula>
    </cfRule>
    <cfRule type="expression" dxfId="43" priority="2">
      <formula>WEEKDAY($A5,2)&gt;5</formula>
    </cfRule>
  </conditionalFormatting>
  <conditionalFormatting sqref="R5:R35">
    <cfRule type="expression" dxfId="44" priority="3">
      <formula>$A5=""</formula>
    </cfRule>
    <cfRule type="expression" dxfId="45" priority="4">
      <formula>AND($AF5&lt;&gt;"",WEEKDAY($A5,2)&gt;5)</formula>
    </cfRule>
    <cfRule type="expression" dxfId="46" priority="5">
      <formula>$AF5&lt;&gt;""</formula>
    </cfRule>
    <cfRule type="expression" dxfId="47" priority="6">
      <formula>WEEKDAY($A5,2)&gt;5</formula>
    </cfRule>
  </conditionalFormatting>
  <dataValidations count="11">
    <dataValidation type="decimal" allowBlank="1" showErrorMessage="1" errorTitle="Uhrzeit" error="Bitte als Uhrzeit hh:mm eingeben, z. B. 7:30 oder 16:45." sqref="C10:D35">
      <formula1>0</formula1>
      <formula2>0.99999</formula2>
    </dataValidation>
    <dataValidation type="decimal" allowBlank="1" showErrorMessage="1" errorTitle="Uhrzeit" error="Bitte als Uhrzeit hh:mm eingeben, z. B. 7:30 oder 16:45." sqref="C5:D35">
      <formula1>0</formula1>
      <formula2>0.99999</formula2>
    </dataValidation>
    <dataValidation type="list" allowBlank="1" showErrorMessage="1" errorTitle="Übernachtung" error="Bitte aus der Liste wählen." sqref="E10:E35">
      <formula1>"ja,Pauschale"</formula1>
    </dataValidation>
    <dataValidation type="list" allowBlank="1" showErrorMessage="1" errorTitle="Übernachtung" error="Bitte aus der Liste wählen." sqref="E5:E35">
      <formula1>"ja,Pauschale"</formula1>
    </dataValidation>
    <dataValidation type="list" allowBlank="1" showErrorMessage="1" errorTitle="Land / Ort" error="Bitte aus der Liste wählen; nicht aufgeführte Länder: Luxemburg." sqref="F10:F35">
      <formula1>Pauschalen!$A$4:$A$218</formula1>
    </dataValidation>
    <dataValidation type="list" allowBlank="1" showErrorMessage="1" errorTitle="Land / Ort" error="Bitte aus der Liste wählen; nicht aufgeführte Länder: Luxemburg." sqref="F5:F35">
      <formula1>Pauschalen!$A$4:$A$218</formula1>
    </dataValidation>
    <dataValidation type="decimal" allowBlank="1" showErrorMessage="1" errorTitle="Vorschuss" error="Bitte einen Betrag in Euro eintragen." sqref="G44">
      <formula1>0</formula1>
      <formula2>99999</formula2>
    </dataValidation>
    <dataValidation type="list" allowBlank="1" showErrorMessage="1" errorTitle="Mahlzeit" error="Bitte aus der Liste wählen." sqref="H10:J35">
      <formula1>"x"</formula1>
    </dataValidation>
    <dataValidation type="list" allowBlank="1" showErrorMessage="1" errorTitle="Mahlzeit" error="Bitte aus der Liste wählen." sqref="H5:J35">
      <formula1>"x"</formula1>
    </dataValidation>
    <dataValidation type="whole" allowBlank="1" showErrorMessage="1" errorTitle="Kilometer" error="Bitte die gefahrenen Kilometer als ganze Zahl eintragen." sqref="K10:K35">
      <formula1>0</formula1>
      <formula2>5000</formula2>
    </dataValidation>
    <dataValidation type="whole" allowBlank="1" showErrorMessage="1" errorTitle="Kilometer" error="Bitte die gefahrenen Kilometer als ganze Zahl eintragen." sqref="K5:K35">
      <formula1>0</formula1>
      <formula2>5000</formula2>
    </dataValidation>
  </dataValidations>
  <pageMargins left="0.4" right="0.4" top="0.5" bottom="0.5" header="0.2" footer="0.2"/>
  <pageSetup paperSize="9" orientation="landscape"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0"/>
  <sheetViews>
    <sheetView workbookViewId="0" showGridLines="0">
      <pane xSplit="2" ySplit="4" topLeftCell="C5" activePane="bottomRight" state="frozen"/>
      <selection pane="bottomRight"/>
    </sheetView>
  </sheetViews>
  <sheetFormatPr defaultRowHeight="15" outlineLevelRow="0" outlineLevelCol="0" x14ac:dyDescent="55"/>
  <cols>
    <col min="1" max="1" width="7" customWidth="1"/>
    <col min="2" max="2" width="4" customWidth="1"/>
    <col min="3" max="4" width="6.5" customWidth="1"/>
    <col min="5" max="5" width="10" customWidth="1"/>
    <col min="6" max="6" width="18" customWidth="1"/>
    <col min="7" max="7" width="24" customWidth="1"/>
    <col min="8" max="10" width="5.5" customWidth="1"/>
    <col min="11" max="11" width="8" customWidth="1"/>
    <col min="14" max="14" width="8.5" customWidth="1"/>
    <col min="15" max="15" width="10.5" customWidth="1"/>
    <col min="16" max="16" width="12" customWidth="1"/>
    <col min="17" max="17" width="10" customWidth="1"/>
    <col min="18" max="18" width="36" customWidth="1"/>
    <col min="19" max="19" width="9" hidden="1" customWidth="1"/>
    <col min="20" max="20" width="9" hidden="1" customWidth="1"/>
    <col min="21" max="21" width="9" hidden="1" customWidth="1"/>
    <col min="22" max="22" width="9" hidden="1" customWidth="1"/>
    <col min="23" max="23" width="9" hidden="1" customWidth="1"/>
    <col min="24" max="24" width="9" hidden="1" customWidth="1"/>
    <col min="25" max="25" width="9" hidden="1" customWidth="1"/>
    <col min="26" max="26" width="9" hidden="1" customWidth="1"/>
    <col min="27" max="27" width="9" hidden="1" customWidth="1"/>
    <col min="28" max="28" width="9" hidden="1" customWidth="1"/>
    <col min="29" max="29" width="9" hidden="1" customWidth="1"/>
    <col min="30" max="30" width="9" hidden="1" customWidth="1"/>
    <col min="31" max="31" width="9" hidden="1" customWidth="1"/>
    <col min="32" max="32" width="9" hidden="1" customWidth="1"/>
    <col min="33" max="33" width="9" hidden="1" customWidth="1"/>
    <col min="34" max="34" width="9" hidden="1" customWidth="1"/>
    <col min="35" max="35" width="9" hidden="1" customWidth="1"/>
    <col min="36" max="36" width="9" hidden="1" customWidth="1"/>
    <col min="37" max="37" width="9" hidden="1" customWidth="1"/>
    <col min="38" max="38" width="9" hidden="1" customWidth="1"/>
    <col min="39" max="39" width="9" hidden="1" customWidth="1"/>
    <col min="40" max="40" width="9" hidden="1" customWidth="1"/>
    <col min="41" max="41" width="9" hidden="1" customWidth="1"/>
    <col min="42" max="42" width="9" hidden="1" customWidth="1"/>
    <col min="43" max="43" width="9" hidden="1" customWidth="1"/>
    <col min="44" max="44" width="9" hidden="1" customWidth="1"/>
    <col min="45" max="45" width="9" hidden="1" customWidth="1"/>
    <col min="46" max="46" width="9" hidden="1" customWidth="1"/>
    <col min="47" max="47" width="9" hidden="1" customWidth="1"/>
  </cols>
  <sheetData>
    <row r="1" spans="1:1" x14ac:dyDescent="0.25">
      <c r="A1" s="5">
        <f>"Reisekostenabrechnung September "&amp;Jahr</f>
      </c>
    </row>
    <row r="2" spans="1:1" x14ac:dyDescent="0.25">
      <c r="A2" s="6">
        <f>"Name: "&amp;IF(MitarbeiterName="","…",MitarbeiterName)&amp;IF(Personalnummer="",""," · Personalnr. "&amp;Personalnummer)&amp;IF(Kostenstelle="",""," · "&amp;Kostenstelle)&amp;IF(Firma="",""," · "&amp;Firma)</f>
      </c>
    </row>
    <row r="3" spans="1:1" x14ac:dyDescent="0.25">
      <c r="A3" s="16">
        <f>IF(Jahr&lt;&gt;2026,"Die Pauschalen in dieser Datei gelten für 2026. ","")&amp;IF(MitarbeiterName="","Bitte in den Einstellungen den Namen eintragen.","")</f>
      </c>
    </row>
    <row r="4" ht="40" customHeight="1" spans="1:18" x14ac:dyDescent="0.25">
      <c r="A4" s="12" t="s">
        <v>57</v>
      </c>
      <c r="B4" s="12" t="s">
        <v>58</v>
      </c>
      <c r="C4" s="12" t="s">
        <v>59</v>
      </c>
      <c r="D4" s="12" t="s">
        <v>60</v>
      </c>
      <c r="E4" s="12" t="s">
        <v>61</v>
      </c>
      <c r="F4" s="12" t="s">
        <v>62</v>
      </c>
      <c r="G4" s="12" t="s">
        <v>63</v>
      </c>
      <c r="H4" s="12" t="s">
        <v>64</v>
      </c>
      <c r="I4" s="12" t="s">
        <v>65</v>
      </c>
      <c r="J4" s="12" t="s">
        <v>66</v>
      </c>
      <c r="K4" s="12" t="s">
        <v>67</v>
      </c>
      <c r="L4" s="12" t="s">
        <v>68</v>
      </c>
      <c r="M4" s="12" t="s">
        <v>69</v>
      </c>
      <c r="N4" s="12" t="s">
        <v>70</v>
      </c>
      <c r="O4" s="12" t="s">
        <v>71</v>
      </c>
      <c r="P4" s="12" t="s">
        <v>72</v>
      </c>
      <c r="Q4" s="12" t="s">
        <v>73</v>
      </c>
      <c r="R4" s="12" t="s">
        <v>74</v>
      </c>
    </row>
    <row r="5" spans="1:47" x14ac:dyDescent="0.25">
      <c r="A5" s="17">
        <f>IF(MONTH(DATE(Jahr,9,1))=9,DATE(Jahr,9,1),"")</f>
      </c>
      <c r="B5" s="13">
        <f>IF(A5="","",CHOOSE(WEEKDAY(A5,2),"Mo","Di","Mi","Do","Fr","Sa","So"))</f>
      </c>
      <c r="C5" s="18"/>
      <c r="D5" s="18"/>
      <c r="E5" s="7"/>
      <c r="F5" s="7"/>
      <c r="G5" s="7"/>
      <c r="H5" s="19"/>
      <c r="I5" s="19"/>
      <c r="J5" s="19"/>
      <c r="K5" s="9"/>
      <c r="L5" s="20">
        <f>IF(OR(AD5=0,AF5&lt;&gt;"",AND(W5=1,V5&gt;0,OR(T5=1,U5=1))),"",AE5/1440)</f>
      </c>
      <c r="M5" s="21">
        <f>IF(OR(AD5=0,AF5&lt;&gt;""),"",AJ5)</f>
      </c>
      <c r="N5" s="21">
        <f>IF(AK5=0,"",AK5)</f>
      </c>
      <c r="O5" s="21">
        <f>IF(OR(AD5=0,AF5&lt;&gt;""),"",AJ5-AK5)</f>
      </c>
      <c r="P5" s="21">
        <f>IF(AND(AD5=1,AF5="",V5=2),AI5,"")</f>
      </c>
      <c r="Q5" s="21">
        <f>IF(OR($A5="",N(K5)=0),"",ROUND(K5*KmSatz,2))</f>
      </c>
      <c r="R5" s="22">
        <f>IF(AF5&amp;AL5="","",LEFT(AF5&amp;AL5,LEN(AF5&amp;AL5)-2))</f>
      </c>
      <c r="S5" s="1"/>
      <c r="T5" s="1">
        <f>IF(AND($A5&lt;&gt;"",ISNUMBER(C5)),1,0)</f>
      </c>
      <c r="U5" s="1">
        <f>IF(AND($A5&lt;&gt;"",ISNUMBER(D5)),1,0)</f>
      </c>
      <c r="V5" s="1">
        <f>IF($A5="",0,IF(E5="ja",1,IF(E5="Pauschale",2,0)))</f>
      </c>
      <c r="W5" s="1">
        <f>IF($A5="",0,IF(AU5&gt;0,1,0))</f>
      </c>
      <c r="X5" s="1">
        <f>IF(AND(T5=1,W5=0),1,0)</f>
      </c>
      <c r="Y5" s="1">
        <f>IF(AND(AS5=1,AT5=0,AU5=0),1,0)</f>
      </c>
      <c r="Z5" s="1">
        <f>IF(AND(Y5=1,T5=0,U5=1,V5=0),1,0)</f>
      </c>
      <c r="AA5" s="1">
        <f>IF(AND(X5=1,U5=0,V5=0,AN5=0,AO5=1,AP5=0),1,0)</f>
      </c>
      <c r="AB5" s="1">
        <f>IF(OR(W5=1,Z5=1),0,IF(T5=1,C5,0))</f>
      </c>
      <c r="AC5" s="1">
        <f>IF(OR(V5&gt;0,AA5=1),1,IF(U5=1,D5,1))</f>
      </c>
      <c r="AD5" s="1">
        <f>IF($A5="",0,IF(OR(T5=1,U5=1,V5&gt;0,W5=1),1,0))</f>
      </c>
      <c r="AE5" s="1">
        <f>IF(AD5=0,0,ROUND((AC5-AB5)*1440,0))</f>
      </c>
      <c r="AF5" s="1">
        <f>IF(AD5=0,"",IF(AND(F5&lt;&gt;"",ISNA(MATCH(F5,PauschLand,0))),"Land nicht in der Liste; ","")&amp;IF(AND(T5=0,W5=0,Z5=0),"Beginn fehlt; ","")&amp;IF(AND(V5=0,U5=0,AA5=0),"Ende fehlt; ","")&amp;IF(AND(X5=1,U5=1,V5=0,N(D5)&lt;N(C5)),"Ende vor Beginn (über Mitternacht: Ende in die Zeile des Folgetags); ",""))</f>
      </c>
      <c r="AG5" s="1">
        <f>IF(AD5=0,0,IFERROR(VLOOKUP(IF(F5="","Deutschland",F5),PauschTab,2,FALSE),0))</f>
      </c>
      <c r="AH5" s="1">
        <f>IF(AD5=0,0,IFERROR(VLOOKUP(IF(F5="","Deutschland",F5),PauschTab,3,FALSE),0))</f>
      </c>
      <c r="AI5" s="1">
        <f>IF(AD5=0,0,IFERROR(VLOOKUP(IF(F5="","Deutschland",F5),PauschTab,4,FALSE),0))</f>
      </c>
      <c r="AJ5" s="1">
        <f>IF(OR(AD5=0,AF5&lt;&gt;""),0,IF(AND(W5=1,V5&gt;0),IF(OR(T5=1,U5=1),AH5,AG5),IF(OR(W5=1,V5&gt;0),AH5,IF(AA5=1,IF(AND(AE5+AQ5&gt;480,AE5&gt;=AQ5),AH5,0),IF(Z5=1,IF(AND(AR5+AE5&gt;480,AE5&gt;AR5),AH5,0),IF(AE5&gt;480,AH5,0))))))</f>
      </c>
      <c r="AK5" s="1">
        <f>MIN(AJ5,AM5)</f>
      </c>
      <c r="AL5" s="1">
        <f>IF(OR(AD5=0,AF5&lt;&gt;""),"",IF(AND(W5=0,V5=0,AA5=0,Z5=0,AE5&lt;=480),"nicht mehr als 8 Std.; ","")&amp;IF(AA5=1,IF(AJ5&gt;0,"über Mitternacht, zusammen "&amp;TEXT((AE5+AQ5)/1440,"[h]:mm")&amp;" Std.; ",IF(AE5+AQ5&gt;480,"über Mitternacht: Pauschale am Folgetag; ","über Mitternacht, zusammen nicht mehr als 8 Std.; ")),"")&amp;IF(Z5=1,IF(AJ5&gt;0,"über Mitternacht, zusammen "&amp;TEXT((AR5+AE5)/1440,"[h]:mm")&amp;" Std.; ",IF(AR5+AE5&gt;480,"über Mitternacht: Pauschale am Vortag; ","über Mitternacht, zusammen nicht mehr als 8 Std.; ")),"")&amp;IF(AND(W5=1,V5&gt;0,OR(T5=1,U5=1)),"zwischendurch zu Hause: An- und Abreisetag; ","")&amp;IF(AND(W5=1,V5=0,T5=1),"Beginn leer lassen: unterwegs seit dem Vortag; ","")&amp;IF(AND(W5=0,V5&gt;0,U5=1),"Ende leer lassen: Übernachtung; ","")&amp;IF(AND(AJ5&gt;0,AM5&gt;AJ5),"Kürzung auf die Pauschale begrenzt; ",""))</f>
      </c>
      <c r="AM5" s="1">
        <f>ROUND(AG5*(IF(H5&lt;&gt;"",0.2,0)+IF(I5&lt;&gt;"",0.4,0)+IF(J5&lt;&gt;"",0.4,0)),2)</f>
      </c>
      <c r="AN5" s="1">
        <f>IF($A6="",'Oktober'!$T$5,T6)</f>
      </c>
      <c r="AO5" s="1">
        <f>IF($A6="",'Oktober'!$U$5,U6)</f>
      </c>
      <c r="AP5" s="1">
        <f>IF($A6="",'Oktober'!$V$5,V6)</f>
      </c>
      <c r="AQ5" s="1">
        <f>IF($A6="",'Oktober'!$AE$5,AE6)</f>
      </c>
      <c r="AR5" s="1">
        <f>INDEX('August'!$AE$5:$AE$35,DAY(DATE(Jahr,9,0)))</f>
      </c>
      <c r="AS5" s="1">
        <f>INDEX('August'!$X$5:$X$35,DAY(DATE(Jahr,9,0)))</f>
      </c>
      <c r="AT5" s="1">
        <f>INDEX('August'!$U$5:$U$35,DAY(DATE(Jahr,9,0)))</f>
      </c>
      <c r="AU5" s="1">
        <f>INDEX('August'!$V$5:$V$35,DAY(DATE(Jahr,9,0)))</f>
      </c>
    </row>
    <row r="6" spans="1:47" x14ac:dyDescent="0.25">
      <c r="A6" s="17">
        <f>IF(MONTH(DATE(Jahr,9,2))=9,DATE(Jahr,9,2),"")</f>
      </c>
      <c r="B6" s="13">
        <f>IF(A6="","",CHOOSE(WEEKDAY(A6,2),"Mo","Di","Mi","Do","Fr","Sa","So"))</f>
      </c>
      <c r="C6" s="18"/>
      <c r="D6" s="18"/>
      <c r="E6" s="7"/>
      <c r="F6" s="7"/>
      <c r="G6" s="7"/>
      <c r="H6" s="19"/>
      <c r="I6" s="19"/>
      <c r="J6" s="19"/>
      <c r="K6" s="9"/>
      <c r="L6" s="20">
        <f>IF(OR(AD6=0,AF6&lt;&gt;"",AND(W6=1,V6&gt;0,OR(T6=1,U6=1))),"",AE6/1440)</f>
      </c>
      <c r="M6" s="21">
        <f>IF(OR(AD6=0,AF6&lt;&gt;""),"",AJ6)</f>
      </c>
      <c r="N6" s="21">
        <f>IF(AK6=0,"",AK6)</f>
      </c>
      <c r="O6" s="21">
        <f>IF(OR(AD6=0,AF6&lt;&gt;""),"",AJ6-AK6)</f>
      </c>
      <c r="P6" s="21">
        <f>IF(AND(AD6=1,AF6="",V6=2),AI6,"")</f>
      </c>
      <c r="Q6" s="21">
        <f>IF(OR($A6="",N(K6)=0),"",ROUND(K6*KmSatz,2))</f>
      </c>
      <c r="R6" s="22">
        <f>IF(AF6&amp;AL6="","",LEFT(AF6&amp;AL6,LEN(AF6&amp;AL6)-2))</f>
      </c>
      <c r="S6" s="1"/>
      <c r="T6" s="1">
        <f>IF(AND($A6&lt;&gt;"",ISNUMBER(C6)),1,0)</f>
      </c>
      <c r="U6" s="1">
        <f>IF(AND($A6&lt;&gt;"",ISNUMBER(D6)),1,0)</f>
      </c>
      <c r="V6" s="1">
        <f>IF($A6="",0,IF(E6="ja",1,IF(E6="Pauschale",2,0)))</f>
      </c>
      <c r="W6" s="1">
        <f>IF($A6="",0,IF(AU6&gt;0,1,0))</f>
      </c>
      <c r="X6" s="1">
        <f>IF(AND(T6=1,W6=0),1,0)</f>
      </c>
      <c r="Y6" s="1">
        <f>IF(AND(AS6=1,AT6=0,AU6=0),1,0)</f>
      </c>
      <c r="Z6" s="1">
        <f>IF(AND(Y6=1,T6=0,U6=1,V6=0),1,0)</f>
      </c>
      <c r="AA6" s="1">
        <f>IF(AND(X6=1,U6=0,V6=0,AN6=0,AO6=1,AP6=0),1,0)</f>
      </c>
      <c r="AB6" s="1">
        <f>IF(OR(W6=1,Z6=1),0,IF(T6=1,C6,0))</f>
      </c>
      <c r="AC6" s="1">
        <f>IF(OR(V6&gt;0,AA6=1),1,IF(U6=1,D6,1))</f>
      </c>
      <c r="AD6" s="1">
        <f>IF($A6="",0,IF(OR(T6=1,U6=1,V6&gt;0,W6=1),1,0))</f>
      </c>
      <c r="AE6" s="1">
        <f>IF(AD6=0,0,ROUND((AC6-AB6)*1440,0))</f>
      </c>
      <c r="AF6" s="1">
        <f>IF(AD6=0,"",IF(AND(F6&lt;&gt;"",ISNA(MATCH(F6,PauschLand,0))),"Land nicht in der Liste; ","")&amp;IF(AND(T6=0,W6=0,Z6=0),"Beginn fehlt; ","")&amp;IF(AND(V6=0,U6=0,AA6=0),"Ende fehlt; ","")&amp;IF(AND(X6=1,U6=1,V6=0,N(D6)&lt;N(C6)),"Ende vor Beginn (über Mitternacht: Ende in die Zeile des Folgetags); ",""))</f>
      </c>
      <c r="AG6" s="1">
        <f>IF(AD6=0,0,IFERROR(VLOOKUP(IF(F6="","Deutschland",F6),PauschTab,2,FALSE),0))</f>
      </c>
      <c r="AH6" s="1">
        <f>IF(AD6=0,0,IFERROR(VLOOKUP(IF(F6="","Deutschland",F6),PauschTab,3,FALSE),0))</f>
      </c>
      <c r="AI6" s="1">
        <f>IF(AD6=0,0,IFERROR(VLOOKUP(IF(F6="","Deutschland",F6),PauschTab,4,FALSE),0))</f>
      </c>
      <c r="AJ6" s="1">
        <f>IF(OR(AD6=0,AF6&lt;&gt;""),0,IF(AND(W6=1,V6&gt;0),IF(OR(T6=1,U6=1),AH6,AG6),IF(OR(W6=1,V6&gt;0),AH6,IF(AA6=1,IF(AND(AE6+AQ6&gt;480,AE6&gt;=AQ6),AH6,0),IF(Z6=1,IF(AND(AR6+AE6&gt;480,AE6&gt;AR6),AH6,0),IF(AE6&gt;480,AH6,0))))))</f>
      </c>
      <c r="AK6" s="1">
        <f>MIN(AJ6,AM6)</f>
      </c>
      <c r="AL6" s="1">
        <f>IF(OR(AD6=0,AF6&lt;&gt;""),"",IF(AND(W6=0,V6=0,AA6=0,Z6=0,AE6&lt;=480),"nicht mehr als 8 Std.; ","")&amp;IF(AA6=1,IF(AJ6&gt;0,"über Mitternacht, zusammen "&amp;TEXT((AE6+AQ6)/1440,"[h]:mm")&amp;" Std.; ",IF(AE6+AQ6&gt;480,"über Mitternacht: Pauschale am Folgetag; ","über Mitternacht, zusammen nicht mehr als 8 Std.; ")),"")&amp;IF(Z6=1,IF(AJ6&gt;0,"über Mitternacht, zusammen "&amp;TEXT((AR6+AE6)/1440,"[h]:mm")&amp;" Std.; ",IF(AR6+AE6&gt;480,"über Mitternacht: Pauschale am Vortag; ","über Mitternacht, zusammen nicht mehr als 8 Std.; ")),"")&amp;IF(AND(W6=1,V6&gt;0,OR(T6=1,U6=1)),"zwischendurch zu Hause: An- und Abreisetag; ","")&amp;IF(AND(W6=1,V6=0,T6=1),"Beginn leer lassen: unterwegs seit dem Vortag; ","")&amp;IF(AND(W6=0,V6&gt;0,U6=1),"Ende leer lassen: Übernachtung; ","")&amp;IF(AND(AJ6&gt;0,AM6&gt;AJ6),"Kürzung auf die Pauschale begrenzt; ",""))</f>
      </c>
      <c r="AM6" s="1">
        <f>ROUND(AG6*(IF(H6&lt;&gt;"",0.2,0)+IF(I6&lt;&gt;"",0.4,0)+IF(J6&lt;&gt;"",0.4,0)),2)</f>
      </c>
      <c r="AN6" s="1">
        <f>IF($A7="",'Oktober'!$T$5,T7)</f>
      </c>
      <c r="AO6" s="1">
        <f>IF($A7="",'Oktober'!$U$5,U7)</f>
      </c>
      <c r="AP6" s="1">
        <f>IF($A7="",'Oktober'!$V$5,V7)</f>
      </c>
      <c r="AQ6" s="1">
        <f>IF($A7="",'Oktober'!$AE$5,AE7)</f>
      </c>
      <c r="AR6" s="1">
        <f>AE5</f>
      </c>
      <c r="AS6" s="1">
        <f>X5</f>
      </c>
      <c r="AT6" s="1">
        <f>U5</f>
      </c>
      <c r="AU6" s="1">
        <f>V5</f>
      </c>
    </row>
    <row r="7" spans="1:47" x14ac:dyDescent="0.25">
      <c r="A7" s="17">
        <f>IF(MONTH(DATE(Jahr,9,3))=9,DATE(Jahr,9,3),"")</f>
      </c>
      <c r="B7" s="13">
        <f>IF(A7="","",CHOOSE(WEEKDAY(A7,2),"Mo","Di","Mi","Do","Fr","Sa","So"))</f>
      </c>
      <c r="C7" s="18"/>
      <c r="D7" s="18"/>
      <c r="E7" s="7"/>
      <c r="F7" s="7"/>
      <c r="G7" s="7"/>
      <c r="H7" s="19"/>
      <c r="I7" s="19"/>
      <c r="J7" s="19"/>
      <c r="K7" s="9"/>
      <c r="L7" s="20">
        <f>IF(OR(AD7=0,AF7&lt;&gt;"",AND(W7=1,V7&gt;0,OR(T7=1,U7=1))),"",AE7/1440)</f>
      </c>
      <c r="M7" s="21">
        <f>IF(OR(AD7=0,AF7&lt;&gt;""),"",AJ7)</f>
      </c>
      <c r="N7" s="21">
        <f>IF(AK7=0,"",AK7)</f>
      </c>
      <c r="O7" s="21">
        <f>IF(OR(AD7=0,AF7&lt;&gt;""),"",AJ7-AK7)</f>
      </c>
      <c r="P7" s="21">
        <f>IF(AND(AD7=1,AF7="",V7=2),AI7,"")</f>
      </c>
      <c r="Q7" s="21">
        <f>IF(OR($A7="",N(K7)=0),"",ROUND(K7*KmSatz,2))</f>
      </c>
      <c r="R7" s="22">
        <f>IF(AF7&amp;AL7="","",LEFT(AF7&amp;AL7,LEN(AF7&amp;AL7)-2))</f>
      </c>
      <c r="S7" s="1"/>
      <c r="T7" s="1">
        <f>IF(AND($A7&lt;&gt;"",ISNUMBER(C7)),1,0)</f>
      </c>
      <c r="U7" s="1">
        <f>IF(AND($A7&lt;&gt;"",ISNUMBER(D7)),1,0)</f>
      </c>
      <c r="V7" s="1">
        <f>IF($A7="",0,IF(E7="ja",1,IF(E7="Pauschale",2,0)))</f>
      </c>
      <c r="W7" s="1">
        <f>IF($A7="",0,IF(AU7&gt;0,1,0))</f>
      </c>
      <c r="X7" s="1">
        <f>IF(AND(T7=1,W7=0),1,0)</f>
      </c>
      <c r="Y7" s="1">
        <f>IF(AND(AS7=1,AT7=0,AU7=0),1,0)</f>
      </c>
      <c r="Z7" s="1">
        <f>IF(AND(Y7=1,T7=0,U7=1,V7=0),1,0)</f>
      </c>
      <c r="AA7" s="1">
        <f>IF(AND(X7=1,U7=0,V7=0,AN7=0,AO7=1,AP7=0),1,0)</f>
      </c>
      <c r="AB7" s="1">
        <f>IF(OR(W7=1,Z7=1),0,IF(T7=1,C7,0))</f>
      </c>
      <c r="AC7" s="1">
        <f>IF(OR(V7&gt;0,AA7=1),1,IF(U7=1,D7,1))</f>
      </c>
      <c r="AD7" s="1">
        <f>IF($A7="",0,IF(OR(T7=1,U7=1,V7&gt;0,W7=1),1,0))</f>
      </c>
      <c r="AE7" s="1">
        <f>IF(AD7=0,0,ROUND((AC7-AB7)*1440,0))</f>
      </c>
      <c r="AF7" s="1">
        <f>IF(AD7=0,"",IF(AND(F7&lt;&gt;"",ISNA(MATCH(F7,PauschLand,0))),"Land nicht in der Liste; ","")&amp;IF(AND(T7=0,W7=0,Z7=0),"Beginn fehlt; ","")&amp;IF(AND(V7=0,U7=0,AA7=0),"Ende fehlt; ","")&amp;IF(AND(X7=1,U7=1,V7=0,N(D7)&lt;N(C7)),"Ende vor Beginn (über Mitternacht: Ende in die Zeile des Folgetags); ",""))</f>
      </c>
      <c r="AG7" s="1">
        <f>IF(AD7=0,0,IFERROR(VLOOKUP(IF(F7="","Deutschland",F7),PauschTab,2,FALSE),0))</f>
      </c>
      <c r="AH7" s="1">
        <f>IF(AD7=0,0,IFERROR(VLOOKUP(IF(F7="","Deutschland",F7),PauschTab,3,FALSE),0))</f>
      </c>
      <c r="AI7" s="1">
        <f>IF(AD7=0,0,IFERROR(VLOOKUP(IF(F7="","Deutschland",F7),PauschTab,4,FALSE),0))</f>
      </c>
      <c r="AJ7" s="1">
        <f>IF(OR(AD7=0,AF7&lt;&gt;""),0,IF(AND(W7=1,V7&gt;0),IF(OR(T7=1,U7=1),AH7,AG7),IF(OR(W7=1,V7&gt;0),AH7,IF(AA7=1,IF(AND(AE7+AQ7&gt;480,AE7&gt;=AQ7),AH7,0),IF(Z7=1,IF(AND(AR7+AE7&gt;480,AE7&gt;AR7),AH7,0),IF(AE7&gt;480,AH7,0))))))</f>
      </c>
      <c r="AK7" s="1">
        <f>MIN(AJ7,AM7)</f>
      </c>
      <c r="AL7" s="1">
        <f>IF(OR(AD7=0,AF7&lt;&gt;""),"",IF(AND(W7=0,V7=0,AA7=0,Z7=0,AE7&lt;=480),"nicht mehr als 8 Std.; ","")&amp;IF(AA7=1,IF(AJ7&gt;0,"über Mitternacht, zusammen "&amp;TEXT((AE7+AQ7)/1440,"[h]:mm")&amp;" Std.; ",IF(AE7+AQ7&gt;480,"über Mitternacht: Pauschale am Folgetag; ","über Mitternacht, zusammen nicht mehr als 8 Std.; ")),"")&amp;IF(Z7=1,IF(AJ7&gt;0,"über Mitternacht, zusammen "&amp;TEXT((AR7+AE7)/1440,"[h]:mm")&amp;" Std.; ",IF(AR7+AE7&gt;480,"über Mitternacht: Pauschale am Vortag; ","über Mitternacht, zusammen nicht mehr als 8 Std.; ")),"")&amp;IF(AND(W7=1,V7&gt;0,OR(T7=1,U7=1)),"zwischendurch zu Hause: An- und Abreisetag; ","")&amp;IF(AND(W7=1,V7=0,T7=1),"Beginn leer lassen: unterwegs seit dem Vortag; ","")&amp;IF(AND(W7=0,V7&gt;0,U7=1),"Ende leer lassen: Übernachtung; ","")&amp;IF(AND(AJ7&gt;0,AM7&gt;AJ7),"Kürzung auf die Pauschale begrenzt; ",""))</f>
      </c>
      <c r="AM7" s="1">
        <f>ROUND(AG7*(IF(H7&lt;&gt;"",0.2,0)+IF(I7&lt;&gt;"",0.4,0)+IF(J7&lt;&gt;"",0.4,0)),2)</f>
      </c>
      <c r="AN7" s="1">
        <f>IF($A8="",'Oktober'!$T$5,T8)</f>
      </c>
      <c r="AO7" s="1">
        <f>IF($A8="",'Oktober'!$U$5,U8)</f>
      </c>
      <c r="AP7" s="1">
        <f>IF($A8="",'Oktober'!$V$5,V8)</f>
      </c>
      <c r="AQ7" s="1">
        <f>IF($A8="",'Oktober'!$AE$5,AE8)</f>
      </c>
      <c r="AR7" s="1">
        <f>AE6</f>
      </c>
      <c r="AS7" s="1">
        <f>X6</f>
      </c>
      <c r="AT7" s="1">
        <f>U6</f>
      </c>
      <c r="AU7" s="1">
        <f>V6</f>
      </c>
    </row>
    <row r="8" spans="1:47" x14ac:dyDescent="0.25">
      <c r="A8" s="17">
        <f>IF(MONTH(DATE(Jahr,9,4))=9,DATE(Jahr,9,4),"")</f>
      </c>
      <c r="B8" s="13">
        <f>IF(A8="","",CHOOSE(WEEKDAY(A8,2),"Mo","Di","Mi","Do","Fr","Sa","So"))</f>
      </c>
      <c r="C8" s="18"/>
      <c r="D8" s="18"/>
      <c r="E8" s="7"/>
      <c r="F8" s="7"/>
      <c r="G8" s="7"/>
      <c r="H8" s="19"/>
      <c r="I8" s="19"/>
      <c r="J8" s="19"/>
      <c r="K8" s="9"/>
      <c r="L8" s="20">
        <f>IF(OR(AD8=0,AF8&lt;&gt;"",AND(W8=1,V8&gt;0,OR(T8=1,U8=1))),"",AE8/1440)</f>
      </c>
      <c r="M8" s="21">
        <f>IF(OR(AD8=0,AF8&lt;&gt;""),"",AJ8)</f>
      </c>
      <c r="N8" s="21">
        <f>IF(AK8=0,"",AK8)</f>
      </c>
      <c r="O8" s="21">
        <f>IF(OR(AD8=0,AF8&lt;&gt;""),"",AJ8-AK8)</f>
      </c>
      <c r="P8" s="21">
        <f>IF(AND(AD8=1,AF8="",V8=2),AI8,"")</f>
      </c>
      <c r="Q8" s="21">
        <f>IF(OR($A8="",N(K8)=0),"",ROUND(K8*KmSatz,2))</f>
      </c>
      <c r="R8" s="22">
        <f>IF(AF8&amp;AL8="","",LEFT(AF8&amp;AL8,LEN(AF8&amp;AL8)-2))</f>
      </c>
      <c r="S8" s="1"/>
      <c r="T8" s="1">
        <f>IF(AND($A8&lt;&gt;"",ISNUMBER(C8)),1,0)</f>
      </c>
      <c r="U8" s="1">
        <f>IF(AND($A8&lt;&gt;"",ISNUMBER(D8)),1,0)</f>
      </c>
      <c r="V8" s="1">
        <f>IF($A8="",0,IF(E8="ja",1,IF(E8="Pauschale",2,0)))</f>
      </c>
      <c r="W8" s="1">
        <f>IF($A8="",0,IF(AU8&gt;0,1,0))</f>
      </c>
      <c r="X8" s="1">
        <f>IF(AND(T8=1,W8=0),1,0)</f>
      </c>
      <c r="Y8" s="1">
        <f>IF(AND(AS8=1,AT8=0,AU8=0),1,0)</f>
      </c>
      <c r="Z8" s="1">
        <f>IF(AND(Y8=1,T8=0,U8=1,V8=0),1,0)</f>
      </c>
      <c r="AA8" s="1">
        <f>IF(AND(X8=1,U8=0,V8=0,AN8=0,AO8=1,AP8=0),1,0)</f>
      </c>
      <c r="AB8" s="1">
        <f>IF(OR(W8=1,Z8=1),0,IF(T8=1,C8,0))</f>
      </c>
      <c r="AC8" s="1">
        <f>IF(OR(V8&gt;0,AA8=1),1,IF(U8=1,D8,1))</f>
      </c>
      <c r="AD8" s="1">
        <f>IF($A8="",0,IF(OR(T8=1,U8=1,V8&gt;0,W8=1),1,0))</f>
      </c>
      <c r="AE8" s="1">
        <f>IF(AD8=0,0,ROUND((AC8-AB8)*1440,0))</f>
      </c>
      <c r="AF8" s="1">
        <f>IF(AD8=0,"",IF(AND(F8&lt;&gt;"",ISNA(MATCH(F8,PauschLand,0))),"Land nicht in der Liste; ","")&amp;IF(AND(T8=0,W8=0,Z8=0),"Beginn fehlt; ","")&amp;IF(AND(V8=0,U8=0,AA8=0),"Ende fehlt; ","")&amp;IF(AND(X8=1,U8=1,V8=0,N(D8)&lt;N(C8)),"Ende vor Beginn (über Mitternacht: Ende in die Zeile des Folgetags); ",""))</f>
      </c>
      <c r="AG8" s="1">
        <f>IF(AD8=0,0,IFERROR(VLOOKUP(IF(F8="","Deutschland",F8),PauschTab,2,FALSE),0))</f>
      </c>
      <c r="AH8" s="1">
        <f>IF(AD8=0,0,IFERROR(VLOOKUP(IF(F8="","Deutschland",F8),PauschTab,3,FALSE),0))</f>
      </c>
      <c r="AI8" s="1">
        <f>IF(AD8=0,0,IFERROR(VLOOKUP(IF(F8="","Deutschland",F8),PauschTab,4,FALSE),0))</f>
      </c>
      <c r="AJ8" s="1">
        <f>IF(OR(AD8=0,AF8&lt;&gt;""),0,IF(AND(W8=1,V8&gt;0),IF(OR(T8=1,U8=1),AH8,AG8),IF(OR(W8=1,V8&gt;0),AH8,IF(AA8=1,IF(AND(AE8+AQ8&gt;480,AE8&gt;=AQ8),AH8,0),IF(Z8=1,IF(AND(AR8+AE8&gt;480,AE8&gt;AR8),AH8,0),IF(AE8&gt;480,AH8,0))))))</f>
      </c>
      <c r="AK8" s="1">
        <f>MIN(AJ8,AM8)</f>
      </c>
      <c r="AL8" s="1">
        <f>IF(OR(AD8=0,AF8&lt;&gt;""),"",IF(AND(W8=0,V8=0,AA8=0,Z8=0,AE8&lt;=480),"nicht mehr als 8 Std.; ","")&amp;IF(AA8=1,IF(AJ8&gt;0,"über Mitternacht, zusammen "&amp;TEXT((AE8+AQ8)/1440,"[h]:mm")&amp;" Std.; ",IF(AE8+AQ8&gt;480,"über Mitternacht: Pauschale am Folgetag; ","über Mitternacht, zusammen nicht mehr als 8 Std.; ")),"")&amp;IF(Z8=1,IF(AJ8&gt;0,"über Mitternacht, zusammen "&amp;TEXT((AR8+AE8)/1440,"[h]:mm")&amp;" Std.; ",IF(AR8+AE8&gt;480,"über Mitternacht: Pauschale am Vortag; ","über Mitternacht, zusammen nicht mehr als 8 Std.; ")),"")&amp;IF(AND(W8=1,V8&gt;0,OR(T8=1,U8=1)),"zwischendurch zu Hause: An- und Abreisetag; ","")&amp;IF(AND(W8=1,V8=0,T8=1),"Beginn leer lassen: unterwegs seit dem Vortag; ","")&amp;IF(AND(W8=0,V8&gt;0,U8=1),"Ende leer lassen: Übernachtung; ","")&amp;IF(AND(AJ8&gt;0,AM8&gt;AJ8),"Kürzung auf die Pauschale begrenzt; ",""))</f>
      </c>
      <c r="AM8" s="1">
        <f>ROUND(AG8*(IF(H8&lt;&gt;"",0.2,0)+IF(I8&lt;&gt;"",0.4,0)+IF(J8&lt;&gt;"",0.4,0)),2)</f>
      </c>
      <c r="AN8" s="1">
        <f>IF($A9="",'Oktober'!$T$5,T9)</f>
      </c>
      <c r="AO8" s="1">
        <f>IF($A9="",'Oktober'!$U$5,U9)</f>
      </c>
      <c r="AP8" s="1">
        <f>IF($A9="",'Oktober'!$V$5,V9)</f>
      </c>
      <c r="AQ8" s="1">
        <f>IF($A9="",'Oktober'!$AE$5,AE9)</f>
      </c>
      <c r="AR8" s="1">
        <f>AE7</f>
      </c>
      <c r="AS8" s="1">
        <f>X7</f>
      </c>
      <c r="AT8" s="1">
        <f>U7</f>
      </c>
      <c r="AU8" s="1">
        <f>V7</f>
      </c>
    </row>
    <row r="9" spans="1:47" x14ac:dyDescent="0.25">
      <c r="A9" s="17">
        <f>IF(MONTH(DATE(Jahr,9,5))=9,DATE(Jahr,9,5),"")</f>
      </c>
      <c r="B9" s="13">
        <f>IF(A9="","",CHOOSE(WEEKDAY(A9,2),"Mo","Di","Mi","Do","Fr","Sa","So"))</f>
      </c>
      <c r="C9" s="18"/>
      <c r="D9" s="18"/>
      <c r="E9" s="7"/>
      <c r="F9" s="7"/>
      <c r="G9" s="7"/>
      <c r="H9" s="19"/>
      <c r="I9" s="19"/>
      <c r="J9" s="19"/>
      <c r="K9" s="9"/>
      <c r="L9" s="20">
        <f>IF(OR(AD9=0,AF9&lt;&gt;"",AND(W9=1,V9&gt;0,OR(T9=1,U9=1))),"",AE9/1440)</f>
      </c>
      <c r="M9" s="21">
        <f>IF(OR(AD9=0,AF9&lt;&gt;""),"",AJ9)</f>
      </c>
      <c r="N9" s="21">
        <f>IF(AK9=0,"",AK9)</f>
      </c>
      <c r="O9" s="21">
        <f>IF(OR(AD9=0,AF9&lt;&gt;""),"",AJ9-AK9)</f>
      </c>
      <c r="P9" s="21">
        <f>IF(AND(AD9=1,AF9="",V9=2),AI9,"")</f>
      </c>
      <c r="Q9" s="21">
        <f>IF(OR($A9="",N(K9)=0),"",ROUND(K9*KmSatz,2))</f>
      </c>
      <c r="R9" s="22">
        <f>IF(AF9&amp;AL9="","",LEFT(AF9&amp;AL9,LEN(AF9&amp;AL9)-2))</f>
      </c>
      <c r="S9" s="1"/>
      <c r="T9" s="1">
        <f>IF(AND($A9&lt;&gt;"",ISNUMBER(C9)),1,0)</f>
      </c>
      <c r="U9" s="1">
        <f>IF(AND($A9&lt;&gt;"",ISNUMBER(D9)),1,0)</f>
      </c>
      <c r="V9" s="1">
        <f>IF($A9="",0,IF(E9="ja",1,IF(E9="Pauschale",2,0)))</f>
      </c>
      <c r="W9" s="1">
        <f>IF($A9="",0,IF(AU9&gt;0,1,0))</f>
      </c>
      <c r="X9" s="1">
        <f>IF(AND(T9=1,W9=0),1,0)</f>
      </c>
      <c r="Y9" s="1">
        <f>IF(AND(AS9=1,AT9=0,AU9=0),1,0)</f>
      </c>
      <c r="Z9" s="1">
        <f>IF(AND(Y9=1,T9=0,U9=1,V9=0),1,0)</f>
      </c>
      <c r="AA9" s="1">
        <f>IF(AND(X9=1,U9=0,V9=0,AN9=0,AO9=1,AP9=0),1,0)</f>
      </c>
      <c r="AB9" s="1">
        <f>IF(OR(W9=1,Z9=1),0,IF(T9=1,C9,0))</f>
      </c>
      <c r="AC9" s="1">
        <f>IF(OR(V9&gt;0,AA9=1),1,IF(U9=1,D9,1))</f>
      </c>
      <c r="AD9" s="1">
        <f>IF($A9="",0,IF(OR(T9=1,U9=1,V9&gt;0,W9=1),1,0))</f>
      </c>
      <c r="AE9" s="1">
        <f>IF(AD9=0,0,ROUND((AC9-AB9)*1440,0))</f>
      </c>
      <c r="AF9" s="1">
        <f>IF(AD9=0,"",IF(AND(F9&lt;&gt;"",ISNA(MATCH(F9,PauschLand,0))),"Land nicht in der Liste; ","")&amp;IF(AND(T9=0,W9=0,Z9=0),"Beginn fehlt; ","")&amp;IF(AND(V9=0,U9=0,AA9=0),"Ende fehlt; ","")&amp;IF(AND(X9=1,U9=1,V9=0,N(D9)&lt;N(C9)),"Ende vor Beginn (über Mitternacht: Ende in die Zeile des Folgetags); ",""))</f>
      </c>
      <c r="AG9" s="1">
        <f>IF(AD9=0,0,IFERROR(VLOOKUP(IF(F9="","Deutschland",F9),PauschTab,2,FALSE),0))</f>
      </c>
      <c r="AH9" s="1">
        <f>IF(AD9=0,0,IFERROR(VLOOKUP(IF(F9="","Deutschland",F9),PauschTab,3,FALSE),0))</f>
      </c>
      <c r="AI9" s="1">
        <f>IF(AD9=0,0,IFERROR(VLOOKUP(IF(F9="","Deutschland",F9),PauschTab,4,FALSE),0))</f>
      </c>
      <c r="AJ9" s="1">
        <f>IF(OR(AD9=0,AF9&lt;&gt;""),0,IF(AND(W9=1,V9&gt;0),IF(OR(T9=1,U9=1),AH9,AG9),IF(OR(W9=1,V9&gt;0),AH9,IF(AA9=1,IF(AND(AE9+AQ9&gt;480,AE9&gt;=AQ9),AH9,0),IF(Z9=1,IF(AND(AR9+AE9&gt;480,AE9&gt;AR9),AH9,0),IF(AE9&gt;480,AH9,0))))))</f>
      </c>
      <c r="AK9" s="1">
        <f>MIN(AJ9,AM9)</f>
      </c>
      <c r="AL9" s="1">
        <f>IF(OR(AD9=0,AF9&lt;&gt;""),"",IF(AND(W9=0,V9=0,AA9=0,Z9=0,AE9&lt;=480),"nicht mehr als 8 Std.; ","")&amp;IF(AA9=1,IF(AJ9&gt;0,"über Mitternacht, zusammen "&amp;TEXT((AE9+AQ9)/1440,"[h]:mm")&amp;" Std.; ",IF(AE9+AQ9&gt;480,"über Mitternacht: Pauschale am Folgetag; ","über Mitternacht, zusammen nicht mehr als 8 Std.; ")),"")&amp;IF(Z9=1,IF(AJ9&gt;0,"über Mitternacht, zusammen "&amp;TEXT((AR9+AE9)/1440,"[h]:mm")&amp;" Std.; ",IF(AR9+AE9&gt;480,"über Mitternacht: Pauschale am Vortag; ","über Mitternacht, zusammen nicht mehr als 8 Std.; ")),"")&amp;IF(AND(W9=1,V9&gt;0,OR(T9=1,U9=1)),"zwischendurch zu Hause: An- und Abreisetag; ","")&amp;IF(AND(W9=1,V9=0,T9=1),"Beginn leer lassen: unterwegs seit dem Vortag; ","")&amp;IF(AND(W9=0,V9&gt;0,U9=1),"Ende leer lassen: Übernachtung; ","")&amp;IF(AND(AJ9&gt;0,AM9&gt;AJ9),"Kürzung auf die Pauschale begrenzt; ",""))</f>
      </c>
      <c r="AM9" s="1">
        <f>ROUND(AG9*(IF(H9&lt;&gt;"",0.2,0)+IF(I9&lt;&gt;"",0.4,0)+IF(J9&lt;&gt;"",0.4,0)),2)</f>
      </c>
      <c r="AN9" s="1">
        <f>IF($A10="",'Oktober'!$T$5,T10)</f>
      </c>
      <c r="AO9" s="1">
        <f>IF($A10="",'Oktober'!$U$5,U10)</f>
      </c>
      <c r="AP9" s="1">
        <f>IF($A10="",'Oktober'!$V$5,V10)</f>
      </c>
      <c r="AQ9" s="1">
        <f>IF($A10="",'Oktober'!$AE$5,AE10)</f>
      </c>
      <c r="AR9" s="1">
        <f>AE8</f>
      </c>
      <c r="AS9" s="1">
        <f>X8</f>
      </c>
      <c r="AT9" s="1">
        <f>U8</f>
      </c>
      <c r="AU9" s="1">
        <f>V8</f>
      </c>
    </row>
    <row r="10" spans="1:47" x14ac:dyDescent="0.25">
      <c r="A10" s="17">
        <f>IF(MONTH(DATE(Jahr,9,6))=9,DATE(Jahr,9,6),"")</f>
      </c>
      <c r="B10" s="13">
        <f>IF(A10="","",CHOOSE(WEEKDAY(A10,2),"Mo","Di","Mi","Do","Fr","Sa","So"))</f>
      </c>
      <c r="C10" s="18"/>
      <c r="D10" s="18"/>
      <c r="E10" s="7"/>
      <c r="F10" s="7"/>
      <c r="G10" s="7"/>
      <c r="H10" s="19"/>
      <c r="I10" s="19"/>
      <c r="J10" s="19"/>
      <c r="K10" s="9"/>
      <c r="L10" s="20">
        <f>IF(OR(AD10=0,AF10&lt;&gt;"",AND(W10=1,V10&gt;0,OR(T10=1,U10=1))),"",AE10/1440)</f>
      </c>
      <c r="M10" s="21">
        <f>IF(OR(AD10=0,AF10&lt;&gt;""),"",AJ10)</f>
      </c>
      <c r="N10" s="21">
        <f>IF(AK10=0,"",AK10)</f>
      </c>
      <c r="O10" s="21">
        <f>IF(OR(AD10=0,AF10&lt;&gt;""),"",AJ10-AK10)</f>
      </c>
      <c r="P10" s="21">
        <f>IF(AND(AD10=1,AF10="",V10=2),AI10,"")</f>
      </c>
      <c r="Q10" s="21">
        <f>IF(OR($A10="",N(K10)=0),"",ROUND(K10*KmSatz,2))</f>
      </c>
      <c r="R10" s="22">
        <f>IF(AF10&amp;AL10="","",LEFT(AF10&amp;AL10,LEN(AF10&amp;AL10)-2))</f>
      </c>
      <c r="S10" s="1"/>
      <c r="T10" s="1">
        <f>IF(AND($A10&lt;&gt;"",ISNUMBER(C10)),1,0)</f>
      </c>
      <c r="U10" s="1">
        <f>IF(AND($A10&lt;&gt;"",ISNUMBER(D10)),1,0)</f>
      </c>
      <c r="V10" s="1">
        <f>IF($A10="",0,IF(E10="ja",1,IF(E10="Pauschale",2,0)))</f>
      </c>
      <c r="W10" s="1">
        <f>IF($A10="",0,IF(AU10&gt;0,1,0))</f>
      </c>
      <c r="X10" s="1">
        <f>IF(AND(T10=1,W10=0),1,0)</f>
      </c>
      <c r="Y10" s="1">
        <f>IF(AND(AS10=1,AT10=0,AU10=0),1,0)</f>
      </c>
      <c r="Z10" s="1">
        <f>IF(AND(Y10=1,T10=0,U10=1,V10=0),1,0)</f>
      </c>
      <c r="AA10" s="1">
        <f>IF(AND(X10=1,U10=0,V10=0,AN10=0,AO10=1,AP10=0),1,0)</f>
      </c>
      <c r="AB10" s="1">
        <f>IF(OR(W10=1,Z10=1),0,IF(T10=1,C10,0))</f>
      </c>
      <c r="AC10" s="1">
        <f>IF(OR(V10&gt;0,AA10=1),1,IF(U10=1,D10,1))</f>
      </c>
      <c r="AD10" s="1">
        <f>IF($A10="",0,IF(OR(T10=1,U10=1,V10&gt;0,W10=1),1,0))</f>
      </c>
      <c r="AE10" s="1">
        <f>IF(AD10=0,0,ROUND((AC10-AB10)*1440,0))</f>
      </c>
      <c r="AF10" s="1">
        <f>IF(AD10=0,"",IF(AND(F10&lt;&gt;"",ISNA(MATCH(F10,PauschLand,0))),"Land nicht in der Liste; ","")&amp;IF(AND(T10=0,W10=0,Z10=0),"Beginn fehlt; ","")&amp;IF(AND(V10=0,U10=0,AA10=0),"Ende fehlt; ","")&amp;IF(AND(X10=1,U10=1,V10=0,N(D10)&lt;N(C10)),"Ende vor Beginn (über Mitternacht: Ende in die Zeile des Folgetags); ",""))</f>
      </c>
      <c r="AG10" s="1">
        <f>IF(AD10=0,0,IFERROR(VLOOKUP(IF(F10="","Deutschland",F10),PauschTab,2,FALSE),0))</f>
      </c>
      <c r="AH10" s="1">
        <f>IF(AD10=0,0,IFERROR(VLOOKUP(IF(F10="","Deutschland",F10),PauschTab,3,FALSE),0))</f>
      </c>
      <c r="AI10" s="1">
        <f>IF(AD10=0,0,IFERROR(VLOOKUP(IF(F10="","Deutschland",F10),PauschTab,4,FALSE),0))</f>
      </c>
      <c r="AJ10" s="1">
        <f>IF(OR(AD10=0,AF10&lt;&gt;""),0,IF(AND(W10=1,V10&gt;0),IF(OR(T10=1,U10=1),AH10,AG10),IF(OR(W10=1,V10&gt;0),AH10,IF(AA10=1,IF(AND(AE10+AQ10&gt;480,AE10&gt;=AQ10),AH10,0),IF(Z10=1,IF(AND(AR10+AE10&gt;480,AE10&gt;AR10),AH10,0),IF(AE10&gt;480,AH10,0))))))</f>
      </c>
      <c r="AK10" s="1">
        <f>MIN(AJ10,AM10)</f>
      </c>
      <c r="AL10" s="1">
        <f>IF(OR(AD10=0,AF10&lt;&gt;""),"",IF(AND(W10=0,V10=0,AA10=0,Z10=0,AE10&lt;=480),"nicht mehr als 8 Std.; ","")&amp;IF(AA10=1,IF(AJ10&gt;0,"über Mitternacht, zusammen "&amp;TEXT((AE10+AQ10)/1440,"[h]:mm")&amp;" Std.; ",IF(AE10+AQ10&gt;480,"über Mitternacht: Pauschale am Folgetag; ","über Mitternacht, zusammen nicht mehr als 8 Std.; ")),"")&amp;IF(Z10=1,IF(AJ10&gt;0,"über Mitternacht, zusammen "&amp;TEXT((AR10+AE10)/1440,"[h]:mm")&amp;" Std.; ",IF(AR10+AE10&gt;480,"über Mitternacht: Pauschale am Vortag; ","über Mitternacht, zusammen nicht mehr als 8 Std.; ")),"")&amp;IF(AND(W10=1,V10&gt;0,OR(T10=1,U10=1)),"zwischendurch zu Hause: An- und Abreisetag; ","")&amp;IF(AND(W10=1,V10=0,T10=1),"Beginn leer lassen: unterwegs seit dem Vortag; ","")&amp;IF(AND(W10=0,V10&gt;0,U10=1),"Ende leer lassen: Übernachtung; ","")&amp;IF(AND(AJ10&gt;0,AM10&gt;AJ10),"Kürzung auf die Pauschale begrenzt; ",""))</f>
      </c>
      <c r="AM10" s="1">
        <f>ROUND(AG10*(IF(H10&lt;&gt;"",0.2,0)+IF(I10&lt;&gt;"",0.4,0)+IF(J10&lt;&gt;"",0.4,0)),2)</f>
      </c>
      <c r="AN10" s="1">
        <f>IF($A11="",'Oktober'!$T$5,T11)</f>
      </c>
      <c r="AO10" s="1">
        <f>IF($A11="",'Oktober'!$U$5,U11)</f>
      </c>
      <c r="AP10" s="1">
        <f>IF($A11="",'Oktober'!$V$5,V11)</f>
      </c>
      <c r="AQ10" s="1">
        <f>IF($A11="",'Oktober'!$AE$5,AE11)</f>
      </c>
      <c r="AR10" s="1">
        <f>AE9</f>
      </c>
      <c r="AS10" s="1">
        <f>X9</f>
      </c>
      <c r="AT10" s="1">
        <f>U9</f>
      </c>
      <c r="AU10" s="1">
        <f>V9</f>
      </c>
    </row>
    <row r="11" spans="1:47" x14ac:dyDescent="0.25">
      <c r="A11" s="17">
        <f>IF(MONTH(DATE(Jahr,9,7))=9,DATE(Jahr,9,7),"")</f>
      </c>
      <c r="B11" s="13">
        <f>IF(A11="","",CHOOSE(WEEKDAY(A11,2),"Mo","Di","Mi","Do","Fr","Sa","So"))</f>
      </c>
      <c r="C11" s="18"/>
      <c r="D11" s="18"/>
      <c r="E11" s="7"/>
      <c r="F11" s="7"/>
      <c r="G11" s="7"/>
      <c r="H11" s="19"/>
      <c r="I11" s="19"/>
      <c r="J11" s="19"/>
      <c r="K11" s="9"/>
      <c r="L11" s="20">
        <f>IF(OR(AD11=0,AF11&lt;&gt;"",AND(W11=1,V11&gt;0,OR(T11=1,U11=1))),"",AE11/1440)</f>
      </c>
      <c r="M11" s="21">
        <f>IF(OR(AD11=0,AF11&lt;&gt;""),"",AJ11)</f>
      </c>
      <c r="N11" s="21">
        <f>IF(AK11=0,"",AK11)</f>
      </c>
      <c r="O11" s="21">
        <f>IF(OR(AD11=0,AF11&lt;&gt;""),"",AJ11-AK11)</f>
      </c>
      <c r="P11" s="21">
        <f>IF(AND(AD11=1,AF11="",V11=2),AI11,"")</f>
      </c>
      <c r="Q11" s="21">
        <f>IF(OR($A11="",N(K11)=0),"",ROUND(K11*KmSatz,2))</f>
      </c>
      <c r="R11" s="22">
        <f>IF(AF11&amp;AL11="","",LEFT(AF11&amp;AL11,LEN(AF11&amp;AL11)-2))</f>
      </c>
      <c r="S11" s="1"/>
      <c r="T11" s="1">
        <f>IF(AND($A11&lt;&gt;"",ISNUMBER(C11)),1,0)</f>
      </c>
      <c r="U11" s="1">
        <f>IF(AND($A11&lt;&gt;"",ISNUMBER(D11)),1,0)</f>
      </c>
      <c r="V11" s="1">
        <f>IF($A11="",0,IF(E11="ja",1,IF(E11="Pauschale",2,0)))</f>
      </c>
      <c r="W11" s="1">
        <f>IF($A11="",0,IF(AU11&gt;0,1,0))</f>
      </c>
      <c r="X11" s="1">
        <f>IF(AND(T11=1,W11=0),1,0)</f>
      </c>
      <c r="Y11" s="1">
        <f>IF(AND(AS11=1,AT11=0,AU11=0),1,0)</f>
      </c>
      <c r="Z11" s="1">
        <f>IF(AND(Y11=1,T11=0,U11=1,V11=0),1,0)</f>
      </c>
      <c r="AA11" s="1">
        <f>IF(AND(X11=1,U11=0,V11=0,AN11=0,AO11=1,AP11=0),1,0)</f>
      </c>
      <c r="AB11" s="1">
        <f>IF(OR(W11=1,Z11=1),0,IF(T11=1,C11,0))</f>
      </c>
      <c r="AC11" s="1">
        <f>IF(OR(V11&gt;0,AA11=1),1,IF(U11=1,D11,1))</f>
      </c>
      <c r="AD11" s="1">
        <f>IF($A11="",0,IF(OR(T11=1,U11=1,V11&gt;0,W11=1),1,0))</f>
      </c>
      <c r="AE11" s="1">
        <f>IF(AD11=0,0,ROUND((AC11-AB11)*1440,0))</f>
      </c>
      <c r="AF11" s="1">
        <f>IF(AD11=0,"",IF(AND(F11&lt;&gt;"",ISNA(MATCH(F11,PauschLand,0))),"Land nicht in der Liste; ","")&amp;IF(AND(T11=0,W11=0,Z11=0),"Beginn fehlt; ","")&amp;IF(AND(V11=0,U11=0,AA11=0),"Ende fehlt; ","")&amp;IF(AND(X11=1,U11=1,V11=0,N(D11)&lt;N(C11)),"Ende vor Beginn (über Mitternacht: Ende in die Zeile des Folgetags); ",""))</f>
      </c>
      <c r="AG11" s="1">
        <f>IF(AD11=0,0,IFERROR(VLOOKUP(IF(F11="","Deutschland",F11),PauschTab,2,FALSE),0))</f>
      </c>
      <c r="AH11" s="1">
        <f>IF(AD11=0,0,IFERROR(VLOOKUP(IF(F11="","Deutschland",F11),PauschTab,3,FALSE),0))</f>
      </c>
      <c r="AI11" s="1">
        <f>IF(AD11=0,0,IFERROR(VLOOKUP(IF(F11="","Deutschland",F11),PauschTab,4,FALSE),0))</f>
      </c>
      <c r="AJ11" s="1">
        <f>IF(OR(AD11=0,AF11&lt;&gt;""),0,IF(AND(W11=1,V11&gt;0),IF(OR(T11=1,U11=1),AH11,AG11),IF(OR(W11=1,V11&gt;0),AH11,IF(AA11=1,IF(AND(AE11+AQ11&gt;480,AE11&gt;=AQ11),AH11,0),IF(Z11=1,IF(AND(AR11+AE11&gt;480,AE11&gt;AR11),AH11,0),IF(AE11&gt;480,AH11,0))))))</f>
      </c>
      <c r="AK11" s="1">
        <f>MIN(AJ11,AM11)</f>
      </c>
      <c r="AL11" s="1">
        <f>IF(OR(AD11=0,AF11&lt;&gt;""),"",IF(AND(W11=0,V11=0,AA11=0,Z11=0,AE11&lt;=480),"nicht mehr als 8 Std.; ","")&amp;IF(AA11=1,IF(AJ11&gt;0,"über Mitternacht, zusammen "&amp;TEXT((AE11+AQ11)/1440,"[h]:mm")&amp;" Std.; ",IF(AE11+AQ11&gt;480,"über Mitternacht: Pauschale am Folgetag; ","über Mitternacht, zusammen nicht mehr als 8 Std.; ")),"")&amp;IF(Z11=1,IF(AJ11&gt;0,"über Mitternacht, zusammen "&amp;TEXT((AR11+AE11)/1440,"[h]:mm")&amp;" Std.; ",IF(AR11+AE11&gt;480,"über Mitternacht: Pauschale am Vortag; ","über Mitternacht, zusammen nicht mehr als 8 Std.; ")),"")&amp;IF(AND(W11=1,V11&gt;0,OR(T11=1,U11=1)),"zwischendurch zu Hause: An- und Abreisetag; ","")&amp;IF(AND(W11=1,V11=0,T11=1),"Beginn leer lassen: unterwegs seit dem Vortag; ","")&amp;IF(AND(W11=0,V11&gt;0,U11=1),"Ende leer lassen: Übernachtung; ","")&amp;IF(AND(AJ11&gt;0,AM11&gt;AJ11),"Kürzung auf die Pauschale begrenzt; ",""))</f>
      </c>
      <c r="AM11" s="1">
        <f>ROUND(AG11*(IF(H11&lt;&gt;"",0.2,0)+IF(I11&lt;&gt;"",0.4,0)+IF(J11&lt;&gt;"",0.4,0)),2)</f>
      </c>
      <c r="AN11" s="1">
        <f>IF($A12="",'Oktober'!$T$5,T12)</f>
      </c>
      <c r="AO11" s="1">
        <f>IF($A12="",'Oktober'!$U$5,U12)</f>
      </c>
      <c r="AP11" s="1">
        <f>IF($A12="",'Oktober'!$V$5,V12)</f>
      </c>
      <c r="AQ11" s="1">
        <f>IF($A12="",'Oktober'!$AE$5,AE12)</f>
      </c>
      <c r="AR11" s="1">
        <f>AE10</f>
      </c>
      <c r="AS11" s="1">
        <f>X10</f>
      </c>
      <c r="AT11" s="1">
        <f>U10</f>
      </c>
      <c r="AU11" s="1">
        <f>V10</f>
      </c>
    </row>
    <row r="12" spans="1:47" x14ac:dyDescent="0.25">
      <c r="A12" s="17">
        <f>IF(MONTH(DATE(Jahr,9,8))=9,DATE(Jahr,9,8),"")</f>
      </c>
      <c r="B12" s="13">
        <f>IF(A12="","",CHOOSE(WEEKDAY(A12,2),"Mo","Di","Mi","Do","Fr","Sa","So"))</f>
      </c>
      <c r="C12" s="18"/>
      <c r="D12" s="18"/>
      <c r="E12" s="7"/>
      <c r="F12" s="7"/>
      <c r="G12" s="7"/>
      <c r="H12" s="19"/>
      <c r="I12" s="19"/>
      <c r="J12" s="19"/>
      <c r="K12" s="9"/>
      <c r="L12" s="20">
        <f>IF(OR(AD12=0,AF12&lt;&gt;"",AND(W12=1,V12&gt;0,OR(T12=1,U12=1))),"",AE12/1440)</f>
      </c>
      <c r="M12" s="21">
        <f>IF(OR(AD12=0,AF12&lt;&gt;""),"",AJ12)</f>
      </c>
      <c r="N12" s="21">
        <f>IF(AK12=0,"",AK12)</f>
      </c>
      <c r="O12" s="21">
        <f>IF(OR(AD12=0,AF12&lt;&gt;""),"",AJ12-AK12)</f>
      </c>
      <c r="P12" s="21">
        <f>IF(AND(AD12=1,AF12="",V12=2),AI12,"")</f>
      </c>
      <c r="Q12" s="21">
        <f>IF(OR($A12="",N(K12)=0),"",ROUND(K12*KmSatz,2))</f>
      </c>
      <c r="R12" s="22">
        <f>IF(AF12&amp;AL12="","",LEFT(AF12&amp;AL12,LEN(AF12&amp;AL12)-2))</f>
      </c>
      <c r="S12" s="1"/>
      <c r="T12" s="1">
        <f>IF(AND($A12&lt;&gt;"",ISNUMBER(C12)),1,0)</f>
      </c>
      <c r="U12" s="1">
        <f>IF(AND($A12&lt;&gt;"",ISNUMBER(D12)),1,0)</f>
      </c>
      <c r="V12" s="1">
        <f>IF($A12="",0,IF(E12="ja",1,IF(E12="Pauschale",2,0)))</f>
      </c>
      <c r="W12" s="1">
        <f>IF($A12="",0,IF(AU12&gt;0,1,0))</f>
      </c>
      <c r="X12" s="1">
        <f>IF(AND(T12=1,W12=0),1,0)</f>
      </c>
      <c r="Y12" s="1">
        <f>IF(AND(AS12=1,AT12=0,AU12=0),1,0)</f>
      </c>
      <c r="Z12" s="1">
        <f>IF(AND(Y12=1,T12=0,U12=1,V12=0),1,0)</f>
      </c>
      <c r="AA12" s="1">
        <f>IF(AND(X12=1,U12=0,V12=0,AN12=0,AO12=1,AP12=0),1,0)</f>
      </c>
      <c r="AB12" s="1">
        <f>IF(OR(W12=1,Z12=1),0,IF(T12=1,C12,0))</f>
      </c>
      <c r="AC12" s="1">
        <f>IF(OR(V12&gt;0,AA12=1),1,IF(U12=1,D12,1))</f>
      </c>
      <c r="AD12" s="1">
        <f>IF($A12="",0,IF(OR(T12=1,U12=1,V12&gt;0,W12=1),1,0))</f>
      </c>
      <c r="AE12" s="1">
        <f>IF(AD12=0,0,ROUND((AC12-AB12)*1440,0))</f>
      </c>
      <c r="AF12" s="1">
        <f>IF(AD12=0,"",IF(AND(F12&lt;&gt;"",ISNA(MATCH(F12,PauschLand,0))),"Land nicht in der Liste; ","")&amp;IF(AND(T12=0,W12=0,Z12=0),"Beginn fehlt; ","")&amp;IF(AND(V12=0,U12=0,AA12=0),"Ende fehlt; ","")&amp;IF(AND(X12=1,U12=1,V12=0,N(D12)&lt;N(C12)),"Ende vor Beginn (über Mitternacht: Ende in die Zeile des Folgetags); ",""))</f>
      </c>
      <c r="AG12" s="1">
        <f>IF(AD12=0,0,IFERROR(VLOOKUP(IF(F12="","Deutschland",F12),PauschTab,2,FALSE),0))</f>
      </c>
      <c r="AH12" s="1">
        <f>IF(AD12=0,0,IFERROR(VLOOKUP(IF(F12="","Deutschland",F12),PauschTab,3,FALSE),0))</f>
      </c>
      <c r="AI12" s="1">
        <f>IF(AD12=0,0,IFERROR(VLOOKUP(IF(F12="","Deutschland",F12),PauschTab,4,FALSE),0))</f>
      </c>
      <c r="AJ12" s="1">
        <f>IF(OR(AD12=0,AF12&lt;&gt;""),0,IF(AND(W12=1,V12&gt;0),IF(OR(T12=1,U12=1),AH12,AG12),IF(OR(W12=1,V12&gt;0),AH12,IF(AA12=1,IF(AND(AE12+AQ12&gt;480,AE12&gt;=AQ12),AH12,0),IF(Z12=1,IF(AND(AR12+AE12&gt;480,AE12&gt;AR12),AH12,0),IF(AE12&gt;480,AH12,0))))))</f>
      </c>
      <c r="AK12" s="1">
        <f>MIN(AJ12,AM12)</f>
      </c>
      <c r="AL12" s="1">
        <f>IF(OR(AD12=0,AF12&lt;&gt;""),"",IF(AND(W12=0,V12=0,AA12=0,Z12=0,AE12&lt;=480),"nicht mehr als 8 Std.; ","")&amp;IF(AA12=1,IF(AJ12&gt;0,"über Mitternacht, zusammen "&amp;TEXT((AE12+AQ12)/1440,"[h]:mm")&amp;" Std.; ",IF(AE12+AQ12&gt;480,"über Mitternacht: Pauschale am Folgetag; ","über Mitternacht, zusammen nicht mehr als 8 Std.; ")),"")&amp;IF(Z12=1,IF(AJ12&gt;0,"über Mitternacht, zusammen "&amp;TEXT((AR12+AE12)/1440,"[h]:mm")&amp;" Std.; ",IF(AR12+AE12&gt;480,"über Mitternacht: Pauschale am Vortag; ","über Mitternacht, zusammen nicht mehr als 8 Std.; ")),"")&amp;IF(AND(W12=1,V12&gt;0,OR(T12=1,U12=1)),"zwischendurch zu Hause: An- und Abreisetag; ","")&amp;IF(AND(W12=1,V12=0,T12=1),"Beginn leer lassen: unterwegs seit dem Vortag; ","")&amp;IF(AND(W12=0,V12&gt;0,U12=1),"Ende leer lassen: Übernachtung; ","")&amp;IF(AND(AJ12&gt;0,AM12&gt;AJ12),"Kürzung auf die Pauschale begrenzt; ",""))</f>
      </c>
      <c r="AM12" s="1">
        <f>ROUND(AG12*(IF(H12&lt;&gt;"",0.2,0)+IF(I12&lt;&gt;"",0.4,0)+IF(J12&lt;&gt;"",0.4,0)),2)</f>
      </c>
      <c r="AN12" s="1">
        <f>IF($A13="",'Oktober'!$T$5,T13)</f>
      </c>
      <c r="AO12" s="1">
        <f>IF($A13="",'Oktober'!$U$5,U13)</f>
      </c>
      <c r="AP12" s="1">
        <f>IF($A13="",'Oktober'!$V$5,V13)</f>
      </c>
      <c r="AQ12" s="1">
        <f>IF($A13="",'Oktober'!$AE$5,AE13)</f>
      </c>
      <c r="AR12" s="1">
        <f>AE11</f>
      </c>
      <c r="AS12" s="1">
        <f>X11</f>
      </c>
      <c r="AT12" s="1">
        <f>U11</f>
      </c>
      <c r="AU12" s="1">
        <f>V11</f>
      </c>
    </row>
    <row r="13" spans="1:47" x14ac:dyDescent="0.25">
      <c r="A13" s="17">
        <f>IF(MONTH(DATE(Jahr,9,9))=9,DATE(Jahr,9,9),"")</f>
      </c>
      <c r="B13" s="13">
        <f>IF(A13="","",CHOOSE(WEEKDAY(A13,2),"Mo","Di","Mi","Do","Fr","Sa","So"))</f>
      </c>
      <c r="C13" s="18"/>
      <c r="D13" s="18"/>
      <c r="E13" s="7"/>
      <c r="F13" s="7"/>
      <c r="G13" s="7"/>
      <c r="H13" s="19"/>
      <c r="I13" s="19"/>
      <c r="J13" s="19"/>
      <c r="K13" s="9"/>
      <c r="L13" s="20">
        <f>IF(OR(AD13=0,AF13&lt;&gt;"",AND(W13=1,V13&gt;0,OR(T13=1,U13=1))),"",AE13/1440)</f>
      </c>
      <c r="M13" s="21">
        <f>IF(OR(AD13=0,AF13&lt;&gt;""),"",AJ13)</f>
      </c>
      <c r="N13" s="21">
        <f>IF(AK13=0,"",AK13)</f>
      </c>
      <c r="O13" s="21">
        <f>IF(OR(AD13=0,AF13&lt;&gt;""),"",AJ13-AK13)</f>
      </c>
      <c r="P13" s="21">
        <f>IF(AND(AD13=1,AF13="",V13=2),AI13,"")</f>
      </c>
      <c r="Q13" s="21">
        <f>IF(OR($A13="",N(K13)=0),"",ROUND(K13*KmSatz,2))</f>
      </c>
      <c r="R13" s="22">
        <f>IF(AF13&amp;AL13="","",LEFT(AF13&amp;AL13,LEN(AF13&amp;AL13)-2))</f>
      </c>
      <c r="S13" s="1"/>
      <c r="T13" s="1">
        <f>IF(AND($A13&lt;&gt;"",ISNUMBER(C13)),1,0)</f>
      </c>
      <c r="U13" s="1">
        <f>IF(AND($A13&lt;&gt;"",ISNUMBER(D13)),1,0)</f>
      </c>
      <c r="V13" s="1">
        <f>IF($A13="",0,IF(E13="ja",1,IF(E13="Pauschale",2,0)))</f>
      </c>
      <c r="W13" s="1">
        <f>IF($A13="",0,IF(AU13&gt;0,1,0))</f>
      </c>
      <c r="X13" s="1">
        <f>IF(AND(T13=1,W13=0),1,0)</f>
      </c>
      <c r="Y13" s="1">
        <f>IF(AND(AS13=1,AT13=0,AU13=0),1,0)</f>
      </c>
      <c r="Z13" s="1">
        <f>IF(AND(Y13=1,T13=0,U13=1,V13=0),1,0)</f>
      </c>
      <c r="AA13" s="1">
        <f>IF(AND(X13=1,U13=0,V13=0,AN13=0,AO13=1,AP13=0),1,0)</f>
      </c>
      <c r="AB13" s="1">
        <f>IF(OR(W13=1,Z13=1),0,IF(T13=1,C13,0))</f>
      </c>
      <c r="AC13" s="1">
        <f>IF(OR(V13&gt;0,AA13=1),1,IF(U13=1,D13,1))</f>
      </c>
      <c r="AD13" s="1">
        <f>IF($A13="",0,IF(OR(T13=1,U13=1,V13&gt;0,W13=1),1,0))</f>
      </c>
      <c r="AE13" s="1">
        <f>IF(AD13=0,0,ROUND((AC13-AB13)*1440,0))</f>
      </c>
      <c r="AF13" s="1">
        <f>IF(AD13=0,"",IF(AND(F13&lt;&gt;"",ISNA(MATCH(F13,PauschLand,0))),"Land nicht in der Liste; ","")&amp;IF(AND(T13=0,W13=0,Z13=0),"Beginn fehlt; ","")&amp;IF(AND(V13=0,U13=0,AA13=0),"Ende fehlt; ","")&amp;IF(AND(X13=1,U13=1,V13=0,N(D13)&lt;N(C13)),"Ende vor Beginn (über Mitternacht: Ende in die Zeile des Folgetags); ",""))</f>
      </c>
      <c r="AG13" s="1">
        <f>IF(AD13=0,0,IFERROR(VLOOKUP(IF(F13="","Deutschland",F13),PauschTab,2,FALSE),0))</f>
      </c>
      <c r="AH13" s="1">
        <f>IF(AD13=0,0,IFERROR(VLOOKUP(IF(F13="","Deutschland",F13),PauschTab,3,FALSE),0))</f>
      </c>
      <c r="AI13" s="1">
        <f>IF(AD13=0,0,IFERROR(VLOOKUP(IF(F13="","Deutschland",F13),PauschTab,4,FALSE),0))</f>
      </c>
      <c r="AJ13" s="1">
        <f>IF(OR(AD13=0,AF13&lt;&gt;""),0,IF(AND(W13=1,V13&gt;0),IF(OR(T13=1,U13=1),AH13,AG13),IF(OR(W13=1,V13&gt;0),AH13,IF(AA13=1,IF(AND(AE13+AQ13&gt;480,AE13&gt;=AQ13),AH13,0),IF(Z13=1,IF(AND(AR13+AE13&gt;480,AE13&gt;AR13),AH13,0),IF(AE13&gt;480,AH13,0))))))</f>
      </c>
      <c r="AK13" s="1">
        <f>MIN(AJ13,AM13)</f>
      </c>
      <c r="AL13" s="1">
        <f>IF(OR(AD13=0,AF13&lt;&gt;""),"",IF(AND(W13=0,V13=0,AA13=0,Z13=0,AE13&lt;=480),"nicht mehr als 8 Std.; ","")&amp;IF(AA13=1,IF(AJ13&gt;0,"über Mitternacht, zusammen "&amp;TEXT((AE13+AQ13)/1440,"[h]:mm")&amp;" Std.; ",IF(AE13+AQ13&gt;480,"über Mitternacht: Pauschale am Folgetag; ","über Mitternacht, zusammen nicht mehr als 8 Std.; ")),"")&amp;IF(Z13=1,IF(AJ13&gt;0,"über Mitternacht, zusammen "&amp;TEXT((AR13+AE13)/1440,"[h]:mm")&amp;" Std.; ",IF(AR13+AE13&gt;480,"über Mitternacht: Pauschale am Vortag; ","über Mitternacht, zusammen nicht mehr als 8 Std.; ")),"")&amp;IF(AND(W13=1,V13&gt;0,OR(T13=1,U13=1)),"zwischendurch zu Hause: An- und Abreisetag; ","")&amp;IF(AND(W13=1,V13=0,T13=1),"Beginn leer lassen: unterwegs seit dem Vortag; ","")&amp;IF(AND(W13=0,V13&gt;0,U13=1),"Ende leer lassen: Übernachtung; ","")&amp;IF(AND(AJ13&gt;0,AM13&gt;AJ13),"Kürzung auf die Pauschale begrenzt; ",""))</f>
      </c>
      <c r="AM13" s="1">
        <f>ROUND(AG13*(IF(H13&lt;&gt;"",0.2,0)+IF(I13&lt;&gt;"",0.4,0)+IF(J13&lt;&gt;"",0.4,0)),2)</f>
      </c>
      <c r="AN13" s="1">
        <f>IF($A14="",'Oktober'!$T$5,T14)</f>
      </c>
      <c r="AO13" s="1">
        <f>IF($A14="",'Oktober'!$U$5,U14)</f>
      </c>
      <c r="AP13" s="1">
        <f>IF($A14="",'Oktober'!$V$5,V14)</f>
      </c>
      <c r="AQ13" s="1">
        <f>IF($A14="",'Oktober'!$AE$5,AE14)</f>
      </c>
      <c r="AR13" s="1">
        <f>AE12</f>
      </c>
      <c r="AS13" s="1">
        <f>X12</f>
      </c>
      <c r="AT13" s="1">
        <f>U12</f>
      </c>
      <c r="AU13" s="1">
        <f>V12</f>
      </c>
    </row>
    <row r="14" spans="1:47" x14ac:dyDescent="0.25">
      <c r="A14" s="17">
        <f>IF(MONTH(DATE(Jahr,9,10))=9,DATE(Jahr,9,10),"")</f>
      </c>
      <c r="B14" s="13">
        <f>IF(A14="","",CHOOSE(WEEKDAY(A14,2),"Mo","Di","Mi","Do","Fr","Sa","So"))</f>
      </c>
      <c r="C14" s="18"/>
      <c r="D14" s="18"/>
      <c r="E14" s="7"/>
      <c r="F14" s="7"/>
      <c r="G14" s="7"/>
      <c r="H14" s="19"/>
      <c r="I14" s="19"/>
      <c r="J14" s="19"/>
      <c r="K14" s="9"/>
      <c r="L14" s="20">
        <f>IF(OR(AD14=0,AF14&lt;&gt;"",AND(W14=1,V14&gt;0,OR(T14=1,U14=1))),"",AE14/1440)</f>
      </c>
      <c r="M14" s="21">
        <f>IF(OR(AD14=0,AF14&lt;&gt;""),"",AJ14)</f>
      </c>
      <c r="N14" s="21">
        <f>IF(AK14=0,"",AK14)</f>
      </c>
      <c r="O14" s="21">
        <f>IF(OR(AD14=0,AF14&lt;&gt;""),"",AJ14-AK14)</f>
      </c>
      <c r="P14" s="21">
        <f>IF(AND(AD14=1,AF14="",V14=2),AI14,"")</f>
      </c>
      <c r="Q14" s="21">
        <f>IF(OR($A14="",N(K14)=0),"",ROUND(K14*KmSatz,2))</f>
      </c>
      <c r="R14" s="22">
        <f>IF(AF14&amp;AL14="","",LEFT(AF14&amp;AL14,LEN(AF14&amp;AL14)-2))</f>
      </c>
      <c r="S14" s="1"/>
      <c r="T14" s="1">
        <f>IF(AND($A14&lt;&gt;"",ISNUMBER(C14)),1,0)</f>
      </c>
      <c r="U14" s="1">
        <f>IF(AND($A14&lt;&gt;"",ISNUMBER(D14)),1,0)</f>
      </c>
      <c r="V14" s="1">
        <f>IF($A14="",0,IF(E14="ja",1,IF(E14="Pauschale",2,0)))</f>
      </c>
      <c r="W14" s="1">
        <f>IF($A14="",0,IF(AU14&gt;0,1,0))</f>
      </c>
      <c r="X14" s="1">
        <f>IF(AND(T14=1,W14=0),1,0)</f>
      </c>
      <c r="Y14" s="1">
        <f>IF(AND(AS14=1,AT14=0,AU14=0),1,0)</f>
      </c>
      <c r="Z14" s="1">
        <f>IF(AND(Y14=1,T14=0,U14=1,V14=0),1,0)</f>
      </c>
      <c r="AA14" s="1">
        <f>IF(AND(X14=1,U14=0,V14=0,AN14=0,AO14=1,AP14=0),1,0)</f>
      </c>
      <c r="AB14" s="1">
        <f>IF(OR(W14=1,Z14=1),0,IF(T14=1,C14,0))</f>
      </c>
      <c r="AC14" s="1">
        <f>IF(OR(V14&gt;0,AA14=1),1,IF(U14=1,D14,1))</f>
      </c>
      <c r="AD14" s="1">
        <f>IF($A14="",0,IF(OR(T14=1,U14=1,V14&gt;0,W14=1),1,0))</f>
      </c>
      <c r="AE14" s="1">
        <f>IF(AD14=0,0,ROUND((AC14-AB14)*1440,0))</f>
      </c>
      <c r="AF14" s="1">
        <f>IF(AD14=0,"",IF(AND(F14&lt;&gt;"",ISNA(MATCH(F14,PauschLand,0))),"Land nicht in der Liste; ","")&amp;IF(AND(T14=0,W14=0,Z14=0),"Beginn fehlt; ","")&amp;IF(AND(V14=0,U14=0,AA14=0),"Ende fehlt; ","")&amp;IF(AND(X14=1,U14=1,V14=0,N(D14)&lt;N(C14)),"Ende vor Beginn (über Mitternacht: Ende in die Zeile des Folgetags); ",""))</f>
      </c>
      <c r="AG14" s="1">
        <f>IF(AD14=0,0,IFERROR(VLOOKUP(IF(F14="","Deutschland",F14),PauschTab,2,FALSE),0))</f>
      </c>
      <c r="AH14" s="1">
        <f>IF(AD14=0,0,IFERROR(VLOOKUP(IF(F14="","Deutschland",F14),PauschTab,3,FALSE),0))</f>
      </c>
      <c r="AI14" s="1">
        <f>IF(AD14=0,0,IFERROR(VLOOKUP(IF(F14="","Deutschland",F14),PauschTab,4,FALSE),0))</f>
      </c>
      <c r="AJ14" s="1">
        <f>IF(OR(AD14=0,AF14&lt;&gt;""),0,IF(AND(W14=1,V14&gt;0),IF(OR(T14=1,U14=1),AH14,AG14),IF(OR(W14=1,V14&gt;0),AH14,IF(AA14=1,IF(AND(AE14+AQ14&gt;480,AE14&gt;=AQ14),AH14,0),IF(Z14=1,IF(AND(AR14+AE14&gt;480,AE14&gt;AR14),AH14,0),IF(AE14&gt;480,AH14,0))))))</f>
      </c>
      <c r="AK14" s="1">
        <f>MIN(AJ14,AM14)</f>
      </c>
      <c r="AL14" s="1">
        <f>IF(OR(AD14=0,AF14&lt;&gt;""),"",IF(AND(W14=0,V14=0,AA14=0,Z14=0,AE14&lt;=480),"nicht mehr als 8 Std.; ","")&amp;IF(AA14=1,IF(AJ14&gt;0,"über Mitternacht, zusammen "&amp;TEXT((AE14+AQ14)/1440,"[h]:mm")&amp;" Std.; ",IF(AE14+AQ14&gt;480,"über Mitternacht: Pauschale am Folgetag; ","über Mitternacht, zusammen nicht mehr als 8 Std.; ")),"")&amp;IF(Z14=1,IF(AJ14&gt;0,"über Mitternacht, zusammen "&amp;TEXT((AR14+AE14)/1440,"[h]:mm")&amp;" Std.; ",IF(AR14+AE14&gt;480,"über Mitternacht: Pauschale am Vortag; ","über Mitternacht, zusammen nicht mehr als 8 Std.; ")),"")&amp;IF(AND(W14=1,V14&gt;0,OR(T14=1,U14=1)),"zwischendurch zu Hause: An- und Abreisetag; ","")&amp;IF(AND(W14=1,V14=0,T14=1),"Beginn leer lassen: unterwegs seit dem Vortag; ","")&amp;IF(AND(W14=0,V14&gt;0,U14=1),"Ende leer lassen: Übernachtung; ","")&amp;IF(AND(AJ14&gt;0,AM14&gt;AJ14),"Kürzung auf die Pauschale begrenzt; ",""))</f>
      </c>
      <c r="AM14" s="1">
        <f>ROUND(AG14*(IF(H14&lt;&gt;"",0.2,0)+IF(I14&lt;&gt;"",0.4,0)+IF(J14&lt;&gt;"",0.4,0)),2)</f>
      </c>
      <c r="AN14" s="1">
        <f>IF($A15="",'Oktober'!$T$5,T15)</f>
      </c>
      <c r="AO14" s="1">
        <f>IF($A15="",'Oktober'!$U$5,U15)</f>
      </c>
      <c r="AP14" s="1">
        <f>IF($A15="",'Oktober'!$V$5,V15)</f>
      </c>
      <c r="AQ14" s="1">
        <f>IF($A15="",'Oktober'!$AE$5,AE15)</f>
      </c>
      <c r="AR14" s="1">
        <f>AE13</f>
      </c>
      <c r="AS14" s="1">
        <f>X13</f>
      </c>
      <c r="AT14" s="1">
        <f>U13</f>
      </c>
      <c r="AU14" s="1">
        <f>V13</f>
      </c>
    </row>
    <row r="15" spans="1:47" x14ac:dyDescent="0.25">
      <c r="A15" s="17">
        <f>IF(MONTH(DATE(Jahr,9,11))=9,DATE(Jahr,9,11),"")</f>
      </c>
      <c r="B15" s="13">
        <f>IF(A15="","",CHOOSE(WEEKDAY(A15,2),"Mo","Di","Mi","Do","Fr","Sa","So"))</f>
      </c>
      <c r="C15" s="18"/>
      <c r="D15" s="18"/>
      <c r="E15" s="7"/>
      <c r="F15" s="7"/>
      <c r="G15" s="7"/>
      <c r="H15" s="19"/>
      <c r="I15" s="19"/>
      <c r="J15" s="19"/>
      <c r="K15" s="9"/>
      <c r="L15" s="20">
        <f>IF(OR(AD15=0,AF15&lt;&gt;"",AND(W15=1,V15&gt;0,OR(T15=1,U15=1))),"",AE15/1440)</f>
      </c>
      <c r="M15" s="21">
        <f>IF(OR(AD15=0,AF15&lt;&gt;""),"",AJ15)</f>
      </c>
      <c r="N15" s="21">
        <f>IF(AK15=0,"",AK15)</f>
      </c>
      <c r="O15" s="21">
        <f>IF(OR(AD15=0,AF15&lt;&gt;""),"",AJ15-AK15)</f>
      </c>
      <c r="P15" s="21">
        <f>IF(AND(AD15=1,AF15="",V15=2),AI15,"")</f>
      </c>
      <c r="Q15" s="21">
        <f>IF(OR($A15="",N(K15)=0),"",ROUND(K15*KmSatz,2))</f>
      </c>
      <c r="R15" s="22">
        <f>IF(AF15&amp;AL15="","",LEFT(AF15&amp;AL15,LEN(AF15&amp;AL15)-2))</f>
      </c>
      <c r="S15" s="1"/>
      <c r="T15" s="1">
        <f>IF(AND($A15&lt;&gt;"",ISNUMBER(C15)),1,0)</f>
      </c>
      <c r="U15" s="1">
        <f>IF(AND($A15&lt;&gt;"",ISNUMBER(D15)),1,0)</f>
      </c>
      <c r="V15" s="1">
        <f>IF($A15="",0,IF(E15="ja",1,IF(E15="Pauschale",2,0)))</f>
      </c>
      <c r="W15" s="1">
        <f>IF($A15="",0,IF(AU15&gt;0,1,0))</f>
      </c>
      <c r="X15" s="1">
        <f>IF(AND(T15=1,W15=0),1,0)</f>
      </c>
      <c r="Y15" s="1">
        <f>IF(AND(AS15=1,AT15=0,AU15=0),1,0)</f>
      </c>
      <c r="Z15" s="1">
        <f>IF(AND(Y15=1,T15=0,U15=1,V15=0),1,0)</f>
      </c>
      <c r="AA15" s="1">
        <f>IF(AND(X15=1,U15=0,V15=0,AN15=0,AO15=1,AP15=0),1,0)</f>
      </c>
      <c r="AB15" s="1">
        <f>IF(OR(W15=1,Z15=1),0,IF(T15=1,C15,0))</f>
      </c>
      <c r="AC15" s="1">
        <f>IF(OR(V15&gt;0,AA15=1),1,IF(U15=1,D15,1))</f>
      </c>
      <c r="AD15" s="1">
        <f>IF($A15="",0,IF(OR(T15=1,U15=1,V15&gt;0,W15=1),1,0))</f>
      </c>
      <c r="AE15" s="1">
        <f>IF(AD15=0,0,ROUND((AC15-AB15)*1440,0))</f>
      </c>
      <c r="AF15" s="1">
        <f>IF(AD15=0,"",IF(AND(F15&lt;&gt;"",ISNA(MATCH(F15,PauschLand,0))),"Land nicht in der Liste; ","")&amp;IF(AND(T15=0,W15=0,Z15=0),"Beginn fehlt; ","")&amp;IF(AND(V15=0,U15=0,AA15=0),"Ende fehlt; ","")&amp;IF(AND(X15=1,U15=1,V15=0,N(D15)&lt;N(C15)),"Ende vor Beginn (über Mitternacht: Ende in die Zeile des Folgetags); ",""))</f>
      </c>
      <c r="AG15" s="1">
        <f>IF(AD15=0,0,IFERROR(VLOOKUP(IF(F15="","Deutschland",F15),PauschTab,2,FALSE),0))</f>
      </c>
      <c r="AH15" s="1">
        <f>IF(AD15=0,0,IFERROR(VLOOKUP(IF(F15="","Deutschland",F15),PauschTab,3,FALSE),0))</f>
      </c>
      <c r="AI15" s="1">
        <f>IF(AD15=0,0,IFERROR(VLOOKUP(IF(F15="","Deutschland",F15),PauschTab,4,FALSE),0))</f>
      </c>
      <c r="AJ15" s="1">
        <f>IF(OR(AD15=0,AF15&lt;&gt;""),0,IF(AND(W15=1,V15&gt;0),IF(OR(T15=1,U15=1),AH15,AG15),IF(OR(W15=1,V15&gt;0),AH15,IF(AA15=1,IF(AND(AE15+AQ15&gt;480,AE15&gt;=AQ15),AH15,0),IF(Z15=1,IF(AND(AR15+AE15&gt;480,AE15&gt;AR15),AH15,0),IF(AE15&gt;480,AH15,0))))))</f>
      </c>
      <c r="AK15" s="1">
        <f>MIN(AJ15,AM15)</f>
      </c>
      <c r="AL15" s="1">
        <f>IF(OR(AD15=0,AF15&lt;&gt;""),"",IF(AND(W15=0,V15=0,AA15=0,Z15=0,AE15&lt;=480),"nicht mehr als 8 Std.; ","")&amp;IF(AA15=1,IF(AJ15&gt;0,"über Mitternacht, zusammen "&amp;TEXT((AE15+AQ15)/1440,"[h]:mm")&amp;" Std.; ",IF(AE15+AQ15&gt;480,"über Mitternacht: Pauschale am Folgetag; ","über Mitternacht, zusammen nicht mehr als 8 Std.; ")),"")&amp;IF(Z15=1,IF(AJ15&gt;0,"über Mitternacht, zusammen "&amp;TEXT((AR15+AE15)/1440,"[h]:mm")&amp;" Std.; ",IF(AR15+AE15&gt;480,"über Mitternacht: Pauschale am Vortag; ","über Mitternacht, zusammen nicht mehr als 8 Std.; ")),"")&amp;IF(AND(W15=1,V15&gt;0,OR(T15=1,U15=1)),"zwischendurch zu Hause: An- und Abreisetag; ","")&amp;IF(AND(W15=1,V15=0,T15=1),"Beginn leer lassen: unterwegs seit dem Vortag; ","")&amp;IF(AND(W15=0,V15&gt;0,U15=1),"Ende leer lassen: Übernachtung; ","")&amp;IF(AND(AJ15&gt;0,AM15&gt;AJ15),"Kürzung auf die Pauschale begrenzt; ",""))</f>
      </c>
      <c r="AM15" s="1">
        <f>ROUND(AG15*(IF(H15&lt;&gt;"",0.2,0)+IF(I15&lt;&gt;"",0.4,0)+IF(J15&lt;&gt;"",0.4,0)),2)</f>
      </c>
      <c r="AN15" s="1">
        <f>IF($A16="",'Oktober'!$T$5,T16)</f>
      </c>
      <c r="AO15" s="1">
        <f>IF($A16="",'Oktober'!$U$5,U16)</f>
      </c>
      <c r="AP15" s="1">
        <f>IF($A16="",'Oktober'!$V$5,V16)</f>
      </c>
      <c r="AQ15" s="1">
        <f>IF($A16="",'Oktober'!$AE$5,AE16)</f>
      </c>
      <c r="AR15" s="1">
        <f>AE14</f>
      </c>
      <c r="AS15" s="1">
        <f>X14</f>
      </c>
      <c r="AT15" s="1">
        <f>U14</f>
      </c>
      <c r="AU15" s="1">
        <f>V14</f>
      </c>
    </row>
    <row r="16" spans="1:47" x14ac:dyDescent="0.25">
      <c r="A16" s="17">
        <f>IF(MONTH(DATE(Jahr,9,12))=9,DATE(Jahr,9,12),"")</f>
      </c>
      <c r="B16" s="13">
        <f>IF(A16="","",CHOOSE(WEEKDAY(A16,2),"Mo","Di","Mi","Do","Fr","Sa","So"))</f>
      </c>
      <c r="C16" s="18"/>
      <c r="D16" s="18"/>
      <c r="E16" s="7"/>
      <c r="F16" s="7"/>
      <c r="G16" s="7"/>
      <c r="H16" s="19"/>
      <c r="I16" s="19"/>
      <c r="J16" s="19"/>
      <c r="K16" s="9"/>
      <c r="L16" s="20">
        <f>IF(OR(AD16=0,AF16&lt;&gt;"",AND(W16=1,V16&gt;0,OR(T16=1,U16=1))),"",AE16/1440)</f>
      </c>
      <c r="M16" s="21">
        <f>IF(OR(AD16=0,AF16&lt;&gt;""),"",AJ16)</f>
      </c>
      <c r="N16" s="21">
        <f>IF(AK16=0,"",AK16)</f>
      </c>
      <c r="O16" s="21">
        <f>IF(OR(AD16=0,AF16&lt;&gt;""),"",AJ16-AK16)</f>
      </c>
      <c r="P16" s="21">
        <f>IF(AND(AD16=1,AF16="",V16=2),AI16,"")</f>
      </c>
      <c r="Q16" s="21">
        <f>IF(OR($A16="",N(K16)=0),"",ROUND(K16*KmSatz,2))</f>
      </c>
      <c r="R16" s="22">
        <f>IF(AF16&amp;AL16="","",LEFT(AF16&amp;AL16,LEN(AF16&amp;AL16)-2))</f>
      </c>
      <c r="S16" s="1"/>
      <c r="T16" s="1">
        <f>IF(AND($A16&lt;&gt;"",ISNUMBER(C16)),1,0)</f>
      </c>
      <c r="U16" s="1">
        <f>IF(AND($A16&lt;&gt;"",ISNUMBER(D16)),1,0)</f>
      </c>
      <c r="V16" s="1">
        <f>IF($A16="",0,IF(E16="ja",1,IF(E16="Pauschale",2,0)))</f>
      </c>
      <c r="W16" s="1">
        <f>IF($A16="",0,IF(AU16&gt;0,1,0))</f>
      </c>
      <c r="X16" s="1">
        <f>IF(AND(T16=1,W16=0),1,0)</f>
      </c>
      <c r="Y16" s="1">
        <f>IF(AND(AS16=1,AT16=0,AU16=0),1,0)</f>
      </c>
      <c r="Z16" s="1">
        <f>IF(AND(Y16=1,T16=0,U16=1,V16=0),1,0)</f>
      </c>
      <c r="AA16" s="1">
        <f>IF(AND(X16=1,U16=0,V16=0,AN16=0,AO16=1,AP16=0),1,0)</f>
      </c>
      <c r="AB16" s="1">
        <f>IF(OR(W16=1,Z16=1),0,IF(T16=1,C16,0))</f>
      </c>
      <c r="AC16" s="1">
        <f>IF(OR(V16&gt;0,AA16=1),1,IF(U16=1,D16,1))</f>
      </c>
      <c r="AD16" s="1">
        <f>IF($A16="",0,IF(OR(T16=1,U16=1,V16&gt;0,W16=1),1,0))</f>
      </c>
      <c r="AE16" s="1">
        <f>IF(AD16=0,0,ROUND((AC16-AB16)*1440,0))</f>
      </c>
      <c r="AF16" s="1">
        <f>IF(AD16=0,"",IF(AND(F16&lt;&gt;"",ISNA(MATCH(F16,PauschLand,0))),"Land nicht in der Liste; ","")&amp;IF(AND(T16=0,W16=0,Z16=0),"Beginn fehlt; ","")&amp;IF(AND(V16=0,U16=0,AA16=0),"Ende fehlt; ","")&amp;IF(AND(X16=1,U16=1,V16=0,N(D16)&lt;N(C16)),"Ende vor Beginn (über Mitternacht: Ende in die Zeile des Folgetags); ",""))</f>
      </c>
      <c r="AG16" s="1">
        <f>IF(AD16=0,0,IFERROR(VLOOKUP(IF(F16="","Deutschland",F16),PauschTab,2,FALSE),0))</f>
      </c>
      <c r="AH16" s="1">
        <f>IF(AD16=0,0,IFERROR(VLOOKUP(IF(F16="","Deutschland",F16),PauschTab,3,FALSE),0))</f>
      </c>
      <c r="AI16" s="1">
        <f>IF(AD16=0,0,IFERROR(VLOOKUP(IF(F16="","Deutschland",F16),PauschTab,4,FALSE),0))</f>
      </c>
      <c r="AJ16" s="1">
        <f>IF(OR(AD16=0,AF16&lt;&gt;""),0,IF(AND(W16=1,V16&gt;0),IF(OR(T16=1,U16=1),AH16,AG16),IF(OR(W16=1,V16&gt;0),AH16,IF(AA16=1,IF(AND(AE16+AQ16&gt;480,AE16&gt;=AQ16),AH16,0),IF(Z16=1,IF(AND(AR16+AE16&gt;480,AE16&gt;AR16),AH16,0),IF(AE16&gt;480,AH16,0))))))</f>
      </c>
      <c r="AK16" s="1">
        <f>MIN(AJ16,AM16)</f>
      </c>
      <c r="AL16" s="1">
        <f>IF(OR(AD16=0,AF16&lt;&gt;""),"",IF(AND(W16=0,V16=0,AA16=0,Z16=0,AE16&lt;=480),"nicht mehr als 8 Std.; ","")&amp;IF(AA16=1,IF(AJ16&gt;0,"über Mitternacht, zusammen "&amp;TEXT((AE16+AQ16)/1440,"[h]:mm")&amp;" Std.; ",IF(AE16+AQ16&gt;480,"über Mitternacht: Pauschale am Folgetag; ","über Mitternacht, zusammen nicht mehr als 8 Std.; ")),"")&amp;IF(Z16=1,IF(AJ16&gt;0,"über Mitternacht, zusammen "&amp;TEXT((AR16+AE16)/1440,"[h]:mm")&amp;" Std.; ",IF(AR16+AE16&gt;480,"über Mitternacht: Pauschale am Vortag; ","über Mitternacht, zusammen nicht mehr als 8 Std.; ")),"")&amp;IF(AND(W16=1,V16&gt;0,OR(T16=1,U16=1)),"zwischendurch zu Hause: An- und Abreisetag; ","")&amp;IF(AND(W16=1,V16=0,T16=1),"Beginn leer lassen: unterwegs seit dem Vortag; ","")&amp;IF(AND(W16=0,V16&gt;0,U16=1),"Ende leer lassen: Übernachtung; ","")&amp;IF(AND(AJ16&gt;0,AM16&gt;AJ16),"Kürzung auf die Pauschale begrenzt; ",""))</f>
      </c>
      <c r="AM16" s="1">
        <f>ROUND(AG16*(IF(H16&lt;&gt;"",0.2,0)+IF(I16&lt;&gt;"",0.4,0)+IF(J16&lt;&gt;"",0.4,0)),2)</f>
      </c>
      <c r="AN16" s="1">
        <f>IF($A17="",'Oktober'!$T$5,T17)</f>
      </c>
      <c r="AO16" s="1">
        <f>IF($A17="",'Oktober'!$U$5,U17)</f>
      </c>
      <c r="AP16" s="1">
        <f>IF($A17="",'Oktober'!$V$5,V17)</f>
      </c>
      <c r="AQ16" s="1">
        <f>IF($A17="",'Oktober'!$AE$5,AE17)</f>
      </c>
      <c r="AR16" s="1">
        <f>AE15</f>
      </c>
      <c r="AS16" s="1">
        <f>X15</f>
      </c>
      <c r="AT16" s="1">
        <f>U15</f>
      </c>
      <c r="AU16" s="1">
        <f>V15</f>
      </c>
    </row>
    <row r="17" spans="1:47" x14ac:dyDescent="0.25">
      <c r="A17" s="17">
        <f>IF(MONTH(DATE(Jahr,9,13))=9,DATE(Jahr,9,13),"")</f>
      </c>
      <c r="B17" s="13">
        <f>IF(A17="","",CHOOSE(WEEKDAY(A17,2),"Mo","Di","Mi","Do","Fr","Sa","So"))</f>
      </c>
      <c r="C17" s="18"/>
      <c r="D17" s="18"/>
      <c r="E17" s="7"/>
      <c r="F17" s="7"/>
      <c r="G17" s="7"/>
      <c r="H17" s="19"/>
      <c r="I17" s="19"/>
      <c r="J17" s="19"/>
      <c r="K17" s="9"/>
      <c r="L17" s="20">
        <f>IF(OR(AD17=0,AF17&lt;&gt;"",AND(W17=1,V17&gt;0,OR(T17=1,U17=1))),"",AE17/1440)</f>
      </c>
      <c r="M17" s="21">
        <f>IF(OR(AD17=0,AF17&lt;&gt;""),"",AJ17)</f>
      </c>
      <c r="N17" s="21">
        <f>IF(AK17=0,"",AK17)</f>
      </c>
      <c r="O17" s="21">
        <f>IF(OR(AD17=0,AF17&lt;&gt;""),"",AJ17-AK17)</f>
      </c>
      <c r="P17" s="21">
        <f>IF(AND(AD17=1,AF17="",V17=2),AI17,"")</f>
      </c>
      <c r="Q17" s="21">
        <f>IF(OR($A17="",N(K17)=0),"",ROUND(K17*KmSatz,2))</f>
      </c>
      <c r="R17" s="22">
        <f>IF(AF17&amp;AL17="","",LEFT(AF17&amp;AL17,LEN(AF17&amp;AL17)-2))</f>
      </c>
      <c r="S17" s="1"/>
      <c r="T17" s="1">
        <f>IF(AND($A17&lt;&gt;"",ISNUMBER(C17)),1,0)</f>
      </c>
      <c r="U17" s="1">
        <f>IF(AND($A17&lt;&gt;"",ISNUMBER(D17)),1,0)</f>
      </c>
      <c r="V17" s="1">
        <f>IF($A17="",0,IF(E17="ja",1,IF(E17="Pauschale",2,0)))</f>
      </c>
      <c r="W17" s="1">
        <f>IF($A17="",0,IF(AU17&gt;0,1,0))</f>
      </c>
      <c r="X17" s="1">
        <f>IF(AND(T17=1,W17=0),1,0)</f>
      </c>
      <c r="Y17" s="1">
        <f>IF(AND(AS17=1,AT17=0,AU17=0),1,0)</f>
      </c>
      <c r="Z17" s="1">
        <f>IF(AND(Y17=1,T17=0,U17=1,V17=0),1,0)</f>
      </c>
      <c r="AA17" s="1">
        <f>IF(AND(X17=1,U17=0,V17=0,AN17=0,AO17=1,AP17=0),1,0)</f>
      </c>
      <c r="AB17" s="1">
        <f>IF(OR(W17=1,Z17=1),0,IF(T17=1,C17,0))</f>
      </c>
      <c r="AC17" s="1">
        <f>IF(OR(V17&gt;0,AA17=1),1,IF(U17=1,D17,1))</f>
      </c>
      <c r="AD17" s="1">
        <f>IF($A17="",0,IF(OR(T17=1,U17=1,V17&gt;0,W17=1),1,0))</f>
      </c>
      <c r="AE17" s="1">
        <f>IF(AD17=0,0,ROUND((AC17-AB17)*1440,0))</f>
      </c>
      <c r="AF17" s="1">
        <f>IF(AD17=0,"",IF(AND(F17&lt;&gt;"",ISNA(MATCH(F17,PauschLand,0))),"Land nicht in der Liste; ","")&amp;IF(AND(T17=0,W17=0,Z17=0),"Beginn fehlt; ","")&amp;IF(AND(V17=0,U17=0,AA17=0),"Ende fehlt; ","")&amp;IF(AND(X17=1,U17=1,V17=0,N(D17)&lt;N(C17)),"Ende vor Beginn (über Mitternacht: Ende in die Zeile des Folgetags); ",""))</f>
      </c>
      <c r="AG17" s="1">
        <f>IF(AD17=0,0,IFERROR(VLOOKUP(IF(F17="","Deutschland",F17),PauschTab,2,FALSE),0))</f>
      </c>
      <c r="AH17" s="1">
        <f>IF(AD17=0,0,IFERROR(VLOOKUP(IF(F17="","Deutschland",F17),PauschTab,3,FALSE),0))</f>
      </c>
      <c r="AI17" s="1">
        <f>IF(AD17=0,0,IFERROR(VLOOKUP(IF(F17="","Deutschland",F17),PauschTab,4,FALSE),0))</f>
      </c>
      <c r="AJ17" s="1">
        <f>IF(OR(AD17=0,AF17&lt;&gt;""),0,IF(AND(W17=1,V17&gt;0),IF(OR(T17=1,U17=1),AH17,AG17),IF(OR(W17=1,V17&gt;0),AH17,IF(AA17=1,IF(AND(AE17+AQ17&gt;480,AE17&gt;=AQ17),AH17,0),IF(Z17=1,IF(AND(AR17+AE17&gt;480,AE17&gt;AR17),AH17,0),IF(AE17&gt;480,AH17,0))))))</f>
      </c>
      <c r="AK17" s="1">
        <f>MIN(AJ17,AM17)</f>
      </c>
      <c r="AL17" s="1">
        <f>IF(OR(AD17=0,AF17&lt;&gt;""),"",IF(AND(W17=0,V17=0,AA17=0,Z17=0,AE17&lt;=480),"nicht mehr als 8 Std.; ","")&amp;IF(AA17=1,IF(AJ17&gt;0,"über Mitternacht, zusammen "&amp;TEXT((AE17+AQ17)/1440,"[h]:mm")&amp;" Std.; ",IF(AE17+AQ17&gt;480,"über Mitternacht: Pauschale am Folgetag; ","über Mitternacht, zusammen nicht mehr als 8 Std.; ")),"")&amp;IF(Z17=1,IF(AJ17&gt;0,"über Mitternacht, zusammen "&amp;TEXT((AR17+AE17)/1440,"[h]:mm")&amp;" Std.; ",IF(AR17+AE17&gt;480,"über Mitternacht: Pauschale am Vortag; ","über Mitternacht, zusammen nicht mehr als 8 Std.; ")),"")&amp;IF(AND(W17=1,V17&gt;0,OR(T17=1,U17=1)),"zwischendurch zu Hause: An- und Abreisetag; ","")&amp;IF(AND(W17=1,V17=0,T17=1),"Beginn leer lassen: unterwegs seit dem Vortag; ","")&amp;IF(AND(W17=0,V17&gt;0,U17=1),"Ende leer lassen: Übernachtung; ","")&amp;IF(AND(AJ17&gt;0,AM17&gt;AJ17),"Kürzung auf die Pauschale begrenzt; ",""))</f>
      </c>
      <c r="AM17" s="1">
        <f>ROUND(AG17*(IF(H17&lt;&gt;"",0.2,0)+IF(I17&lt;&gt;"",0.4,0)+IF(J17&lt;&gt;"",0.4,0)),2)</f>
      </c>
      <c r="AN17" s="1">
        <f>IF($A18="",'Oktober'!$T$5,T18)</f>
      </c>
      <c r="AO17" s="1">
        <f>IF($A18="",'Oktober'!$U$5,U18)</f>
      </c>
      <c r="AP17" s="1">
        <f>IF($A18="",'Oktober'!$V$5,V18)</f>
      </c>
      <c r="AQ17" s="1">
        <f>IF($A18="",'Oktober'!$AE$5,AE18)</f>
      </c>
      <c r="AR17" s="1">
        <f>AE16</f>
      </c>
      <c r="AS17" s="1">
        <f>X16</f>
      </c>
      <c r="AT17" s="1">
        <f>U16</f>
      </c>
      <c r="AU17" s="1">
        <f>V16</f>
      </c>
    </row>
    <row r="18" spans="1:47" x14ac:dyDescent="0.25">
      <c r="A18" s="17">
        <f>IF(MONTH(DATE(Jahr,9,14))=9,DATE(Jahr,9,14),"")</f>
      </c>
      <c r="B18" s="13">
        <f>IF(A18="","",CHOOSE(WEEKDAY(A18,2),"Mo","Di","Mi","Do","Fr","Sa","So"))</f>
      </c>
      <c r="C18" s="18"/>
      <c r="D18" s="18"/>
      <c r="E18" s="7"/>
      <c r="F18" s="7"/>
      <c r="G18" s="7"/>
      <c r="H18" s="19"/>
      <c r="I18" s="19"/>
      <c r="J18" s="19"/>
      <c r="K18" s="9"/>
      <c r="L18" s="20">
        <f>IF(OR(AD18=0,AF18&lt;&gt;"",AND(W18=1,V18&gt;0,OR(T18=1,U18=1))),"",AE18/1440)</f>
      </c>
      <c r="M18" s="21">
        <f>IF(OR(AD18=0,AF18&lt;&gt;""),"",AJ18)</f>
      </c>
      <c r="N18" s="21">
        <f>IF(AK18=0,"",AK18)</f>
      </c>
      <c r="O18" s="21">
        <f>IF(OR(AD18=0,AF18&lt;&gt;""),"",AJ18-AK18)</f>
      </c>
      <c r="P18" s="21">
        <f>IF(AND(AD18=1,AF18="",V18=2),AI18,"")</f>
      </c>
      <c r="Q18" s="21">
        <f>IF(OR($A18="",N(K18)=0),"",ROUND(K18*KmSatz,2))</f>
      </c>
      <c r="R18" s="22">
        <f>IF(AF18&amp;AL18="","",LEFT(AF18&amp;AL18,LEN(AF18&amp;AL18)-2))</f>
      </c>
      <c r="S18" s="1"/>
      <c r="T18" s="1">
        <f>IF(AND($A18&lt;&gt;"",ISNUMBER(C18)),1,0)</f>
      </c>
      <c r="U18" s="1">
        <f>IF(AND($A18&lt;&gt;"",ISNUMBER(D18)),1,0)</f>
      </c>
      <c r="V18" s="1">
        <f>IF($A18="",0,IF(E18="ja",1,IF(E18="Pauschale",2,0)))</f>
      </c>
      <c r="W18" s="1">
        <f>IF($A18="",0,IF(AU18&gt;0,1,0))</f>
      </c>
      <c r="X18" s="1">
        <f>IF(AND(T18=1,W18=0),1,0)</f>
      </c>
      <c r="Y18" s="1">
        <f>IF(AND(AS18=1,AT18=0,AU18=0),1,0)</f>
      </c>
      <c r="Z18" s="1">
        <f>IF(AND(Y18=1,T18=0,U18=1,V18=0),1,0)</f>
      </c>
      <c r="AA18" s="1">
        <f>IF(AND(X18=1,U18=0,V18=0,AN18=0,AO18=1,AP18=0),1,0)</f>
      </c>
      <c r="AB18" s="1">
        <f>IF(OR(W18=1,Z18=1),0,IF(T18=1,C18,0))</f>
      </c>
      <c r="AC18" s="1">
        <f>IF(OR(V18&gt;0,AA18=1),1,IF(U18=1,D18,1))</f>
      </c>
      <c r="AD18" s="1">
        <f>IF($A18="",0,IF(OR(T18=1,U18=1,V18&gt;0,W18=1),1,0))</f>
      </c>
      <c r="AE18" s="1">
        <f>IF(AD18=0,0,ROUND((AC18-AB18)*1440,0))</f>
      </c>
      <c r="AF18" s="1">
        <f>IF(AD18=0,"",IF(AND(F18&lt;&gt;"",ISNA(MATCH(F18,PauschLand,0))),"Land nicht in der Liste; ","")&amp;IF(AND(T18=0,W18=0,Z18=0),"Beginn fehlt; ","")&amp;IF(AND(V18=0,U18=0,AA18=0),"Ende fehlt; ","")&amp;IF(AND(X18=1,U18=1,V18=0,N(D18)&lt;N(C18)),"Ende vor Beginn (über Mitternacht: Ende in die Zeile des Folgetags); ",""))</f>
      </c>
      <c r="AG18" s="1">
        <f>IF(AD18=0,0,IFERROR(VLOOKUP(IF(F18="","Deutschland",F18),PauschTab,2,FALSE),0))</f>
      </c>
      <c r="AH18" s="1">
        <f>IF(AD18=0,0,IFERROR(VLOOKUP(IF(F18="","Deutschland",F18),PauschTab,3,FALSE),0))</f>
      </c>
      <c r="AI18" s="1">
        <f>IF(AD18=0,0,IFERROR(VLOOKUP(IF(F18="","Deutschland",F18),PauschTab,4,FALSE),0))</f>
      </c>
      <c r="AJ18" s="1">
        <f>IF(OR(AD18=0,AF18&lt;&gt;""),0,IF(AND(W18=1,V18&gt;0),IF(OR(T18=1,U18=1),AH18,AG18),IF(OR(W18=1,V18&gt;0),AH18,IF(AA18=1,IF(AND(AE18+AQ18&gt;480,AE18&gt;=AQ18),AH18,0),IF(Z18=1,IF(AND(AR18+AE18&gt;480,AE18&gt;AR18),AH18,0),IF(AE18&gt;480,AH18,0))))))</f>
      </c>
      <c r="AK18" s="1">
        <f>MIN(AJ18,AM18)</f>
      </c>
      <c r="AL18" s="1">
        <f>IF(OR(AD18=0,AF18&lt;&gt;""),"",IF(AND(W18=0,V18=0,AA18=0,Z18=0,AE18&lt;=480),"nicht mehr als 8 Std.; ","")&amp;IF(AA18=1,IF(AJ18&gt;0,"über Mitternacht, zusammen "&amp;TEXT((AE18+AQ18)/1440,"[h]:mm")&amp;" Std.; ",IF(AE18+AQ18&gt;480,"über Mitternacht: Pauschale am Folgetag; ","über Mitternacht, zusammen nicht mehr als 8 Std.; ")),"")&amp;IF(Z18=1,IF(AJ18&gt;0,"über Mitternacht, zusammen "&amp;TEXT((AR18+AE18)/1440,"[h]:mm")&amp;" Std.; ",IF(AR18+AE18&gt;480,"über Mitternacht: Pauschale am Vortag; ","über Mitternacht, zusammen nicht mehr als 8 Std.; ")),"")&amp;IF(AND(W18=1,V18&gt;0,OR(T18=1,U18=1)),"zwischendurch zu Hause: An- und Abreisetag; ","")&amp;IF(AND(W18=1,V18=0,T18=1),"Beginn leer lassen: unterwegs seit dem Vortag; ","")&amp;IF(AND(W18=0,V18&gt;0,U18=1),"Ende leer lassen: Übernachtung; ","")&amp;IF(AND(AJ18&gt;0,AM18&gt;AJ18),"Kürzung auf die Pauschale begrenzt; ",""))</f>
      </c>
      <c r="AM18" s="1">
        <f>ROUND(AG18*(IF(H18&lt;&gt;"",0.2,0)+IF(I18&lt;&gt;"",0.4,0)+IF(J18&lt;&gt;"",0.4,0)),2)</f>
      </c>
      <c r="AN18" s="1">
        <f>IF($A19="",'Oktober'!$T$5,T19)</f>
      </c>
      <c r="AO18" s="1">
        <f>IF($A19="",'Oktober'!$U$5,U19)</f>
      </c>
      <c r="AP18" s="1">
        <f>IF($A19="",'Oktober'!$V$5,V19)</f>
      </c>
      <c r="AQ18" s="1">
        <f>IF($A19="",'Oktober'!$AE$5,AE19)</f>
      </c>
      <c r="AR18" s="1">
        <f>AE17</f>
      </c>
      <c r="AS18" s="1">
        <f>X17</f>
      </c>
      <c r="AT18" s="1">
        <f>U17</f>
      </c>
      <c r="AU18" s="1">
        <f>V17</f>
      </c>
    </row>
    <row r="19" spans="1:47" x14ac:dyDescent="0.25">
      <c r="A19" s="17">
        <f>IF(MONTH(DATE(Jahr,9,15))=9,DATE(Jahr,9,15),"")</f>
      </c>
      <c r="B19" s="13">
        <f>IF(A19="","",CHOOSE(WEEKDAY(A19,2),"Mo","Di","Mi","Do","Fr","Sa","So"))</f>
      </c>
      <c r="C19" s="18"/>
      <c r="D19" s="18"/>
      <c r="E19" s="7"/>
      <c r="F19" s="7"/>
      <c r="G19" s="7"/>
      <c r="H19" s="19"/>
      <c r="I19" s="19"/>
      <c r="J19" s="19"/>
      <c r="K19" s="9"/>
      <c r="L19" s="20">
        <f>IF(OR(AD19=0,AF19&lt;&gt;"",AND(W19=1,V19&gt;0,OR(T19=1,U19=1))),"",AE19/1440)</f>
      </c>
      <c r="M19" s="21">
        <f>IF(OR(AD19=0,AF19&lt;&gt;""),"",AJ19)</f>
      </c>
      <c r="N19" s="21">
        <f>IF(AK19=0,"",AK19)</f>
      </c>
      <c r="O19" s="21">
        <f>IF(OR(AD19=0,AF19&lt;&gt;""),"",AJ19-AK19)</f>
      </c>
      <c r="P19" s="21">
        <f>IF(AND(AD19=1,AF19="",V19=2),AI19,"")</f>
      </c>
      <c r="Q19" s="21">
        <f>IF(OR($A19="",N(K19)=0),"",ROUND(K19*KmSatz,2))</f>
      </c>
      <c r="R19" s="22">
        <f>IF(AF19&amp;AL19="","",LEFT(AF19&amp;AL19,LEN(AF19&amp;AL19)-2))</f>
      </c>
      <c r="S19" s="1"/>
      <c r="T19" s="1">
        <f>IF(AND($A19&lt;&gt;"",ISNUMBER(C19)),1,0)</f>
      </c>
      <c r="U19" s="1">
        <f>IF(AND($A19&lt;&gt;"",ISNUMBER(D19)),1,0)</f>
      </c>
      <c r="V19" s="1">
        <f>IF($A19="",0,IF(E19="ja",1,IF(E19="Pauschale",2,0)))</f>
      </c>
      <c r="W19" s="1">
        <f>IF($A19="",0,IF(AU19&gt;0,1,0))</f>
      </c>
      <c r="X19" s="1">
        <f>IF(AND(T19=1,W19=0),1,0)</f>
      </c>
      <c r="Y19" s="1">
        <f>IF(AND(AS19=1,AT19=0,AU19=0),1,0)</f>
      </c>
      <c r="Z19" s="1">
        <f>IF(AND(Y19=1,T19=0,U19=1,V19=0),1,0)</f>
      </c>
      <c r="AA19" s="1">
        <f>IF(AND(X19=1,U19=0,V19=0,AN19=0,AO19=1,AP19=0),1,0)</f>
      </c>
      <c r="AB19" s="1">
        <f>IF(OR(W19=1,Z19=1),0,IF(T19=1,C19,0))</f>
      </c>
      <c r="AC19" s="1">
        <f>IF(OR(V19&gt;0,AA19=1),1,IF(U19=1,D19,1))</f>
      </c>
      <c r="AD19" s="1">
        <f>IF($A19="",0,IF(OR(T19=1,U19=1,V19&gt;0,W19=1),1,0))</f>
      </c>
      <c r="AE19" s="1">
        <f>IF(AD19=0,0,ROUND((AC19-AB19)*1440,0))</f>
      </c>
      <c r="AF19" s="1">
        <f>IF(AD19=0,"",IF(AND(F19&lt;&gt;"",ISNA(MATCH(F19,PauschLand,0))),"Land nicht in der Liste; ","")&amp;IF(AND(T19=0,W19=0,Z19=0),"Beginn fehlt; ","")&amp;IF(AND(V19=0,U19=0,AA19=0),"Ende fehlt; ","")&amp;IF(AND(X19=1,U19=1,V19=0,N(D19)&lt;N(C19)),"Ende vor Beginn (über Mitternacht: Ende in die Zeile des Folgetags); ",""))</f>
      </c>
      <c r="AG19" s="1">
        <f>IF(AD19=0,0,IFERROR(VLOOKUP(IF(F19="","Deutschland",F19),PauschTab,2,FALSE),0))</f>
      </c>
      <c r="AH19" s="1">
        <f>IF(AD19=0,0,IFERROR(VLOOKUP(IF(F19="","Deutschland",F19),PauschTab,3,FALSE),0))</f>
      </c>
      <c r="AI19" s="1">
        <f>IF(AD19=0,0,IFERROR(VLOOKUP(IF(F19="","Deutschland",F19),PauschTab,4,FALSE),0))</f>
      </c>
      <c r="AJ19" s="1">
        <f>IF(OR(AD19=0,AF19&lt;&gt;""),0,IF(AND(W19=1,V19&gt;0),IF(OR(T19=1,U19=1),AH19,AG19),IF(OR(W19=1,V19&gt;0),AH19,IF(AA19=1,IF(AND(AE19+AQ19&gt;480,AE19&gt;=AQ19),AH19,0),IF(Z19=1,IF(AND(AR19+AE19&gt;480,AE19&gt;AR19),AH19,0),IF(AE19&gt;480,AH19,0))))))</f>
      </c>
      <c r="AK19" s="1">
        <f>MIN(AJ19,AM19)</f>
      </c>
      <c r="AL19" s="1">
        <f>IF(OR(AD19=0,AF19&lt;&gt;""),"",IF(AND(W19=0,V19=0,AA19=0,Z19=0,AE19&lt;=480),"nicht mehr als 8 Std.; ","")&amp;IF(AA19=1,IF(AJ19&gt;0,"über Mitternacht, zusammen "&amp;TEXT((AE19+AQ19)/1440,"[h]:mm")&amp;" Std.; ",IF(AE19+AQ19&gt;480,"über Mitternacht: Pauschale am Folgetag; ","über Mitternacht, zusammen nicht mehr als 8 Std.; ")),"")&amp;IF(Z19=1,IF(AJ19&gt;0,"über Mitternacht, zusammen "&amp;TEXT((AR19+AE19)/1440,"[h]:mm")&amp;" Std.; ",IF(AR19+AE19&gt;480,"über Mitternacht: Pauschale am Vortag; ","über Mitternacht, zusammen nicht mehr als 8 Std.; ")),"")&amp;IF(AND(W19=1,V19&gt;0,OR(T19=1,U19=1)),"zwischendurch zu Hause: An- und Abreisetag; ","")&amp;IF(AND(W19=1,V19=0,T19=1),"Beginn leer lassen: unterwegs seit dem Vortag; ","")&amp;IF(AND(W19=0,V19&gt;0,U19=1),"Ende leer lassen: Übernachtung; ","")&amp;IF(AND(AJ19&gt;0,AM19&gt;AJ19),"Kürzung auf die Pauschale begrenzt; ",""))</f>
      </c>
      <c r="AM19" s="1">
        <f>ROUND(AG19*(IF(H19&lt;&gt;"",0.2,0)+IF(I19&lt;&gt;"",0.4,0)+IF(J19&lt;&gt;"",0.4,0)),2)</f>
      </c>
      <c r="AN19" s="1">
        <f>IF($A20="",'Oktober'!$T$5,T20)</f>
      </c>
      <c r="AO19" s="1">
        <f>IF($A20="",'Oktober'!$U$5,U20)</f>
      </c>
      <c r="AP19" s="1">
        <f>IF($A20="",'Oktober'!$V$5,V20)</f>
      </c>
      <c r="AQ19" s="1">
        <f>IF($A20="",'Oktober'!$AE$5,AE20)</f>
      </c>
      <c r="AR19" s="1">
        <f>AE18</f>
      </c>
      <c r="AS19" s="1">
        <f>X18</f>
      </c>
      <c r="AT19" s="1">
        <f>U18</f>
      </c>
      <c r="AU19" s="1">
        <f>V18</f>
      </c>
    </row>
    <row r="20" spans="1:47" x14ac:dyDescent="0.25">
      <c r="A20" s="17">
        <f>IF(MONTH(DATE(Jahr,9,16))=9,DATE(Jahr,9,16),"")</f>
      </c>
      <c r="B20" s="13">
        <f>IF(A20="","",CHOOSE(WEEKDAY(A20,2),"Mo","Di","Mi","Do","Fr","Sa","So"))</f>
      </c>
      <c r="C20" s="18"/>
      <c r="D20" s="18"/>
      <c r="E20" s="7"/>
      <c r="F20" s="7"/>
      <c r="G20" s="7"/>
      <c r="H20" s="19"/>
      <c r="I20" s="19"/>
      <c r="J20" s="19"/>
      <c r="K20" s="9"/>
      <c r="L20" s="20">
        <f>IF(OR(AD20=0,AF20&lt;&gt;"",AND(W20=1,V20&gt;0,OR(T20=1,U20=1))),"",AE20/1440)</f>
      </c>
      <c r="M20" s="21">
        <f>IF(OR(AD20=0,AF20&lt;&gt;""),"",AJ20)</f>
      </c>
      <c r="N20" s="21">
        <f>IF(AK20=0,"",AK20)</f>
      </c>
      <c r="O20" s="21">
        <f>IF(OR(AD20=0,AF20&lt;&gt;""),"",AJ20-AK20)</f>
      </c>
      <c r="P20" s="21">
        <f>IF(AND(AD20=1,AF20="",V20=2),AI20,"")</f>
      </c>
      <c r="Q20" s="21">
        <f>IF(OR($A20="",N(K20)=0),"",ROUND(K20*KmSatz,2))</f>
      </c>
      <c r="R20" s="22">
        <f>IF(AF20&amp;AL20="","",LEFT(AF20&amp;AL20,LEN(AF20&amp;AL20)-2))</f>
      </c>
      <c r="S20" s="1"/>
      <c r="T20" s="1">
        <f>IF(AND($A20&lt;&gt;"",ISNUMBER(C20)),1,0)</f>
      </c>
      <c r="U20" s="1">
        <f>IF(AND($A20&lt;&gt;"",ISNUMBER(D20)),1,0)</f>
      </c>
      <c r="V20" s="1">
        <f>IF($A20="",0,IF(E20="ja",1,IF(E20="Pauschale",2,0)))</f>
      </c>
      <c r="W20" s="1">
        <f>IF($A20="",0,IF(AU20&gt;0,1,0))</f>
      </c>
      <c r="X20" s="1">
        <f>IF(AND(T20=1,W20=0),1,0)</f>
      </c>
      <c r="Y20" s="1">
        <f>IF(AND(AS20=1,AT20=0,AU20=0),1,0)</f>
      </c>
      <c r="Z20" s="1">
        <f>IF(AND(Y20=1,T20=0,U20=1,V20=0),1,0)</f>
      </c>
      <c r="AA20" s="1">
        <f>IF(AND(X20=1,U20=0,V20=0,AN20=0,AO20=1,AP20=0),1,0)</f>
      </c>
      <c r="AB20" s="1">
        <f>IF(OR(W20=1,Z20=1),0,IF(T20=1,C20,0))</f>
      </c>
      <c r="AC20" s="1">
        <f>IF(OR(V20&gt;0,AA20=1),1,IF(U20=1,D20,1))</f>
      </c>
      <c r="AD20" s="1">
        <f>IF($A20="",0,IF(OR(T20=1,U20=1,V20&gt;0,W20=1),1,0))</f>
      </c>
      <c r="AE20" s="1">
        <f>IF(AD20=0,0,ROUND((AC20-AB20)*1440,0))</f>
      </c>
      <c r="AF20" s="1">
        <f>IF(AD20=0,"",IF(AND(F20&lt;&gt;"",ISNA(MATCH(F20,PauschLand,0))),"Land nicht in der Liste; ","")&amp;IF(AND(T20=0,W20=0,Z20=0),"Beginn fehlt; ","")&amp;IF(AND(V20=0,U20=0,AA20=0),"Ende fehlt; ","")&amp;IF(AND(X20=1,U20=1,V20=0,N(D20)&lt;N(C20)),"Ende vor Beginn (über Mitternacht: Ende in die Zeile des Folgetags); ",""))</f>
      </c>
      <c r="AG20" s="1">
        <f>IF(AD20=0,0,IFERROR(VLOOKUP(IF(F20="","Deutschland",F20),PauschTab,2,FALSE),0))</f>
      </c>
      <c r="AH20" s="1">
        <f>IF(AD20=0,0,IFERROR(VLOOKUP(IF(F20="","Deutschland",F20),PauschTab,3,FALSE),0))</f>
      </c>
      <c r="AI20" s="1">
        <f>IF(AD20=0,0,IFERROR(VLOOKUP(IF(F20="","Deutschland",F20),PauschTab,4,FALSE),0))</f>
      </c>
      <c r="AJ20" s="1">
        <f>IF(OR(AD20=0,AF20&lt;&gt;""),0,IF(AND(W20=1,V20&gt;0),IF(OR(T20=1,U20=1),AH20,AG20),IF(OR(W20=1,V20&gt;0),AH20,IF(AA20=1,IF(AND(AE20+AQ20&gt;480,AE20&gt;=AQ20),AH20,0),IF(Z20=1,IF(AND(AR20+AE20&gt;480,AE20&gt;AR20),AH20,0),IF(AE20&gt;480,AH20,0))))))</f>
      </c>
      <c r="AK20" s="1">
        <f>MIN(AJ20,AM20)</f>
      </c>
      <c r="AL20" s="1">
        <f>IF(OR(AD20=0,AF20&lt;&gt;""),"",IF(AND(W20=0,V20=0,AA20=0,Z20=0,AE20&lt;=480),"nicht mehr als 8 Std.; ","")&amp;IF(AA20=1,IF(AJ20&gt;0,"über Mitternacht, zusammen "&amp;TEXT((AE20+AQ20)/1440,"[h]:mm")&amp;" Std.; ",IF(AE20+AQ20&gt;480,"über Mitternacht: Pauschale am Folgetag; ","über Mitternacht, zusammen nicht mehr als 8 Std.; ")),"")&amp;IF(Z20=1,IF(AJ20&gt;0,"über Mitternacht, zusammen "&amp;TEXT((AR20+AE20)/1440,"[h]:mm")&amp;" Std.; ",IF(AR20+AE20&gt;480,"über Mitternacht: Pauschale am Vortag; ","über Mitternacht, zusammen nicht mehr als 8 Std.; ")),"")&amp;IF(AND(W20=1,V20&gt;0,OR(T20=1,U20=1)),"zwischendurch zu Hause: An- und Abreisetag; ","")&amp;IF(AND(W20=1,V20=0,T20=1),"Beginn leer lassen: unterwegs seit dem Vortag; ","")&amp;IF(AND(W20=0,V20&gt;0,U20=1),"Ende leer lassen: Übernachtung; ","")&amp;IF(AND(AJ20&gt;0,AM20&gt;AJ20),"Kürzung auf die Pauschale begrenzt; ",""))</f>
      </c>
      <c r="AM20" s="1">
        <f>ROUND(AG20*(IF(H20&lt;&gt;"",0.2,0)+IF(I20&lt;&gt;"",0.4,0)+IF(J20&lt;&gt;"",0.4,0)),2)</f>
      </c>
      <c r="AN20" s="1">
        <f>IF($A21="",'Oktober'!$T$5,T21)</f>
      </c>
      <c r="AO20" s="1">
        <f>IF($A21="",'Oktober'!$U$5,U21)</f>
      </c>
      <c r="AP20" s="1">
        <f>IF($A21="",'Oktober'!$V$5,V21)</f>
      </c>
      <c r="AQ20" s="1">
        <f>IF($A21="",'Oktober'!$AE$5,AE21)</f>
      </c>
      <c r="AR20" s="1">
        <f>AE19</f>
      </c>
      <c r="AS20" s="1">
        <f>X19</f>
      </c>
      <c r="AT20" s="1">
        <f>U19</f>
      </c>
      <c r="AU20" s="1">
        <f>V19</f>
      </c>
    </row>
    <row r="21" spans="1:47" x14ac:dyDescent="0.25">
      <c r="A21" s="17">
        <f>IF(MONTH(DATE(Jahr,9,17))=9,DATE(Jahr,9,17),"")</f>
      </c>
      <c r="B21" s="13">
        <f>IF(A21="","",CHOOSE(WEEKDAY(A21,2),"Mo","Di","Mi","Do","Fr","Sa","So"))</f>
      </c>
      <c r="C21" s="18"/>
      <c r="D21" s="18"/>
      <c r="E21" s="7"/>
      <c r="F21" s="7"/>
      <c r="G21" s="7"/>
      <c r="H21" s="19"/>
      <c r="I21" s="19"/>
      <c r="J21" s="19"/>
      <c r="K21" s="9"/>
      <c r="L21" s="20">
        <f>IF(OR(AD21=0,AF21&lt;&gt;"",AND(W21=1,V21&gt;0,OR(T21=1,U21=1))),"",AE21/1440)</f>
      </c>
      <c r="M21" s="21">
        <f>IF(OR(AD21=0,AF21&lt;&gt;""),"",AJ21)</f>
      </c>
      <c r="N21" s="21">
        <f>IF(AK21=0,"",AK21)</f>
      </c>
      <c r="O21" s="21">
        <f>IF(OR(AD21=0,AF21&lt;&gt;""),"",AJ21-AK21)</f>
      </c>
      <c r="P21" s="21">
        <f>IF(AND(AD21=1,AF21="",V21=2),AI21,"")</f>
      </c>
      <c r="Q21" s="21">
        <f>IF(OR($A21="",N(K21)=0),"",ROUND(K21*KmSatz,2))</f>
      </c>
      <c r="R21" s="22">
        <f>IF(AF21&amp;AL21="","",LEFT(AF21&amp;AL21,LEN(AF21&amp;AL21)-2))</f>
      </c>
      <c r="S21" s="1"/>
      <c r="T21" s="1">
        <f>IF(AND($A21&lt;&gt;"",ISNUMBER(C21)),1,0)</f>
      </c>
      <c r="U21" s="1">
        <f>IF(AND($A21&lt;&gt;"",ISNUMBER(D21)),1,0)</f>
      </c>
      <c r="V21" s="1">
        <f>IF($A21="",0,IF(E21="ja",1,IF(E21="Pauschale",2,0)))</f>
      </c>
      <c r="W21" s="1">
        <f>IF($A21="",0,IF(AU21&gt;0,1,0))</f>
      </c>
      <c r="X21" s="1">
        <f>IF(AND(T21=1,W21=0),1,0)</f>
      </c>
      <c r="Y21" s="1">
        <f>IF(AND(AS21=1,AT21=0,AU21=0),1,0)</f>
      </c>
      <c r="Z21" s="1">
        <f>IF(AND(Y21=1,T21=0,U21=1,V21=0),1,0)</f>
      </c>
      <c r="AA21" s="1">
        <f>IF(AND(X21=1,U21=0,V21=0,AN21=0,AO21=1,AP21=0),1,0)</f>
      </c>
      <c r="AB21" s="1">
        <f>IF(OR(W21=1,Z21=1),0,IF(T21=1,C21,0))</f>
      </c>
      <c r="AC21" s="1">
        <f>IF(OR(V21&gt;0,AA21=1),1,IF(U21=1,D21,1))</f>
      </c>
      <c r="AD21" s="1">
        <f>IF($A21="",0,IF(OR(T21=1,U21=1,V21&gt;0,W21=1),1,0))</f>
      </c>
      <c r="AE21" s="1">
        <f>IF(AD21=0,0,ROUND((AC21-AB21)*1440,0))</f>
      </c>
      <c r="AF21" s="1">
        <f>IF(AD21=0,"",IF(AND(F21&lt;&gt;"",ISNA(MATCH(F21,PauschLand,0))),"Land nicht in der Liste; ","")&amp;IF(AND(T21=0,W21=0,Z21=0),"Beginn fehlt; ","")&amp;IF(AND(V21=0,U21=0,AA21=0),"Ende fehlt; ","")&amp;IF(AND(X21=1,U21=1,V21=0,N(D21)&lt;N(C21)),"Ende vor Beginn (über Mitternacht: Ende in die Zeile des Folgetags); ",""))</f>
      </c>
      <c r="AG21" s="1">
        <f>IF(AD21=0,0,IFERROR(VLOOKUP(IF(F21="","Deutschland",F21),PauschTab,2,FALSE),0))</f>
      </c>
      <c r="AH21" s="1">
        <f>IF(AD21=0,0,IFERROR(VLOOKUP(IF(F21="","Deutschland",F21),PauschTab,3,FALSE),0))</f>
      </c>
      <c r="AI21" s="1">
        <f>IF(AD21=0,0,IFERROR(VLOOKUP(IF(F21="","Deutschland",F21),PauschTab,4,FALSE),0))</f>
      </c>
      <c r="AJ21" s="1">
        <f>IF(OR(AD21=0,AF21&lt;&gt;""),0,IF(AND(W21=1,V21&gt;0),IF(OR(T21=1,U21=1),AH21,AG21),IF(OR(W21=1,V21&gt;0),AH21,IF(AA21=1,IF(AND(AE21+AQ21&gt;480,AE21&gt;=AQ21),AH21,0),IF(Z21=1,IF(AND(AR21+AE21&gt;480,AE21&gt;AR21),AH21,0),IF(AE21&gt;480,AH21,0))))))</f>
      </c>
      <c r="AK21" s="1">
        <f>MIN(AJ21,AM21)</f>
      </c>
      <c r="AL21" s="1">
        <f>IF(OR(AD21=0,AF21&lt;&gt;""),"",IF(AND(W21=0,V21=0,AA21=0,Z21=0,AE21&lt;=480),"nicht mehr als 8 Std.; ","")&amp;IF(AA21=1,IF(AJ21&gt;0,"über Mitternacht, zusammen "&amp;TEXT((AE21+AQ21)/1440,"[h]:mm")&amp;" Std.; ",IF(AE21+AQ21&gt;480,"über Mitternacht: Pauschale am Folgetag; ","über Mitternacht, zusammen nicht mehr als 8 Std.; ")),"")&amp;IF(Z21=1,IF(AJ21&gt;0,"über Mitternacht, zusammen "&amp;TEXT((AR21+AE21)/1440,"[h]:mm")&amp;" Std.; ",IF(AR21+AE21&gt;480,"über Mitternacht: Pauschale am Vortag; ","über Mitternacht, zusammen nicht mehr als 8 Std.; ")),"")&amp;IF(AND(W21=1,V21&gt;0,OR(T21=1,U21=1)),"zwischendurch zu Hause: An- und Abreisetag; ","")&amp;IF(AND(W21=1,V21=0,T21=1),"Beginn leer lassen: unterwegs seit dem Vortag; ","")&amp;IF(AND(W21=0,V21&gt;0,U21=1),"Ende leer lassen: Übernachtung; ","")&amp;IF(AND(AJ21&gt;0,AM21&gt;AJ21),"Kürzung auf die Pauschale begrenzt; ",""))</f>
      </c>
      <c r="AM21" s="1">
        <f>ROUND(AG21*(IF(H21&lt;&gt;"",0.2,0)+IF(I21&lt;&gt;"",0.4,0)+IF(J21&lt;&gt;"",0.4,0)),2)</f>
      </c>
      <c r="AN21" s="1">
        <f>IF($A22="",'Oktober'!$T$5,T22)</f>
      </c>
      <c r="AO21" s="1">
        <f>IF($A22="",'Oktober'!$U$5,U22)</f>
      </c>
      <c r="AP21" s="1">
        <f>IF($A22="",'Oktober'!$V$5,V22)</f>
      </c>
      <c r="AQ21" s="1">
        <f>IF($A22="",'Oktober'!$AE$5,AE22)</f>
      </c>
      <c r="AR21" s="1">
        <f>AE20</f>
      </c>
      <c r="AS21" s="1">
        <f>X20</f>
      </c>
      <c r="AT21" s="1">
        <f>U20</f>
      </c>
      <c r="AU21" s="1">
        <f>V20</f>
      </c>
    </row>
    <row r="22" spans="1:47" x14ac:dyDescent="0.25">
      <c r="A22" s="17">
        <f>IF(MONTH(DATE(Jahr,9,18))=9,DATE(Jahr,9,18),"")</f>
      </c>
      <c r="B22" s="13">
        <f>IF(A22="","",CHOOSE(WEEKDAY(A22,2),"Mo","Di","Mi","Do","Fr","Sa","So"))</f>
      </c>
      <c r="C22" s="18"/>
      <c r="D22" s="18"/>
      <c r="E22" s="7"/>
      <c r="F22" s="7"/>
      <c r="G22" s="7"/>
      <c r="H22" s="19"/>
      <c r="I22" s="19"/>
      <c r="J22" s="19"/>
      <c r="K22" s="9"/>
      <c r="L22" s="20">
        <f>IF(OR(AD22=0,AF22&lt;&gt;"",AND(W22=1,V22&gt;0,OR(T22=1,U22=1))),"",AE22/1440)</f>
      </c>
      <c r="M22" s="21">
        <f>IF(OR(AD22=0,AF22&lt;&gt;""),"",AJ22)</f>
      </c>
      <c r="N22" s="21">
        <f>IF(AK22=0,"",AK22)</f>
      </c>
      <c r="O22" s="21">
        <f>IF(OR(AD22=0,AF22&lt;&gt;""),"",AJ22-AK22)</f>
      </c>
      <c r="P22" s="21">
        <f>IF(AND(AD22=1,AF22="",V22=2),AI22,"")</f>
      </c>
      <c r="Q22" s="21">
        <f>IF(OR($A22="",N(K22)=0),"",ROUND(K22*KmSatz,2))</f>
      </c>
      <c r="R22" s="22">
        <f>IF(AF22&amp;AL22="","",LEFT(AF22&amp;AL22,LEN(AF22&amp;AL22)-2))</f>
      </c>
      <c r="S22" s="1"/>
      <c r="T22" s="1">
        <f>IF(AND($A22&lt;&gt;"",ISNUMBER(C22)),1,0)</f>
      </c>
      <c r="U22" s="1">
        <f>IF(AND($A22&lt;&gt;"",ISNUMBER(D22)),1,0)</f>
      </c>
      <c r="V22" s="1">
        <f>IF($A22="",0,IF(E22="ja",1,IF(E22="Pauschale",2,0)))</f>
      </c>
      <c r="W22" s="1">
        <f>IF($A22="",0,IF(AU22&gt;0,1,0))</f>
      </c>
      <c r="X22" s="1">
        <f>IF(AND(T22=1,W22=0),1,0)</f>
      </c>
      <c r="Y22" s="1">
        <f>IF(AND(AS22=1,AT22=0,AU22=0),1,0)</f>
      </c>
      <c r="Z22" s="1">
        <f>IF(AND(Y22=1,T22=0,U22=1,V22=0),1,0)</f>
      </c>
      <c r="AA22" s="1">
        <f>IF(AND(X22=1,U22=0,V22=0,AN22=0,AO22=1,AP22=0),1,0)</f>
      </c>
      <c r="AB22" s="1">
        <f>IF(OR(W22=1,Z22=1),0,IF(T22=1,C22,0))</f>
      </c>
      <c r="AC22" s="1">
        <f>IF(OR(V22&gt;0,AA22=1),1,IF(U22=1,D22,1))</f>
      </c>
      <c r="AD22" s="1">
        <f>IF($A22="",0,IF(OR(T22=1,U22=1,V22&gt;0,W22=1),1,0))</f>
      </c>
      <c r="AE22" s="1">
        <f>IF(AD22=0,0,ROUND((AC22-AB22)*1440,0))</f>
      </c>
      <c r="AF22" s="1">
        <f>IF(AD22=0,"",IF(AND(F22&lt;&gt;"",ISNA(MATCH(F22,PauschLand,0))),"Land nicht in der Liste; ","")&amp;IF(AND(T22=0,W22=0,Z22=0),"Beginn fehlt; ","")&amp;IF(AND(V22=0,U22=0,AA22=0),"Ende fehlt; ","")&amp;IF(AND(X22=1,U22=1,V22=0,N(D22)&lt;N(C22)),"Ende vor Beginn (über Mitternacht: Ende in die Zeile des Folgetags); ",""))</f>
      </c>
      <c r="AG22" s="1">
        <f>IF(AD22=0,0,IFERROR(VLOOKUP(IF(F22="","Deutschland",F22),PauschTab,2,FALSE),0))</f>
      </c>
      <c r="AH22" s="1">
        <f>IF(AD22=0,0,IFERROR(VLOOKUP(IF(F22="","Deutschland",F22),PauschTab,3,FALSE),0))</f>
      </c>
      <c r="AI22" s="1">
        <f>IF(AD22=0,0,IFERROR(VLOOKUP(IF(F22="","Deutschland",F22),PauschTab,4,FALSE),0))</f>
      </c>
      <c r="AJ22" s="1">
        <f>IF(OR(AD22=0,AF22&lt;&gt;""),0,IF(AND(W22=1,V22&gt;0),IF(OR(T22=1,U22=1),AH22,AG22),IF(OR(W22=1,V22&gt;0),AH22,IF(AA22=1,IF(AND(AE22+AQ22&gt;480,AE22&gt;=AQ22),AH22,0),IF(Z22=1,IF(AND(AR22+AE22&gt;480,AE22&gt;AR22),AH22,0),IF(AE22&gt;480,AH22,0))))))</f>
      </c>
      <c r="AK22" s="1">
        <f>MIN(AJ22,AM22)</f>
      </c>
      <c r="AL22" s="1">
        <f>IF(OR(AD22=0,AF22&lt;&gt;""),"",IF(AND(W22=0,V22=0,AA22=0,Z22=0,AE22&lt;=480),"nicht mehr als 8 Std.; ","")&amp;IF(AA22=1,IF(AJ22&gt;0,"über Mitternacht, zusammen "&amp;TEXT((AE22+AQ22)/1440,"[h]:mm")&amp;" Std.; ",IF(AE22+AQ22&gt;480,"über Mitternacht: Pauschale am Folgetag; ","über Mitternacht, zusammen nicht mehr als 8 Std.; ")),"")&amp;IF(Z22=1,IF(AJ22&gt;0,"über Mitternacht, zusammen "&amp;TEXT((AR22+AE22)/1440,"[h]:mm")&amp;" Std.; ",IF(AR22+AE22&gt;480,"über Mitternacht: Pauschale am Vortag; ","über Mitternacht, zusammen nicht mehr als 8 Std.; ")),"")&amp;IF(AND(W22=1,V22&gt;0,OR(T22=1,U22=1)),"zwischendurch zu Hause: An- und Abreisetag; ","")&amp;IF(AND(W22=1,V22=0,T22=1),"Beginn leer lassen: unterwegs seit dem Vortag; ","")&amp;IF(AND(W22=0,V22&gt;0,U22=1),"Ende leer lassen: Übernachtung; ","")&amp;IF(AND(AJ22&gt;0,AM22&gt;AJ22),"Kürzung auf die Pauschale begrenzt; ",""))</f>
      </c>
      <c r="AM22" s="1">
        <f>ROUND(AG22*(IF(H22&lt;&gt;"",0.2,0)+IF(I22&lt;&gt;"",0.4,0)+IF(J22&lt;&gt;"",0.4,0)),2)</f>
      </c>
      <c r="AN22" s="1">
        <f>IF($A23="",'Oktober'!$T$5,T23)</f>
      </c>
      <c r="AO22" s="1">
        <f>IF($A23="",'Oktober'!$U$5,U23)</f>
      </c>
      <c r="AP22" s="1">
        <f>IF($A23="",'Oktober'!$V$5,V23)</f>
      </c>
      <c r="AQ22" s="1">
        <f>IF($A23="",'Oktober'!$AE$5,AE23)</f>
      </c>
      <c r="AR22" s="1">
        <f>AE21</f>
      </c>
      <c r="AS22" s="1">
        <f>X21</f>
      </c>
      <c r="AT22" s="1">
        <f>U21</f>
      </c>
      <c r="AU22" s="1">
        <f>V21</f>
      </c>
    </row>
    <row r="23" spans="1:47" x14ac:dyDescent="0.25">
      <c r="A23" s="17">
        <f>IF(MONTH(DATE(Jahr,9,19))=9,DATE(Jahr,9,19),"")</f>
      </c>
      <c r="B23" s="13">
        <f>IF(A23="","",CHOOSE(WEEKDAY(A23,2),"Mo","Di","Mi","Do","Fr","Sa","So"))</f>
      </c>
      <c r="C23" s="18"/>
      <c r="D23" s="18"/>
      <c r="E23" s="7"/>
      <c r="F23" s="7"/>
      <c r="G23" s="7"/>
      <c r="H23" s="19"/>
      <c r="I23" s="19"/>
      <c r="J23" s="19"/>
      <c r="K23" s="9"/>
      <c r="L23" s="20">
        <f>IF(OR(AD23=0,AF23&lt;&gt;"",AND(W23=1,V23&gt;0,OR(T23=1,U23=1))),"",AE23/1440)</f>
      </c>
      <c r="M23" s="21">
        <f>IF(OR(AD23=0,AF23&lt;&gt;""),"",AJ23)</f>
      </c>
      <c r="N23" s="21">
        <f>IF(AK23=0,"",AK23)</f>
      </c>
      <c r="O23" s="21">
        <f>IF(OR(AD23=0,AF23&lt;&gt;""),"",AJ23-AK23)</f>
      </c>
      <c r="P23" s="21">
        <f>IF(AND(AD23=1,AF23="",V23=2),AI23,"")</f>
      </c>
      <c r="Q23" s="21">
        <f>IF(OR($A23="",N(K23)=0),"",ROUND(K23*KmSatz,2))</f>
      </c>
      <c r="R23" s="22">
        <f>IF(AF23&amp;AL23="","",LEFT(AF23&amp;AL23,LEN(AF23&amp;AL23)-2))</f>
      </c>
      <c r="S23" s="1"/>
      <c r="T23" s="1">
        <f>IF(AND($A23&lt;&gt;"",ISNUMBER(C23)),1,0)</f>
      </c>
      <c r="U23" s="1">
        <f>IF(AND($A23&lt;&gt;"",ISNUMBER(D23)),1,0)</f>
      </c>
      <c r="V23" s="1">
        <f>IF($A23="",0,IF(E23="ja",1,IF(E23="Pauschale",2,0)))</f>
      </c>
      <c r="W23" s="1">
        <f>IF($A23="",0,IF(AU23&gt;0,1,0))</f>
      </c>
      <c r="X23" s="1">
        <f>IF(AND(T23=1,W23=0),1,0)</f>
      </c>
      <c r="Y23" s="1">
        <f>IF(AND(AS23=1,AT23=0,AU23=0),1,0)</f>
      </c>
      <c r="Z23" s="1">
        <f>IF(AND(Y23=1,T23=0,U23=1,V23=0),1,0)</f>
      </c>
      <c r="AA23" s="1">
        <f>IF(AND(X23=1,U23=0,V23=0,AN23=0,AO23=1,AP23=0),1,0)</f>
      </c>
      <c r="AB23" s="1">
        <f>IF(OR(W23=1,Z23=1),0,IF(T23=1,C23,0))</f>
      </c>
      <c r="AC23" s="1">
        <f>IF(OR(V23&gt;0,AA23=1),1,IF(U23=1,D23,1))</f>
      </c>
      <c r="AD23" s="1">
        <f>IF($A23="",0,IF(OR(T23=1,U23=1,V23&gt;0,W23=1),1,0))</f>
      </c>
      <c r="AE23" s="1">
        <f>IF(AD23=0,0,ROUND((AC23-AB23)*1440,0))</f>
      </c>
      <c r="AF23" s="1">
        <f>IF(AD23=0,"",IF(AND(F23&lt;&gt;"",ISNA(MATCH(F23,PauschLand,0))),"Land nicht in der Liste; ","")&amp;IF(AND(T23=0,W23=0,Z23=0),"Beginn fehlt; ","")&amp;IF(AND(V23=0,U23=0,AA23=0),"Ende fehlt; ","")&amp;IF(AND(X23=1,U23=1,V23=0,N(D23)&lt;N(C23)),"Ende vor Beginn (über Mitternacht: Ende in die Zeile des Folgetags); ",""))</f>
      </c>
      <c r="AG23" s="1">
        <f>IF(AD23=0,0,IFERROR(VLOOKUP(IF(F23="","Deutschland",F23),PauschTab,2,FALSE),0))</f>
      </c>
      <c r="AH23" s="1">
        <f>IF(AD23=0,0,IFERROR(VLOOKUP(IF(F23="","Deutschland",F23),PauschTab,3,FALSE),0))</f>
      </c>
      <c r="AI23" s="1">
        <f>IF(AD23=0,0,IFERROR(VLOOKUP(IF(F23="","Deutschland",F23),PauschTab,4,FALSE),0))</f>
      </c>
      <c r="AJ23" s="1">
        <f>IF(OR(AD23=0,AF23&lt;&gt;""),0,IF(AND(W23=1,V23&gt;0),IF(OR(T23=1,U23=1),AH23,AG23),IF(OR(W23=1,V23&gt;0),AH23,IF(AA23=1,IF(AND(AE23+AQ23&gt;480,AE23&gt;=AQ23),AH23,0),IF(Z23=1,IF(AND(AR23+AE23&gt;480,AE23&gt;AR23),AH23,0),IF(AE23&gt;480,AH23,0))))))</f>
      </c>
      <c r="AK23" s="1">
        <f>MIN(AJ23,AM23)</f>
      </c>
      <c r="AL23" s="1">
        <f>IF(OR(AD23=0,AF23&lt;&gt;""),"",IF(AND(W23=0,V23=0,AA23=0,Z23=0,AE23&lt;=480),"nicht mehr als 8 Std.; ","")&amp;IF(AA23=1,IF(AJ23&gt;0,"über Mitternacht, zusammen "&amp;TEXT((AE23+AQ23)/1440,"[h]:mm")&amp;" Std.; ",IF(AE23+AQ23&gt;480,"über Mitternacht: Pauschale am Folgetag; ","über Mitternacht, zusammen nicht mehr als 8 Std.; ")),"")&amp;IF(Z23=1,IF(AJ23&gt;0,"über Mitternacht, zusammen "&amp;TEXT((AR23+AE23)/1440,"[h]:mm")&amp;" Std.; ",IF(AR23+AE23&gt;480,"über Mitternacht: Pauschale am Vortag; ","über Mitternacht, zusammen nicht mehr als 8 Std.; ")),"")&amp;IF(AND(W23=1,V23&gt;0,OR(T23=1,U23=1)),"zwischendurch zu Hause: An- und Abreisetag; ","")&amp;IF(AND(W23=1,V23=0,T23=1),"Beginn leer lassen: unterwegs seit dem Vortag; ","")&amp;IF(AND(W23=0,V23&gt;0,U23=1),"Ende leer lassen: Übernachtung; ","")&amp;IF(AND(AJ23&gt;0,AM23&gt;AJ23),"Kürzung auf die Pauschale begrenzt; ",""))</f>
      </c>
      <c r="AM23" s="1">
        <f>ROUND(AG23*(IF(H23&lt;&gt;"",0.2,0)+IF(I23&lt;&gt;"",0.4,0)+IF(J23&lt;&gt;"",0.4,0)),2)</f>
      </c>
      <c r="AN23" s="1">
        <f>IF($A24="",'Oktober'!$T$5,T24)</f>
      </c>
      <c r="AO23" s="1">
        <f>IF($A24="",'Oktober'!$U$5,U24)</f>
      </c>
      <c r="AP23" s="1">
        <f>IF($A24="",'Oktober'!$V$5,V24)</f>
      </c>
      <c r="AQ23" s="1">
        <f>IF($A24="",'Oktober'!$AE$5,AE24)</f>
      </c>
      <c r="AR23" s="1">
        <f>AE22</f>
      </c>
      <c r="AS23" s="1">
        <f>X22</f>
      </c>
      <c r="AT23" s="1">
        <f>U22</f>
      </c>
      <c r="AU23" s="1">
        <f>V22</f>
      </c>
    </row>
    <row r="24" spans="1:47" x14ac:dyDescent="0.25">
      <c r="A24" s="17">
        <f>IF(MONTH(DATE(Jahr,9,20))=9,DATE(Jahr,9,20),"")</f>
      </c>
      <c r="B24" s="13">
        <f>IF(A24="","",CHOOSE(WEEKDAY(A24,2),"Mo","Di","Mi","Do","Fr","Sa","So"))</f>
      </c>
      <c r="C24" s="18"/>
      <c r="D24" s="18"/>
      <c r="E24" s="7"/>
      <c r="F24" s="7"/>
      <c r="G24" s="7"/>
      <c r="H24" s="19"/>
      <c r="I24" s="19"/>
      <c r="J24" s="19"/>
      <c r="K24" s="9"/>
      <c r="L24" s="20">
        <f>IF(OR(AD24=0,AF24&lt;&gt;"",AND(W24=1,V24&gt;0,OR(T24=1,U24=1))),"",AE24/1440)</f>
      </c>
      <c r="M24" s="21">
        <f>IF(OR(AD24=0,AF24&lt;&gt;""),"",AJ24)</f>
      </c>
      <c r="N24" s="21">
        <f>IF(AK24=0,"",AK24)</f>
      </c>
      <c r="O24" s="21">
        <f>IF(OR(AD24=0,AF24&lt;&gt;""),"",AJ24-AK24)</f>
      </c>
      <c r="P24" s="21">
        <f>IF(AND(AD24=1,AF24="",V24=2),AI24,"")</f>
      </c>
      <c r="Q24" s="21">
        <f>IF(OR($A24="",N(K24)=0),"",ROUND(K24*KmSatz,2))</f>
      </c>
      <c r="R24" s="22">
        <f>IF(AF24&amp;AL24="","",LEFT(AF24&amp;AL24,LEN(AF24&amp;AL24)-2))</f>
      </c>
      <c r="S24" s="1"/>
      <c r="T24" s="1">
        <f>IF(AND($A24&lt;&gt;"",ISNUMBER(C24)),1,0)</f>
      </c>
      <c r="U24" s="1">
        <f>IF(AND($A24&lt;&gt;"",ISNUMBER(D24)),1,0)</f>
      </c>
      <c r="V24" s="1">
        <f>IF($A24="",0,IF(E24="ja",1,IF(E24="Pauschale",2,0)))</f>
      </c>
      <c r="W24" s="1">
        <f>IF($A24="",0,IF(AU24&gt;0,1,0))</f>
      </c>
      <c r="X24" s="1">
        <f>IF(AND(T24=1,W24=0),1,0)</f>
      </c>
      <c r="Y24" s="1">
        <f>IF(AND(AS24=1,AT24=0,AU24=0),1,0)</f>
      </c>
      <c r="Z24" s="1">
        <f>IF(AND(Y24=1,T24=0,U24=1,V24=0),1,0)</f>
      </c>
      <c r="AA24" s="1">
        <f>IF(AND(X24=1,U24=0,V24=0,AN24=0,AO24=1,AP24=0),1,0)</f>
      </c>
      <c r="AB24" s="1">
        <f>IF(OR(W24=1,Z24=1),0,IF(T24=1,C24,0))</f>
      </c>
      <c r="AC24" s="1">
        <f>IF(OR(V24&gt;0,AA24=1),1,IF(U24=1,D24,1))</f>
      </c>
      <c r="AD24" s="1">
        <f>IF($A24="",0,IF(OR(T24=1,U24=1,V24&gt;0,W24=1),1,0))</f>
      </c>
      <c r="AE24" s="1">
        <f>IF(AD24=0,0,ROUND((AC24-AB24)*1440,0))</f>
      </c>
      <c r="AF24" s="1">
        <f>IF(AD24=0,"",IF(AND(F24&lt;&gt;"",ISNA(MATCH(F24,PauschLand,0))),"Land nicht in der Liste; ","")&amp;IF(AND(T24=0,W24=0,Z24=0),"Beginn fehlt; ","")&amp;IF(AND(V24=0,U24=0,AA24=0),"Ende fehlt; ","")&amp;IF(AND(X24=1,U24=1,V24=0,N(D24)&lt;N(C24)),"Ende vor Beginn (über Mitternacht: Ende in die Zeile des Folgetags); ",""))</f>
      </c>
      <c r="AG24" s="1">
        <f>IF(AD24=0,0,IFERROR(VLOOKUP(IF(F24="","Deutschland",F24),PauschTab,2,FALSE),0))</f>
      </c>
      <c r="AH24" s="1">
        <f>IF(AD24=0,0,IFERROR(VLOOKUP(IF(F24="","Deutschland",F24),PauschTab,3,FALSE),0))</f>
      </c>
      <c r="AI24" s="1">
        <f>IF(AD24=0,0,IFERROR(VLOOKUP(IF(F24="","Deutschland",F24),PauschTab,4,FALSE),0))</f>
      </c>
      <c r="AJ24" s="1">
        <f>IF(OR(AD24=0,AF24&lt;&gt;""),0,IF(AND(W24=1,V24&gt;0),IF(OR(T24=1,U24=1),AH24,AG24),IF(OR(W24=1,V24&gt;0),AH24,IF(AA24=1,IF(AND(AE24+AQ24&gt;480,AE24&gt;=AQ24),AH24,0),IF(Z24=1,IF(AND(AR24+AE24&gt;480,AE24&gt;AR24),AH24,0),IF(AE24&gt;480,AH24,0))))))</f>
      </c>
      <c r="AK24" s="1">
        <f>MIN(AJ24,AM24)</f>
      </c>
      <c r="AL24" s="1">
        <f>IF(OR(AD24=0,AF24&lt;&gt;""),"",IF(AND(W24=0,V24=0,AA24=0,Z24=0,AE24&lt;=480),"nicht mehr als 8 Std.; ","")&amp;IF(AA24=1,IF(AJ24&gt;0,"über Mitternacht, zusammen "&amp;TEXT((AE24+AQ24)/1440,"[h]:mm")&amp;" Std.; ",IF(AE24+AQ24&gt;480,"über Mitternacht: Pauschale am Folgetag; ","über Mitternacht, zusammen nicht mehr als 8 Std.; ")),"")&amp;IF(Z24=1,IF(AJ24&gt;0,"über Mitternacht, zusammen "&amp;TEXT((AR24+AE24)/1440,"[h]:mm")&amp;" Std.; ",IF(AR24+AE24&gt;480,"über Mitternacht: Pauschale am Vortag; ","über Mitternacht, zusammen nicht mehr als 8 Std.; ")),"")&amp;IF(AND(W24=1,V24&gt;0,OR(T24=1,U24=1)),"zwischendurch zu Hause: An- und Abreisetag; ","")&amp;IF(AND(W24=1,V24=0,T24=1),"Beginn leer lassen: unterwegs seit dem Vortag; ","")&amp;IF(AND(W24=0,V24&gt;0,U24=1),"Ende leer lassen: Übernachtung; ","")&amp;IF(AND(AJ24&gt;0,AM24&gt;AJ24),"Kürzung auf die Pauschale begrenzt; ",""))</f>
      </c>
      <c r="AM24" s="1">
        <f>ROUND(AG24*(IF(H24&lt;&gt;"",0.2,0)+IF(I24&lt;&gt;"",0.4,0)+IF(J24&lt;&gt;"",0.4,0)),2)</f>
      </c>
      <c r="AN24" s="1">
        <f>IF($A25="",'Oktober'!$T$5,T25)</f>
      </c>
      <c r="AO24" s="1">
        <f>IF($A25="",'Oktober'!$U$5,U25)</f>
      </c>
      <c r="AP24" s="1">
        <f>IF($A25="",'Oktober'!$V$5,V25)</f>
      </c>
      <c r="AQ24" s="1">
        <f>IF($A25="",'Oktober'!$AE$5,AE25)</f>
      </c>
      <c r="AR24" s="1">
        <f>AE23</f>
      </c>
      <c r="AS24" s="1">
        <f>X23</f>
      </c>
      <c r="AT24" s="1">
        <f>U23</f>
      </c>
      <c r="AU24" s="1">
        <f>V23</f>
      </c>
    </row>
    <row r="25" spans="1:47" x14ac:dyDescent="0.25">
      <c r="A25" s="17">
        <f>IF(MONTH(DATE(Jahr,9,21))=9,DATE(Jahr,9,21),"")</f>
      </c>
      <c r="B25" s="13">
        <f>IF(A25="","",CHOOSE(WEEKDAY(A25,2),"Mo","Di","Mi","Do","Fr","Sa","So"))</f>
      </c>
      <c r="C25" s="18"/>
      <c r="D25" s="18"/>
      <c r="E25" s="7"/>
      <c r="F25" s="7"/>
      <c r="G25" s="7"/>
      <c r="H25" s="19"/>
      <c r="I25" s="19"/>
      <c r="J25" s="19"/>
      <c r="K25" s="9"/>
      <c r="L25" s="20">
        <f>IF(OR(AD25=0,AF25&lt;&gt;"",AND(W25=1,V25&gt;0,OR(T25=1,U25=1))),"",AE25/1440)</f>
      </c>
      <c r="M25" s="21">
        <f>IF(OR(AD25=0,AF25&lt;&gt;""),"",AJ25)</f>
      </c>
      <c r="N25" s="21">
        <f>IF(AK25=0,"",AK25)</f>
      </c>
      <c r="O25" s="21">
        <f>IF(OR(AD25=0,AF25&lt;&gt;""),"",AJ25-AK25)</f>
      </c>
      <c r="P25" s="21">
        <f>IF(AND(AD25=1,AF25="",V25=2),AI25,"")</f>
      </c>
      <c r="Q25" s="21">
        <f>IF(OR($A25="",N(K25)=0),"",ROUND(K25*KmSatz,2))</f>
      </c>
      <c r="R25" s="22">
        <f>IF(AF25&amp;AL25="","",LEFT(AF25&amp;AL25,LEN(AF25&amp;AL25)-2))</f>
      </c>
      <c r="S25" s="1"/>
      <c r="T25" s="1">
        <f>IF(AND($A25&lt;&gt;"",ISNUMBER(C25)),1,0)</f>
      </c>
      <c r="U25" s="1">
        <f>IF(AND($A25&lt;&gt;"",ISNUMBER(D25)),1,0)</f>
      </c>
      <c r="V25" s="1">
        <f>IF($A25="",0,IF(E25="ja",1,IF(E25="Pauschale",2,0)))</f>
      </c>
      <c r="W25" s="1">
        <f>IF($A25="",0,IF(AU25&gt;0,1,0))</f>
      </c>
      <c r="X25" s="1">
        <f>IF(AND(T25=1,W25=0),1,0)</f>
      </c>
      <c r="Y25" s="1">
        <f>IF(AND(AS25=1,AT25=0,AU25=0),1,0)</f>
      </c>
      <c r="Z25" s="1">
        <f>IF(AND(Y25=1,T25=0,U25=1,V25=0),1,0)</f>
      </c>
      <c r="AA25" s="1">
        <f>IF(AND(X25=1,U25=0,V25=0,AN25=0,AO25=1,AP25=0),1,0)</f>
      </c>
      <c r="AB25" s="1">
        <f>IF(OR(W25=1,Z25=1),0,IF(T25=1,C25,0))</f>
      </c>
      <c r="AC25" s="1">
        <f>IF(OR(V25&gt;0,AA25=1),1,IF(U25=1,D25,1))</f>
      </c>
      <c r="AD25" s="1">
        <f>IF($A25="",0,IF(OR(T25=1,U25=1,V25&gt;0,W25=1),1,0))</f>
      </c>
      <c r="AE25" s="1">
        <f>IF(AD25=0,0,ROUND((AC25-AB25)*1440,0))</f>
      </c>
      <c r="AF25" s="1">
        <f>IF(AD25=0,"",IF(AND(F25&lt;&gt;"",ISNA(MATCH(F25,PauschLand,0))),"Land nicht in der Liste; ","")&amp;IF(AND(T25=0,W25=0,Z25=0),"Beginn fehlt; ","")&amp;IF(AND(V25=0,U25=0,AA25=0),"Ende fehlt; ","")&amp;IF(AND(X25=1,U25=1,V25=0,N(D25)&lt;N(C25)),"Ende vor Beginn (über Mitternacht: Ende in die Zeile des Folgetags); ",""))</f>
      </c>
      <c r="AG25" s="1">
        <f>IF(AD25=0,0,IFERROR(VLOOKUP(IF(F25="","Deutschland",F25),PauschTab,2,FALSE),0))</f>
      </c>
      <c r="AH25" s="1">
        <f>IF(AD25=0,0,IFERROR(VLOOKUP(IF(F25="","Deutschland",F25),PauschTab,3,FALSE),0))</f>
      </c>
      <c r="AI25" s="1">
        <f>IF(AD25=0,0,IFERROR(VLOOKUP(IF(F25="","Deutschland",F25),PauschTab,4,FALSE),0))</f>
      </c>
      <c r="AJ25" s="1">
        <f>IF(OR(AD25=0,AF25&lt;&gt;""),0,IF(AND(W25=1,V25&gt;0),IF(OR(T25=1,U25=1),AH25,AG25),IF(OR(W25=1,V25&gt;0),AH25,IF(AA25=1,IF(AND(AE25+AQ25&gt;480,AE25&gt;=AQ25),AH25,0),IF(Z25=1,IF(AND(AR25+AE25&gt;480,AE25&gt;AR25),AH25,0),IF(AE25&gt;480,AH25,0))))))</f>
      </c>
      <c r="AK25" s="1">
        <f>MIN(AJ25,AM25)</f>
      </c>
      <c r="AL25" s="1">
        <f>IF(OR(AD25=0,AF25&lt;&gt;""),"",IF(AND(W25=0,V25=0,AA25=0,Z25=0,AE25&lt;=480),"nicht mehr als 8 Std.; ","")&amp;IF(AA25=1,IF(AJ25&gt;0,"über Mitternacht, zusammen "&amp;TEXT((AE25+AQ25)/1440,"[h]:mm")&amp;" Std.; ",IF(AE25+AQ25&gt;480,"über Mitternacht: Pauschale am Folgetag; ","über Mitternacht, zusammen nicht mehr als 8 Std.; ")),"")&amp;IF(Z25=1,IF(AJ25&gt;0,"über Mitternacht, zusammen "&amp;TEXT((AR25+AE25)/1440,"[h]:mm")&amp;" Std.; ",IF(AR25+AE25&gt;480,"über Mitternacht: Pauschale am Vortag; ","über Mitternacht, zusammen nicht mehr als 8 Std.; ")),"")&amp;IF(AND(W25=1,V25&gt;0,OR(T25=1,U25=1)),"zwischendurch zu Hause: An- und Abreisetag; ","")&amp;IF(AND(W25=1,V25=0,T25=1),"Beginn leer lassen: unterwegs seit dem Vortag; ","")&amp;IF(AND(W25=0,V25&gt;0,U25=1),"Ende leer lassen: Übernachtung; ","")&amp;IF(AND(AJ25&gt;0,AM25&gt;AJ25),"Kürzung auf die Pauschale begrenzt; ",""))</f>
      </c>
      <c r="AM25" s="1">
        <f>ROUND(AG25*(IF(H25&lt;&gt;"",0.2,0)+IF(I25&lt;&gt;"",0.4,0)+IF(J25&lt;&gt;"",0.4,0)),2)</f>
      </c>
      <c r="AN25" s="1">
        <f>IF($A26="",'Oktober'!$T$5,T26)</f>
      </c>
      <c r="AO25" s="1">
        <f>IF($A26="",'Oktober'!$U$5,U26)</f>
      </c>
      <c r="AP25" s="1">
        <f>IF($A26="",'Oktober'!$V$5,V26)</f>
      </c>
      <c r="AQ25" s="1">
        <f>IF($A26="",'Oktober'!$AE$5,AE26)</f>
      </c>
      <c r="AR25" s="1">
        <f>AE24</f>
      </c>
      <c r="AS25" s="1">
        <f>X24</f>
      </c>
      <c r="AT25" s="1">
        <f>U24</f>
      </c>
      <c r="AU25" s="1">
        <f>V24</f>
      </c>
    </row>
    <row r="26" spans="1:47" x14ac:dyDescent="0.25">
      <c r="A26" s="17">
        <f>IF(MONTH(DATE(Jahr,9,22))=9,DATE(Jahr,9,22),"")</f>
      </c>
      <c r="B26" s="13">
        <f>IF(A26="","",CHOOSE(WEEKDAY(A26,2),"Mo","Di","Mi","Do","Fr","Sa","So"))</f>
      </c>
      <c r="C26" s="18"/>
      <c r="D26" s="18"/>
      <c r="E26" s="7"/>
      <c r="F26" s="7"/>
      <c r="G26" s="7"/>
      <c r="H26" s="19"/>
      <c r="I26" s="19"/>
      <c r="J26" s="19"/>
      <c r="K26" s="9"/>
      <c r="L26" s="20">
        <f>IF(OR(AD26=0,AF26&lt;&gt;"",AND(W26=1,V26&gt;0,OR(T26=1,U26=1))),"",AE26/1440)</f>
      </c>
      <c r="M26" s="21">
        <f>IF(OR(AD26=0,AF26&lt;&gt;""),"",AJ26)</f>
      </c>
      <c r="N26" s="21">
        <f>IF(AK26=0,"",AK26)</f>
      </c>
      <c r="O26" s="21">
        <f>IF(OR(AD26=0,AF26&lt;&gt;""),"",AJ26-AK26)</f>
      </c>
      <c r="P26" s="21">
        <f>IF(AND(AD26=1,AF26="",V26=2),AI26,"")</f>
      </c>
      <c r="Q26" s="21">
        <f>IF(OR($A26="",N(K26)=0),"",ROUND(K26*KmSatz,2))</f>
      </c>
      <c r="R26" s="22">
        <f>IF(AF26&amp;AL26="","",LEFT(AF26&amp;AL26,LEN(AF26&amp;AL26)-2))</f>
      </c>
      <c r="S26" s="1"/>
      <c r="T26" s="1">
        <f>IF(AND($A26&lt;&gt;"",ISNUMBER(C26)),1,0)</f>
      </c>
      <c r="U26" s="1">
        <f>IF(AND($A26&lt;&gt;"",ISNUMBER(D26)),1,0)</f>
      </c>
      <c r="V26" s="1">
        <f>IF($A26="",0,IF(E26="ja",1,IF(E26="Pauschale",2,0)))</f>
      </c>
      <c r="W26" s="1">
        <f>IF($A26="",0,IF(AU26&gt;0,1,0))</f>
      </c>
      <c r="X26" s="1">
        <f>IF(AND(T26=1,W26=0),1,0)</f>
      </c>
      <c r="Y26" s="1">
        <f>IF(AND(AS26=1,AT26=0,AU26=0),1,0)</f>
      </c>
      <c r="Z26" s="1">
        <f>IF(AND(Y26=1,T26=0,U26=1,V26=0),1,0)</f>
      </c>
      <c r="AA26" s="1">
        <f>IF(AND(X26=1,U26=0,V26=0,AN26=0,AO26=1,AP26=0),1,0)</f>
      </c>
      <c r="AB26" s="1">
        <f>IF(OR(W26=1,Z26=1),0,IF(T26=1,C26,0))</f>
      </c>
      <c r="AC26" s="1">
        <f>IF(OR(V26&gt;0,AA26=1),1,IF(U26=1,D26,1))</f>
      </c>
      <c r="AD26" s="1">
        <f>IF($A26="",0,IF(OR(T26=1,U26=1,V26&gt;0,W26=1),1,0))</f>
      </c>
      <c r="AE26" s="1">
        <f>IF(AD26=0,0,ROUND((AC26-AB26)*1440,0))</f>
      </c>
      <c r="AF26" s="1">
        <f>IF(AD26=0,"",IF(AND(F26&lt;&gt;"",ISNA(MATCH(F26,PauschLand,0))),"Land nicht in der Liste; ","")&amp;IF(AND(T26=0,W26=0,Z26=0),"Beginn fehlt; ","")&amp;IF(AND(V26=0,U26=0,AA26=0),"Ende fehlt; ","")&amp;IF(AND(X26=1,U26=1,V26=0,N(D26)&lt;N(C26)),"Ende vor Beginn (über Mitternacht: Ende in die Zeile des Folgetags); ",""))</f>
      </c>
      <c r="AG26" s="1">
        <f>IF(AD26=0,0,IFERROR(VLOOKUP(IF(F26="","Deutschland",F26),PauschTab,2,FALSE),0))</f>
      </c>
      <c r="AH26" s="1">
        <f>IF(AD26=0,0,IFERROR(VLOOKUP(IF(F26="","Deutschland",F26),PauschTab,3,FALSE),0))</f>
      </c>
      <c r="AI26" s="1">
        <f>IF(AD26=0,0,IFERROR(VLOOKUP(IF(F26="","Deutschland",F26),PauschTab,4,FALSE),0))</f>
      </c>
      <c r="AJ26" s="1">
        <f>IF(OR(AD26=0,AF26&lt;&gt;""),0,IF(AND(W26=1,V26&gt;0),IF(OR(T26=1,U26=1),AH26,AG26),IF(OR(W26=1,V26&gt;0),AH26,IF(AA26=1,IF(AND(AE26+AQ26&gt;480,AE26&gt;=AQ26),AH26,0),IF(Z26=1,IF(AND(AR26+AE26&gt;480,AE26&gt;AR26),AH26,0),IF(AE26&gt;480,AH26,0))))))</f>
      </c>
      <c r="AK26" s="1">
        <f>MIN(AJ26,AM26)</f>
      </c>
      <c r="AL26" s="1">
        <f>IF(OR(AD26=0,AF26&lt;&gt;""),"",IF(AND(W26=0,V26=0,AA26=0,Z26=0,AE26&lt;=480),"nicht mehr als 8 Std.; ","")&amp;IF(AA26=1,IF(AJ26&gt;0,"über Mitternacht, zusammen "&amp;TEXT((AE26+AQ26)/1440,"[h]:mm")&amp;" Std.; ",IF(AE26+AQ26&gt;480,"über Mitternacht: Pauschale am Folgetag; ","über Mitternacht, zusammen nicht mehr als 8 Std.; ")),"")&amp;IF(Z26=1,IF(AJ26&gt;0,"über Mitternacht, zusammen "&amp;TEXT((AR26+AE26)/1440,"[h]:mm")&amp;" Std.; ",IF(AR26+AE26&gt;480,"über Mitternacht: Pauschale am Vortag; ","über Mitternacht, zusammen nicht mehr als 8 Std.; ")),"")&amp;IF(AND(W26=1,V26&gt;0,OR(T26=1,U26=1)),"zwischendurch zu Hause: An- und Abreisetag; ","")&amp;IF(AND(W26=1,V26=0,T26=1),"Beginn leer lassen: unterwegs seit dem Vortag; ","")&amp;IF(AND(W26=0,V26&gt;0,U26=1),"Ende leer lassen: Übernachtung; ","")&amp;IF(AND(AJ26&gt;0,AM26&gt;AJ26),"Kürzung auf die Pauschale begrenzt; ",""))</f>
      </c>
      <c r="AM26" s="1">
        <f>ROUND(AG26*(IF(H26&lt;&gt;"",0.2,0)+IF(I26&lt;&gt;"",0.4,0)+IF(J26&lt;&gt;"",0.4,0)),2)</f>
      </c>
      <c r="AN26" s="1">
        <f>IF($A27="",'Oktober'!$T$5,T27)</f>
      </c>
      <c r="AO26" s="1">
        <f>IF($A27="",'Oktober'!$U$5,U27)</f>
      </c>
      <c r="AP26" s="1">
        <f>IF($A27="",'Oktober'!$V$5,V27)</f>
      </c>
      <c r="AQ26" s="1">
        <f>IF($A27="",'Oktober'!$AE$5,AE27)</f>
      </c>
      <c r="AR26" s="1">
        <f>AE25</f>
      </c>
      <c r="AS26" s="1">
        <f>X25</f>
      </c>
      <c r="AT26" s="1">
        <f>U25</f>
      </c>
      <c r="AU26" s="1">
        <f>V25</f>
      </c>
    </row>
    <row r="27" spans="1:47" x14ac:dyDescent="0.25">
      <c r="A27" s="17">
        <f>IF(MONTH(DATE(Jahr,9,23))=9,DATE(Jahr,9,23),"")</f>
      </c>
      <c r="B27" s="13">
        <f>IF(A27="","",CHOOSE(WEEKDAY(A27,2),"Mo","Di","Mi","Do","Fr","Sa","So"))</f>
      </c>
      <c r="C27" s="18"/>
      <c r="D27" s="18"/>
      <c r="E27" s="7"/>
      <c r="F27" s="7"/>
      <c r="G27" s="7"/>
      <c r="H27" s="19"/>
      <c r="I27" s="19"/>
      <c r="J27" s="19"/>
      <c r="K27" s="9"/>
      <c r="L27" s="20">
        <f>IF(OR(AD27=0,AF27&lt;&gt;"",AND(W27=1,V27&gt;0,OR(T27=1,U27=1))),"",AE27/1440)</f>
      </c>
      <c r="M27" s="21">
        <f>IF(OR(AD27=0,AF27&lt;&gt;""),"",AJ27)</f>
      </c>
      <c r="N27" s="21">
        <f>IF(AK27=0,"",AK27)</f>
      </c>
      <c r="O27" s="21">
        <f>IF(OR(AD27=0,AF27&lt;&gt;""),"",AJ27-AK27)</f>
      </c>
      <c r="P27" s="21">
        <f>IF(AND(AD27=1,AF27="",V27=2),AI27,"")</f>
      </c>
      <c r="Q27" s="21">
        <f>IF(OR($A27="",N(K27)=0),"",ROUND(K27*KmSatz,2))</f>
      </c>
      <c r="R27" s="22">
        <f>IF(AF27&amp;AL27="","",LEFT(AF27&amp;AL27,LEN(AF27&amp;AL27)-2))</f>
      </c>
      <c r="S27" s="1"/>
      <c r="T27" s="1">
        <f>IF(AND($A27&lt;&gt;"",ISNUMBER(C27)),1,0)</f>
      </c>
      <c r="U27" s="1">
        <f>IF(AND($A27&lt;&gt;"",ISNUMBER(D27)),1,0)</f>
      </c>
      <c r="V27" s="1">
        <f>IF($A27="",0,IF(E27="ja",1,IF(E27="Pauschale",2,0)))</f>
      </c>
      <c r="W27" s="1">
        <f>IF($A27="",0,IF(AU27&gt;0,1,0))</f>
      </c>
      <c r="X27" s="1">
        <f>IF(AND(T27=1,W27=0),1,0)</f>
      </c>
      <c r="Y27" s="1">
        <f>IF(AND(AS27=1,AT27=0,AU27=0),1,0)</f>
      </c>
      <c r="Z27" s="1">
        <f>IF(AND(Y27=1,T27=0,U27=1,V27=0),1,0)</f>
      </c>
      <c r="AA27" s="1">
        <f>IF(AND(X27=1,U27=0,V27=0,AN27=0,AO27=1,AP27=0),1,0)</f>
      </c>
      <c r="AB27" s="1">
        <f>IF(OR(W27=1,Z27=1),0,IF(T27=1,C27,0))</f>
      </c>
      <c r="AC27" s="1">
        <f>IF(OR(V27&gt;0,AA27=1),1,IF(U27=1,D27,1))</f>
      </c>
      <c r="AD27" s="1">
        <f>IF($A27="",0,IF(OR(T27=1,U27=1,V27&gt;0,W27=1),1,0))</f>
      </c>
      <c r="AE27" s="1">
        <f>IF(AD27=0,0,ROUND((AC27-AB27)*1440,0))</f>
      </c>
      <c r="AF27" s="1">
        <f>IF(AD27=0,"",IF(AND(F27&lt;&gt;"",ISNA(MATCH(F27,PauschLand,0))),"Land nicht in der Liste; ","")&amp;IF(AND(T27=0,W27=0,Z27=0),"Beginn fehlt; ","")&amp;IF(AND(V27=0,U27=0,AA27=0),"Ende fehlt; ","")&amp;IF(AND(X27=1,U27=1,V27=0,N(D27)&lt;N(C27)),"Ende vor Beginn (über Mitternacht: Ende in die Zeile des Folgetags); ",""))</f>
      </c>
      <c r="AG27" s="1">
        <f>IF(AD27=0,0,IFERROR(VLOOKUP(IF(F27="","Deutschland",F27),PauschTab,2,FALSE),0))</f>
      </c>
      <c r="AH27" s="1">
        <f>IF(AD27=0,0,IFERROR(VLOOKUP(IF(F27="","Deutschland",F27),PauschTab,3,FALSE),0))</f>
      </c>
      <c r="AI27" s="1">
        <f>IF(AD27=0,0,IFERROR(VLOOKUP(IF(F27="","Deutschland",F27),PauschTab,4,FALSE),0))</f>
      </c>
      <c r="AJ27" s="1">
        <f>IF(OR(AD27=0,AF27&lt;&gt;""),0,IF(AND(W27=1,V27&gt;0),IF(OR(T27=1,U27=1),AH27,AG27),IF(OR(W27=1,V27&gt;0),AH27,IF(AA27=1,IF(AND(AE27+AQ27&gt;480,AE27&gt;=AQ27),AH27,0),IF(Z27=1,IF(AND(AR27+AE27&gt;480,AE27&gt;AR27),AH27,0),IF(AE27&gt;480,AH27,0))))))</f>
      </c>
      <c r="AK27" s="1">
        <f>MIN(AJ27,AM27)</f>
      </c>
      <c r="AL27" s="1">
        <f>IF(OR(AD27=0,AF27&lt;&gt;""),"",IF(AND(W27=0,V27=0,AA27=0,Z27=0,AE27&lt;=480),"nicht mehr als 8 Std.; ","")&amp;IF(AA27=1,IF(AJ27&gt;0,"über Mitternacht, zusammen "&amp;TEXT((AE27+AQ27)/1440,"[h]:mm")&amp;" Std.; ",IF(AE27+AQ27&gt;480,"über Mitternacht: Pauschale am Folgetag; ","über Mitternacht, zusammen nicht mehr als 8 Std.; ")),"")&amp;IF(Z27=1,IF(AJ27&gt;0,"über Mitternacht, zusammen "&amp;TEXT((AR27+AE27)/1440,"[h]:mm")&amp;" Std.; ",IF(AR27+AE27&gt;480,"über Mitternacht: Pauschale am Vortag; ","über Mitternacht, zusammen nicht mehr als 8 Std.; ")),"")&amp;IF(AND(W27=1,V27&gt;0,OR(T27=1,U27=1)),"zwischendurch zu Hause: An- und Abreisetag; ","")&amp;IF(AND(W27=1,V27=0,T27=1),"Beginn leer lassen: unterwegs seit dem Vortag; ","")&amp;IF(AND(W27=0,V27&gt;0,U27=1),"Ende leer lassen: Übernachtung; ","")&amp;IF(AND(AJ27&gt;0,AM27&gt;AJ27),"Kürzung auf die Pauschale begrenzt; ",""))</f>
      </c>
      <c r="AM27" s="1">
        <f>ROUND(AG27*(IF(H27&lt;&gt;"",0.2,0)+IF(I27&lt;&gt;"",0.4,0)+IF(J27&lt;&gt;"",0.4,0)),2)</f>
      </c>
      <c r="AN27" s="1">
        <f>IF($A28="",'Oktober'!$T$5,T28)</f>
      </c>
      <c r="AO27" s="1">
        <f>IF($A28="",'Oktober'!$U$5,U28)</f>
      </c>
      <c r="AP27" s="1">
        <f>IF($A28="",'Oktober'!$V$5,V28)</f>
      </c>
      <c r="AQ27" s="1">
        <f>IF($A28="",'Oktober'!$AE$5,AE28)</f>
      </c>
      <c r="AR27" s="1">
        <f>AE26</f>
      </c>
      <c r="AS27" s="1">
        <f>X26</f>
      </c>
      <c r="AT27" s="1">
        <f>U26</f>
      </c>
      <c r="AU27" s="1">
        <f>V26</f>
      </c>
    </row>
    <row r="28" spans="1:47" x14ac:dyDescent="0.25">
      <c r="A28" s="17">
        <f>IF(MONTH(DATE(Jahr,9,24))=9,DATE(Jahr,9,24),"")</f>
      </c>
      <c r="B28" s="13">
        <f>IF(A28="","",CHOOSE(WEEKDAY(A28,2),"Mo","Di","Mi","Do","Fr","Sa","So"))</f>
      </c>
      <c r="C28" s="18"/>
      <c r="D28" s="18"/>
      <c r="E28" s="7"/>
      <c r="F28" s="7"/>
      <c r="G28" s="7"/>
      <c r="H28" s="19"/>
      <c r="I28" s="19"/>
      <c r="J28" s="19"/>
      <c r="K28" s="9"/>
      <c r="L28" s="20">
        <f>IF(OR(AD28=0,AF28&lt;&gt;"",AND(W28=1,V28&gt;0,OR(T28=1,U28=1))),"",AE28/1440)</f>
      </c>
      <c r="M28" s="21">
        <f>IF(OR(AD28=0,AF28&lt;&gt;""),"",AJ28)</f>
      </c>
      <c r="N28" s="21">
        <f>IF(AK28=0,"",AK28)</f>
      </c>
      <c r="O28" s="21">
        <f>IF(OR(AD28=0,AF28&lt;&gt;""),"",AJ28-AK28)</f>
      </c>
      <c r="P28" s="21">
        <f>IF(AND(AD28=1,AF28="",V28=2),AI28,"")</f>
      </c>
      <c r="Q28" s="21">
        <f>IF(OR($A28="",N(K28)=0),"",ROUND(K28*KmSatz,2))</f>
      </c>
      <c r="R28" s="22">
        <f>IF(AF28&amp;AL28="","",LEFT(AF28&amp;AL28,LEN(AF28&amp;AL28)-2))</f>
      </c>
      <c r="S28" s="1"/>
      <c r="T28" s="1">
        <f>IF(AND($A28&lt;&gt;"",ISNUMBER(C28)),1,0)</f>
      </c>
      <c r="U28" s="1">
        <f>IF(AND($A28&lt;&gt;"",ISNUMBER(D28)),1,0)</f>
      </c>
      <c r="V28" s="1">
        <f>IF($A28="",0,IF(E28="ja",1,IF(E28="Pauschale",2,0)))</f>
      </c>
      <c r="W28" s="1">
        <f>IF($A28="",0,IF(AU28&gt;0,1,0))</f>
      </c>
      <c r="X28" s="1">
        <f>IF(AND(T28=1,W28=0),1,0)</f>
      </c>
      <c r="Y28" s="1">
        <f>IF(AND(AS28=1,AT28=0,AU28=0),1,0)</f>
      </c>
      <c r="Z28" s="1">
        <f>IF(AND(Y28=1,T28=0,U28=1,V28=0),1,0)</f>
      </c>
      <c r="AA28" s="1">
        <f>IF(AND(X28=1,U28=0,V28=0,AN28=0,AO28=1,AP28=0),1,0)</f>
      </c>
      <c r="AB28" s="1">
        <f>IF(OR(W28=1,Z28=1),0,IF(T28=1,C28,0))</f>
      </c>
      <c r="AC28" s="1">
        <f>IF(OR(V28&gt;0,AA28=1),1,IF(U28=1,D28,1))</f>
      </c>
      <c r="AD28" s="1">
        <f>IF($A28="",0,IF(OR(T28=1,U28=1,V28&gt;0,W28=1),1,0))</f>
      </c>
      <c r="AE28" s="1">
        <f>IF(AD28=0,0,ROUND((AC28-AB28)*1440,0))</f>
      </c>
      <c r="AF28" s="1">
        <f>IF(AD28=0,"",IF(AND(F28&lt;&gt;"",ISNA(MATCH(F28,PauschLand,0))),"Land nicht in der Liste; ","")&amp;IF(AND(T28=0,W28=0,Z28=0),"Beginn fehlt; ","")&amp;IF(AND(V28=0,U28=0,AA28=0),"Ende fehlt; ","")&amp;IF(AND(X28=1,U28=1,V28=0,N(D28)&lt;N(C28)),"Ende vor Beginn (über Mitternacht: Ende in die Zeile des Folgetags); ",""))</f>
      </c>
      <c r="AG28" s="1">
        <f>IF(AD28=0,0,IFERROR(VLOOKUP(IF(F28="","Deutschland",F28),PauschTab,2,FALSE),0))</f>
      </c>
      <c r="AH28" s="1">
        <f>IF(AD28=0,0,IFERROR(VLOOKUP(IF(F28="","Deutschland",F28),PauschTab,3,FALSE),0))</f>
      </c>
      <c r="AI28" s="1">
        <f>IF(AD28=0,0,IFERROR(VLOOKUP(IF(F28="","Deutschland",F28),PauschTab,4,FALSE),0))</f>
      </c>
      <c r="AJ28" s="1">
        <f>IF(OR(AD28=0,AF28&lt;&gt;""),0,IF(AND(W28=1,V28&gt;0),IF(OR(T28=1,U28=1),AH28,AG28),IF(OR(W28=1,V28&gt;0),AH28,IF(AA28=1,IF(AND(AE28+AQ28&gt;480,AE28&gt;=AQ28),AH28,0),IF(Z28=1,IF(AND(AR28+AE28&gt;480,AE28&gt;AR28),AH28,0),IF(AE28&gt;480,AH28,0))))))</f>
      </c>
      <c r="AK28" s="1">
        <f>MIN(AJ28,AM28)</f>
      </c>
      <c r="AL28" s="1">
        <f>IF(OR(AD28=0,AF28&lt;&gt;""),"",IF(AND(W28=0,V28=0,AA28=0,Z28=0,AE28&lt;=480),"nicht mehr als 8 Std.; ","")&amp;IF(AA28=1,IF(AJ28&gt;0,"über Mitternacht, zusammen "&amp;TEXT((AE28+AQ28)/1440,"[h]:mm")&amp;" Std.; ",IF(AE28+AQ28&gt;480,"über Mitternacht: Pauschale am Folgetag; ","über Mitternacht, zusammen nicht mehr als 8 Std.; ")),"")&amp;IF(Z28=1,IF(AJ28&gt;0,"über Mitternacht, zusammen "&amp;TEXT((AR28+AE28)/1440,"[h]:mm")&amp;" Std.; ",IF(AR28+AE28&gt;480,"über Mitternacht: Pauschale am Vortag; ","über Mitternacht, zusammen nicht mehr als 8 Std.; ")),"")&amp;IF(AND(W28=1,V28&gt;0,OR(T28=1,U28=1)),"zwischendurch zu Hause: An- und Abreisetag; ","")&amp;IF(AND(W28=1,V28=0,T28=1),"Beginn leer lassen: unterwegs seit dem Vortag; ","")&amp;IF(AND(W28=0,V28&gt;0,U28=1),"Ende leer lassen: Übernachtung; ","")&amp;IF(AND(AJ28&gt;0,AM28&gt;AJ28),"Kürzung auf die Pauschale begrenzt; ",""))</f>
      </c>
      <c r="AM28" s="1">
        <f>ROUND(AG28*(IF(H28&lt;&gt;"",0.2,0)+IF(I28&lt;&gt;"",0.4,0)+IF(J28&lt;&gt;"",0.4,0)),2)</f>
      </c>
      <c r="AN28" s="1">
        <f>IF($A29="",'Oktober'!$T$5,T29)</f>
      </c>
      <c r="AO28" s="1">
        <f>IF($A29="",'Oktober'!$U$5,U29)</f>
      </c>
      <c r="AP28" s="1">
        <f>IF($A29="",'Oktober'!$V$5,V29)</f>
      </c>
      <c r="AQ28" s="1">
        <f>IF($A29="",'Oktober'!$AE$5,AE29)</f>
      </c>
      <c r="AR28" s="1">
        <f>AE27</f>
      </c>
      <c r="AS28" s="1">
        <f>X27</f>
      </c>
      <c r="AT28" s="1">
        <f>U27</f>
      </c>
      <c r="AU28" s="1">
        <f>V27</f>
      </c>
    </row>
    <row r="29" spans="1:47" x14ac:dyDescent="0.25">
      <c r="A29" s="17">
        <f>IF(MONTH(DATE(Jahr,9,25))=9,DATE(Jahr,9,25),"")</f>
      </c>
      <c r="B29" s="13">
        <f>IF(A29="","",CHOOSE(WEEKDAY(A29,2),"Mo","Di","Mi","Do","Fr","Sa","So"))</f>
      </c>
      <c r="C29" s="18"/>
      <c r="D29" s="18"/>
      <c r="E29" s="7"/>
      <c r="F29" s="7"/>
      <c r="G29" s="7"/>
      <c r="H29" s="19"/>
      <c r="I29" s="19"/>
      <c r="J29" s="19"/>
      <c r="K29" s="9"/>
      <c r="L29" s="20">
        <f>IF(OR(AD29=0,AF29&lt;&gt;"",AND(W29=1,V29&gt;0,OR(T29=1,U29=1))),"",AE29/1440)</f>
      </c>
      <c r="M29" s="21">
        <f>IF(OR(AD29=0,AF29&lt;&gt;""),"",AJ29)</f>
      </c>
      <c r="N29" s="21">
        <f>IF(AK29=0,"",AK29)</f>
      </c>
      <c r="O29" s="21">
        <f>IF(OR(AD29=0,AF29&lt;&gt;""),"",AJ29-AK29)</f>
      </c>
      <c r="P29" s="21">
        <f>IF(AND(AD29=1,AF29="",V29=2),AI29,"")</f>
      </c>
      <c r="Q29" s="21">
        <f>IF(OR($A29="",N(K29)=0),"",ROUND(K29*KmSatz,2))</f>
      </c>
      <c r="R29" s="22">
        <f>IF(AF29&amp;AL29="","",LEFT(AF29&amp;AL29,LEN(AF29&amp;AL29)-2))</f>
      </c>
      <c r="S29" s="1"/>
      <c r="T29" s="1">
        <f>IF(AND($A29&lt;&gt;"",ISNUMBER(C29)),1,0)</f>
      </c>
      <c r="U29" s="1">
        <f>IF(AND($A29&lt;&gt;"",ISNUMBER(D29)),1,0)</f>
      </c>
      <c r="V29" s="1">
        <f>IF($A29="",0,IF(E29="ja",1,IF(E29="Pauschale",2,0)))</f>
      </c>
      <c r="W29" s="1">
        <f>IF($A29="",0,IF(AU29&gt;0,1,0))</f>
      </c>
      <c r="X29" s="1">
        <f>IF(AND(T29=1,W29=0),1,0)</f>
      </c>
      <c r="Y29" s="1">
        <f>IF(AND(AS29=1,AT29=0,AU29=0),1,0)</f>
      </c>
      <c r="Z29" s="1">
        <f>IF(AND(Y29=1,T29=0,U29=1,V29=0),1,0)</f>
      </c>
      <c r="AA29" s="1">
        <f>IF(AND(X29=1,U29=0,V29=0,AN29=0,AO29=1,AP29=0),1,0)</f>
      </c>
      <c r="AB29" s="1">
        <f>IF(OR(W29=1,Z29=1),0,IF(T29=1,C29,0))</f>
      </c>
      <c r="AC29" s="1">
        <f>IF(OR(V29&gt;0,AA29=1),1,IF(U29=1,D29,1))</f>
      </c>
      <c r="AD29" s="1">
        <f>IF($A29="",0,IF(OR(T29=1,U29=1,V29&gt;0,W29=1),1,0))</f>
      </c>
      <c r="AE29" s="1">
        <f>IF(AD29=0,0,ROUND((AC29-AB29)*1440,0))</f>
      </c>
      <c r="AF29" s="1">
        <f>IF(AD29=0,"",IF(AND(F29&lt;&gt;"",ISNA(MATCH(F29,PauschLand,0))),"Land nicht in der Liste; ","")&amp;IF(AND(T29=0,W29=0,Z29=0),"Beginn fehlt; ","")&amp;IF(AND(V29=0,U29=0,AA29=0),"Ende fehlt; ","")&amp;IF(AND(X29=1,U29=1,V29=0,N(D29)&lt;N(C29)),"Ende vor Beginn (über Mitternacht: Ende in die Zeile des Folgetags); ",""))</f>
      </c>
      <c r="AG29" s="1">
        <f>IF(AD29=0,0,IFERROR(VLOOKUP(IF(F29="","Deutschland",F29),PauschTab,2,FALSE),0))</f>
      </c>
      <c r="AH29" s="1">
        <f>IF(AD29=0,0,IFERROR(VLOOKUP(IF(F29="","Deutschland",F29),PauschTab,3,FALSE),0))</f>
      </c>
      <c r="AI29" s="1">
        <f>IF(AD29=0,0,IFERROR(VLOOKUP(IF(F29="","Deutschland",F29),PauschTab,4,FALSE),0))</f>
      </c>
      <c r="AJ29" s="1">
        <f>IF(OR(AD29=0,AF29&lt;&gt;""),0,IF(AND(W29=1,V29&gt;0),IF(OR(T29=1,U29=1),AH29,AG29),IF(OR(W29=1,V29&gt;0),AH29,IF(AA29=1,IF(AND(AE29+AQ29&gt;480,AE29&gt;=AQ29),AH29,0),IF(Z29=1,IF(AND(AR29+AE29&gt;480,AE29&gt;AR29),AH29,0),IF(AE29&gt;480,AH29,0))))))</f>
      </c>
      <c r="AK29" s="1">
        <f>MIN(AJ29,AM29)</f>
      </c>
      <c r="AL29" s="1">
        <f>IF(OR(AD29=0,AF29&lt;&gt;""),"",IF(AND(W29=0,V29=0,AA29=0,Z29=0,AE29&lt;=480),"nicht mehr als 8 Std.; ","")&amp;IF(AA29=1,IF(AJ29&gt;0,"über Mitternacht, zusammen "&amp;TEXT((AE29+AQ29)/1440,"[h]:mm")&amp;" Std.; ",IF(AE29+AQ29&gt;480,"über Mitternacht: Pauschale am Folgetag; ","über Mitternacht, zusammen nicht mehr als 8 Std.; ")),"")&amp;IF(Z29=1,IF(AJ29&gt;0,"über Mitternacht, zusammen "&amp;TEXT((AR29+AE29)/1440,"[h]:mm")&amp;" Std.; ",IF(AR29+AE29&gt;480,"über Mitternacht: Pauschale am Vortag; ","über Mitternacht, zusammen nicht mehr als 8 Std.; ")),"")&amp;IF(AND(W29=1,V29&gt;0,OR(T29=1,U29=1)),"zwischendurch zu Hause: An- und Abreisetag; ","")&amp;IF(AND(W29=1,V29=0,T29=1),"Beginn leer lassen: unterwegs seit dem Vortag; ","")&amp;IF(AND(W29=0,V29&gt;0,U29=1),"Ende leer lassen: Übernachtung; ","")&amp;IF(AND(AJ29&gt;0,AM29&gt;AJ29),"Kürzung auf die Pauschale begrenzt; ",""))</f>
      </c>
      <c r="AM29" s="1">
        <f>ROUND(AG29*(IF(H29&lt;&gt;"",0.2,0)+IF(I29&lt;&gt;"",0.4,0)+IF(J29&lt;&gt;"",0.4,0)),2)</f>
      </c>
      <c r="AN29" s="1">
        <f>IF($A30="",'Oktober'!$T$5,T30)</f>
      </c>
      <c r="AO29" s="1">
        <f>IF($A30="",'Oktober'!$U$5,U30)</f>
      </c>
      <c r="AP29" s="1">
        <f>IF($A30="",'Oktober'!$V$5,V30)</f>
      </c>
      <c r="AQ29" s="1">
        <f>IF($A30="",'Oktober'!$AE$5,AE30)</f>
      </c>
      <c r="AR29" s="1">
        <f>AE28</f>
      </c>
      <c r="AS29" s="1">
        <f>X28</f>
      </c>
      <c r="AT29" s="1">
        <f>U28</f>
      </c>
      <c r="AU29" s="1">
        <f>V28</f>
      </c>
    </row>
    <row r="30" spans="1:47" x14ac:dyDescent="0.25">
      <c r="A30" s="17">
        <f>IF(MONTH(DATE(Jahr,9,26))=9,DATE(Jahr,9,26),"")</f>
      </c>
      <c r="B30" s="13">
        <f>IF(A30="","",CHOOSE(WEEKDAY(A30,2),"Mo","Di","Mi","Do","Fr","Sa","So"))</f>
      </c>
      <c r="C30" s="18"/>
      <c r="D30" s="18"/>
      <c r="E30" s="7"/>
      <c r="F30" s="7"/>
      <c r="G30" s="7"/>
      <c r="H30" s="19"/>
      <c r="I30" s="19"/>
      <c r="J30" s="19"/>
      <c r="K30" s="9"/>
      <c r="L30" s="20">
        <f>IF(OR(AD30=0,AF30&lt;&gt;"",AND(W30=1,V30&gt;0,OR(T30=1,U30=1))),"",AE30/1440)</f>
      </c>
      <c r="M30" s="21">
        <f>IF(OR(AD30=0,AF30&lt;&gt;""),"",AJ30)</f>
      </c>
      <c r="N30" s="21">
        <f>IF(AK30=0,"",AK30)</f>
      </c>
      <c r="O30" s="21">
        <f>IF(OR(AD30=0,AF30&lt;&gt;""),"",AJ30-AK30)</f>
      </c>
      <c r="P30" s="21">
        <f>IF(AND(AD30=1,AF30="",V30=2),AI30,"")</f>
      </c>
      <c r="Q30" s="21">
        <f>IF(OR($A30="",N(K30)=0),"",ROUND(K30*KmSatz,2))</f>
      </c>
      <c r="R30" s="22">
        <f>IF(AF30&amp;AL30="","",LEFT(AF30&amp;AL30,LEN(AF30&amp;AL30)-2))</f>
      </c>
      <c r="S30" s="1"/>
      <c r="T30" s="1">
        <f>IF(AND($A30&lt;&gt;"",ISNUMBER(C30)),1,0)</f>
      </c>
      <c r="U30" s="1">
        <f>IF(AND($A30&lt;&gt;"",ISNUMBER(D30)),1,0)</f>
      </c>
      <c r="V30" s="1">
        <f>IF($A30="",0,IF(E30="ja",1,IF(E30="Pauschale",2,0)))</f>
      </c>
      <c r="W30" s="1">
        <f>IF($A30="",0,IF(AU30&gt;0,1,0))</f>
      </c>
      <c r="X30" s="1">
        <f>IF(AND(T30=1,W30=0),1,0)</f>
      </c>
      <c r="Y30" s="1">
        <f>IF(AND(AS30=1,AT30=0,AU30=0),1,0)</f>
      </c>
      <c r="Z30" s="1">
        <f>IF(AND(Y30=1,T30=0,U30=1,V30=0),1,0)</f>
      </c>
      <c r="AA30" s="1">
        <f>IF(AND(X30=1,U30=0,V30=0,AN30=0,AO30=1,AP30=0),1,0)</f>
      </c>
      <c r="AB30" s="1">
        <f>IF(OR(W30=1,Z30=1),0,IF(T30=1,C30,0))</f>
      </c>
      <c r="AC30" s="1">
        <f>IF(OR(V30&gt;0,AA30=1),1,IF(U30=1,D30,1))</f>
      </c>
      <c r="AD30" s="1">
        <f>IF($A30="",0,IF(OR(T30=1,U30=1,V30&gt;0,W30=1),1,0))</f>
      </c>
      <c r="AE30" s="1">
        <f>IF(AD30=0,0,ROUND((AC30-AB30)*1440,0))</f>
      </c>
      <c r="AF30" s="1">
        <f>IF(AD30=0,"",IF(AND(F30&lt;&gt;"",ISNA(MATCH(F30,PauschLand,0))),"Land nicht in der Liste; ","")&amp;IF(AND(T30=0,W30=0,Z30=0),"Beginn fehlt; ","")&amp;IF(AND(V30=0,U30=0,AA30=0),"Ende fehlt; ","")&amp;IF(AND(X30=1,U30=1,V30=0,N(D30)&lt;N(C30)),"Ende vor Beginn (über Mitternacht: Ende in die Zeile des Folgetags); ",""))</f>
      </c>
      <c r="AG30" s="1">
        <f>IF(AD30=0,0,IFERROR(VLOOKUP(IF(F30="","Deutschland",F30),PauschTab,2,FALSE),0))</f>
      </c>
      <c r="AH30" s="1">
        <f>IF(AD30=0,0,IFERROR(VLOOKUP(IF(F30="","Deutschland",F30),PauschTab,3,FALSE),0))</f>
      </c>
      <c r="AI30" s="1">
        <f>IF(AD30=0,0,IFERROR(VLOOKUP(IF(F30="","Deutschland",F30),PauschTab,4,FALSE),0))</f>
      </c>
      <c r="AJ30" s="1">
        <f>IF(OR(AD30=0,AF30&lt;&gt;""),0,IF(AND(W30=1,V30&gt;0),IF(OR(T30=1,U30=1),AH30,AG30),IF(OR(W30=1,V30&gt;0),AH30,IF(AA30=1,IF(AND(AE30+AQ30&gt;480,AE30&gt;=AQ30),AH30,0),IF(Z30=1,IF(AND(AR30+AE30&gt;480,AE30&gt;AR30),AH30,0),IF(AE30&gt;480,AH30,0))))))</f>
      </c>
      <c r="AK30" s="1">
        <f>MIN(AJ30,AM30)</f>
      </c>
      <c r="AL30" s="1">
        <f>IF(OR(AD30=0,AF30&lt;&gt;""),"",IF(AND(W30=0,V30=0,AA30=0,Z30=0,AE30&lt;=480),"nicht mehr als 8 Std.; ","")&amp;IF(AA30=1,IF(AJ30&gt;0,"über Mitternacht, zusammen "&amp;TEXT((AE30+AQ30)/1440,"[h]:mm")&amp;" Std.; ",IF(AE30+AQ30&gt;480,"über Mitternacht: Pauschale am Folgetag; ","über Mitternacht, zusammen nicht mehr als 8 Std.; ")),"")&amp;IF(Z30=1,IF(AJ30&gt;0,"über Mitternacht, zusammen "&amp;TEXT((AR30+AE30)/1440,"[h]:mm")&amp;" Std.; ",IF(AR30+AE30&gt;480,"über Mitternacht: Pauschale am Vortag; ","über Mitternacht, zusammen nicht mehr als 8 Std.; ")),"")&amp;IF(AND(W30=1,V30&gt;0,OR(T30=1,U30=1)),"zwischendurch zu Hause: An- und Abreisetag; ","")&amp;IF(AND(W30=1,V30=0,T30=1),"Beginn leer lassen: unterwegs seit dem Vortag; ","")&amp;IF(AND(W30=0,V30&gt;0,U30=1),"Ende leer lassen: Übernachtung; ","")&amp;IF(AND(AJ30&gt;0,AM30&gt;AJ30),"Kürzung auf die Pauschale begrenzt; ",""))</f>
      </c>
      <c r="AM30" s="1">
        <f>ROUND(AG30*(IF(H30&lt;&gt;"",0.2,0)+IF(I30&lt;&gt;"",0.4,0)+IF(J30&lt;&gt;"",0.4,0)),2)</f>
      </c>
      <c r="AN30" s="1">
        <f>IF($A31="",'Oktober'!$T$5,T31)</f>
      </c>
      <c r="AO30" s="1">
        <f>IF($A31="",'Oktober'!$U$5,U31)</f>
      </c>
      <c r="AP30" s="1">
        <f>IF($A31="",'Oktober'!$V$5,V31)</f>
      </c>
      <c r="AQ30" s="1">
        <f>IF($A31="",'Oktober'!$AE$5,AE31)</f>
      </c>
      <c r="AR30" s="1">
        <f>AE29</f>
      </c>
      <c r="AS30" s="1">
        <f>X29</f>
      </c>
      <c r="AT30" s="1">
        <f>U29</f>
      </c>
      <c r="AU30" s="1">
        <f>V29</f>
      </c>
    </row>
    <row r="31" spans="1:47" x14ac:dyDescent="0.25">
      <c r="A31" s="17">
        <f>IF(MONTH(DATE(Jahr,9,27))=9,DATE(Jahr,9,27),"")</f>
      </c>
      <c r="B31" s="13">
        <f>IF(A31="","",CHOOSE(WEEKDAY(A31,2),"Mo","Di","Mi","Do","Fr","Sa","So"))</f>
      </c>
      <c r="C31" s="18"/>
      <c r="D31" s="18"/>
      <c r="E31" s="7"/>
      <c r="F31" s="7"/>
      <c r="G31" s="7"/>
      <c r="H31" s="19"/>
      <c r="I31" s="19"/>
      <c r="J31" s="19"/>
      <c r="K31" s="9"/>
      <c r="L31" s="20">
        <f>IF(OR(AD31=0,AF31&lt;&gt;"",AND(W31=1,V31&gt;0,OR(T31=1,U31=1))),"",AE31/1440)</f>
      </c>
      <c r="M31" s="21">
        <f>IF(OR(AD31=0,AF31&lt;&gt;""),"",AJ31)</f>
      </c>
      <c r="N31" s="21">
        <f>IF(AK31=0,"",AK31)</f>
      </c>
      <c r="O31" s="21">
        <f>IF(OR(AD31=0,AF31&lt;&gt;""),"",AJ31-AK31)</f>
      </c>
      <c r="P31" s="21">
        <f>IF(AND(AD31=1,AF31="",V31=2),AI31,"")</f>
      </c>
      <c r="Q31" s="21">
        <f>IF(OR($A31="",N(K31)=0),"",ROUND(K31*KmSatz,2))</f>
      </c>
      <c r="R31" s="22">
        <f>IF(AF31&amp;AL31="","",LEFT(AF31&amp;AL31,LEN(AF31&amp;AL31)-2))</f>
      </c>
      <c r="S31" s="1"/>
      <c r="T31" s="1">
        <f>IF(AND($A31&lt;&gt;"",ISNUMBER(C31)),1,0)</f>
      </c>
      <c r="U31" s="1">
        <f>IF(AND($A31&lt;&gt;"",ISNUMBER(D31)),1,0)</f>
      </c>
      <c r="V31" s="1">
        <f>IF($A31="",0,IF(E31="ja",1,IF(E31="Pauschale",2,0)))</f>
      </c>
      <c r="W31" s="1">
        <f>IF($A31="",0,IF(AU31&gt;0,1,0))</f>
      </c>
      <c r="X31" s="1">
        <f>IF(AND(T31=1,W31=0),1,0)</f>
      </c>
      <c r="Y31" s="1">
        <f>IF(AND(AS31=1,AT31=0,AU31=0),1,0)</f>
      </c>
      <c r="Z31" s="1">
        <f>IF(AND(Y31=1,T31=0,U31=1,V31=0),1,0)</f>
      </c>
      <c r="AA31" s="1">
        <f>IF(AND(X31=1,U31=0,V31=0,AN31=0,AO31=1,AP31=0),1,0)</f>
      </c>
      <c r="AB31" s="1">
        <f>IF(OR(W31=1,Z31=1),0,IF(T31=1,C31,0))</f>
      </c>
      <c r="AC31" s="1">
        <f>IF(OR(V31&gt;0,AA31=1),1,IF(U31=1,D31,1))</f>
      </c>
      <c r="AD31" s="1">
        <f>IF($A31="",0,IF(OR(T31=1,U31=1,V31&gt;0,W31=1),1,0))</f>
      </c>
      <c r="AE31" s="1">
        <f>IF(AD31=0,0,ROUND((AC31-AB31)*1440,0))</f>
      </c>
      <c r="AF31" s="1">
        <f>IF(AD31=0,"",IF(AND(F31&lt;&gt;"",ISNA(MATCH(F31,PauschLand,0))),"Land nicht in der Liste; ","")&amp;IF(AND(T31=0,W31=0,Z31=0),"Beginn fehlt; ","")&amp;IF(AND(V31=0,U31=0,AA31=0),"Ende fehlt; ","")&amp;IF(AND(X31=1,U31=1,V31=0,N(D31)&lt;N(C31)),"Ende vor Beginn (über Mitternacht: Ende in die Zeile des Folgetags); ",""))</f>
      </c>
      <c r="AG31" s="1">
        <f>IF(AD31=0,0,IFERROR(VLOOKUP(IF(F31="","Deutschland",F31),PauschTab,2,FALSE),0))</f>
      </c>
      <c r="AH31" s="1">
        <f>IF(AD31=0,0,IFERROR(VLOOKUP(IF(F31="","Deutschland",F31),PauschTab,3,FALSE),0))</f>
      </c>
      <c r="AI31" s="1">
        <f>IF(AD31=0,0,IFERROR(VLOOKUP(IF(F31="","Deutschland",F31),PauschTab,4,FALSE),0))</f>
      </c>
      <c r="AJ31" s="1">
        <f>IF(OR(AD31=0,AF31&lt;&gt;""),0,IF(AND(W31=1,V31&gt;0),IF(OR(T31=1,U31=1),AH31,AG31),IF(OR(W31=1,V31&gt;0),AH31,IF(AA31=1,IF(AND(AE31+AQ31&gt;480,AE31&gt;=AQ31),AH31,0),IF(Z31=1,IF(AND(AR31+AE31&gt;480,AE31&gt;AR31),AH31,0),IF(AE31&gt;480,AH31,0))))))</f>
      </c>
      <c r="AK31" s="1">
        <f>MIN(AJ31,AM31)</f>
      </c>
      <c r="AL31" s="1">
        <f>IF(OR(AD31=0,AF31&lt;&gt;""),"",IF(AND(W31=0,V31=0,AA31=0,Z31=0,AE31&lt;=480),"nicht mehr als 8 Std.; ","")&amp;IF(AA31=1,IF(AJ31&gt;0,"über Mitternacht, zusammen "&amp;TEXT((AE31+AQ31)/1440,"[h]:mm")&amp;" Std.; ",IF(AE31+AQ31&gt;480,"über Mitternacht: Pauschale am Folgetag; ","über Mitternacht, zusammen nicht mehr als 8 Std.; ")),"")&amp;IF(Z31=1,IF(AJ31&gt;0,"über Mitternacht, zusammen "&amp;TEXT((AR31+AE31)/1440,"[h]:mm")&amp;" Std.; ",IF(AR31+AE31&gt;480,"über Mitternacht: Pauschale am Vortag; ","über Mitternacht, zusammen nicht mehr als 8 Std.; ")),"")&amp;IF(AND(W31=1,V31&gt;0,OR(T31=1,U31=1)),"zwischendurch zu Hause: An- und Abreisetag; ","")&amp;IF(AND(W31=1,V31=0,T31=1),"Beginn leer lassen: unterwegs seit dem Vortag; ","")&amp;IF(AND(W31=0,V31&gt;0,U31=1),"Ende leer lassen: Übernachtung; ","")&amp;IF(AND(AJ31&gt;0,AM31&gt;AJ31),"Kürzung auf die Pauschale begrenzt; ",""))</f>
      </c>
      <c r="AM31" s="1">
        <f>ROUND(AG31*(IF(H31&lt;&gt;"",0.2,0)+IF(I31&lt;&gt;"",0.4,0)+IF(J31&lt;&gt;"",0.4,0)),2)</f>
      </c>
      <c r="AN31" s="1">
        <f>IF($A32="",'Oktober'!$T$5,T32)</f>
      </c>
      <c r="AO31" s="1">
        <f>IF($A32="",'Oktober'!$U$5,U32)</f>
      </c>
      <c r="AP31" s="1">
        <f>IF($A32="",'Oktober'!$V$5,V32)</f>
      </c>
      <c r="AQ31" s="1">
        <f>IF($A32="",'Oktober'!$AE$5,AE32)</f>
      </c>
      <c r="AR31" s="1">
        <f>AE30</f>
      </c>
      <c r="AS31" s="1">
        <f>X30</f>
      </c>
      <c r="AT31" s="1">
        <f>U30</f>
      </c>
      <c r="AU31" s="1">
        <f>V30</f>
      </c>
    </row>
    <row r="32" spans="1:47" x14ac:dyDescent="0.25">
      <c r="A32" s="17">
        <f>IF(MONTH(DATE(Jahr,9,28))=9,DATE(Jahr,9,28),"")</f>
      </c>
      <c r="B32" s="13">
        <f>IF(A32="","",CHOOSE(WEEKDAY(A32,2),"Mo","Di","Mi","Do","Fr","Sa","So"))</f>
      </c>
      <c r="C32" s="18"/>
      <c r="D32" s="18"/>
      <c r="E32" s="7"/>
      <c r="F32" s="7"/>
      <c r="G32" s="7"/>
      <c r="H32" s="19"/>
      <c r="I32" s="19"/>
      <c r="J32" s="19"/>
      <c r="K32" s="9"/>
      <c r="L32" s="20">
        <f>IF(OR(AD32=0,AF32&lt;&gt;"",AND(W32=1,V32&gt;0,OR(T32=1,U32=1))),"",AE32/1440)</f>
      </c>
      <c r="M32" s="21">
        <f>IF(OR(AD32=0,AF32&lt;&gt;""),"",AJ32)</f>
      </c>
      <c r="N32" s="21">
        <f>IF(AK32=0,"",AK32)</f>
      </c>
      <c r="O32" s="21">
        <f>IF(OR(AD32=0,AF32&lt;&gt;""),"",AJ32-AK32)</f>
      </c>
      <c r="P32" s="21">
        <f>IF(AND(AD32=1,AF32="",V32=2),AI32,"")</f>
      </c>
      <c r="Q32" s="21">
        <f>IF(OR($A32="",N(K32)=0),"",ROUND(K32*KmSatz,2))</f>
      </c>
      <c r="R32" s="22">
        <f>IF(AF32&amp;AL32="","",LEFT(AF32&amp;AL32,LEN(AF32&amp;AL32)-2))</f>
      </c>
      <c r="S32" s="1"/>
      <c r="T32" s="1">
        <f>IF(AND($A32&lt;&gt;"",ISNUMBER(C32)),1,0)</f>
      </c>
      <c r="U32" s="1">
        <f>IF(AND($A32&lt;&gt;"",ISNUMBER(D32)),1,0)</f>
      </c>
      <c r="V32" s="1">
        <f>IF($A32="",0,IF(E32="ja",1,IF(E32="Pauschale",2,0)))</f>
      </c>
      <c r="W32" s="1">
        <f>IF($A32="",0,IF(AU32&gt;0,1,0))</f>
      </c>
      <c r="X32" s="1">
        <f>IF(AND(T32=1,W32=0),1,0)</f>
      </c>
      <c r="Y32" s="1">
        <f>IF(AND(AS32=1,AT32=0,AU32=0),1,0)</f>
      </c>
      <c r="Z32" s="1">
        <f>IF(AND(Y32=1,T32=0,U32=1,V32=0),1,0)</f>
      </c>
      <c r="AA32" s="1">
        <f>IF(AND(X32=1,U32=0,V32=0,AN32=0,AO32=1,AP32=0),1,0)</f>
      </c>
      <c r="AB32" s="1">
        <f>IF(OR(W32=1,Z32=1),0,IF(T32=1,C32,0))</f>
      </c>
      <c r="AC32" s="1">
        <f>IF(OR(V32&gt;0,AA32=1),1,IF(U32=1,D32,1))</f>
      </c>
      <c r="AD32" s="1">
        <f>IF($A32="",0,IF(OR(T32=1,U32=1,V32&gt;0,W32=1),1,0))</f>
      </c>
      <c r="AE32" s="1">
        <f>IF(AD32=0,0,ROUND((AC32-AB32)*1440,0))</f>
      </c>
      <c r="AF32" s="1">
        <f>IF(AD32=0,"",IF(AND(F32&lt;&gt;"",ISNA(MATCH(F32,PauschLand,0))),"Land nicht in der Liste; ","")&amp;IF(AND(T32=0,W32=0,Z32=0),"Beginn fehlt; ","")&amp;IF(AND(V32=0,U32=0,AA32=0),"Ende fehlt; ","")&amp;IF(AND(X32=1,U32=1,V32=0,N(D32)&lt;N(C32)),"Ende vor Beginn (über Mitternacht: Ende in die Zeile des Folgetags); ",""))</f>
      </c>
      <c r="AG32" s="1">
        <f>IF(AD32=0,0,IFERROR(VLOOKUP(IF(F32="","Deutschland",F32),PauschTab,2,FALSE),0))</f>
      </c>
      <c r="AH32" s="1">
        <f>IF(AD32=0,0,IFERROR(VLOOKUP(IF(F32="","Deutschland",F32),PauschTab,3,FALSE),0))</f>
      </c>
      <c r="AI32" s="1">
        <f>IF(AD32=0,0,IFERROR(VLOOKUP(IF(F32="","Deutschland",F32),PauschTab,4,FALSE),0))</f>
      </c>
      <c r="AJ32" s="1">
        <f>IF(OR(AD32=0,AF32&lt;&gt;""),0,IF(AND(W32=1,V32&gt;0),IF(OR(T32=1,U32=1),AH32,AG32),IF(OR(W32=1,V32&gt;0),AH32,IF(AA32=1,IF(AND(AE32+AQ32&gt;480,AE32&gt;=AQ32),AH32,0),IF(Z32=1,IF(AND(AR32+AE32&gt;480,AE32&gt;AR32),AH32,0),IF(AE32&gt;480,AH32,0))))))</f>
      </c>
      <c r="AK32" s="1">
        <f>MIN(AJ32,AM32)</f>
      </c>
      <c r="AL32" s="1">
        <f>IF(OR(AD32=0,AF32&lt;&gt;""),"",IF(AND(W32=0,V32=0,AA32=0,Z32=0,AE32&lt;=480),"nicht mehr als 8 Std.; ","")&amp;IF(AA32=1,IF(AJ32&gt;0,"über Mitternacht, zusammen "&amp;TEXT((AE32+AQ32)/1440,"[h]:mm")&amp;" Std.; ",IF(AE32+AQ32&gt;480,"über Mitternacht: Pauschale am Folgetag; ","über Mitternacht, zusammen nicht mehr als 8 Std.; ")),"")&amp;IF(Z32=1,IF(AJ32&gt;0,"über Mitternacht, zusammen "&amp;TEXT((AR32+AE32)/1440,"[h]:mm")&amp;" Std.; ",IF(AR32+AE32&gt;480,"über Mitternacht: Pauschale am Vortag; ","über Mitternacht, zusammen nicht mehr als 8 Std.; ")),"")&amp;IF(AND(W32=1,V32&gt;0,OR(T32=1,U32=1)),"zwischendurch zu Hause: An- und Abreisetag; ","")&amp;IF(AND(W32=1,V32=0,T32=1),"Beginn leer lassen: unterwegs seit dem Vortag; ","")&amp;IF(AND(W32=0,V32&gt;0,U32=1),"Ende leer lassen: Übernachtung; ","")&amp;IF(AND(AJ32&gt;0,AM32&gt;AJ32),"Kürzung auf die Pauschale begrenzt; ",""))</f>
      </c>
      <c r="AM32" s="1">
        <f>ROUND(AG32*(IF(H32&lt;&gt;"",0.2,0)+IF(I32&lt;&gt;"",0.4,0)+IF(J32&lt;&gt;"",0.4,0)),2)</f>
      </c>
      <c r="AN32" s="1">
        <f>IF($A33="",'Oktober'!$T$5,T33)</f>
      </c>
      <c r="AO32" s="1">
        <f>IF($A33="",'Oktober'!$U$5,U33)</f>
      </c>
      <c r="AP32" s="1">
        <f>IF($A33="",'Oktober'!$V$5,V33)</f>
      </c>
      <c r="AQ32" s="1">
        <f>IF($A33="",'Oktober'!$AE$5,AE33)</f>
      </c>
      <c r="AR32" s="1">
        <f>AE31</f>
      </c>
      <c r="AS32" s="1">
        <f>X31</f>
      </c>
      <c r="AT32" s="1">
        <f>U31</f>
      </c>
      <c r="AU32" s="1">
        <f>V31</f>
      </c>
    </row>
    <row r="33" spans="1:47" x14ac:dyDescent="0.25">
      <c r="A33" s="17">
        <f>IF(MONTH(DATE(Jahr,9,29))=9,DATE(Jahr,9,29),"")</f>
      </c>
      <c r="B33" s="13">
        <f>IF(A33="","",CHOOSE(WEEKDAY(A33,2),"Mo","Di","Mi","Do","Fr","Sa","So"))</f>
      </c>
      <c r="C33" s="18"/>
      <c r="D33" s="18"/>
      <c r="E33" s="7"/>
      <c r="F33" s="7"/>
      <c r="G33" s="7"/>
      <c r="H33" s="19"/>
      <c r="I33" s="19"/>
      <c r="J33" s="19"/>
      <c r="K33" s="9"/>
      <c r="L33" s="20">
        <f>IF(OR(AD33=0,AF33&lt;&gt;"",AND(W33=1,V33&gt;0,OR(T33=1,U33=1))),"",AE33/1440)</f>
      </c>
      <c r="M33" s="21">
        <f>IF(OR(AD33=0,AF33&lt;&gt;""),"",AJ33)</f>
      </c>
      <c r="N33" s="21">
        <f>IF(AK33=0,"",AK33)</f>
      </c>
      <c r="O33" s="21">
        <f>IF(OR(AD33=0,AF33&lt;&gt;""),"",AJ33-AK33)</f>
      </c>
      <c r="P33" s="21">
        <f>IF(AND(AD33=1,AF33="",V33=2),AI33,"")</f>
      </c>
      <c r="Q33" s="21">
        <f>IF(OR($A33="",N(K33)=0),"",ROUND(K33*KmSatz,2))</f>
      </c>
      <c r="R33" s="22">
        <f>IF(AF33&amp;AL33="","",LEFT(AF33&amp;AL33,LEN(AF33&amp;AL33)-2))</f>
      </c>
      <c r="S33" s="1"/>
      <c r="T33" s="1">
        <f>IF(AND($A33&lt;&gt;"",ISNUMBER(C33)),1,0)</f>
      </c>
      <c r="U33" s="1">
        <f>IF(AND($A33&lt;&gt;"",ISNUMBER(D33)),1,0)</f>
      </c>
      <c r="V33" s="1">
        <f>IF($A33="",0,IF(E33="ja",1,IF(E33="Pauschale",2,0)))</f>
      </c>
      <c r="W33" s="1">
        <f>IF($A33="",0,IF(AU33&gt;0,1,0))</f>
      </c>
      <c r="X33" s="1">
        <f>IF(AND(T33=1,W33=0),1,0)</f>
      </c>
      <c r="Y33" s="1">
        <f>IF(AND(AS33=1,AT33=0,AU33=0),1,0)</f>
      </c>
      <c r="Z33" s="1">
        <f>IF(AND(Y33=1,T33=0,U33=1,V33=0),1,0)</f>
      </c>
      <c r="AA33" s="1">
        <f>IF(AND(X33=1,U33=0,V33=0,AN33=0,AO33=1,AP33=0),1,0)</f>
      </c>
      <c r="AB33" s="1">
        <f>IF(OR(W33=1,Z33=1),0,IF(T33=1,C33,0))</f>
      </c>
      <c r="AC33" s="1">
        <f>IF(OR(V33&gt;0,AA33=1),1,IF(U33=1,D33,1))</f>
      </c>
      <c r="AD33" s="1">
        <f>IF($A33="",0,IF(OR(T33=1,U33=1,V33&gt;0,W33=1),1,0))</f>
      </c>
      <c r="AE33" s="1">
        <f>IF(AD33=0,0,ROUND((AC33-AB33)*1440,0))</f>
      </c>
      <c r="AF33" s="1">
        <f>IF(AD33=0,"",IF(AND(F33&lt;&gt;"",ISNA(MATCH(F33,PauschLand,0))),"Land nicht in der Liste; ","")&amp;IF(AND(T33=0,W33=0,Z33=0),"Beginn fehlt; ","")&amp;IF(AND(V33=0,U33=0,AA33=0),"Ende fehlt; ","")&amp;IF(AND(X33=1,U33=1,V33=0,N(D33)&lt;N(C33)),"Ende vor Beginn (über Mitternacht: Ende in die Zeile des Folgetags); ",""))</f>
      </c>
      <c r="AG33" s="1">
        <f>IF(AD33=0,0,IFERROR(VLOOKUP(IF(F33="","Deutschland",F33),PauschTab,2,FALSE),0))</f>
      </c>
      <c r="AH33" s="1">
        <f>IF(AD33=0,0,IFERROR(VLOOKUP(IF(F33="","Deutschland",F33),PauschTab,3,FALSE),0))</f>
      </c>
      <c r="AI33" s="1">
        <f>IF(AD33=0,0,IFERROR(VLOOKUP(IF(F33="","Deutschland",F33),PauschTab,4,FALSE),0))</f>
      </c>
      <c r="AJ33" s="1">
        <f>IF(OR(AD33=0,AF33&lt;&gt;""),0,IF(AND(W33=1,V33&gt;0),IF(OR(T33=1,U33=1),AH33,AG33),IF(OR(W33=1,V33&gt;0),AH33,IF(AA33=1,IF(AND(AE33+AQ33&gt;480,AE33&gt;=AQ33),AH33,0),IF(Z33=1,IF(AND(AR33+AE33&gt;480,AE33&gt;AR33),AH33,0),IF(AE33&gt;480,AH33,0))))))</f>
      </c>
      <c r="AK33" s="1">
        <f>MIN(AJ33,AM33)</f>
      </c>
      <c r="AL33" s="1">
        <f>IF(OR(AD33=0,AF33&lt;&gt;""),"",IF(AND(W33=0,V33=0,AA33=0,Z33=0,AE33&lt;=480),"nicht mehr als 8 Std.; ","")&amp;IF(AA33=1,IF(AJ33&gt;0,"über Mitternacht, zusammen "&amp;TEXT((AE33+AQ33)/1440,"[h]:mm")&amp;" Std.; ",IF(AE33+AQ33&gt;480,"über Mitternacht: Pauschale am Folgetag; ","über Mitternacht, zusammen nicht mehr als 8 Std.; ")),"")&amp;IF(Z33=1,IF(AJ33&gt;0,"über Mitternacht, zusammen "&amp;TEXT((AR33+AE33)/1440,"[h]:mm")&amp;" Std.; ",IF(AR33+AE33&gt;480,"über Mitternacht: Pauschale am Vortag; ","über Mitternacht, zusammen nicht mehr als 8 Std.; ")),"")&amp;IF(AND(W33=1,V33&gt;0,OR(T33=1,U33=1)),"zwischendurch zu Hause: An- und Abreisetag; ","")&amp;IF(AND(W33=1,V33=0,T33=1),"Beginn leer lassen: unterwegs seit dem Vortag; ","")&amp;IF(AND(W33=0,V33&gt;0,U33=1),"Ende leer lassen: Übernachtung; ","")&amp;IF(AND(AJ33&gt;0,AM33&gt;AJ33),"Kürzung auf die Pauschale begrenzt; ",""))</f>
      </c>
      <c r="AM33" s="1">
        <f>ROUND(AG33*(IF(H33&lt;&gt;"",0.2,0)+IF(I33&lt;&gt;"",0.4,0)+IF(J33&lt;&gt;"",0.4,0)),2)</f>
      </c>
      <c r="AN33" s="1">
        <f>IF($A34="",'Oktober'!$T$5,T34)</f>
      </c>
      <c r="AO33" s="1">
        <f>IF($A34="",'Oktober'!$U$5,U34)</f>
      </c>
      <c r="AP33" s="1">
        <f>IF($A34="",'Oktober'!$V$5,V34)</f>
      </c>
      <c r="AQ33" s="1">
        <f>IF($A34="",'Oktober'!$AE$5,AE34)</f>
      </c>
      <c r="AR33" s="1">
        <f>AE32</f>
      </c>
      <c r="AS33" s="1">
        <f>X32</f>
      </c>
      <c r="AT33" s="1">
        <f>U32</f>
      </c>
      <c r="AU33" s="1">
        <f>V32</f>
      </c>
    </row>
    <row r="34" spans="1:47" x14ac:dyDescent="0.25">
      <c r="A34" s="17">
        <f>IF(MONTH(DATE(Jahr,9,30))=9,DATE(Jahr,9,30),"")</f>
      </c>
      <c r="B34" s="13">
        <f>IF(A34="","",CHOOSE(WEEKDAY(A34,2),"Mo","Di","Mi","Do","Fr","Sa","So"))</f>
      </c>
      <c r="C34" s="18"/>
      <c r="D34" s="18"/>
      <c r="E34" s="7"/>
      <c r="F34" s="7"/>
      <c r="G34" s="7"/>
      <c r="H34" s="19"/>
      <c r="I34" s="19"/>
      <c r="J34" s="19"/>
      <c r="K34" s="9"/>
      <c r="L34" s="20">
        <f>IF(OR(AD34=0,AF34&lt;&gt;"",AND(W34=1,V34&gt;0,OR(T34=1,U34=1))),"",AE34/1440)</f>
      </c>
      <c r="M34" s="21">
        <f>IF(OR(AD34=0,AF34&lt;&gt;""),"",AJ34)</f>
      </c>
      <c r="N34" s="21">
        <f>IF(AK34=0,"",AK34)</f>
      </c>
      <c r="O34" s="21">
        <f>IF(OR(AD34=0,AF34&lt;&gt;""),"",AJ34-AK34)</f>
      </c>
      <c r="P34" s="21">
        <f>IF(AND(AD34=1,AF34="",V34=2),AI34,"")</f>
      </c>
      <c r="Q34" s="21">
        <f>IF(OR($A34="",N(K34)=0),"",ROUND(K34*KmSatz,2))</f>
      </c>
      <c r="R34" s="22">
        <f>IF(AF34&amp;AL34="","",LEFT(AF34&amp;AL34,LEN(AF34&amp;AL34)-2))</f>
      </c>
      <c r="S34" s="1"/>
      <c r="T34" s="1">
        <f>IF(AND($A34&lt;&gt;"",ISNUMBER(C34)),1,0)</f>
      </c>
      <c r="U34" s="1">
        <f>IF(AND($A34&lt;&gt;"",ISNUMBER(D34)),1,0)</f>
      </c>
      <c r="V34" s="1">
        <f>IF($A34="",0,IF(E34="ja",1,IF(E34="Pauschale",2,0)))</f>
      </c>
      <c r="W34" s="1">
        <f>IF($A34="",0,IF(AU34&gt;0,1,0))</f>
      </c>
      <c r="X34" s="1">
        <f>IF(AND(T34=1,W34=0),1,0)</f>
      </c>
      <c r="Y34" s="1">
        <f>IF(AND(AS34=1,AT34=0,AU34=0),1,0)</f>
      </c>
      <c r="Z34" s="1">
        <f>IF(AND(Y34=1,T34=0,U34=1,V34=0),1,0)</f>
      </c>
      <c r="AA34" s="1">
        <f>IF(AND(X34=1,U34=0,V34=0,AN34=0,AO34=1,AP34=0),1,0)</f>
      </c>
      <c r="AB34" s="1">
        <f>IF(OR(W34=1,Z34=1),0,IF(T34=1,C34,0))</f>
      </c>
      <c r="AC34" s="1">
        <f>IF(OR(V34&gt;0,AA34=1),1,IF(U34=1,D34,1))</f>
      </c>
      <c r="AD34" s="1">
        <f>IF($A34="",0,IF(OR(T34=1,U34=1,V34&gt;0,W34=1),1,0))</f>
      </c>
      <c r="AE34" s="1">
        <f>IF(AD34=0,0,ROUND((AC34-AB34)*1440,0))</f>
      </c>
      <c r="AF34" s="1">
        <f>IF(AD34=0,"",IF(AND(F34&lt;&gt;"",ISNA(MATCH(F34,PauschLand,0))),"Land nicht in der Liste; ","")&amp;IF(AND(T34=0,W34=0,Z34=0),"Beginn fehlt; ","")&amp;IF(AND(V34=0,U34=0,AA34=0),"Ende fehlt; ","")&amp;IF(AND(X34=1,U34=1,V34=0,N(D34)&lt;N(C34)),"Ende vor Beginn (über Mitternacht: Ende in die Zeile des Folgetags); ",""))</f>
      </c>
      <c r="AG34" s="1">
        <f>IF(AD34=0,0,IFERROR(VLOOKUP(IF(F34="","Deutschland",F34),PauschTab,2,FALSE),0))</f>
      </c>
      <c r="AH34" s="1">
        <f>IF(AD34=0,0,IFERROR(VLOOKUP(IF(F34="","Deutschland",F34),PauschTab,3,FALSE),0))</f>
      </c>
      <c r="AI34" s="1">
        <f>IF(AD34=0,0,IFERROR(VLOOKUP(IF(F34="","Deutschland",F34),PauschTab,4,FALSE),0))</f>
      </c>
      <c r="AJ34" s="1">
        <f>IF(OR(AD34=0,AF34&lt;&gt;""),0,IF(AND(W34=1,V34&gt;0),IF(OR(T34=1,U34=1),AH34,AG34),IF(OR(W34=1,V34&gt;0),AH34,IF(AA34=1,IF(AND(AE34+AQ34&gt;480,AE34&gt;=AQ34),AH34,0),IF(Z34=1,IF(AND(AR34+AE34&gt;480,AE34&gt;AR34),AH34,0),IF(AE34&gt;480,AH34,0))))))</f>
      </c>
      <c r="AK34" s="1">
        <f>MIN(AJ34,AM34)</f>
      </c>
      <c r="AL34" s="1">
        <f>IF(OR(AD34=0,AF34&lt;&gt;""),"",IF(AND(W34=0,V34=0,AA34=0,Z34=0,AE34&lt;=480),"nicht mehr als 8 Std.; ","")&amp;IF(AA34=1,IF(AJ34&gt;0,"über Mitternacht, zusammen "&amp;TEXT((AE34+AQ34)/1440,"[h]:mm")&amp;" Std.; ",IF(AE34+AQ34&gt;480,"über Mitternacht: Pauschale am Folgetag; ","über Mitternacht, zusammen nicht mehr als 8 Std.; ")),"")&amp;IF(Z34=1,IF(AJ34&gt;0,"über Mitternacht, zusammen "&amp;TEXT((AR34+AE34)/1440,"[h]:mm")&amp;" Std.; ",IF(AR34+AE34&gt;480,"über Mitternacht: Pauschale am Vortag; ","über Mitternacht, zusammen nicht mehr als 8 Std.; ")),"")&amp;IF(AND(W34=1,V34&gt;0,OR(T34=1,U34=1)),"zwischendurch zu Hause: An- und Abreisetag; ","")&amp;IF(AND(W34=1,V34=0,T34=1),"Beginn leer lassen: unterwegs seit dem Vortag; ","")&amp;IF(AND(W34=0,V34&gt;0,U34=1),"Ende leer lassen: Übernachtung; ","")&amp;IF(AND(AJ34&gt;0,AM34&gt;AJ34),"Kürzung auf die Pauschale begrenzt; ",""))</f>
      </c>
      <c r="AM34" s="1">
        <f>ROUND(AG34*(IF(H34&lt;&gt;"",0.2,0)+IF(I34&lt;&gt;"",0.4,0)+IF(J34&lt;&gt;"",0.4,0)),2)</f>
      </c>
      <c r="AN34" s="1">
        <f>IF($A35="",'Oktober'!$T$5,T35)</f>
      </c>
      <c r="AO34" s="1">
        <f>IF($A35="",'Oktober'!$U$5,U35)</f>
      </c>
      <c r="AP34" s="1">
        <f>IF($A35="",'Oktober'!$V$5,V35)</f>
      </c>
      <c r="AQ34" s="1">
        <f>IF($A35="",'Oktober'!$AE$5,AE35)</f>
      </c>
      <c r="AR34" s="1">
        <f>AE33</f>
      </c>
      <c r="AS34" s="1">
        <f>X33</f>
      </c>
      <c r="AT34" s="1">
        <f>U33</f>
      </c>
      <c r="AU34" s="1">
        <f>V33</f>
      </c>
    </row>
    <row r="35" spans="1:47" x14ac:dyDescent="0.25">
      <c r="A35" s="17">
        <f>IF(MONTH(DATE(Jahr,9,31))=9,DATE(Jahr,9,31),"")</f>
      </c>
      <c r="B35" s="13">
        <f>IF(A35="","",CHOOSE(WEEKDAY(A35,2),"Mo","Di","Mi","Do","Fr","Sa","So"))</f>
      </c>
      <c r="C35" s="18"/>
      <c r="D35" s="18"/>
      <c r="E35" s="7"/>
      <c r="F35" s="7"/>
      <c r="G35" s="7"/>
      <c r="H35" s="19"/>
      <c r="I35" s="19"/>
      <c r="J35" s="19"/>
      <c r="K35" s="9"/>
      <c r="L35" s="20">
        <f>IF(OR(AD35=0,AF35&lt;&gt;"",AND(W35=1,V35&gt;0,OR(T35=1,U35=1))),"",AE35/1440)</f>
      </c>
      <c r="M35" s="21">
        <f>IF(OR(AD35=0,AF35&lt;&gt;""),"",AJ35)</f>
      </c>
      <c r="N35" s="21">
        <f>IF(AK35=0,"",AK35)</f>
      </c>
      <c r="O35" s="21">
        <f>IF(OR(AD35=0,AF35&lt;&gt;""),"",AJ35-AK35)</f>
      </c>
      <c r="P35" s="21">
        <f>IF(AND(AD35=1,AF35="",V35=2),AI35,"")</f>
      </c>
      <c r="Q35" s="21">
        <f>IF(OR($A35="",N(K35)=0),"",ROUND(K35*KmSatz,2))</f>
      </c>
      <c r="R35" s="22">
        <f>IF(AF35&amp;AL35="","",LEFT(AF35&amp;AL35,LEN(AF35&amp;AL35)-2))</f>
      </c>
      <c r="S35" s="1"/>
      <c r="T35" s="1">
        <f>IF(AND($A35&lt;&gt;"",ISNUMBER(C35)),1,0)</f>
      </c>
      <c r="U35" s="1">
        <f>IF(AND($A35&lt;&gt;"",ISNUMBER(D35)),1,0)</f>
      </c>
      <c r="V35" s="1">
        <f>IF($A35="",0,IF(E35="ja",1,IF(E35="Pauschale",2,0)))</f>
      </c>
      <c r="W35" s="1">
        <f>IF($A35="",0,IF(AU35&gt;0,1,0))</f>
      </c>
      <c r="X35" s="1">
        <f>IF(AND(T35=1,W35=0),1,0)</f>
      </c>
      <c r="Y35" s="1">
        <f>IF(AND(AS35=1,AT35=0,AU35=0),1,0)</f>
      </c>
      <c r="Z35" s="1">
        <f>IF(AND(Y35=1,T35=0,U35=1,V35=0),1,0)</f>
      </c>
      <c r="AA35" s="1">
        <f>IF(AND(X35=1,U35=0,V35=0,AN35=0,AO35=1,AP35=0),1,0)</f>
      </c>
      <c r="AB35" s="1">
        <f>IF(OR(W35=1,Z35=1),0,IF(T35=1,C35,0))</f>
      </c>
      <c r="AC35" s="1">
        <f>IF(OR(V35&gt;0,AA35=1),1,IF(U35=1,D35,1))</f>
      </c>
      <c r="AD35" s="1">
        <f>IF($A35="",0,IF(OR(T35=1,U35=1,V35&gt;0,W35=1),1,0))</f>
      </c>
      <c r="AE35" s="1">
        <f>IF(AD35=0,0,ROUND((AC35-AB35)*1440,0))</f>
      </c>
      <c r="AF35" s="1">
        <f>IF(AD35=0,"",IF(AND(F35&lt;&gt;"",ISNA(MATCH(F35,PauschLand,0))),"Land nicht in der Liste; ","")&amp;IF(AND(T35=0,W35=0,Z35=0),"Beginn fehlt; ","")&amp;IF(AND(V35=0,U35=0,AA35=0),"Ende fehlt; ","")&amp;IF(AND(X35=1,U35=1,V35=0,N(D35)&lt;N(C35)),"Ende vor Beginn (über Mitternacht: Ende in die Zeile des Folgetags); ",""))</f>
      </c>
      <c r="AG35" s="1">
        <f>IF(AD35=0,0,IFERROR(VLOOKUP(IF(F35="","Deutschland",F35),PauschTab,2,FALSE),0))</f>
      </c>
      <c r="AH35" s="1">
        <f>IF(AD35=0,0,IFERROR(VLOOKUP(IF(F35="","Deutschland",F35),PauschTab,3,FALSE),0))</f>
      </c>
      <c r="AI35" s="1">
        <f>IF(AD35=0,0,IFERROR(VLOOKUP(IF(F35="","Deutschland",F35),PauschTab,4,FALSE),0))</f>
      </c>
      <c r="AJ35" s="1">
        <f>IF(OR(AD35=0,AF35&lt;&gt;""),0,IF(AND(W35=1,V35&gt;0),IF(OR(T35=1,U35=1),AH35,AG35),IF(OR(W35=1,V35&gt;0),AH35,IF(AA35=1,IF(AND(AE35+AQ35&gt;480,AE35&gt;=AQ35),AH35,0),IF(Z35=1,IF(AND(AR35+AE35&gt;480,AE35&gt;AR35),AH35,0),IF(AE35&gt;480,AH35,0))))))</f>
      </c>
      <c r="AK35" s="1">
        <f>MIN(AJ35,AM35)</f>
      </c>
      <c r="AL35" s="1">
        <f>IF(OR(AD35=0,AF35&lt;&gt;""),"",IF(AND(W35=0,V35=0,AA35=0,Z35=0,AE35&lt;=480),"nicht mehr als 8 Std.; ","")&amp;IF(AA35=1,IF(AJ35&gt;0,"über Mitternacht, zusammen "&amp;TEXT((AE35+AQ35)/1440,"[h]:mm")&amp;" Std.; ",IF(AE35+AQ35&gt;480,"über Mitternacht: Pauschale am Folgetag; ","über Mitternacht, zusammen nicht mehr als 8 Std.; ")),"")&amp;IF(Z35=1,IF(AJ35&gt;0,"über Mitternacht, zusammen "&amp;TEXT((AR35+AE35)/1440,"[h]:mm")&amp;" Std.; ",IF(AR35+AE35&gt;480,"über Mitternacht: Pauschale am Vortag; ","über Mitternacht, zusammen nicht mehr als 8 Std.; ")),"")&amp;IF(AND(W35=1,V35&gt;0,OR(T35=1,U35=1)),"zwischendurch zu Hause: An- und Abreisetag; ","")&amp;IF(AND(W35=1,V35=0,T35=1),"Beginn leer lassen: unterwegs seit dem Vortag; ","")&amp;IF(AND(W35=0,V35&gt;0,U35=1),"Ende leer lassen: Übernachtung; ","")&amp;IF(AND(AJ35&gt;0,AM35&gt;AJ35),"Kürzung auf die Pauschale begrenzt; ",""))</f>
      </c>
      <c r="AM35" s="1">
        <f>ROUND(AG35*(IF(H35&lt;&gt;"",0.2,0)+IF(I35&lt;&gt;"",0.4,0)+IF(J35&lt;&gt;"",0.4,0)),2)</f>
      </c>
      <c r="AN35" s="1">
        <f>'Oktober'!$T$5</f>
      </c>
      <c r="AO35" s="1">
        <f>'Oktober'!$U$5</f>
      </c>
      <c r="AP35" s="1">
        <f>'Oktober'!$V$5</f>
      </c>
      <c r="AQ35" s="1">
        <f>'Oktober'!$AE$5</f>
      </c>
      <c r="AR35" s="1">
        <f>AE34</f>
      </c>
      <c r="AS35" s="1">
        <f>X34</f>
      </c>
      <c r="AT35" s="1">
        <f>U34</f>
      </c>
      <c r="AU35" s="1">
        <f>V34</f>
      </c>
    </row>
    <row r="37" spans="1:21" x14ac:dyDescent="0.25">
      <c r="A37" s="23">
        <f>"Abrechnung September "&amp;Jahr</f>
      </c>
      <c r="B37" s="1"/>
      <c r="C37" s="1"/>
      <c r="D37" s="1"/>
      <c r="E37" s="1"/>
      <c r="F37" s="1"/>
      <c r="G37" s="1"/>
      <c r="H37" s="1"/>
      <c r="I37" s="1"/>
      <c r="J37" s="1"/>
      <c r="K37" s="23">
        <f>"Buchung ("&amp;Kontenrahmen&amp;IF(Vorsteuerabzug="nein",", ohne Vorsteuer","")&amp;")"</f>
      </c>
      <c r="L37" s="1"/>
      <c r="M37" s="1"/>
      <c r="N37" s="1"/>
      <c r="O37" s="1"/>
      <c r="P37" s="1"/>
      <c r="Q37" s="1"/>
      <c r="R37" s="1"/>
      <c r="S37" s="1"/>
      <c r="T37" s="1">
        <f>COUNTIF(AD5:AD35,1)</f>
      </c>
      <c r="U37" s="1">
        <f>SUM(K5:K35)</f>
      </c>
    </row>
    <row r="38" spans="1:19" x14ac:dyDescent="0.25">
      <c r="A38" s="6" t="s">
        <v>49</v>
      </c>
      <c r="B38" s="6"/>
      <c r="C38" s="6"/>
      <c r="D38" s="6"/>
      <c r="E38" s="6"/>
      <c r="F38" s="6"/>
      <c r="G38" s="24">
        <f>SUM(O5:O35)</f>
      </c>
      <c r="H38" s="1"/>
      <c r="I38" s="1"/>
      <c r="J38" s="1"/>
      <c r="K38" s="25">
        <f>KtoVerpflegung</f>
      </c>
      <c r="L38" s="1" t="s">
        <v>49</v>
      </c>
      <c r="M38" s="1"/>
      <c r="N38" s="1"/>
      <c r="O38" s="1"/>
      <c r="P38" s="1"/>
      <c r="Q38" s="1"/>
      <c r="R38" s="26">
        <f>S38</f>
      </c>
      <c r="S38" s="1">
        <f>G38</f>
      </c>
    </row>
    <row r="39" spans="1:19" x14ac:dyDescent="0.25">
      <c r="A39" s="6" t="s">
        <v>75</v>
      </c>
      <c r="B39" s="6"/>
      <c r="C39" s="6"/>
      <c r="D39" s="6"/>
      <c r="E39" s="6"/>
      <c r="F39" s="6"/>
      <c r="G39" s="24">
        <f>SUMIFS(Belege!$O$5:$O$304,Belege!$L$5:$L$304,9,Belege!$C$5:$C$304,"Übernachtung")+SUM(P5:P35)</f>
      </c>
      <c r="H39" s="1"/>
      <c r="I39" s="1"/>
      <c r="J39" s="1"/>
      <c r="K39" s="25">
        <f>KtoUebernachtung</f>
      </c>
      <c r="L39" s="1" t="s">
        <v>50</v>
      </c>
      <c r="M39" s="1"/>
      <c r="N39" s="1"/>
      <c r="O39" s="1"/>
      <c r="P39" s="1"/>
      <c r="Q39" s="1"/>
      <c r="R39" s="26">
        <f>S39</f>
      </c>
      <c r="S39" s="1">
        <f>IF(Vorsteuerabzug="nein",SUMIFS(Belege!$O$5:$O$304,Belege!$L$5:$L$304,9,Belege!$C$5:$C$304,"Übernachtung"),SUMIFS(Belege!$P$5:$P$304,Belege!$L$5:$L$304,9,Belege!$C$5:$C$304,"Übernachtung"))+SUM(P5:P35)</f>
      </c>
    </row>
    <row r="40" spans="1:19" x14ac:dyDescent="0.25">
      <c r="A40" s="6" t="s">
        <v>76</v>
      </c>
      <c r="B40" s="6"/>
      <c r="C40" s="6"/>
      <c r="D40" s="6"/>
      <c r="E40" s="6"/>
      <c r="F40" s="6"/>
      <c r="G40" s="24">
        <f>SUMIFS(Belege!$O$5:$O$304,Belege!$L$5:$L$304,9,Belege!$C$5:$C$304,"Fahrtkosten")</f>
      </c>
      <c r="H40" s="1"/>
      <c r="I40" s="1"/>
      <c r="J40" s="1"/>
      <c r="K40" s="25">
        <f>KtoFahrtkosten</f>
      </c>
      <c r="L40" s="1" t="s">
        <v>51</v>
      </c>
      <c r="M40" s="1"/>
      <c r="N40" s="1"/>
      <c r="O40" s="1"/>
      <c r="P40" s="1"/>
      <c r="Q40" s="1"/>
      <c r="R40" s="26">
        <f>S40</f>
      </c>
      <c r="S40" s="1">
        <f>IF(Vorsteuerabzug="nein",SUMIFS(Belege!$O$5:$O$304,Belege!$L$5:$L$304,9,Belege!$C$5:$C$304,"Fahrtkosten"),SUMIFS(Belege!$P$5:$P$304,Belege!$L$5:$L$304,9,Belege!$C$5:$C$304,"Fahrtkosten"))</f>
      </c>
    </row>
    <row r="41" spans="1:19" x14ac:dyDescent="0.25">
      <c r="A41" s="6">
        <f>"Kilometergeld ("&amp;SUM(K5:K35)&amp;" km zu "&amp;IF(KmSatz=0.2,"0,20","0,30")&amp;" €)"</f>
      </c>
      <c r="B41" s="6"/>
      <c r="C41" s="6"/>
      <c r="D41" s="6"/>
      <c r="E41" s="6"/>
      <c r="F41" s="6"/>
      <c r="G41" s="24">
        <f>SUM(Q5:Q35)</f>
      </c>
      <c r="H41" s="1"/>
      <c r="I41" s="1"/>
      <c r="J41" s="1"/>
      <c r="K41" s="25">
        <f>KtoKilometergeld</f>
      </c>
      <c r="L41" s="1" t="s">
        <v>52</v>
      </c>
      <c r="M41" s="1"/>
      <c r="N41" s="1"/>
      <c r="O41" s="1"/>
      <c r="P41" s="1"/>
      <c r="Q41" s="1"/>
      <c r="R41" s="26">
        <f>S41</f>
      </c>
      <c r="S41" s="1">
        <f>G41</f>
      </c>
    </row>
    <row r="42" spans="1:19" x14ac:dyDescent="0.25">
      <c r="A42" s="6" t="s">
        <v>77</v>
      </c>
      <c r="B42" s="6"/>
      <c r="C42" s="6"/>
      <c r="D42" s="6"/>
      <c r="E42" s="6"/>
      <c r="F42" s="6"/>
      <c r="G42" s="24">
        <f>SUMIFS(Belege!$O$5:$O$304,Belege!$L$5:$L$304,9,Belege!$C$5:$C$304,"Nebenkosten")</f>
      </c>
      <c r="H42" s="1"/>
      <c r="I42" s="1"/>
      <c r="J42" s="1"/>
      <c r="K42" s="25">
        <f>KtoNebenkosten</f>
      </c>
      <c r="L42" s="1" t="s">
        <v>53</v>
      </c>
      <c r="M42" s="1"/>
      <c r="N42" s="1"/>
      <c r="O42" s="1"/>
      <c r="P42" s="1"/>
      <c r="Q42" s="1"/>
      <c r="R42" s="26">
        <f>S42</f>
      </c>
      <c r="S42" s="1">
        <f>IF(Vorsteuerabzug="nein",SUMIFS(Belege!$O$5:$O$304,Belege!$L$5:$L$304,9,Belege!$C$5:$C$304,"Nebenkosten"),SUMIFS(Belege!$P$5:$P$304,Belege!$L$5:$L$304,9,Belege!$C$5:$C$304,"Nebenkosten"))</f>
      </c>
    </row>
    <row r="43" spans="1:19" x14ac:dyDescent="0.25">
      <c r="A43" s="11" t="s">
        <v>78</v>
      </c>
      <c r="B43" s="11"/>
      <c r="C43" s="11"/>
      <c r="D43" s="11"/>
      <c r="E43" s="11"/>
      <c r="F43" s="11"/>
      <c r="G43" s="27">
        <f>SUM(G38:G42)</f>
      </c>
      <c r="H43" s="1"/>
      <c r="I43" s="1"/>
      <c r="J43" s="1"/>
      <c r="K43" s="25">
        <f>KtoVSt7</f>
      </c>
      <c r="L43" s="1" t="s">
        <v>54</v>
      </c>
      <c r="M43" s="1"/>
      <c r="N43" s="1"/>
      <c r="O43" s="1"/>
      <c r="P43" s="1"/>
      <c r="Q43" s="1"/>
      <c r="R43" s="26">
        <f>IF(Vorsteuerabzug="nein","",S43)</f>
      </c>
      <c r="S43" s="1">
        <f>IF(Vorsteuerabzug="nein",0,SUMIFS(Belege!$Q$5:$Q$304,Belege!$L$5:$L$304,9,Belege!$M$5:$M$304,0.07))</f>
      </c>
    </row>
    <row r="44" spans="1:19" x14ac:dyDescent="0.25">
      <c r="A44" s="6" t="s">
        <v>79</v>
      </c>
      <c r="B44" s="6"/>
      <c r="C44" s="6"/>
      <c r="D44" s="6"/>
      <c r="E44" s="6"/>
      <c r="F44" s="6"/>
      <c r="G44" s="28"/>
      <c r="H44" s="1"/>
      <c r="I44" s="1"/>
      <c r="J44" s="1"/>
      <c r="K44" s="25">
        <f>KtoVSt19</f>
      </c>
      <c r="L44" s="1" t="s">
        <v>55</v>
      </c>
      <c r="M44" s="1"/>
      <c r="N44" s="1"/>
      <c r="O44" s="1"/>
      <c r="P44" s="1"/>
      <c r="Q44" s="1"/>
      <c r="R44" s="26">
        <f>IF(Vorsteuerabzug="nein","",S44)</f>
      </c>
      <c r="S44" s="1">
        <f>IF(Vorsteuerabzug="nein",0,SUMIFS(Belege!$Q$5:$Q$304,Belege!$L$5:$L$304,9,Belege!$M$5:$M$304,0.19))</f>
      </c>
    </row>
    <row r="45" spans="1:18" x14ac:dyDescent="0.25">
      <c r="A45" s="11" t="s">
        <v>80</v>
      </c>
      <c r="B45" s="11"/>
      <c r="C45" s="11"/>
      <c r="D45" s="11"/>
      <c r="E45" s="11"/>
      <c r="F45" s="11"/>
      <c r="G45" s="27">
        <f>G43-N(G44)</f>
      </c>
      <c r="H45" s="1"/>
      <c r="I45" s="1"/>
      <c r="J45" s="1"/>
      <c r="K45" s="11" t="s">
        <v>81</v>
      </c>
      <c r="L45" s="11"/>
      <c r="M45" s="11"/>
      <c r="N45" s="11"/>
      <c r="O45" s="11"/>
      <c r="P45" s="11"/>
      <c r="Q45" s="11"/>
      <c r="R45" s="27">
        <f>SUM(S38:S44)</f>
      </c>
    </row>
    <row r="46" spans="1:7" x14ac:dyDescent="0.25">
      <c r="A46" s="29" t="s">
        <v>82</v>
      </c>
      <c r="B46" s="29"/>
      <c r="C46" s="29"/>
      <c r="D46" s="29"/>
      <c r="E46" s="29"/>
      <c r="F46" s="29"/>
      <c r="G46" s="30">
        <f>SUMIFS(Belege!$E$5:$E$304,Belege!$L$5:$L$304,9,Belege!$N$5:$N$304,0)</f>
      </c>
    </row>
    <row r="49" spans="1:18" x14ac:dyDescent="0.25">
      <c r="A49" s="31"/>
      <c r="B49" s="31"/>
      <c r="C49" s="31"/>
      <c r="D49" s="31"/>
      <c r="E49" s="31"/>
      <c r="F49" s="31"/>
      <c r="G49" s="31"/>
      <c r="H49" s="31"/>
      <c r="I49" s="31"/>
      <c r="J49" s="31"/>
      <c r="K49" s="31"/>
      <c r="M49" s="31"/>
      <c r="N49" s="31"/>
      <c r="O49" s="31"/>
      <c r="P49" s="31"/>
      <c r="Q49" s="31"/>
      <c r="R49" s="31"/>
    </row>
    <row r="50" spans="1:13" x14ac:dyDescent="0.25">
      <c r="A50" s="32" t="s">
        <v>83</v>
      </c>
      <c r="B50" s="1"/>
      <c r="C50" s="1"/>
      <c r="D50" s="1"/>
      <c r="E50" s="1"/>
      <c r="F50" s="1"/>
      <c r="G50" s="32" t="s">
        <v>84</v>
      </c>
      <c r="H50" s="1"/>
      <c r="I50" s="1"/>
      <c r="J50" s="1"/>
      <c r="K50" s="1"/>
      <c r="L50" s="1"/>
      <c r="M50" s="32" t="s">
        <v>85</v>
      </c>
    </row>
  </sheetData>
  <sheetProtection sheet="1" formatCells="0" formatColumns="0" formatRows="0"/>
  <mergeCells count="17">
    <mergeCell ref="A38:F38"/>
    <mergeCell ref="L38:Q38"/>
    <mergeCell ref="A39:F39"/>
    <mergeCell ref="L39:Q39"/>
    <mergeCell ref="A40:F40"/>
    <mergeCell ref="L40:Q40"/>
    <mergeCell ref="A41:F41"/>
    <mergeCell ref="L41:Q41"/>
    <mergeCell ref="A42:F42"/>
    <mergeCell ref="L42:Q42"/>
    <mergeCell ref="A43:F43"/>
    <mergeCell ref="L43:Q43"/>
    <mergeCell ref="A44:F44"/>
    <mergeCell ref="L44:Q44"/>
    <mergeCell ref="A45:F45"/>
    <mergeCell ref="K45:Q45"/>
    <mergeCell ref="A46:F46"/>
  </mergeCells>
  <conditionalFormatting sqref="A5:Q35">
    <cfRule type="expression" dxfId="48" priority="1">
      <formula>$A5=""</formula>
    </cfRule>
    <cfRule type="expression" dxfId="49" priority="2">
      <formula>WEEKDAY($A5,2)&gt;5</formula>
    </cfRule>
  </conditionalFormatting>
  <conditionalFormatting sqref="R5:R35">
    <cfRule type="expression" dxfId="50" priority="3">
      <formula>$A5=""</formula>
    </cfRule>
    <cfRule type="expression" dxfId="51" priority="4">
      <formula>AND($AF5&lt;&gt;"",WEEKDAY($A5,2)&gt;5)</formula>
    </cfRule>
    <cfRule type="expression" dxfId="52" priority="5">
      <formula>$AF5&lt;&gt;""</formula>
    </cfRule>
    <cfRule type="expression" dxfId="53" priority="6">
      <formula>WEEKDAY($A5,2)&gt;5</formula>
    </cfRule>
  </conditionalFormatting>
  <dataValidations count="11">
    <dataValidation type="decimal" allowBlank="1" showErrorMessage="1" errorTitle="Uhrzeit" error="Bitte als Uhrzeit hh:mm eingeben, z. B. 7:30 oder 16:45." sqref="C10:D35">
      <formula1>0</formula1>
      <formula2>0.99999</formula2>
    </dataValidation>
    <dataValidation type="decimal" allowBlank="1" showErrorMessage="1" errorTitle="Uhrzeit" error="Bitte als Uhrzeit hh:mm eingeben, z. B. 7:30 oder 16:45." sqref="C5:D35">
      <formula1>0</formula1>
      <formula2>0.99999</formula2>
    </dataValidation>
    <dataValidation type="list" allowBlank="1" showErrorMessage="1" errorTitle="Übernachtung" error="Bitte aus der Liste wählen." sqref="E10:E35">
      <formula1>"ja,Pauschale"</formula1>
    </dataValidation>
    <dataValidation type="list" allowBlank="1" showErrorMessage="1" errorTitle="Übernachtung" error="Bitte aus der Liste wählen." sqref="E5:E35">
      <formula1>"ja,Pauschale"</formula1>
    </dataValidation>
    <dataValidation type="list" allowBlank="1" showErrorMessage="1" errorTitle="Land / Ort" error="Bitte aus der Liste wählen; nicht aufgeführte Länder: Luxemburg." sqref="F10:F35">
      <formula1>Pauschalen!$A$4:$A$218</formula1>
    </dataValidation>
    <dataValidation type="list" allowBlank="1" showErrorMessage="1" errorTitle="Land / Ort" error="Bitte aus der Liste wählen; nicht aufgeführte Länder: Luxemburg." sqref="F5:F35">
      <formula1>Pauschalen!$A$4:$A$218</formula1>
    </dataValidation>
    <dataValidation type="decimal" allowBlank="1" showErrorMessage="1" errorTitle="Vorschuss" error="Bitte einen Betrag in Euro eintragen." sqref="G44">
      <formula1>0</formula1>
      <formula2>99999</formula2>
    </dataValidation>
    <dataValidation type="list" allowBlank="1" showErrorMessage="1" errorTitle="Mahlzeit" error="Bitte aus der Liste wählen." sqref="H10:J35">
      <formula1>"x"</formula1>
    </dataValidation>
    <dataValidation type="list" allowBlank="1" showErrorMessage="1" errorTitle="Mahlzeit" error="Bitte aus der Liste wählen." sqref="H5:J35">
      <formula1>"x"</formula1>
    </dataValidation>
    <dataValidation type="whole" allowBlank="1" showErrorMessage="1" errorTitle="Kilometer" error="Bitte die gefahrenen Kilometer als ganze Zahl eintragen." sqref="K10:K35">
      <formula1>0</formula1>
      <formula2>5000</formula2>
    </dataValidation>
    <dataValidation type="whole" allowBlank="1" showErrorMessage="1" errorTitle="Kilometer" error="Bitte die gefahrenen Kilometer als ganze Zahl eintragen." sqref="K5:K35">
      <formula1>0</formula1>
      <formula2>5000</formula2>
    </dataValidation>
  </dataValidations>
  <pageMargins left="0.4" right="0.4" top="0.5" bottom="0.5" header="0.2" footer="0.2"/>
  <pageSetup paperSize="9" orientation="landscape"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0"/>
  <sheetViews>
    <sheetView workbookViewId="0" showGridLines="0">
      <pane xSplit="2" ySplit="4" topLeftCell="C5" activePane="bottomRight" state="frozen"/>
      <selection pane="bottomRight"/>
    </sheetView>
  </sheetViews>
  <sheetFormatPr defaultRowHeight="15" outlineLevelRow="0" outlineLevelCol="0" x14ac:dyDescent="55"/>
  <cols>
    <col min="1" max="1" width="7" customWidth="1"/>
    <col min="2" max="2" width="4" customWidth="1"/>
    <col min="3" max="4" width="6.5" customWidth="1"/>
    <col min="5" max="5" width="10" customWidth="1"/>
    <col min="6" max="6" width="18" customWidth="1"/>
    <col min="7" max="7" width="24" customWidth="1"/>
    <col min="8" max="10" width="5.5" customWidth="1"/>
    <col min="11" max="11" width="8" customWidth="1"/>
    <col min="14" max="14" width="8.5" customWidth="1"/>
    <col min="15" max="15" width="10.5" customWidth="1"/>
    <col min="16" max="16" width="12" customWidth="1"/>
    <col min="17" max="17" width="10" customWidth="1"/>
    <col min="18" max="18" width="36" customWidth="1"/>
    <col min="19" max="19" width="9" hidden="1" customWidth="1"/>
    <col min="20" max="20" width="9" hidden="1" customWidth="1"/>
    <col min="21" max="21" width="9" hidden="1" customWidth="1"/>
    <col min="22" max="22" width="9" hidden="1" customWidth="1"/>
    <col min="23" max="23" width="9" hidden="1" customWidth="1"/>
    <col min="24" max="24" width="9" hidden="1" customWidth="1"/>
    <col min="25" max="25" width="9" hidden="1" customWidth="1"/>
    <col min="26" max="26" width="9" hidden="1" customWidth="1"/>
    <col min="27" max="27" width="9" hidden="1" customWidth="1"/>
    <col min="28" max="28" width="9" hidden="1" customWidth="1"/>
    <col min="29" max="29" width="9" hidden="1" customWidth="1"/>
    <col min="30" max="30" width="9" hidden="1" customWidth="1"/>
    <col min="31" max="31" width="9" hidden="1" customWidth="1"/>
    <col min="32" max="32" width="9" hidden="1" customWidth="1"/>
    <col min="33" max="33" width="9" hidden="1" customWidth="1"/>
    <col min="34" max="34" width="9" hidden="1" customWidth="1"/>
    <col min="35" max="35" width="9" hidden="1" customWidth="1"/>
    <col min="36" max="36" width="9" hidden="1" customWidth="1"/>
    <col min="37" max="37" width="9" hidden="1" customWidth="1"/>
    <col min="38" max="38" width="9" hidden="1" customWidth="1"/>
    <col min="39" max="39" width="9" hidden="1" customWidth="1"/>
    <col min="40" max="40" width="9" hidden="1" customWidth="1"/>
    <col min="41" max="41" width="9" hidden="1" customWidth="1"/>
    <col min="42" max="42" width="9" hidden="1" customWidth="1"/>
    <col min="43" max="43" width="9" hidden="1" customWidth="1"/>
    <col min="44" max="44" width="9" hidden="1" customWidth="1"/>
    <col min="45" max="45" width="9" hidden="1" customWidth="1"/>
    <col min="46" max="46" width="9" hidden="1" customWidth="1"/>
    <col min="47" max="47" width="9" hidden="1" customWidth="1"/>
  </cols>
  <sheetData>
    <row r="1" spans="1:1" x14ac:dyDescent="0.25">
      <c r="A1" s="5">
        <f>"Reisekostenabrechnung Oktober "&amp;Jahr</f>
      </c>
    </row>
    <row r="2" spans="1:1" x14ac:dyDescent="0.25">
      <c r="A2" s="6">
        <f>"Name: "&amp;IF(MitarbeiterName="","…",MitarbeiterName)&amp;IF(Personalnummer="",""," · Personalnr. "&amp;Personalnummer)&amp;IF(Kostenstelle="",""," · "&amp;Kostenstelle)&amp;IF(Firma="",""," · "&amp;Firma)</f>
      </c>
    </row>
    <row r="3" spans="1:1" x14ac:dyDescent="0.25">
      <c r="A3" s="16">
        <f>IF(Jahr&lt;&gt;2026,"Die Pauschalen in dieser Datei gelten für 2026. ","")&amp;IF(MitarbeiterName="","Bitte in den Einstellungen den Namen eintragen.","")</f>
      </c>
    </row>
    <row r="4" ht="40" customHeight="1" spans="1:18" x14ac:dyDescent="0.25">
      <c r="A4" s="12" t="s">
        <v>57</v>
      </c>
      <c r="B4" s="12" t="s">
        <v>58</v>
      </c>
      <c r="C4" s="12" t="s">
        <v>59</v>
      </c>
      <c r="D4" s="12" t="s">
        <v>60</v>
      </c>
      <c r="E4" s="12" t="s">
        <v>61</v>
      </c>
      <c r="F4" s="12" t="s">
        <v>62</v>
      </c>
      <c r="G4" s="12" t="s">
        <v>63</v>
      </c>
      <c r="H4" s="12" t="s">
        <v>64</v>
      </c>
      <c r="I4" s="12" t="s">
        <v>65</v>
      </c>
      <c r="J4" s="12" t="s">
        <v>66</v>
      </c>
      <c r="K4" s="12" t="s">
        <v>67</v>
      </c>
      <c r="L4" s="12" t="s">
        <v>68</v>
      </c>
      <c r="M4" s="12" t="s">
        <v>69</v>
      </c>
      <c r="N4" s="12" t="s">
        <v>70</v>
      </c>
      <c r="O4" s="12" t="s">
        <v>71</v>
      </c>
      <c r="P4" s="12" t="s">
        <v>72</v>
      </c>
      <c r="Q4" s="12" t="s">
        <v>73</v>
      </c>
      <c r="R4" s="12" t="s">
        <v>74</v>
      </c>
    </row>
    <row r="5" spans="1:47" x14ac:dyDescent="0.25">
      <c r="A5" s="17">
        <f>IF(MONTH(DATE(Jahr,10,1))=10,DATE(Jahr,10,1),"")</f>
      </c>
      <c r="B5" s="13">
        <f>IF(A5="","",CHOOSE(WEEKDAY(A5,2),"Mo","Di","Mi","Do","Fr","Sa","So"))</f>
      </c>
      <c r="C5" s="18"/>
      <c r="D5" s="18"/>
      <c r="E5" s="7"/>
      <c r="F5" s="7"/>
      <c r="G5" s="7"/>
      <c r="H5" s="19"/>
      <c r="I5" s="19"/>
      <c r="J5" s="19"/>
      <c r="K5" s="9"/>
      <c r="L5" s="20">
        <f>IF(OR(AD5=0,AF5&lt;&gt;"",AND(W5=1,V5&gt;0,OR(T5=1,U5=1))),"",AE5/1440)</f>
      </c>
      <c r="M5" s="21">
        <f>IF(OR(AD5=0,AF5&lt;&gt;""),"",AJ5)</f>
      </c>
      <c r="N5" s="21">
        <f>IF(AK5=0,"",AK5)</f>
      </c>
      <c r="O5" s="21">
        <f>IF(OR(AD5=0,AF5&lt;&gt;""),"",AJ5-AK5)</f>
      </c>
      <c r="P5" s="21">
        <f>IF(AND(AD5=1,AF5="",V5=2),AI5,"")</f>
      </c>
      <c r="Q5" s="21">
        <f>IF(OR($A5="",N(K5)=0),"",ROUND(K5*KmSatz,2))</f>
      </c>
      <c r="R5" s="22">
        <f>IF(AF5&amp;AL5="","",LEFT(AF5&amp;AL5,LEN(AF5&amp;AL5)-2))</f>
      </c>
      <c r="S5" s="1"/>
      <c r="T5" s="1">
        <f>IF(AND($A5&lt;&gt;"",ISNUMBER(C5)),1,0)</f>
      </c>
      <c r="U5" s="1">
        <f>IF(AND($A5&lt;&gt;"",ISNUMBER(D5)),1,0)</f>
      </c>
      <c r="V5" s="1">
        <f>IF($A5="",0,IF(E5="ja",1,IF(E5="Pauschale",2,0)))</f>
      </c>
      <c r="W5" s="1">
        <f>IF($A5="",0,IF(AU5&gt;0,1,0))</f>
      </c>
      <c r="X5" s="1">
        <f>IF(AND(T5=1,W5=0),1,0)</f>
      </c>
      <c r="Y5" s="1">
        <f>IF(AND(AS5=1,AT5=0,AU5=0),1,0)</f>
      </c>
      <c r="Z5" s="1">
        <f>IF(AND(Y5=1,T5=0,U5=1,V5=0),1,0)</f>
      </c>
      <c r="AA5" s="1">
        <f>IF(AND(X5=1,U5=0,V5=0,AN5=0,AO5=1,AP5=0),1,0)</f>
      </c>
      <c r="AB5" s="1">
        <f>IF(OR(W5=1,Z5=1),0,IF(T5=1,C5,0))</f>
      </c>
      <c r="AC5" s="1">
        <f>IF(OR(V5&gt;0,AA5=1),1,IF(U5=1,D5,1))</f>
      </c>
      <c r="AD5" s="1">
        <f>IF($A5="",0,IF(OR(T5=1,U5=1,V5&gt;0,W5=1),1,0))</f>
      </c>
      <c r="AE5" s="1">
        <f>IF(AD5=0,0,ROUND((AC5-AB5)*1440,0))</f>
      </c>
      <c r="AF5" s="1">
        <f>IF(AD5=0,"",IF(AND(F5&lt;&gt;"",ISNA(MATCH(F5,PauschLand,0))),"Land nicht in der Liste; ","")&amp;IF(AND(T5=0,W5=0,Z5=0),"Beginn fehlt; ","")&amp;IF(AND(V5=0,U5=0,AA5=0),"Ende fehlt; ","")&amp;IF(AND(X5=1,U5=1,V5=0,N(D5)&lt;N(C5)),"Ende vor Beginn (über Mitternacht: Ende in die Zeile des Folgetags); ",""))</f>
      </c>
      <c r="AG5" s="1">
        <f>IF(AD5=0,0,IFERROR(VLOOKUP(IF(F5="","Deutschland",F5),PauschTab,2,FALSE),0))</f>
      </c>
      <c r="AH5" s="1">
        <f>IF(AD5=0,0,IFERROR(VLOOKUP(IF(F5="","Deutschland",F5),PauschTab,3,FALSE),0))</f>
      </c>
      <c r="AI5" s="1">
        <f>IF(AD5=0,0,IFERROR(VLOOKUP(IF(F5="","Deutschland",F5),PauschTab,4,FALSE),0))</f>
      </c>
      <c r="AJ5" s="1">
        <f>IF(OR(AD5=0,AF5&lt;&gt;""),0,IF(AND(W5=1,V5&gt;0),IF(OR(T5=1,U5=1),AH5,AG5),IF(OR(W5=1,V5&gt;0),AH5,IF(AA5=1,IF(AND(AE5+AQ5&gt;480,AE5&gt;=AQ5),AH5,0),IF(Z5=1,IF(AND(AR5+AE5&gt;480,AE5&gt;AR5),AH5,0),IF(AE5&gt;480,AH5,0))))))</f>
      </c>
      <c r="AK5" s="1">
        <f>MIN(AJ5,AM5)</f>
      </c>
      <c r="AL5" s="1">
        <f>IF(OR(AD5=0,AF5&lt;&gt;""),"",IF(AND(W5=0,V5=0,AA5=0,Z5=0,AE5&lt;=480),"nicht mehr als 8 Std.; ","")&amp;IF(AA5=1,IF(AJ5&gt;0,"über Mitternacht, zusammen "&amp;TEXT((AE5+AQ5)/1440,"[h]:mm")&amp;" Std.; ",IF(AE5+AQ5&gt;480,"über Mitternacht: Pauschale am Folgetag; ","über Mitternacht, zusammen nicht mehr als 8 Std.; ")),"")&amp;IF(Z5=1,IF(AJ5&gt;0,"über Mitternacht, zusammen "&amp;TEXT((AR5+AE5)/1440,"[h]:mm")&amp;" Std.; ",IF(AR5+AE5&gt;480,"über Mitternacht: Pauschale am Vortag; ","über Mitternacht, zusammen nicht mehr als 8 Std.; ")),"")&amp;IF(AND(W5=1,V5&gt;0,OR(T5=1,U5=1)),"zwischendurch zu Hause: An- und Abreisetag; ","")&amp;IF(AND(W5=1,V5=0,T5=1),"Beginn leer lassen: unterwegs seit dem Vortag; ","")&amp;IF(AND(W5=0,V5&gt;0,U5=1),"Ende leer lassen: Übernachtung; ","")&amp;IF(AND(AJ5&gt;0,AM5&gt;AJ5),"Kürzung auf die Pauschale begrenzt; ",""))</f>
      </c>
      <c r="AM5" s="1">
        <f>ROUND(AG5*(IF(H5&lt;&gt;"",0.2,0)+IF(I5&lt;&gt;"",0.4,0)+IF(J5&lt;&gt;"",0.4,0)),2)</f>
      </c>
      <c r="AN5" s="1">
        <f>IF($A6="",'November'!$T$5,T6)</f>
      </c>
      <c r="AO5" s="1">
        <f>IF($A6="",'November'!$U$5,U6)</f>
      </c>
      <c r="AP5" s="1">
        <f>IF($A6="",'November'!$V$5,V6)</f>
      </c>
      <c r="AQ5" s="1">
        <f>IF($A6="",'November'!$AE$5,AE6)</f>
      </c>
      <c r="AR5" s="1">
        <f>INDEX('September'!$AE$5:$AE$35,DAY(DATE(Jahr,10,0)))</f>
      </c>
      <c r="AS5" s="1">
        <f>INDEX('September'!$X$5:$X$35,DAY(DATE(Jahr,10,0)))</f>
      </c>
      <c r="AT5" s="1">
        <f>INDEX('September'!$U$5:$U$35,DAY(DATE(Jahr,10,0)))</f>
      </c>
      <c r="AU5" s="1">
        <f>INDEX('September'!$V$5:$V$35,DAY(DATE(Jahr,10,0)))</f>
      </c>
    </row>
    <row r="6" spans="1:47" x14ac:dyDescent="0.25">
      <c r="A6" s="17">
        <f>IF(MONTH(DATE(Jahr,10,2))=10,DATE(Jahr,10,2),"")</f>
      </c>
      <c r="B6" s="13">
        <f>IF(A6="","",CHOOSE(WEEKDAY(A6,2),"Mo","Di","Mi","Do","Fr","Sa","So"))</f>
      </c>
      <c r="C6" s="18"/>
      <c r="D6" s="18"/>
      <c r="E6" s="7"/>
      <c r="F6" s="7"/>
      <c r="G6" s="7"/>
      <c r="H6" s="19"/>
      <c r="I6" s="19"/>
      <c r="J6" s="19"/>
      <c r="K6" s="9"/>
      <c r="L6" s="20">
        <f>IF(OR(AD6=0,AF6&lt;&gt;"",AND(W6=1,V6&gt;0,OR(T6=1,U6=1))),"",AE6/1440)</f>
      </c>
      <c r="M6" s="21">
        <f>IF(OR(AD6=0,AF6&lt;&gt;""),"",AJ6)</f>
      </c>
      <c r="N6" s="21">
        <f>IF(AK6=0,"",AK6)</f>
      </c>
      <c r="O6" s="21">
        <f>IF(OR(AD6=0,AF6&lt;&gt;""),"",AJ6-AK6)</f>
      </c>
      <c r="P6" s="21">
        <f>IF(AND(AD6=1,AF6="",V6=2),AI6,"")</f>
      </c>
      <c r="Q6" s="21">
        <f>IF(OR($A6="",N(K6)=0),"",ROUND(K6*KmSatz,2))</f>
      </c>
      <c r="R6" s="22">
        <f>IF(AF6&amp;AL6="","",LEFT(AF6&amp;AL6,LEN(AF6&amp;AL6)-2))</f>
      </c>
      <c r="S6" s="1"/>
      <c r="T6" s="1">
        <f>IF(AND($A6&lt;&gt;"",ISNUMBER(C6)),1,0)</f>
      </c>
      <c r="U6" s="1">
        <f>IF(AND($A6&lt;&gt;"",ISNUMBER(D6)),1,0)</f>
      </c>
      <c r="V6" s="1">
        <f>IF($A6="",0,IF(E6="ja",1,IF(E6="Pauschale",2,0)))</f>
      </c>
      <c r="W6" s="1">
        <f>IF($A6="",0,IF(AU6&gt;0,1,0))</f>
      </c>
      <c r="X6" s="1">
        <f>IF(AND(T6=1,W6=0),1,0)</f>
      </c>
      <c r="Y6" s="1">
        <f>IF(AND(AS6=1,AT6=0,AU6=0),1,0)</f>
      </c>
      <c r="Z6" s="1">
        <f>IF(AND(Y6=1,T6=0,U6=1,V6=0),1,0)</f>
      </c>
      <c r="AA6" s="1">
        <f>IF(AND(X6=1,U6=0,V6=0,AN6=0,AO6=1,AP6=0),1,0)</f>
      </c>
      <c r="AB6" s="1">
        <f>IF(OR(W6=1,Z6=1),0,IF(T6=1,C6,0))</f>
      </c>
      <c r="AC6" s="1">
        <f>IF(OR(V6&gt;0,AA6=1),1,IF(U6=1,D6,1))</f>
      </c>
      <c r="AD6" s="1">
        <f>IF($A6="",0,IF(OR(T6=1,U6=1,V6&gt;0,W6=1),1,0))</f>
      </c>
      <c r="AE6" s="1">
        <f>IF(AD6=0,0,ROUND((AC6-AB6)*1440,0))</f>
      </c>
      <c r="AF6" s="1">
        <f>IF(AD6=0,"",IF(AND(F6&lt;&gt;"",ISNA(MATCH(F6,PauschLand,0))),"Land nicht in der Liste; ","")&amp;IF(AND(T6=0,W6=0,Z6=0),"Beginn fehlt; ","")&amp;IF(AND(V6=0,U6=0,AA6=0),"Ende fehlt; ","")&amp;IF(AND(X6=1,U6=1,V6=0,N(D6)&lt;N(C6)),"Ende vor Beginn (über Mitternacht: Ende in die Zeile des Folgetags); ",""))</f>
      </c>
      <c r="AG6" s="1">
        <f>IF(AD6=0,0,IFERROR(VLOOKUP(IF(F6="","Deutschland",F6),PauschTab,2,FALSE),0))</f>
      </c>
      <c r="AH6" s="1">
        <f>IF(AD6=0,0,IFERROR(VLOOKUP(IF(F6="","Deutschland",F6),PauschTab,3,FALSE),0))</f>
      </c>
      <c r="AI6" s="1">
        <f>IF(AD6=0,0,IFERROR(VLOOKUP(IF(F6="","Deutschland",F6),PauschTab,4,FALSE),0))</f>
      </c>
      <c r="AJ6" s="1">
        <f>IF(OR(AD6=0,AF6&lt;&gt;""),0,IF(AND(W6=1,V6&gt;0),IF(OR(T6=1,U6=1),AH6,AG6),IF(OR(W6=1,V6&gt;0),AH6,IF(AA6=1,IF(AND(AE6+AQ6&gt;480,AE6&gt;=AQ6),AH6,0),IF(Z6=1,IF(AND(AR6+AE6&gt;480,AE6&gt;AR6),AH6,0),IF(AE6&gt;480,AH6,0))))))</f>
      </c>
      <c r="AK6" s="1">
        <f>MIN(AJ6,AM6)</f>
      </c>
      <c r="AL6" s="1">
        <f>IF(OR(AD6=0,AF6&lt;&gt;""),"",IF(AND(W6=0,V6=0,AA6=0,Z6=0,AE6&lt;=480),"nicht mehr als 8 Std.; ","")&amp;IF(AA6=1,IF(AJ6&gt;0,"über Mitternacht, zusammen "&amp;TEXT((AE6+AQ6)/1440,"[h]:mm")&amp;" Std.; ",IF(AE6+AQ6&gt;480,"über Mitternacht: Pauschale am Folgetag; ","über Mitternacht, zusammen nicht mehr als 8 Std.; ")),"")&amp;IF(Z6=1,IF(AJ6&gt;0,"über Mitternacht, zusammen "&amp;TEXT((AR6+AE6)/1440,"[h]:mm")&amp;" Std.; ",IF(AR6+AE6&gt;480,"über Mitternacht: Pauschale am Vortag; ","über Mitternacht, zusammen nicht mehr als 8 Std.; ")),"")&amp;IF(AND(W6=1,V6&gt;0,OR(T6=1,U6=1)),"zwischendurch zu Hause: An- und Abreisetag; ","")&amp;IF(AND(W6=1,V6=0,T6=1),"Beginn leer lassen: unterwegs seit dem Vortag; ","")&amp;IF(AND(W6=0,V6&gt;0,U6=1),"Ende leer lassen: Übernachtung; ","")&amp;IF(AND(AJ6&gt;0,AM6&gt;AJ6),"Kürzung auf die Pauschale begrenzt; ",""))</f>
      </c>
      <c r="AM6" s="1">
        <f>ROUND(AG6*(IF(H6&lt;&gt;"",0.2,0)+IF(I6&lt;&gt;"",0.4,0)+IF(J6&lt;&gt;"",0.4,0)),2)</f>
      </c>
      <c r="AN6" s="1">
        <f>IF($A7="",'November'!$T$5,T7)</f>
      </c>
      <c r="AO6" s="1">
        <f>IF($A7="",'November'!$U$5,U7)</f>
      </c>
      <c r="AP6" s="1">
        <f>IF($A7="",'November'!$V$5,V7)</f>
      </c>
      <c r="AQ6" s="1">
        <f>IF($A7="",'November'!$AE$5,AE7)</f>
      </c>
      <c r="AR6" s="1">
        <f>AE5</f>
      </c>
      <c r="AS6" s="1">
        <f>X5</f>
      </c>
      <c r="AT6" s="1">
        <f>U5</f>
      </c>
      <c r="AU6" s="1">
        <f>V5</f>
      </c>
    </row>
    <row r="7" spans="1:47" x14ac:dyDescent="0.25">
      <c r="A7" s="17">
        <f>IF(MONTH(DATE(Jahr,10,3))=10,DATE(Jahr,10,3),"")</f>
      </c>
      <c r="B7" s="13">
        <f>IF(A7="","",CHOOSE(WEEKDAY(A7,2),"Mo","Di","Mi","Do","Fr","Sa","So"))</f>
      </c>
      <c r="C7" s="18"/>
      <c r="D7" s="18"/>
      <c r="E7" s="7"/>
      <c r="F7" s="7"/>
      <c r="G7" s="7"/>
      <c r="H7" s="19"/>
      <c r="I7" s="19"/>
      <c r="J7" s="19"/>
      <c r="K7" s="9"/>
      <c r="L7" s="20">
        <f>IF(OR(AD7=0,AF7&lt;&gt;"",AND(W7=1,V7&gt;0,OR(T7=1,U7=1))),"",AE7/1440)</f>
      </c>
      <c r="M7" s="21">
        <f>IF(OR(AD7=0,AF7&lt;&gt;""),"",AJ7)</f>
      </c>
      <c r="N7" s="21">
        <f>IF(AK7=0,"",AK7)</f>
      </c>
      <c r="O7" s="21">
        <f>IF(OR(AD7=0,AF7&lt;&gt;""),"",AJ7-AK7)</f>
      </c>
      <c r="P7" s="21">
        <f>IF(AND(AD7=1,AF7="",V7=2),AI7,"")</f>
      </c>
      <c r="Q7" s="21">
        <f>IF(OR($A7="",N(K7)=0),"",ROUND(K7*KmSatz,2))</f>
      </c>
      <c r="R7" s="22">
        <f>IF(AF7&amp;AL7="","",LEFT(AF7&amp;AL7,LEN(AF7&amp;AL7)-2))</f>
      </c>
      <c r="S7" s="1"/>
      <c r="T7" s="1">
        <f>IF(AND($A7&lt;&gt;"",ISNUMBER(C7)),1,0)</f>
      </c>
      <c r="U7" s="1">
        <f>IF(AND($A7&lt;&gt;"",ISNUMBER(D7)),1,0)</f>
      </c>
      <c r="V7" s="1">
        <f>IF($A7="",0,IF(E7="ja",1,IF(E7="Pauschale",2,0)))</f>
      </c>
      <c r="W7" s="1">
        <f>IF($A7="",0,IF(AU7&gt;0,1,0))</f>
      </c>
      <c r="X7" s="1">
        <f>IF(AND(T7=1,W7=0),1,0)</f>
      </c>
      <c r="Y7" s="1">
        <f>IF(AND(AS7=1,AT7=0,AU7=0),1,0)</f>
      </c>
      <c r="Z7" s="1">
        <f>IF(AND(Y7=1,T7=0,U7=1,V7=0),1,0)</f>
      </c>
      <c r="AA7" s="1">
        <f>IF(AND(X7=1,U7=0,V7=0,AN7=0,AO7=1,AP7=0),1,0)</f>
      </c>
      <c r="AB7" s="1">
        <f>IF(OR(W7=1,Z7=1),0,IF(T7=1,C7,0))</f>
      </c>
      <c r="AC7" s="1">
        <f>IF(OR(V7&gt;0,AA7=1),1,IF(U7=1,D7,1))</f>
      </c>
      <c r="AD7" s="1">
        <f>IF($A7="",0,IF(OR(T7=1,U7=1,V7&gt;0,W7=1),1,0))</f>
      </c>
      <c r="AE7" s="1">
        <f>IF(AD7=0,0,ROUND((AC7-AB7)*1440,0))</f>
      </c>
      <c r="AF7" s="1">
        <f>IF(AD7=0,"",IF(AND(F7&lt;&gt;"",ISNA(MATCH(F7,PauschLand,0))),"Land nicht in der Liste; ","")&amp;IF(AND(T7=0,W7=0,Z7=0),"Beginn fehlt; ","")&amp;IF(AND(V7=0,U7=0,AA7=0),"Ende fehlt; ","")&amp;IF(AND(X7=1,U7=1,V7=0,N(D7)&lt;N(C7)),"Ende vor Beginn (über Mitternacht: Ende in die Zeile des Folgetags); ",""))</f>
      </c>
      <c r="AG7" s="1">
        <f>IF(AD7=0,0,IFERROR(VLOOKUP(IF(F7="","Deutschland",F7),PauschTab,2,FALSE),0))</f>
      </c>
      <c r="AH7" s="1">
        <f>IF(AD7=0,0,IFERROR(VLOOKUP(IF(F7="","Deutschland",F7),PauschTab,3,FALSE),0))</f>
      </c>
      <c r="AI7" s="1">
        <f>IF(AD7=0,0,IFERROR(VLOOKUP(IF(F7="","Deutschland",F7),PauschTab,4,FALSE),0))</f>
      </c>
      <c r="AJ7" s="1">
        <f>IF(OR(AD7=0,AF7&lt;&gt;""),0,IF(AND(W7=1,V7&gt;0),IF(OR(T7=1,U7=1),AH7,AG7),IF(OR(W7=1,V7&gt;0),AH7,IF(AA7=1,IF(AND(AE7+AQ7&gt;480,AE7&gt;=AQ7),AH7,0),IF(Z7=1,IF(AND(AR7+AE7&gt;480,AE7&gt;AR7),AH7,0),IF(AE7&gt;480,AH7,0))))))</f>
      </c>
      <c r="AK7" s="1">
        <f>MIN(AJ7,AM7)</f>
      </c>
      <c r="AL7" s="1">
        <f>IF(OR(AD7=0,AF7&lt;&gt;""),"",IF(AND(W7=0,V7=0,AA7=0,Z7=0,AE7&lt;=480),"nicht mehr als 8 Std.; ","")&amp;IF(AA7=1,IF(AJ7&gt;0,"über Mitternacht, zusammen "&amp;TEXT((AE7+AQ7)/1440,"[h]:mm")&amp;" Std.; ",IF(AE7+AQ7&gt;480,"über Mitternacht: Pauschale am Folgetag; ","über Mitternacht, zusammen nicht mehr als 8 Std.; ")),"")&amp;IF(Z7=1,IF(AJ7&gt;0,"über Mitternacht, zusammen "&amp;TEXT((AR7+AE7)/1440,"[h]:mm")&amp;" Std.; ",IF(AR7+AE7&gt;480,"über Mitternacht: Pauschale am Vortag; ","über Mitternacht, zusammen nicht mehr als 8 Std.; ")),"")&amp;IF(AND(W7=1,V7&gt;0,OR(T7=1,U7=1)),"zwischendurch zu Hause: An- und Abreisetag; ","")&amp;IF(AND(W7=1,V7=0,T7=1),"Beginn leer lassen: unterwegs seit dem Vortag; ","")&amp;IF(AND(W7=0,V7&gt;0,U7=1),"Ende leer lassen: Übernachtung; ","")&amp;IF(AND(AJ7&gt;0,AM7&gt;AJ7),"Kürzung auf die Pauschale begrenzt; ",""))</f>
      </c>
      <c r="AM7" s="1">
        <f>ROUND(AG7*(IF(H7&lt;&gt;"",0.2,0)+IF(I7&lt;&gt;"",0.4,0)+IF(J7&lt;&gt;"",0.4,0)),2)</f>
      </c>
      <c r="AN7" s="1">
        <f>IF($A8="",'November'!$T$5,T8)</f>
      </c>
      <c r="AO7" s="1">
        <f>IF($A8="",'November'!$U$5,U8)</f>
      </c>
      <c r="AP7" s="1">
        <f>IF($A8="",'November'!$V$5,V8)</f>
      </c>
      <c r="AQ7" s="1">
        <f>IF($A8="",'November'!$AE$5,AE8)</f>
      </c>
      <c r="AR7" s="1">
        <f>AE6</f>
      </c>
      <c r="AS7" s="1">
        <f>X6</f>
      </c>
      <c r="AT7" s="1">
        <f>U6</f>
      </c>
      <c r="AU7" s="1">
        <f>V6</f>
      </c>
    </row>
    <row r="8" spans="1:47" x14ac:dyDescent="0.25">
      <c r="A8" s="17">
        <f>IF(MONTH(DATE(Jahr,10,4))=10,DATE(Jahr,10,4),"")</f>
      </c>
      <c r="B8" s="13">
        <f>IF(A8="","",CHOOSE(WEEKDAY(A8,2),"Mo","Di","Mi","Do","Fr","Sa","So"))</f>
      </c>
      <c r="C8" s="18"/>
      <c r="D8" s="18"/>
      <c r="E8" s="7"/>
      <c r="F8" s="7"/>
      <c r="G8" s="7"/>
      <c r="H8" s="19"/>
      <c r="I8" s="19"/>
      <c r="J8" s="19"/>
      <c r="K8" s="9"/>
      <c r="L8" s="20">
        <f>IF(OR(AD8=0,AF8&lt;&gt;"",AND(W8=1,V8&gt;0,OR(T8=1,U8=1))),"",AE8/1440)</f>
      </c>
      <c r="M8" s="21">
        <f>IF(OR(AD8=0,AF8&lt;&gt;""),"",AJ8)</f>
      </c>
      <c r="N8" s="21">
        <f>IF(AK8=0,"",AK8)</f>
      </c>
      <c r="O8" s="21">
        <f>IF(OR(AD8=0,AF8&lt;&gt;""),"",AJ8-AK8)</f>
      </c>
      <c r="P8" s="21">
        <f>IF(AND(AD8=1,AF8="",V8=2),AI8,"")</f>
      </c>
      <c r="Q8" s="21">
        <f>IF(OR($A8="",N(K8)=0),"",ROUND(K8*KmSatz,2))</f>
      </c>
      <c r="R8" s="22">
        <f>IF(AF8&amp;AL8="","",LEFT(AF8&amp;AL8,LEN(AF8&amp;AL8)-2))</f>
      </c>
      <c r="S8" s="1"/>
      <c r="T8" s="1">
        <f>IF(AND($A8&lt;&gt;"",ISNUMBER(C8)),1,0)</f>
      </c>
      <c r="U8" s="1">
        <f>IF(AND($A8&lt;&gt;"",ISNUMBER(D8)),1,0)</f>
      </c>
      <c r="V8" s="1">
        <f>IF($A8="",0,IF(E8="ja",1,IF(E8="Pauschale",2,0)))</f>
      </c>
      <c r="W8" s="1">
        <f>IF($A8="",0,IF(AU8&gt;0,1,0))</f>
      </c>
      <c r="X8" s="1">
        <f>IF(AND(T8=1,W8=0),1,0)</f>
      </c>
      <c r="Y8" s="1">
        <f>IF(AND(AS8=1,AT8=0,AU8=0),1,0)</f>
      </c>
      <c r="Z8" s="1">
        <f>IF(AND(Y8=1,T8=0,U8=1,V8=0),1,0)</f>
      </c>
      <c r="AA8" s="1">
        <f>IF(AND(X8=1,U8=0,V8=0,AN8=0,AO8=1,AP8=0),1,0)</f>
      </c>
      <c r="AB8" s="1">
        <f>IF(OR(W8=1,Z8=1),0,IF(T8=1,C8,0))</f>
      </c>
      <c r="AC8" s="1">
        <f>IF(OR(V8&gt;0,AA8=1),1,IF(U8=1,D8,1))</f>
      </c>
      <c r="AD8" s="1">
        <f>IF($A8="",0,IF(OR(T8=1,U8=1,V8&gt;0,W8=1),1,0))</f>
      </c>
      <c r="AE8" s="1">
        <f>IF(AD8=0,0,ROUND((AC8-AB8)*1440,0))</f>
      </c>
      <c r="AF8" s="1">
        <f>IF(AD8=0,"",IF(AND(F8&lt;&gt;"",ISNA(MATCH(F8,PauschLand,0))),"Land nicht in der Liste; ","")&amp;IF(AND(T8=0,W8=0,Z8=0),"Beginn fehlt; ","")&amp;IF(AND(V8=0,U8=0,AA8=0),"Ende fehlt; ","")&amp;IF(AND(X8=1,U8=1,V8=0,N(D8)&lt;N(C8)),"Ende vor Beginn (über Mitternacht: Ende in die Zeile des Folgetags); ",""))</f>
      </c>
      <c r="AG8" s="1">
        <f>IF(AD8=0,0,IFERROR(VLOOKUP(IF(F8="","Deutschland",F8),PauschTab,2,FALSE),0))</f>
      </c>
      <c r="AH8" s="1">
        <f>IF(AD8=0,0,IFERROR(VLOOKUP(IF(F8="","Deutschland",F8),PauschTab,3,FALSE),0))</f>
      </c>
      <c r="AI8" s="1">
        <f>IF(AD8=0,0,IFERROR(VLOOKUP(IF(F8="","Deutschland",F8),PauschTab,4,FALSE),0))</f>
      </c>
      <c r="AJ8" s="1">
        <f>IF(OR(AD8=0,AF8&lt;&gt;""),0,IF(AND(W8=1,V8&gt;0),IF(OR(T8=1,U8=1),AH8,AG8),IF(OR(W8=1,V8&gt;0),AH8,IF(AA8=1,IF(AND(AE8+AQ8&gt;480,AE8&gt;=AQ8),AH8,0),IF(Z8=1,IF(AND(AR8+AE8&gt;480,AE8&gt;AR8),AH8,0),IF(AE8&gt;480,AH8,0))))))</f>
      </c>
      <c r="AK8" s="1">
        <f>MIN(AJ8,AM8)</f>
      </c>
      <c r="AL8" s="1">
        <f>IF(OR(AD8=0,AF8&lt;&gt;""),"",IF(AND(W8=0,V8=0,AA8=0,Z8=0,AE8&lt;=480),"nicht mehr als 8 Std.; ","")&amp;IF(AA8=1,IF(AJ8&gt;0,"über Mitternacht, zusammen "&amp;TEXT((AE8+AQ8)/1440,"[h]:mm")&amp;" Std.; ",IF(AE8+AQ8&gt;480,"über Mitternacht: Pauschale am Folgetag; ","über Mitternacht, zusammen nicht mehr als 8 Std.; ")),"")&amp;IF(Z8=1,IF(AJ8&gt;0,"über Mitternacht, zusammen "&amp;TEXT((AR8+AE8)/1440,"[h]:mm")&amp;" Std.; ",IF(AR8+AE8&gt;480,"über Mitternacht: Pauschale am Vortag; ","über Mitternacht, zusammen nicht mehr als 8 Std.; ")),"")&amp;IF(AND(W8=1,V8&gt;0,OR(T8=1,U8=1)),"zwischendurch zu Hause: An- und Abreisetag; ","")&amp;IF(AND(W8=1,V8=0,T8=1),"Beginn leer lassen: unterwegs seit dem Vortag; ","")&amp;IF(AND(W8=0,V8&gt;0,U8=1),"Ende leer lassen: Übernachtung; ","")&amp;IF(AND(AJ8&gt;0,AM8&gt;AJ8),"Kürzung auf die Pauschale begrenzt; ",""))</f>
      </c>
      <c r="AM8" s="1">
        <f>ROUND(AG8*(IF(H8&lt;&gt;"",0.2,0)+IF(I8&lt;&gt;"",0.4,0)+IF(J8&lt;&gt;"",0.4,0)),2)</f>
      </c>
      <c r="AN8" s="1">
        <f>IF($A9="",'November'!$T$5,T9)</f>
      </c>
      <c r="AO8" s="1">
        <f>IF($A9="",'November'!$U$5,U9)</f>
      </c>
      <c r="AP8" s="1">
        <f>IF($A9="",'November'!$V$5,V9)</f>
      </c>
      <c r="AQ8" s="1">
        <f>IF($A9="",'November'!$AE$5,AE9)</f>
      </c>
      <c r="AR8" s="1">
        <f>AE7</f>
      </c>
      <c r="AS8" s="1">
        <f>X7</f>
      </c>
      <c r="AT8" s="1">
        <f>U7</f>
      </c>
      <c r="AU8" s="1">
        <f>V7</f>
      </c>
    </row>
    <row r="9" spans="1:47" x14ac:dyDescent="0.25">
      <c r="A9" s="17">
        <f>IF(MONTH(DATE(Jahr,10,5))=10,DATE(Jahr,10,5),"")</f>
      </c>
      <c r="B9" s="13">
        <f>IF(A9="","",CHOOSE(WEEKDAY(A9,2),"Mo","Di","Mi","Do","Fr","Sa","So"))</f>
      </c>
      <c r="C9" s="18"/>
      <c r="D9" s="18"/>
      <c r="E9" s="7"/>
      <c r="F9" s="7"/>
      <c r="G9" s="7"/>
      <c r="H9" s="19"/>
      <c r="I9" s="19"/>
      <c r="J9" s="19"/>
      <c r="K9" s="9"/>
      <c r="L9" s="20">
        <f>IF(OR(AD9=0,AF9&lt;&gt;"",AND(W9=1,V9&gt;0,OR(T9=1,U9=1))),"",AE9/1440)</f>
      </c>
      <c r="M9" s="21">
        <f>IF(OR(AD9=0,AF9&lt;&gt;""),"",AJ9)</f>
      </c>
      <c r="N9" s="21">
        <f>IF(AK9=0,"",AK9)</f>
      </c>
      <c r="O9" s="21">
        <f>IF(OR(AD9=0,AF9&lt;&gt;""),"",AJ9-AK9)</f>
      </c>
      <c r="P9" s="21">
        <f>IF(AND(AD9=1,AF9="",V9=2),AI9,"")</f>
      </c>
      <c r="Q9" s="21">
        <f>IF(OR($A9="",N(K9)=0),"",ROUND(K9*KmSatz,2))</f>
      </c>
      <c r="R9" s="22">
        <f>IF(AF9&amp;AL9="","",LEFT(AF9&amp;AL9,LEN(AF9&amp;AL9)-2))</f>
      </c>
      <c r="S9" s="1"/>
      <c r="T9" s="1">
        <f>IF(AND($A9&lt;&gt;"",ISNUMBER(C9)),1,0)</f>
      </c>
      <c r="U9" s="1">
        <f>IF(AND($A9&lt;&gt;"",ISNUMBER(D9)),1,0)</f>
      </c>
      <c r="V9" s="1">
        <f>IF($A9="",0,IF(E9="ja",1,IF(E9="Pauschale",2,0)))</f>
      </c>
      <c r="W9" s="1">
        <f>IF($A9="",0,IF(AU9&gt;0,1,0))</f>
      </c>
      <c r="X9" s="1">
        <f>IF(AND(T9=1,W9=0),1,0)</f>
      </c>
      <c r="Y9" s="1">
        <f>IF(AND(AS9=1,AT9=0,AU9=0),1,0)</f>
      </c>
      <c r="Z9" s="1">
        <f>IF(AND(Y9=1,T9=0,U9=1,V9=0),1,0)</f>
      </c>
      <c r="AA9" s="1">
        <f>IF(AND(X9=1,U9=0,V9=0,AN9=0,AO9=1,AP9=0),1,0)</f>
      </c>
      <c r="AB9" s="1">
        <f>IF(OR(W9=1,Z9=1),0,IF(T9=1,C9,0))</f>
      </c>
      <c r="AC9" s="1">
        <f>IF(OR(V9&gt;0,AA9=1),1,IF(U9=1,D9,1))</f>
      </c>
      <c r="AD9" s="1">
        <f>IF($A9="",0,IF(OR(T9=1,U9=1,V9&gt;0,W9=1),1,0))</f>
      </c>
      <c r="AE9" s="1">
        <f>IF(AD9=0,0,ROUND((AC9-AB9)*1440,0))</f>
      </c>
      <c r="AF9" s="1">
        <f>IF(AD9=0,"",IF(AND(F9&lt;&gt;"",ISNA(MATCH(F9,PauschLand,0))),"Land nicht in der Liste; ","")&amp;IF(AND(T9=0,W9=0,Z9=0),"Beginn fehlt; ","")&amp;IF(AND(V9=0,U9=0,AA9=0),"Ende fehlt; ","")&amp;IF(AND(X9=1,U9=1,V9=0,N(D9)&lt;N(C9)),"Ende vor Beginn (über Mitternacht: Ende in die Zeile des Folgetags); ",""))</f>
      </c>
      <c r="AG9" s="1">
        <f>IF(AD9=0,0,IFERROR(VLOOKUP(IF(F9="","Deutschland",F9),PauschTab,2,FALSE),0))</f>
      </c>
      <c r="AH9" s="1">
        <f>IF(AD9=0,0,IFERROR(VLOOKUP(IF(F9="","Deutschland",F9),PauschTab,3,FALSE),0))</f>
      </c>
      <c r="AI9" s="1">
        <f>IF(AD9=0,0,IFERROR(VLOOKUP(IF(F9="","Deutschland",F9),PauschTab,4,FALSE),0))</f>
      </c>
      <c r="AJ9" s="1">
        <f>IF(OR(AD9=0,AF9&lt;&gt;""),0,IF(AND(W9=1,V9&gt;0),IF(OR(T9=1,U9=1),AH9,AG9),IF(OR(W9=1,V9&gt;0),AH9,IF(AA9=1,IF(AND(AE9+AQ9&gt;480,AE9&gt;=AQ9),AH9,0),IF(Z9=1,IF(AND(AR9+AE9&gt;480,AE9&gt;AR9),AH9,0),IF(AE9&gt;480,AH9,0))))))</f>
      </c>
      <c r="AK9" s="1">
        <f>MIN(AJ9,AM9)</f>
      </c>
      <c r="AL9" s="1">
        <f>IF(OR(AD9=0,AF9&lt;&gt;""),"",IF(AND(W9=0,V9=0,AA9=0,Z9=0,AE9&lt;=480),"nicht mehr als 8 Std.; ","")&amp;IF(AA9=1,IF(AJ9&gt;0,"über Mitternacht, zusammen "&amp;TEXT((AE9+AQ9)/1440,"[h]:mm")&amp;" Std.; ",IF(AE9+AQ9&gt;480,"über Mitternacht: Pauschale am Folgetag; ","über Mitternacht, zusammen nicht mehr als 8 Std.; ")),"")&amp;IF(Z9=1,IF(AJ9&gt;0,"über Mitternacht, zusammen "&amp;TEXT((AR9+AE9)/1440,"[h]:mm")&amp;" Std.; ",IF(AR9+AE9&gt;480,"über Mitternacht: Pauschale am Vortag; ","über Mitternacht, zusammen nicht mehr als 8 Std.; ")),"")&amp;IF(AND(W9=1,V9&gt;0,OR(T9=1,U9=1)),"zwischendurch zu Hause: An- und Abreisetag; ","")&amp;IF(AND(W9=1,V9=0,T9=1),"Beginn leer lassen: unterwegs seit dem Vortag; ","")&amp;IF(AND(W9=0,V9&gt;0,U9=1),"Ende leer lassen: Übernachtung; ","")&amp;IF(AND(AJ9&gt;0,AM9&gt;AJ9),"Kürzung auf die Pauschale begrenzt; ",""))</f>
      </c>
      <c r="AM9" s="1">
        <f>ROUND(AG9*(IF(H9&lt;&gt;"",0.2,0)+IF(I9&lt;&gt;"",0.4,0)+IF(J9&lt;&gt;"",0.4,0)),2)</f>
      </c>
      <c r="AN9" s="1">
        <f>IF($A10="",'November'!$T$5,T10)</f>
      </c>
      <c r="AO9" s="1">
        <f>IF($A10="",'November'!$U$5,U10)</f>
      </c>
      <c r="AP9" s="1">
        <f>IF($A10="",'November'!$V$5,V10)</f>
      </c>
      <c r="AQ9" s="1">
        <f>IF($A10="",'November'!$AE$5,AE10)</f>
      </c>
      <c r="AR9" s="1">
        <f>AE8</f>
      </c>
      <c r="AS9" s="1">
        <f>X8</f>
      </c>
      <c r="AT9" s="1">
        <f>U8</f>
      </c>
      <c r="AU9" s="1">
        <f>V8</f>
      </c>
    </row>
    <row r="10" spans="1:47" x14ac:dyDescent="0.25">
      <c r="A10" s="17">
        <f>IF(MONTH(DATE(Jahr,10,6))=10,DATE(Jahr,10,6),"")</f>
      </c>
      <c r="B10" s="13">
        <f>IF(A10="","",CHOOSE(WEEKDAY(A10,2),"Mo","Di","Mi","Do","Fr","Sa","So"))</f>
      </c>
      <c r="C10" s="18"/>
      <c r="D10" s="18"/>
      <c r="E10" s="7"/>
      <c r="F10" s="7"/>
      <c r="G10" s="7"/>
      <c r="H10" s="19"/>
      <c r="I10" s="19"/>
      <c r="J10" s="19"/>
      <c r="K10" s="9"/>
      <c r="L10" s="20">
        <f>IF(OR(AD10=0,AF10&lt;&gt;"",AND(W10=1,V10&gt;0,OR(T10=1,U10=1))),"",AE10/1440)</f>
      </c>
      <c r="M10" s="21">
        <f>IF(OR(AD10=0,AF10&lt;&gt;""),"",AJ10)</f>
      </c>
      <c r="N10" s="21">
        <f>IF(AK10=0,"",AK10)</f>
      </c>
      <c r="O10" s="21">
        <f>IF(OR(AD10=0,AF10&lt;&gt;""),"",AJ10-AK10)</f>
      </c>
      <c r="P10" s="21">
        <f>IF(AND(AD10=1,AF10="",V10=2),AI10,"")</f>
      </c>
      <c r="Q10" s="21">
        <f>IF(OR($A10="",N(K10)=0),"",ROUND(K10*KmSatz,2))</f>
      </c>
      <c r="R10" s="22">
        <f>IF(AF10&amp;AL10="","",LEFT(AF10&amp;AL10,LEN(AF10&amp;AL10)-2))</f>
      </c>
      <c r="S10" s="1"/>
      <c r="T10" s="1">
        <f>IF(AND($A10&lt;&gt;"",ISNUMBER(C10)),1,0)</f>
      </c>
      <c r="U10" s="1">
        <f>IF(AND($A10&lt;&gt;"",ISNUMBER(D10)),1,0)</f>
      </c>
      <c r="V10" s="1">
        <f>IF($A10="",0,IF(E10="ja",1,IF(E10="Pauschale",2,0)))</f>
      </c>
      <c r="W10" s="1">
        <f>IF($A10="",0,IF(AU10&gt;0,1,0))</f>
      </c>
      <c r="X10" s="1">
        <f>IF(AND(T10=1,W10=0),1,0)</f>
      </c>
      <c r="Y10" s="1">
        <f>IF(AND(AS10=1,AT10=0,AU10=0),1,0)</f>
      </c>
      <c r="Z10" s="1">
        <f>IF(AND(Y10=1,T10=0,U10=1,V10=0),1,0)</f>
      </c>
      <c r="AA10" s="1">
        <f>IF(AND(X10=1,U10=0,V10=0,AN10=0,AO10=1,AP10=0),1,0)</f>
      </c>
      <c r="AB10" s="1">
        <f>IF(OR(W10=1,Z10=1),0,IF(T10=1,C10,0))</f>
      </c>
      <c r="AC10" s="1">
        <f>IF(OR(V10&gt;0,AA10=1),1,IF(U10=1,D10,1))</f>
      </c>
      <c r="AD10" s="1">
        <f>IF($A10="",0,IF(OR(T10=1,U10=1,V10&gt;0,W10=1),1,0))</f>
      </c>
      <c r="AE10" s="1">
        <f>IF(AD10=0,0,ROUND((AC10-AB10)*1440,0))</f>
      </c>
      <c r="AF10" s="1">
        <f>IF(AD10=0,"",IF(AND(F10&lt;&gt;"",ISNA(MATCH(F10,PauschLand,0))),"Land nicht in der Liste; ","")&amp;IF(AND(T10=0,W10=0,Z10=0),"Beginn fehlt; ","")&amp;IF(AND(V10=0,U10=0,AA10=0),"Ende fehlt; ","")&amp;IF(AND(X10=1,U10=1,V10=0,N(D10)&lt;N(C10)),"Ende vor Beginn (über Mitternacht: Ende in die Zeile des Folgetags); ",""))</f>
      </c>
      <c r="AG10" s="1">
        <f>IF(AD10=0,0,IFERROR(VLOOKUP(IF(F10="","Deutschland",F10),PauschTab,2,FALSE),0))</f>
      </c>
      <c r="AH10" s="1">
        <f>IF(AD10=0,0,IFERROR(VLOOKUP(IF(F10="","Deutschland",F10),PauschTab,3,FALSE),0))</f>
      </c>
      <c r="AI10" s="1">
        <f>IF(AD10=0,0,IFERROR(VLOOKUP(IF(F10="","Deutschland",F10),PauschTab,4,FALSE),0))</f>
      </c>
      <c r="AJ10" s="1">
        <f>IF(OR(AD10=0,AF10&lt;&gt;""),0,IF(AND(W10=1,V10&gt;0),IF(OR(T10=1,U10=1),AH10,AG10),IF(OR(W10=1,V10&gt;0),AH10,IF(AA10=1,IF(AND(AE10+AQ10&gt;480,AE10&gt;=AQ10),AH10,0),IF(Z10=1,IF(AND(AR10+AE10&gt;480,AE10&gt;AR10),AH10,0),IF(AE10&gt;480,AH10,0))))))</f>
      </c>
      <c r="AK10" s="1">
        <f>MIN(AJ10,AM10)</f>
      </c>
      <c r="AL10" s="1">
        <f>IF(OR(AD10=0,AF10&lt;&gt;""),"",IF(AND(W10=0,V10=0,AA10=0,Z10=0,AE10&lt;=480),"nicht mehr als 8 Std.; ","")&amp;IF(AA10=1,IF(AJ10&gt;0,"über Mitternacht, zusammen "&amp;TEXT((AE10+AQ10)/1440,"[h]:mm")&amp;" Std.; ",IF(AE10+AQ10&gt;480,"über Mitternacht: Pauschale am Folgetag; ","über Mitternacht, zusammen nicht mehr als 8 Std.; ")),"")&amp;IF(Z10=1,IF(AJ10&gt;0,"über Mitternacht, zusammen "&amp;TEXT((AR10+AE10)/1440,"[h]:mm")&amp;" Std.; ",IF(AR10+AE10&gt;480,"über Mitternacht: Pauschale am Vortag; ","über Mitternacht, zusammen nicht mehr als 8 Std.; ")),"")&amp;IF(AND(W10=1,V10&gt;0,OR(T10=1,U10=1)),"zwischendurch zu Hause: An- und Abreisetag; ","")&amp;IF(AND(W10=1,V10=0,T10=1),"Beginn leer lassen: unterwegs seit dem Vortag; ","")&amp;IF(AND(W10=0,V10&gt;0,U10=1),"Ende leer lassen: Übernachtung; ","")&amp;IF(AND(AJ10&gt;0,AM10&gt;AJ10),"Kürzung auf die Pauschale begrenzt; ",""))</f>
      </c>
      <c r="AM10" s="1">
        <f>ROUND(AG10*(IF(H10&lt;&gt;"",0.2,0)+IF(I10&lt;&gt;"",0.4,0)+IF(J10&lt;&gt;"",0.4,0)),2)</f>
      </c>
      <c r="AN10" s="1">
        <f>IF($A11="",'November'!$T$5,T11)</f>
      </c>
      <c r="AO10" s="1">
        <f>IF($A11="",'November'!$U$5,U11)</f>
      </c>
      <c r="AP10" s="1">
        <f>IF($A11="",'November'!$V$5,V11)</f>
      </c>
      <c r="AQ10" s="1">
        <f>IF($A11="",'November'!$AE$5,AE11)</f>
      </c>
      <c r="AR10" s="1">
        <f>AE9</f>
      </c>
      <c r="AS10" s="1">
        <f>X9</f>
      </c>
      <c r="AT10" s="1">
        <f>U9</f>
      </c>
      <c r="AU10" s="1">
        <f>V9</f>
      </c>
    </row>
    <row r="11" spans="1:47" x14ac:dyDescent="0.25">
      <c r="A11" s="17">
        <f>IF(MONTH(DATE(Jahr,10,7))=10,DATE(Jahr,10,7),"")</f>
      </c>
      <c r="B11" s="13">
        <f>IF(A11="","",CHOOSE(WEEKDAY(A11,2),"Mo","Di","Mi","Do","Fr","Sa","So"))</f>
      </c>
      <c r="C11" s="18"/>
      <c r="D11" s="18"/>
      <c r="E11" s="7"/>
      <c r="F11" s="7"/>
      <c r="G11" s="7"/>
      <c r="H11" s="19"/>
      <c r="I11" s="19"/>
      <c r="J11" s="19"/>
      <c r="K11" s="9"/>
      <c r="L11" s="20">
        <f>IF(OR(AD11=0,AF11&lt;&gt;"",AND(W11=1,V11&gt;0,OR(T11=1,U11=1))),"",AE11/1440)</f>
      </c>
      <c r="M11" s="21">
        <f>IF(OR(AD11=0,AF11&lt;&gt;""),"",AJ11)</f>
      </c>
      <c r="N11" s="21">
        <f>IF(AK11=0,"",AK11)</f>
      </c>
      <c r="O11" s="21">
        <f>IF(OR(AD11=0,AF11&lt;&gt;""),"",AJ11-AK11)</f>
      </c>
      <c r="P11" s="21">
        <f>IF(AND(AD11=1,AF11="",V11=2),AI11,"")</f>
      </c>
      <c r="Q11" s="21">
        <f>IF(OR($A11="",N(K11)=0),"",ROUND(K11*KmSatz,2))</f>
      </c>
      <c r="R11" s="22">
        <f>IF(AF11&amp;AL11="","",LEFT(AF11&amp;AL11,LEN(AF11&amp;AL11)-2))</f>
      </c>
      <c r="S11" s="1"/>
      <c r="T11" s="1">
        <f>IF(AND($A11&lt;&gt;"",ISNUMBER(C11)),1,0)</f>
      </c>
      <c r="U11" s="1">
        <f>IF(AND($A11&lt;&gt;"",ISNUMBER(D11)),1,0)</f>
      </c>
      <c r="V11" s="1">
        <f>IF($A11="",0,IF(E11="ja",1,IF(E11="Pauschale",2,0)))</f>
      </c>
      <c r="W11" s="1">
        <f>IF($A11="",0,IF(AU11&gt;0,1,0))</f>
      </c>
      <c r="X11" s="1">
        <f>IF(AND(T11=1,W11=0),1,0)</f>
      </c>
      <c r="Y11" s="1">
        <f>IF(AND(AS11=1,AT11=0,AU11=0),1,0)</f>
      </c>
      <c r="Z11" s="1">
        <f>IF(AND(Y11=1,T11=0,U11=1,V11=0),1,0)</f>
      </c>
      <c r="AA11" s="1">
        <f>IF(AND(X11=1,U11=0,V11=0,AN11=0,AO11=1,AP11=0),1,0)</f>
      </c>
      <c r="AB11" s="1">
        <f>IF(OR(W11=1,Z11=1),0,IF(T11=1,C11,0))</f>
      </c>
      <c r="AC11" s="1">
        <f>IF(OR(V11&gt;0,AA11=1),1,IF(U11=1,D11,1))</f>
      </c>
      <c r="AD11" s="1">
        <f>IF($A11="",0,IF(OR(T11=1,U11=1,V11&gt;0,W11=1),1,0))</f>
      </c>
      <c r="AE11" s="1">
        <f>IF(AD11=0,0,ROUND((AC11-AB11)*1440,0))</f>
      </c>
      <c r="AF11" s="1">
        <f>IF(AD11=0,"",IF(AND(F11&lt;&gt;"",ISNA(MATCH(F11,PauschLand,0))),"Land nicht in der Liste; ","")&amp;IF(AND(T11=0,W11=0,Z11=0),"Beginn fehlt; ","")&amp;IF(AND(V11=0,U11=0,AA11=0),"Ende fehlt; ","")&amp;IF(AND(X11=1,U11=1,V11=0,N(D11)&lt;N(C11)),"Ende vor Beginn (über Mitternacht: Ende in die Zeile des Folgetags); ",""))</f>
      </c>
      <c r="AG11" s="1">
        <f>IF(AD11=0,0,IFERROR(VLOOKUP(IF(F11="","Deutschland",F11),PauschTab,2,FALSE),0))</f>
      </c>
      <c r="AH11" s="1">
        <f>IF(AD11=0,0,IFERROR(VLOOKUP(IF(F11="","Deutschland",F11),PauschTab,3,FALSE),0))</f>
      </c>
      <c r="AI11" s="1">
        <f>IF(AD11=0,0,IFERROR(VLOOKUP(IF(F11="","Deutschland",F11),PauschTab,4,FALSE),0))</f>
      </c>
      <c r="AJ11" s="1">
        <f>IF(OR(AD11=0,AF11&lt;&gt;""),0,IF(AND(W11=1,V11&gt;0),IF(OR(T11=1,U11=1),AH11,AG11),IF(OR(W11=1,V11&gt;0),AH11,IF(AA11=1,IF(AND(AE11+AQ11&gt;480,AE11&gt;=AQ11),AH11,0),IF(Z11=1,IF(AND(AR11+AE11&gt;480,AE11&gt;AR11),AH11,0),IF(AE11&gt;480,AH11,0))))))</f>
      </c>
      <c r="AK11" s="1">
        <f>MIN(AJ11,AM11)</f>
      </c>
      <c r="AL11" s="1">
        <f>IF(OR(AD11=0,AF11&lt;&gt;""),"",IF(AND(W11=0,V11=0,AA11=0,Z11=0,AE11&lt;=480),"nicht mehr als 8 Std.; ","")&amp;IF(AA11=1,IF(AJ11&gt;0,"über Mitternacht, zusammen "&amp;TEXT((AE11+AQ11)/1440,"[h]:mm")&amp;" Std.; ",IF(AE11+AQ11&gt;480,"über Mitternacht: Pauschale am Folgetag; ","über Mitternacht, zusammen nicht mehr als 8 Std.; ")),"")&amp;IF(Z11=1,IF(AJ11&gt;0,"über Mitternacht, zusammen "&amp;TEXT((AR11+AE11)/1440,"[h]:mm")&amp;" Std.; ",IF(AR11+AE11&gt;480,"über Mitternacht: Pauschale am Vortag; ","über Mitternacht, zusammen nicht mehr als 8 Std.; ")),"")&amp;IF(AND(W11=1,V11&gt;0,OR(T11=1,U11=1)),"zwischendurch zu Hause: An- und Abreisetag; ","")&amp;IF(AND(W11=1,V11=0,T11=1),"Beginn leer lassen: unterwegs seit dem Vortag; ","")&amp;IF(AND(W11=0,V11&gt;0,U11=1),"Ende leer lassen: Übernachtung; ","")&amp;IF(AND(AJ11&gt;0,AM11&gt;AJ11),"Kürzung auf die Pauschale begrenzt; ",""))</f>
      </c>
      <c r="AM11" s="1">
        <f>ROUND(AG11*(IF(H11&lt;&gt;"",0.2,0)+IF(I11&lt;&gt;"",0.4,0)+IF(J11&lt;&gt;"",0.4,0)),2)</f>
      </c>
      <c r="AN11" s="1">
        <f>IF($A12="",'November'!$T$5,T12)</f>
      </c>
      <c r="AO11" s="1">
        <f>IF($A12="",'November'!$U$5,U12)</f>
      </c>
      <c r="AP11" s="1">
        <f>IF($A12="",'November'!$V$5,V12)</f>
      </c>
      <c r="AQ11" s="1">
        <f>IF($A12="",'November'!$AE$5,AE12)</f>
      </c>
      <c r="AR11" s="1">
        <f>AE10</f>
      </c>
      <c r="AS11" s="1">
        <f>X10</f>
      </c>
      <c r="AT11" s="1">
        <f>U10</f>
      </c>
      <c r="AU11" s="1">
        <f>V10</f>
      </c>
    </row>
    <row r="12" spans="1:47" x14ac:dyDescent="0.25">
      <c r="A12" s="17">
        <f>IF(MONTH(DATE(Jahr,10,8))=10,DATE(Jahr,10,8),"")</f>
      </c>
      <c r="B12" s="13">
        <f>IF(A12="","",CHOOSE(WEEKDAY(A12,2),"Mo","Di","Mi","Do","Fr","Sa","So"))</f>
      </c>
      <c r="C12" s="18"/>
      <c r="D12" s="18"/>
      <c r="E12" s="7"/>
      <c r="F12" s="7"/>
      <c r="G12" s="7"/>
      <c r="H12" s="19"/>
      <c r="I12" s="19"/>
      <c r="J12" s="19"/>
      <c r="K12" s="9"/>
      <c r="L12" s="20">
        <f>IF(OR(AD12=0,AF12&lt;&gt;"",AND(W12=1,V12&gt;0,OR(T12=1,U12=1))),"",AE12/1440)</f>
      </c>
      <c r="M12" s="21">
        <f>IF(OR(AD12=0,AF12&lt;&gt;""),"",AJ12)</f>
      </c>
      <c r="N12" s="21">
        <f>IF(AK12=0,"",AK12)</f>
      </c>
      <c r="O12" s="21">
        <f>IF(OR(AD12=0,AF12&lt;&gt;""),"",AJ12-AK12)</f>
      </c>
      <c r="P12" s="21">
        <f>IF(AND(AD12=1,AF12="",V12=2),AI12,"")</f>
      </c>
      <c r="Q12" s="21">
        <f>IF(OR($A12="",N(K12)=0),"",ROUND(K12*KmSatz,2))</f>
      </c>
      <c r="R12" s="22">
        <f>IF(AF12&amp;AL12="","",LEFT(AF12&amp;AL12,LEN(AF12&amp;AL12)-2))</f>
      </c>
      <c r="S12" s="1"/>
      <c r="T12" s="1">
        <f>IF(AND($A12&lt;&gt;"",ISNUMBER(C12)),1,0)</f>
      </c>
      <c r="U12" s="1">
        <f>IF(AND($A12&lt;&gt;"",ISNUMBER(D12)),1,0)</f>
      </c>
      <c r="V12" s="1">
        <f>IF($A12="",0,IF(E12="ja",1,IF(E12="Pauschale",2,0)))</f>
      </c>
      <c r="W12" s="1">
        <f>IF($A12="",0,IF(AU12&gt;0,1,0))</f>
      </c>
      <c r="X12" s="1">
        <f>IF(AND(T12=1,W12=0),1,0)</f>
      </c>
      <c r="Y12" s="1">
        <f>IF(AND(AS12=1,AT12=0,AU12=0),1,0)</f>
      </c>
      <c r="Z12" s="1">
        <f>IF(AND(Y12=1,T12=0,U12=1,V12=0),1,0)</f>
      </c>
      <c r="AA12" s="1">
        <f>IF(AND(X12=1,U12=0,V12=0,AN12=0,AO12=1,AP12=0),1,0)</f>
      </c>
      <c r="AB12" s="1">
        <f>IF(OR(W12=1,Z12=1),0,IF(T12=1,C12,0))</f>
      </c>
      <c r="AC12" s="1">
        <f>IF(OR(V12&gt;0,AA12=1),1,IF(U12=1,D12,1))</f>
      </c>
      <c r="AD12" s="1">
        <f>IF($A12="",0,IF(OR(T12=1,U12=1,V12&gt;0,W12=1),1,0))</f>
      </c>
      <c r="AE12" s="1">
        <f>IF(AD12=0,0,ROUND((AC12-AB12)*1440,0))</f>
      </c>
      <c r="AF12" s="1">
        <f>IF(AD12=0,"",IF(AND(F12&lt;&gt;"",ISNA(MATCH(F12,PauschLand,0))),"Land nicht in der Liste; ","")&amp;IF(AND(T12=0,W12=0,Z12=0),"Beginn fehlt; ","")&amp;IF(AND(V12=0,U12=0,AA12=0),"Ende fehlt; ","")&amp;IF(AND(X12=1,U12=1,V12=0,N(D12)&lt;N(C12)),"Ende vor Beginn (über Mitternacht: Ende in die Zeile des Folgetags); ",""))</f>
      </c>
      <c r="AG12" s="1">
        <f>IF(AD12=0,0,IFERROR(VLOOKUP(IF(F12="","Deutschland",F12),PauschTab,2,FALSE),0))</f>
      </c>
      <c r="AH12" s="1">
        <f>IF(AD12=0,0,IFERROR(VLOOKUP(IF(F12="","Deutschland",F12),PauschTab,3,FALSE),0))</f>
      </c>
      <c r="AI12" s="1">
        <f>IF(AD12=0,0,IFERROR(VLOOKUP(IF(F12="","Deutschland",F12),PauschTab,4,FALSE),0))</f>
      </c>
      <c r="AJ12" s="1">
        <f>IF(OR(AD12=0,AF12&lt;&gt;""),0,IF(AND(W12=1,V12&gt;0),IF(OR(T12=1,U12=1),AH12,AG12),IF(OR(W12=1,V12&gt;0),AH12,IF(AA12=1,IF(AND(AE12+AQ12&gt;480,AE12&gt;=AQ12),AH12,0),IF(Z12=1,IF(AND(AR12+AE12&gt;480,AE12&gt;AR12),AH12,0),IF(AE12&gt;480,AH12,0))))))</f>
      </c>
      <c r="AK12" s="1">
        <f>MIN(AJ12,AM12)</f>
      </c>
      <c r="AL12" s="1">
        <f>IF(OR(AD12=0,AF12&lt;&gt;""),"",IF(AND(W12=0,V12=0,AA12=0,Z12=0,AE12&lt;=480),"nicht mehr als 8 Std.; ","")&amp;IF(AA12=1,IF(AJ12&gt;0,"über Mitternacht, zusammen "&amp;TEXT((AE12+AQ12)/1440,"[h]:mm")&amp;" Std.; ",IF(AE12+AQ12&gt;480,"über Mitternacht: Pauschale am Folgetag; ","über Mitternacht, zusammen nicht mehr als 8 Std.; ")),"")&amp;IF(Z12=1,IF(AJ12&gt;0,"über Mitternacht, zusammen "&amp;TEXT((AR12+AE12)/1440,"[h]:mm")&amp;" Std.; ",IF(AR12+AE12&gt;480,"über Mitternacht: Pauschale am Vortag; ","über Mitternacht, zusammen nicht mehr als 8 Std.; ")),"")&amp;IF(AND(W12=1,V12&gt;0,OR(T12=1,U12=1)),"zwischendurch zu Hause: An- und Abreisetag; ","")&amp;IF(AND(W12=1,V12=0,T12=1),"Beginn leer lassen: unterwegs seit dem Vortag; ","")&amp;IF(AND(W12=0,V12&gt;0,U12=1),"Ende leer lassen: Übernachtung; ","")&amp;IF(AND(AJ12&gt;0,AM12&gt;AJ12),"Kürzung auf die Pauschale begrenzt; ",""))</f>
      </c>
      <c r="AM12" s="1">
        <f>ROUND(AG12*(IF(H12&lt;&gt;"",0.2,0)+IF(I12&lt;&gt;"",0.4,0)+IF(J12&lt;&gt;"",0.4,0)),2)</f>
      </c>
      <c r="AN12" s="1">
        <f>IF($A13="",'November'!$T$5,T13)</f>
      </c>
      <c r="AO12" s="1">
        <f>IF($A13="",'November'!$U$5,U13)</f>
      </c>
      <c r="AP12" s="1">
        <f>IF($A13="",'November'!$V$5,V13)</f>
      </c>
      <c r="AQ12" s="1">
        <f>IF($A13="",'November'!$AE$5,AE13)</f>
      </c>
      <c r="AR12" s="1">
        <f>AE11</f>
      </c>
      <c r="AS12" s="1">
        <f>X11</f>
      </c>
      <c r="AT12" s="1">
        <f>U11</f>
      </c>
      <c r="AU12" s="1">
        <f>V11</f>
      </c>
    </row>
    <row r="13" spans="1:47" x14ac:dyDescent="0.25">
      <c r="A13" s="17">
        <f>IF(MONTH(DATE(Jahr,10,9))=10,DATE(Jahr,10,9),"")</f>
      </c>
      <c r="B13" s="13">
        <f>IF(A13="","",CHOOSE(WEEKDAY(A13,2),"Mo","Di","Mi","Do","Fr","Sa","So"))</f>
      </c>
      <c r="C13" s="18"/>
      <c r="D13" s="18"/>
      <c r="E13" s="7"/>
      <c r="F13" s="7"/>
      <c r="G13" s="7"/>
      <c r="H13" s="19"/>
      <c r="I13" s="19"/>
      <c r="J13" s="19"/>
      <c r="K13" s="9"/>
      <c r="L13" s="20">
        <f>IF(OR(AD13=0,AF13&lt;&gt;"",AND(W13=1,V13&gt;0,OR(T13=1,U13=1))),"",AE13/1440)</f>
      </c>
      <c r="M13" s="21">
        <f>IF(OR(AD13=0,AF13&lt;&gt;""),"",AJ13)</f>
      </c>
      <c r="N13" s="21">
        <f>IF(AK13=0,"",AK13)</f>
      </c>
      <c r="O13" s="21">
        <f>IF(OR(AD13=0,AF13&lt;&gt;""),"",AJ13-AK13)</f>
      </c>
      <c r="P13" s="21">
        <f>IF(AND(AD13=1,AF13="",V13=2),AI13,"")</f>
      </c>
      <c r="Q13" s="21">
        <f>IF(OR($A13="",N(K13)=0),"",ROUND(K13*KmSatz,2))</f>
      </c>
      <c r="R13" s="22">
        <f>IF(AF13&amp;AL13="","",LEFT(AF13&amp;AL13,LEN(AF13&amp;AL13)-2))</f>
      </c>
      <c r="S13" s="1"/>
      <c r="T13" s="1">
        <f>IF(AND($A13&lt;&gt;"",ISNUMBER(C13)),1,0)</f>
      </c>
      <c r="U13" s="1">
        <f>IF(AND($A13&lt;&gt;"",ISNUMBER(D13)),1,0)</f>
      </c>
      <c r="V13" s="1">
        <f>IF($A13="",0,IF(E13="ja",1,IF(E13="Pauschale",2,0)))</f>
      </c>
      <c r="W13" s="1">
        <f>IF($A13="",0,IF(AU13&gt;0,1,0))</f>
      </c>
      <c r="X13" s="1">
        <f>IF(AND(T13=1,W13=0),1,0)</f>
      </c>
      <c r="Y13" s="1">
        <f>IF(AND(AS13=1,AT13=0,AU13=0),1,0)</f>
      </c>
      <c r="Z13" s="1">
        <f>IF(AND(Y13=1,T13=0,U13=1,V13=0),1,0)</f>
      </c>
      <c r="AA13" s="1">
        <f>IF(AND(X13=1,U13=0,V13=0,AN13=0,AO13=1,AP13=0),1,0)</f>
      </c>
      <c r="AB13" s="1">
        <f>IF(OR(W13=1,Z13=1),0,IF(T13=1,C13,0))</f>
      </c>
      <c r="AC13" s="1">
        <f>IF(OR(V13&gt;0,AA13=1),1,IF(U13=1,D13,1))</f>
      </c>
      <c r="AD13" s="1">
        <f>IF($A13="",0,IF(OR(T13=1,U13=1,V13&gt;0,W13=1),1,0))</f>
      </c>
      <c r="AE13" s="1">
        <f>IF(AD13=0,0,ROUND((AC13-AB13)*1440,0))</f>
      </c>
      <c r="AF13" s="1">
        <f>IF(AD13=0,"",IF(AND(F13&lt;&gt;"",ISNA(MATCH(F13,PauschLand,0))),"Land nicht in der Liste; ","")&amp;IF(AND(T13=0,W13=0,Z13=0),"Beginn fehlt; ","")&amp;IF(AND(V13=0,U13=0,AA13=0),"Ende fehlt; ","")&amp;IF(AND(X13=1,U13=1,V13=0,N(D13)&lt;N(C13)),"Ende vor Beginn (über Mitternacht: Ende in die Zeile des Folgetags); ",""))</f>
      </c>
      <c r="AG13" s="1">
        <f>IF(AD13=0,0,IFERROR(VLOOKUP(IF(F13="","Deutschland",F13),PauschTab,2,FALSE),0))</f>
      </c>
      <c r="AH13" s="1">
        <f>IF(AD13=0,0,IFERROR(VLOOKUP(IF(F13="","Deutschland",F13),PauschTab,3,FALSE),0))</f>
      </c>
      <c r="AI13" s="1">
        <f>IF(AD13=0,0,IFERROR(VLOOKUP(IF(F13="","Deutschland",F13),PauschTab,4,FALSE),0))</f>
      </c>
      <c r="AJ13" s="1">
        <f>IF(OR(AD13=0,AF13&lt;&gt;""),0,IF(AND(W13=1,V13&gt;0),IF(OR(T13=1,U13=1),AH13,AG13),IF(OR(W13=1,V13&gt;0),AH13,IF(AA13=1,IF(AND(AE13+AQ13&gt;480,AE13&gt;=AQ13),AH13,0),IF(Z13=1,IF(AND(AR13+AE13&gt;480,AE13&gt;AR13),AH13,0),IF(AE13&gt;480,AH13,0))))))</f>
      </c>
      <c r="AK13" s="1">
        <f>MIN(AJ13,AM13)</f>
      </c>
      <c r="AL13" s="1">
        <f>IF(OR(AD13=0,AF13&lt;&gt;""),"",IF(AND(W13=0,V13=0,AA13=0,Z13=0,AE13&lt;=480),"nicht mehr als 8 Std.; ","")&amp;IF(AA13=1,IF(AJ13&gt;0,"über Mitternacht, zusammen "&amp;TEXT((AE13+AQ13)/1440,"[h]:mm")&amp;" Std.; ",IF(AE13+AQ13&gt;480,"über Mitternacht: Pauschale am Folgetag; ","über Mitternacht, zusammen nicht mehr als 8 Std.; ")),"")&amp;IF(Z13=1,IF(AJ13&gt;0,"über Mitternacht, zusammen "&amp;TEXT((AR13+AE13)/1440,"[h]:mm")&amp;" Std.; ",IF(AR13+AE13&gt;480,"über Mitternacht: Pauschale am Vortag; ","über Mitternacht, zusammen nicht mehr als 8 Std.; ")),"")&amp;IF(AND(W13=1,V13&gt;0,OR(T13=1,U13=1)),"zwischendurch zu Hause: An- und Abreisetag; ","")&amp;IF(AND(W13=1,V13=0,T13=1),"Beginn leer lassen: unterwegs seit dem Vortag; ","")&amp;IF(AND(W13=0,V13&gt;0,U13=1),"Ende leer lassen: Übernachtung; ","")&amp;IF(AND(AJ13&gt;0,AM13&gt;AJ13),"Kürzung auf die Pauschale begrenzt; ",""))</f>
      </c>
      <c r="AM13" s="1">
        <f>ROUND(AG13*(IF(H13&lt;&gt;"",0.2,0)+IF(I13&lt;&gt;"",0.4,0)+IF(J13&lt;&gt;"",0.4,0)),2)</f>
      </c>
      <c r="AN13" s="1">
        <f>IF($A14="",'November'!$T$5,T14)</f>
      </c>
      <c r="AO13" s="1">
        <f>IF($A14="",'November'!$U$5,U14)</f>
      </c>
      <c r="AP13" s="1">
        <f>IF($A14="",'November'!$V$5,V14)</f>
      </c>
      <c r="AQ13" s="1">
        <f>IF($A14="",'November'!$AE$5,AE14)</f>
      </c>
      <c r="AR13" s="1">
        <f>AE12</f>
      </c>
      <c r="AS13" s="1">
        <f>X12</f>
      </c>
      <c r="AT13" s="1">
        <f>U12</f>
      </c>
      <c r="AU13" s="1">
        <f>V12</f>
      </c>
    </row>
    <row r="14" spans="1:47" x14ac:dyDescent="0.25">
      <c r="A14" s="17">
        <f>IF(MONTH(DATE(Jahr,10,10))=10,DATE(Jahr,10,10),"")</f>
      </c>
      <c r="B14" s="13">
        <f>IF(A14="","",CHOOSE(WEEKDAY(A14,2),"Mo","Di","Mi","Do","Fr","Sa","So"))</f>
      </c>
      <c r="C14" s="18"/>
      <c r="D14" s="18"/>
      <c r="E14" s="7"/>
      <c r="F14" s="7"/>
      <c r="G14" s="7"/>
      <c r="H14" s="19"/>
      <c r="I14" s="19"/>
      <c r="J14" s="19"/>
      <c r="K14" s="9"/>
      <c r="L14" s="20">
        <f>IF(OR(AD14=0,AF14&lt;&gt;"",AND(W14=1,V14&gt;0,OR(T14=1,U14=1))),"",AE14/1440)</f>
      </c>
      <c r="M14" s="21">
        <f>IF(OR(AD14=0,AF14&lt;&gt;""),"",AJ14)</f>
      </c>
      <c r="N14" s="21">
        <f>IF(AK14=0,"",AK14)</f>
      </c>
      <c r="O14" s="21">
        <f>IF(OR(AD14=0,AF14&lt;&gt;""),"",AJ14-AK14)</f>
      </c>
      <c r="P14" s="21">
        <f>IF(AND(AD14=1,AF14="",V14=2),AI14,"")</f>
      </c>
      <c r="Q14" s="21">
        <f>IF(OR($A14="",N(K14)=0),"",ROUND(K14*KmSatz,2))</f>
      </c>
      <c r="R14" s="22">
        <f>IF(AF14&amp;AL14="","",LEFT(AF14&amp;AL14,LEN(AF14&amp;AL14)-2))</f>
      </c>
      <c r="S14" s="1"/>
      <c r="T14" s="1">
        <f>IF(AND($A14&lt;&gt;"",ISNUMBER(C14)),1,0)</f>
      </c>
      <c r="U14" s="1">
        <f>IF(AND($A14&lt;&gt;"",ISNUMBER(D14)),1,0)</f>
      </c>
      <c r="V14" s="1">
        <f>IF($A14="",0,IF(E14="ja",1,IF(E14="Pauschale",2,0)))</f>
      </c>
      <c r="W14" s="1">
        <f>IF($A14="",0,IF(AU14&gt;0,1,0))</f>
      </c>
      <c r="X14" s="1">
        <f>IF(AND(T14=1,W14=0),1,0)</f>
      </c>
      <c r="Y14" s="1">
        <f>IF(AND(AS14=1,AT14=0,AU14=0),1,0)</f>
      </c>
      <c r="Z14" s="1">
        <f>IF(AND(Y14=1,T14=0,U14=1,V14=0),1,0)</f>
      </c>
      <c r="AA14" s="1">
        <f>IF(AND(X14=1,U14=0,V14=0,AN14=0,AO14=1,AP14=0),1,0)</f>
      </c>
      <c r="AB14" s="1">
        <f>IF(OR(W14=1,Z14=1),0,IF(T14=1,C14,0))</f>
      </c>
      <c r="AC14" s="1">
        <f>IF(OR(V14&gt;0,AA14=1),1,IF(U14=1,D14,1))</f>
      </c>
      <c r="AD14" s="1">
        <f>IF($A14="",0,IF(OR(T14=1,U14=1,V14&gt;0,W14=1),1,0))</f>
      </c>
      <c r="AE14" s="1">
        <f>IF(AD14=0,0,ROUND((AC14-AB14)*1440,0))</f>
      </c>
      <c r="AF14" s="1">
        <f>IF(AD14=0,"",IF(AND(F14&lt;&gt;"",ISNA(MATCH(F14,PauschLand,0))),"Land nicht in der Liste; ","")&amp;IF(AND(T14=0,W14=0,Z14=0),"Beginn fehlt; ","")&amp;IF(AND(V14=0,U14=0,AA14=0),"Ende fehlt; ","")&amp;IF(AND(X14=1,U14=1,V14=0,N(D14)&lt;N(C14)),"Ende vor Beginn (über Mitternacht: Ende in die Zeile des Folgetags); ",""))</f>
      </c>
      <c r="AG14" s="1">
        <f>IF(AD14=0,0,IFERROR(VLOOKUP(IF(F14="","Deutschland",F14),PauschTab,2,FALSE),0))</f>
      </c>
      <c r="AH14" s="1">
        <f>IF(AD14=0,0,IFERROR(VLOOKUP(IF(F14="","Deutschland",F14),PauschTab,3,FALSE),0))</f>
      </c>
      <c r="AI14" s="1">
        <f>IF(AD14=0,0,IFERROR(VLOOKUP(IF(F14="","Deutschland",F14),PauschTab,4,FALSE),0))</f>
      </c>
      <c r="AJ14" s="1">
        <f>IF(OR(AD14=0,AF14&lt;&gt;""),0,IF(AND(W14=1,V14&gt;0),IF(OR(T14=1,U14=1),AH14,AG14),IF(OR(W14=1,V14&gt;0),AH14,IF(AA14=1,IF(AND(AE14+AQ14&gt;480,AE14&gt;=AQ14),AH14,0),IF(Z14=1,IF(AND(AR14+AE14&gt;480,AE14&gt;AR14),AH14,0),IF(AE14&gt;480,AH14,0))))))</f>
      </c>
      <c r="AK14" s="1">
        <f>MIN(AJ14,AM14)</f>
      </c>
      <c r="AL14" s="1">
        <f>IF(OR(AD14=0,AF14&lt;&gt;""),"",IF(AND(W14=0,V14=0,AA14=0,Z14=0,AE14&lt;=480),"nicht mehr als 8 Std.; ","")&amp;IF(AA14=1,IF(AJ14&gt;0,"über Mitternacht, zusammen "&amp;TEXT((AE14+AQ14)/1440,"[h]:mm")&amp;" Std.; ",IF(AE14+AQ14&gt;480,"über Mitternacht: Pauschale am Folgetag; ","über Mitternacht, zusammen nicht mehr als 8 Std.; ")),"")&amp;IF(Z14=1,IF(AJ14&gt;0,"über Mitternacht, zusammen "&amp;TEXT((AR14+AE14)/1440,"[h]:mm")&amp;" Std.; ",IF(AR14+AE14&gt;480,"über Mitternacht: Pauschale am Vortag; ","über Mitternacht, zusammen nicht mehr als 8 Std.; ")),"")&amp;IF(AND(W14=1,V14&gt;0,OR(T14=1,U14=1)),"zwischendurch zu Hause: An- und Abreisetag; ","")&amp;IF(AND(W14=1,V14=0,T14=1),"Beginn leer lassen: unterwegs seit dem Vortag; ","")&amp;IF(AND(W14=0,V14&gt;0,U14=1),"Ende leer lassen: Übernachtung; ","")&amp;IF(AND(AJ14&gt;0,AM14&gt;AJ14),"Kürzung auf die Pauschale begrenzt; ",""))</f>
      </c>
      <c r="AM14" s="1">
        <f>ROUND(AG14*(IF(H14&lt;&gt;"",0.2,0)+IF(I14&lt;&gt;"",0.4,0)+IF(J14&lt;&gt;"",0.4,0)),2)</f>
      </c>
      <c r="AN14" s="1">
        <f>IF($A15="",'November'!$T$5,T15)</f>
      </c>
      <c r="AO14" s="1">
        <f>IF($A15="",'November'!$U$5,U15)</f>
      </c>
      <c r="AP14" s="1">
        <f>IF($A15="",'November'!$V$5,V15)</f>
      </c>
      <c r="AQ14" s="1">
        <f>IF($A15="",'November'!$AE$5,AE15)</f>
      </c>
      <c r="AR14" s="1">
        <f>AE13</f>
      </c>
      <c r="AS14" s="1">
        <f>X13</f>
      </c>
      <c r="AT14" s="1">
        <f>U13</f>
      </c>
      <c r="AU14" s="1">
        <f>V13</f>
      </c>
    </row>
    <row r="15" spans="1:47" x14ac:dyDescent="0.25">
      <c r="A15" s="17">
        <f>IF(MONTH(DATE(Jahr,10,11))=10,DATE(Jahr,10,11),"")</f>
      </c>
      <c r="B15" s="13">
        <f>IF(A15="","",CHOOSE(WEEKDAY(A15,2),"Mo","Di","Mi","Do","Fr","Sa","So"))</f>
      </c>
      <c r="C15" s="18"/>
      <c r="D15" s="18"/>
      <c r="E15" s="7"/>
      <c r="F15" s="7"/>
      <c r="G15" s="7"/>
      <c r="H15" s="19"/>
      <c r="I15" s="19"/>
      <c r="J15" s="19"/>
      <c r="K15" s="9"/>
      <c r="L15" s="20">
        <f>IF(OR(AD15=0,AF15&lt;&gt;"",AND(W15=1,V15&gt;0,OR(T15=1,U15=1))),"",AE15/1440)</f>
      </c>
      <c r="M15" s="21">
        <f>IF(OR(AD15=0,AF15&lt;&gt;""),"",AJ15)</f>
      </c>
      <c r="N15" s="21">
        <f>IF(AK15=0,"",AK15)</f>
      </c>
      <c r="O15" s="21">
        <f>IF(OR(AD15=0,AF15&lt;&gt;""),"",AJ15-AK15)</f>
      </c>
      <c r="P15" s="21">
        <f>IF(AND(AD15=1,AF15="",V15=2),AI15,"")</f>
      </c>
      <c r="Q15" s="21">
        <f>IF(OR($A15="",N(K15)=0),"",ROUND(K15*KmSatz,2))</f>
      </c>
      <c r="R15" s="22">
        <f>IF(AF15&amp;AL15="","",LEFT(AF15&amp;AL15,LEN(AF15&amp;AL15)-2))</f>
      </c>
      <c r="S15" s="1"/>
      <c r="T15" s="1">
        <f>IF(AND($A15&lt;&gt;"",ISNUMBER(C15)),1,0)</f>
      </c>
      <c r="U15" s="1">
        <f>IF(AND($A15&lt;&gt;"",ISNUMBER(D15)),1,0)</f>
      </c>
      <c r="V15" s="1">
        <f>IF($A15="",0,IF(E15="ja",1,IF(E15="Pauschale",2,0)))</f>
      </c>
      <c r="W15" s="1">
        <f>IF($A15="",0,IF(AU15&gt;0,1,0))</f>
      </c>
      <c r="X15" s="1">
        <f>IF(AND(T15=1,W15=0),1,0)</f>
      </c>
      <c r="Y15" s="1">
        <f>IF(AND(AS15=1,AT15=0,AU15=0),1,0)</f>
      </c>
      <c r="Z15" s="1">
        <f>IF(AND(Y15=1,T15=0,U15=1,V15=0),1,0)</f>
      </c>
      <c r="AA15" s="1">
        <f>IF(AND(X15=1,U15=0,V15=0,AN15=0,AO15=1,AP15=0),1,0)</f>
      </c>
      <c r="AB15" s="1">
        <f>IF(OR(W15=1,Z15=1),0,IF(T15=1,C15,0))</f>
      </c>
      <c r="AC15" s="1">
        <f>IF(OR(V15&gt;0,AA15=1),1,IF(U15=1,D15,1))</f>
      </c>
      <c r="AD15" s="1">
        <f>IF($A15="",0,IF(OR(T15=1,U15=1,V15&gt;0,W15=1),1,0))</f>
      </c>
      <c r="AE15" s="1">
        <f>IF(AD15=0,0,ROUND((AC15-AB15)*1440,0))</f>
      </c>
      <c r="AF15" s="1">
        <f>IF(AD15=0,"",IF(AND(F15&lt;&gt;"",ISNA(MATCH(F15,PauschLand,0))),"Land nicht in der Liste; ","")&amp;IF(AND(T15=0,W15=0,Z15=0),"Beginn fehlt; ","")&amp;IF(AND(V15=0,U15=0,AA15=0),"Ende fehlt; ","")&amp;IF(AND(X15=1,U15=1,V15=0,N(D15)&lt;N(C15)),"Ende vor Beginn (über Mitternacht: Ende in die Zeile des Folgetags); ",""))</f>
      </c>
      <c r="AG15" s="1">
        <f>IF(AD15=0,0,IFERROR(VLOOKUP(IF(F15="","Deutschland",F15),PauschTab,2,FALSE),0))</f>
      </c>
      <c r="AH15" s="1">
        <f>IF(AD15=0,0,IFERROR(VLOOKUP(IF(F15="","Deutschland",F15),PauschTab,3,FALSE),0))</f>
      </c>
      <c r="AI15" s="1">
        <f>IF(AD15=0,0,IFERROR(VLOOKUP(IF(F15="","Deutschland",F15),PauschTab,4,FALSE),0))</f>
      </c>
      <c r="AJ15" s="1">
        <f>IF(OR(AD15=0,AF15&lt;&gt;""),0,IF(AND(W15=1,V15&gt;0),IF(OR(T15=1,U15=1),AH15,AG15),IF(OR(W15=1,V15&gt;0),AH15,IF(AA15=1,IF(AND(AE15+AQ15&gt;480,AE15&gt;=AQ15),AH15,0),IF(Z15=1,IF(AND(AR15+AE15&gt;480,AE15&gt;AR15),AH15,0),IF(AE15&gt;480,AH15,0))))))</f>
      </c>
      <c r="AK15" s="1">
        <f>MIN(AJ15,AM15)</f>
      </c>
      <c r="AL15" s="1">
        <f>IF(OR(AD15=0,AF15&lt;&gt;""),"",IF(AND(W15=0,V15=0,AA15=0,Z15=0,AE15&lt;=480),"nicht mehr als 8 Std.; ","")&amp;IF(AA15=1,IF(AJ15&gt;0,"über Mitternacht, zusammen "&amp;TEXT((AE15+AQ15)/1440,"[h]:mm")&amp;" Std.; ",IF(AE15+AQ15&gt;480,"über Mitternacht: Pauschale am Folgetag; ","über Mitternacht, zusammen nicht mehr als 8 Std.; ")),"")&amp;IF(Z15=1,IF(AJ15&gt;0,"über Mitternacht, zusammen "&amp;TEXT((AR15+AE15)/1440,"[h]:mm")&amp;" Std.; ",IF(AR15+AE15&gt;480,"über Mitternacht: Pauschale am Vortag; ","über Mitternacht, zusammen nicht mehr als 8 Std.; ")),"")&amp;IF(AND(W15=1,V15&gt;0,OR(T15=1,U15=1)),"zwischendurch zu Hause: An- und Abreisetag; ","")&amp;IF(AND(W15=1,V15=0,T15=1),"Beginn leer lassen: unterwegs seit dem Vortag; ","")&amp;IF(AND(W15=0,V15&gt;0,U15=1),"Ende leer lassen: Übernachtung; ","")&amp;IF(AND(AJ15&gt;0,AM15&gt;AJ15),"Kürzung auf die Pauschale begrenzt; ",""))</f>
      </c>
      <c r="AM15" s="1">
        <f>ROUND(AG15*(IF(H15&lt;&gt;"",0.2,0)+IF(I15&lt;&gt;"",0.4,0)+IF(J15&lt;&gt;"",0.4,0)),2)</f>
      </c>
      <c r="AN15" s="1">
        <f>IF($A16="",'November'!$T$5,T16)</f>
      </c>
      <c r="AO15" s="1">
        <f>IF($A16="",'November'!$U$5,U16)</f>
      </c>
      <c r="AP15" s="1">
        <f>IF($A16="",'November'!$V$5,V16)</f>
      </c>
      <c r="AQ15" s="1">
        <f>IF($A16="",'November'!$AE$5,AE16)</f>
      </c>
      <c r="AR15" s="1">
        <f>AE14</f>
      </c>
      <c r="AS15" s="1">
        <f>X14</f>
      </c>
      <c r="AT15" s="1">
        <f>U14</f>
      </c>
      <c r="AU15" s="1">
        <f>V14</f>
      </c>
    </row>
    <row r="16" spans="1:47" x14ac:dyDescent="0.25">
      <c r="A16" s="17">
        <f>IF(MONTH(DATE(Jahr,10,12))=10,DATE(Jahr,10,12),"")</f>
      </c>
      <c r="B16" s="13">
        <f>IF(A16="","",CHOOSE(WEEKDAY(A16,2),"Mo","Di","Mi","Do","Fr","Sa","So"))</f>
      </c>
      <c r="C16" s="18"/>
      <c r="D16" s="18"/>
      <c r="E16" s="7"/>
      <c r="F16" s="7"/>
      <c r="G16" s="7"/>
      <c r="H16" s="19"/>
      <c r="I16" s="19"/>
      <c r="J16" s="19"/>
      <c r="K16" s="9"/>
      <c r="L16" s="20">
        <f>IF(OR(AD16=0,AF16&lt;&gt;"",AND(W16=1,V16&gt;0,OR(T16=1,U16=1))),"",AE16/1440)</f>
      </c>
      <c r="M16" s="21">
        <f>IF(OR(AD16=0,AF16&lt;&gt;""),"",AJ16)</f>
      </c>
      <c r="N16" s="21">
        <f>IF(AK16=0,"",AK16)</f>
      </c>
      <c r="O16" s="21">
        <f>IF(OR(AD16=0,AF16&lt;&gt;""),"",AJ16-AK16)</f>
      </c>
      <c r="P16" s="21">
        <f>IF(AND(AD16=1,AF16="",V16=2),AI16,"")</f>
      </c>
      <c r="Q16" s="21">
        <f>IF(OR($A16="",N(K16)=0),"",ROUND(K16*KmSatz,2))</f>
      </c>
      <c r="R16" s="22">
        <f>IF(AF16&amp;AL16="","",LEFT(AF16&amp;AL16,LEN(AF16&amp;AL16)-2))</f>
      </c>
      <c r="S16" s="1"/>
      <c r="T16" s="1">
        <f>IF(AND($A16&lt;&gt;"",ISNUMBER(C16)),1,0)</f>
      </c>
      <c r="U16" s="1">
        <f>IF(AND($A16&lt;&gt;"",ISNUMBER(D16)),1,0)</f>
      </c>
      <c r="V16" s="1">
        <f>IF($A16="",0,IF(E16="ja",1,IF(E16="Pauschale",2,0)))</f>
      </c>
      <c r="W16" s="1">
        <f>IF($A16="",0,IF(AU16&gt;0,1,0))</f>
      </c>
      <c r="X16" s="1">
        <f>IF(AND(T16=1,W16=0),1,0)</f>
      </c>
      <c r="Y16" s="1">
        <f>IF(AND(AS16=1,AT16=0,AU16=0),1,0)</f>
      </c>
      <c r="Z16" s="1">
        <f>IF(AND(Y16=1,T16=0,U16=1,V16=0),1,0)</f>
      </c>
      <c r="AA16" s="1">
        <f>IF(AND(X16=1,U16=0,V16=0,AN16=0,AO16=1,AP16=0),1,0)</f>
      </c>
      <c r="AB16" s="1">
        <f>IF(OR(W16=1,Z16=1),0,IF(T16=1,C16,0))</f>
      </c>
      <c r="AC16" s="1">
        <f>IF(OR(V16&gt;0,AA16=1),1,IF(U16=1,D16,1))</f>
      </c>
      <c r="AD16" s="1">
        <f>IF($A16="",0,IF(OR(T16=1,U16=1,V16&gt;0,W16=1),1,0))</f>
      </c>
      <c r="AE16" s="1">
        <f>IF(AD16=0,0,ROUND((AC16-AB16)*1440,0))</f>
      </c>
      <c r="AF16" s="1">
        <f>IF(AD16=0,"",IF(AND(F16&lt;&gt;"",ISNA(MATCH(F16,PauschLand,0))),"Land nicht in der Liste; ","")&amp;IF(AND(T16=0,W16=0,Z16=0),"Beginn fehlt; ","")&amp;IF(AND(V16=0,U16=0,AA16=0),"Ende fehlt; ","")&amp;IF(AND(X16=1,U16=1,V16=0,N(D16)&lt;N(C16)),"Ende vor Beginn (über Mitternacht: Ende in die Zeile des Folgetags); ",""))</f>
      </c>
      <c r="AG16" s="1">
        <f>IF(AD16=0,0,IFERROR(VLOOKUP(IF(F16="","Deutschland",F16),PauschTab,2,FALSE),0))</f>
      </c>
      <c r="AH16" s="1">
        <f>IF(AD16=0,0,IFERROR(VLOOKUP(IF(F16="","Deutschland",F16),PauschTab,3,FALSE),0))</f>
      </c>
      <c r="AI16" s="1">
        <f>IF(AD16=0,0,IFERROR(VLOOKUP(IF(F16="","Deutschland",F16),PauschTab,4,FALSE),0))</f>
      </c>
      <c r="AJ16" s="1">
        <f>IF(OR(AD16=0,AF16&lt;&gt;""),0,IF(AND(W16=1,V16&gt;0),IF(OR(T16=1,U16=1),AH16,AG16),IF(OR(W16=1,V16&gt;0),AH16,IF(AA16=1,IF(AND(AE16+AQ16&gt;480,AE16&gt;=AQ16),AH16,0),IF(Z16=1,IF(AND(AR16+AE16&gt;480,AE16&gt;AR16),AH16,0),IF(AE16&gt;480,AH16,0))))))</f>
      </c>
      <c r="AK16" s="1">
        <f>MIN(AJ16,AM16)</f>
      </c>
      <c r="AL16" s="1">
        <f>IF(OR(AD16=0,AF16&lt;&gt;""),"",IF(AND(W16=0,V16=0,AA16=0,Z16=0,AE16&lt;=480),"nicht mehr als 8 Std.; ","")&amp;IF(AA16=1,IF(AJ16&gt;0,"über Mitternacht, zusammen "&amp;TEXT((AE16+AQ16)/1440,"[h]:mm")&amp;" Std.; ",IF(AE16+AQ16&gt;480,"über Mitternacht: Pauschale am Folgetag; ","über Mitternacht, zusammen nicht mehr als 8 Std.; ")),"")&amp;IF(Z16=1,IF(AJ16&gt;0,"über Mitternacht, zusammen "&amp;TEXT((AR16+AE16)/1440,"[h]:mm")&amp;" Std.; ",IF(AR16+AE16&gt;480,"über Mitternacht: Pauschale am Vortag; ","über Mitternacht, zusammen nicht mehr als 8 Std.; ")),"")&amp;IF(AND(W16=1,V16&gt;0,OR(T16=1,U16=1)),"zwischendurch zu Hause: An- und Abreisetag; ","")&amp;IF(AND(W16=1,V16=0,T16=1),"Beginn leer lassen: unterwegs seit dem Vortag; ","")&amp;IF(AND(W16=0,V16&gt;0,U16=1),"Ende leer lassen: Übernachtung; ","")&amp;IF(AND(AJ16&gt;0,AM16&gt;AJ16),"Kürzung auf die Pauschale begrenzt; ",""))</f>
      </c>
      <c r="AM16" s="1">
        <f>ROUND(AG16*(IF(H16&lt;&gt;"",0.2,0)+IF(I16&lt;&gt;"",0.4,0)+IF(J16&lt;&gt;"",0.4,0)),2)</f>
      </c>
      <c r="AN16" s="1">
        <f>IF($A17="",'November'!$T$5,T17)</f>
      </c>
      <c r="AO16" s="1">
        <f>IF($A17="",'November'!$U$5,U17)</f>
      </c>
      <c r="AP16" s="1">
        <f>IF($A17="",'November'!$V$5,V17)</f>
      </c>
      <c r="AQ16" s="1">
        <f>IF($A17="",'November'!$AE$5,AE17)</f>
      </c>
      <c r="AR16" s="1">
        <f>AE15</f>
      </c>
      <c r="AS16" s="1">
        <f>X15</f>
      </c>
      <c r="AT16" s="1">
        <f>U15</f>
      </c>
      <c r="AU16" s="1">
        <f>V15</f>
      </c>
    </row>
    <row r="17" spans="1:47" x14ac:dyDescent="0.25">
      <c r="A17" s="17">
        <f>IF(MONTH(DATE(Jahr,10,13))=10,DATE(Jahr,10,13),"")</f>
      </c>
      <c r="B17" s="13">
        <f>IF(A17="","",CHOOSE(WEEKDAY(A17,2),"Mo","Di","Mi","Do","Fr","Sa","So"))</f>
      </c>
      <c r="C17" s="18"/>
      <c r="D17" s="18"/>
      <c r="E17" s="7"/>
      <c r="F17" s="7"/>
      <c r="G17" s="7"/>
      <c r="H17" s="19"/>
      <c r="I17" s="19"/>
      <c r="J17" s="19"/>
      <c r="K17" s="9"/>
      <c r="L17" s="20">
        <f>IF(OR(AD17=0,AF17&lt;&gt;"",AND(W17=1,V17&gt;0,OR(T17=1,U17=1))),"",AE17/1440)</f>
      </c>
      <c r="M17" s="21">
        <f>IF(OR(AD17=0,AF17&lt;&gt;""),"",AJ17)</f>
      </c>
      <c r="N17" s="21">
        <f>IF(AK17=0,"",AK17)</f>
      </c>
      <c r="O17" s="21">
        <f>IF(OR(AD17=0,AF17&lt;&gt;""),"",AJ17-AK17)</f>
      </c>
      <c r="P17" s="21">
        <f>IF(AND(AD17=1,AF17="",V17=2),AI17,"")</f>
      </c>
      <c r="Q17" s="21">
        <f>IF(OR($A17="",N(K17)=0),"",ROUND(K17*KmSatz,2))</f>
      </c>
      <c r="R17" s="22">
        <f>IF(AF17&amp;AL17="","",LEFT(AF17&amp;AL17,LEN(AF17&amp;AL17)-2))</f>
      </c>
      <c r="S17" s="1"/>
      <c r="T17" s="1">
        <f>IF(AND($A17&lt;&gt;"",ISNUMBER(C17)),1,0)</f>
      </c>
      <c r="U17" s="1">
        <f>IF(AND($A17&lt;&gt;"",ISNUMBER(D17)),1,0)</f>
      </c>
      <c r="V17" s="1">
        <f>IF($A17="",0,IF(E17="ja",1,IF(E17="Pauschale",2,0)))</f>
      </c>
      <c r="W17" s="1">
        <f>IF($A17="",0,IF(AU17&gt;0,1,0))</f>
      </c>
      <c r="X17" s="1">
        <f>IF(AND(T17=1,W17=0),1,0)</f>
      </c>
      <c r="Y17" s="1">
        <f>IF(AND(AS17=1,AT17=0,AU17=0),1,0)</f>
      </c>
      <c r="Z17" s="1">
        <f>IF(AND(Y17=1,T17=0,U17=1,V17=0),1,0)</f>
      </c>
      <c r="AA17" s="1">
        <f>IF(AND(X17=1,U17=0,V17=0,AN17=0,AO17=1,AP17=0),1,0)</f>
      </c>
      <c r="AB17" s="1">
        <f>IF(OR(W17=1,Z17=1),0,IF(T17=1,C17,0))</f>
      </c>
      <c r="AC17" s="1">
        <f>IF(OR(V17&gt;0,AA17=1),1,IF(U17=1,D17,1))</f>
      </c>
      <c r="AD17" s="1">
        <f>IF($A17="",0,IF(OR(T17=1,U17=1,V17&gt;0,W17=1),1,0))</f>
      </c>
      <c r="AE17" s="1">
        <f>IF(AD17=0,0,ROUND((AC17-AB17)*1440,0))</f>
      </c>
      <c r="AF17" s="1">
        <f>IF(AD17=0,"",IF(AND(F17&lt;&gt;"",ISNA(MATCH(F17,PauschLand,0))),"Land nicht in der Liste; ","")&amp;IF(AND(T17=0,W17=0,Z17=0),"Beginn fehlt; ","")&amp;IF(AND(V17=0,U17=0,AA17=0),"Ende fehlt; ","")&amp;IF(AND(X17=1,U17=1,V17=0,N(D17)&lt;N(C17)),"Ende vor Beginn (über Mitternacht: Ende in die Zeile des Folgetags); ",""))</f>
      </c>
      <c r="AG17" s="1">
        <f>IF(AD17=0,0,IFERROR(VLOOKUP(IF(F17="","Deutschland",F17),PauschTab,2,FALSE),0))</f>
      </c>
      <c r="AH17" s="1">
        <f>IF(AD17=0,0,IFERROR(VLOOKUP(IF(F17="","Deutschland",F17),PauschTab,3,FALSE),0))</f>
      </c>
      <c r="AI17" s="1">
        <f>IF(AD17=0,0,IFERROR(VLOOKUP(IF(F17="","Deutschland",F17),PauschTab,4,FALSE),0))</f>
      </c>
      <c r="AJ17" s="1">
        <f>IF(OR(AD17=0,AF17&lt;&gt;""),0,IF(AND(W17=1,V17&gt;0),IF(OR(T17=1,U17=1),AH17,AG17),IF(OR(W17=1,V17&gt;0),AH17,IF(AA17=1,IF(AND(AE17+AQ17&gt;480,AE17&gt;=AQ17),AH17,0),IF(Z17=1,IF(AND(AR17+AE17&gt;480,AE17&gt;AR17),AH17,0),IF(AE17&gt;480,AH17,0))))))</f>
      </c>
      <c r="AK17" s="1">
        <f>MIN(AJ17,AM17)</f>
      </c>
      <c r="AL17" s="1">
        <f>IF(OR(AD17=0,AF17&lt;&gt;""),"",IF(AND(W17=0,V17=0,AA17=0,Z17=0,AE17&lt;=480),"nicht mehr als 8 Std.; ","")&amp;IF(AA17=1,IF(AJ17&gt;0,"über Mitternacht, zusammen "&amp;TEXT((AE17+AQ17)/1440,"[h]:mm")&amp;" Std.; ",IF(AE17+AQ17&gt;480,"über Mitternacht: Pauschale am Folgetag; ","über Mitternacht, zusammen nicht mehr als 8 Std.; ")),"")&amp;IF(Z17=1,IF(AJ17&gt;0,"über Mitternacht, zusammen "&amp;TEXT((AR17+AE17)/1440,"[h]:mm")&amp;" Std.; ",IF(AR17+AE17&gt;480,"über Mitternacht: Pauschale am Vortag; ","über Mitternacht, zusammen nicht mehr als 8 Std.; ")),"")&amp;IF(AND(W17=1,V17&gt;0,OR(T17=1,U17=1)),"zwischendurch zu Hause: An- und Abreisetag; ","")&amp;IF(AND(W17=1,V17=0,T17=1),"Beginn leer lassen: unterwegs seit dem Vortag; ","")&amp;IF(AND(W17=0,V17&gt;0,U17=1),"Ende leer lassen: Übernachtung; ","")&amp;IF(AND(AJ17&gt;0,AM17&gt;AJ17),"Kürzung auf die Pauschale begrenzt; ",""))</f>
      </c>
      <c r="AM17" s="1">
        <f>ROUND(AG17*(IF(H17&lt;&gt;"",0.2,0)+IF(I17&lt;&gt;"",0.4,0)+IF(J17&lt;&gt;"",0.4,0)),2)</f>
      </c>
      <c r="AN17" s="1">
        <f>IF($A18="",'November'!$T$5,T18)</f>
      </c>
      <c r="AO17" s="1">
        <f>IF($A18="",'November'!$U$5,U18)</f>
      </c>
      <c r="AP17" s="1">
        <f>IF($A18="",'November'!$V$5,V18)</f>
      </c>
      <c r="AQ17" s="1">
        <f>IF($A18="",'November'!$AE$5,AE18)</f>
      </c>
      <c r="AR17" s="1">
        <f>AE16</f>
      </c>
      <c r="AS17" s="1">
        <f>X16</f>
      </c>
      <c r="AT17" s="1">
        <f>U16</f>
      </c>
      <c r="AU17" s="1">
        <f>V16</f>
      </c>
    </row>
    <row r="18" spans="1:47" x14ac:dyDescent="0.25">
      <c r="A18" s="17">
        <f>IF(MONTH(DATE(Jahr,10,14))=10,DATE(Jahr,10,14),"")</f>
      </c>
      <c r="B18" s="13">
        <f>IF(A18="","",CHOOSE(WEEKDAY(A18,2),"Mo","Di","Mi","Do","Fr","Sa","So"))</f>
      </c>
      <c r="C18" s="18"/>
      <c r="D18" s="18"/>
      <c r="E18" s="7"/>
      <c r="F18" s="7"/>
      <c r="G18" s="7"/>
      <c r="H18" s="19"/>
      <c r="I18" s="19"/>
      <c r="J18" s="19"/>
      <c r="K18" s="9"/>
      <c r="L18" s="20">
        <f>IF(OR(AD18=0,AF18&lt;&gt;"",AND(W18=1,V18&gt;0,OR(T18=1,U18=1))),"",AE18/1440)</f>
      </c>
      <c r="M18" s="21">
        <f>IF(OR(AD18=0,AF18&lt;&gt;""),"",AJ18)</f>
      </c>
      <c r="N18" s="21">
        <f>IF(AK18=0,"",AK18)</f>
      </c>
      <c r="O18" s="21">
        <f>IF(OR(AD18=0,AF18&lt;&gt;""),"",AJ18-AK18)</f>
      </c>
      <c r="P18" s="21">
        <f>IF(AND(AD18=1,AF18="",V18=2),AI18,"")</f>
      </c>
      <c r="Q18" s="21">
        <f>IF(OR($A18="",N(K18)=0),"",ROUND(K18*KmSatz,2))</f>
      </c>
      <c r="R18" s="22">
        <f>IF(AF18&amp;AL18="","",LEFT(AF18&amp;AL18,LEN(AF18&amp;AL18)-2))</f>
      </c>
      <c r="S18" s="1"/>
      <c r="T18" s="1">
        <f>IF(AND($A18&lt;&gt;"",ISNUMBER(C18)),1,0)</f>
      </c>
      <c r="U18" s="1">
        <f>IF(AND($A18&lt;&gt;"",ISNUMBER(D18)),1,0)</f>
      </c>
      <c r="V18" s="1">
        <f>IF($A18="",0,IF(E18="ja",1,IF(E18="Pauschale",2,0)))</f>
      </c>
      <c r="W18" s="1">
        <f>IF($A18="",0,IF(AU18&gt;0,1,0))</f>
      </c>
      <c r="X18" s="1">
        <f>IF(AND(T18=1,W18=0),1,0)</f>
      </c>
      <c r="Y18" s="1">
        <f>IF(AND(AS18=1,AT18=0,AU18=0),1,0)</f>
      </c>
      <c r="Z18" s="1">
        <f>IF(AND(Y18=1,T18=0,U18=1,V18=0),1,0)</f>
      </c>
      <c r="AA18" s="1">
        <f>IF(AND(X18=1,U18=0,V18=0,AN18=0,AO18=1,AP18=0),1,0)</f>
      </c>
      <c r="AB18" s="1">
        <f>IF(OR(W18=1,Z18=1),0,IF(T18=1,C18,0))</f>
      </c>
      <c r="AC18" s="1">
        <f>IF(OR(V18&gt;0,AA18=1),1,IF(U18=1,D18,1))</f>
      </c>
      <c r="AD18" s="1">
        <f>IF($A18="",0,IF(OR(T18=1,U18=1,V18&gt;0,W18=1),1,0))</f>
      </c>
      <c r="AE18" s="1">
        <f>IF(AD18=0,0,ROUND((AC18-AB18)*1440,0))</f>
      </c>
      <c r="AF18" s="1">
        <f>IF(AD18=0,"",IF(AND(F18&lt;&gt;"",ISNA(MATCH(F18,PauschLand,0))),"Land nicht in der Liste; ","")&amp;IF(AND(T18=0,W18=0,Z18=0),"Beginn fehlt; ","")&amp;IF(AND(V18=0,U18=0,AA18=0),"Ende fehlt; ","")&amp;IF(AND(X18=1,U18=1,V18=0,N(D18)&lt;N(C18)),"Ende vor Beginn (über Mitternacht: Ende in die Zeile des Folgetags); ",""))</f>
      </c>
      <c r="AG18" s="1">
        <f>IF(AD18=0,0,IFERROR(VLOOKUP(IF(F18="","Deutschland",F18),PauschTab,2,FALSE),0))</f>
      </c>
      <c r="AH18" s="1">
        <f>IF(AD18=0,0,IFERROR(VLOOKUP(IF(F18="","Deutschland",F18),PauschTab,3,FALSE),0))</f>
      </c>
      <c r="AI18" s="1">
        <f>IF(AD18=0,0,IFERROR(VLOOKUP(IF(F18="","Deutschland",F18),PauschTab,4,FALSE),0))</f>
      </c>
      <c r="AJ18" s="1">
        <f>IF(OR(AD18=0,AF18&lt;&gt;""),0,IF(AND(W18=1,V18&gt;0),IF(OR(T18=1,U18=1),AH18,AG18),IF(OR(W18=1,V18&gt;0),AH18,IF(AA18=1,IF(AND(AE18+AQ18&gt;480,AE18&gt;=AQ18),AH18,0),IF(Z18=1,IF(AND(AR18+AE18&gt;480,AE18&gt;AR18),AH18,0),IF(AE18&gt;480,AH18,0))))))</f>
      </c>
      <c r="AK18" s="1">
        <f>MIN(AJ18,AM18)</f>
      </c>
      <c r="AL18" s="1">
        <f>IF(OR(AD18=0,AF18&lt;&gt;""),"",IF(AND(W18=0,V18=0,AA18=0,Z18=0,AE18&lt;=480),"nicht mehr als 8 Std.; ","")&amp;IF(AA18=1,IF(AJ18&gt;0,"über Mitternacht, zusammen "&amp;TEXT((AE18+AQ18)/1440,"[h]:mm")&amp;" Std.; ",IF(AE18+AQ18&gt;480,"über Mitternacht: Pauschale am Folgetag; ","über Mitternacht, zusammen nicht mehr als 8 Std.; ")),"")&amp;IF(Z18=1,IF(AJ18&gt;0,"über Mitternacht, zusammen "&amp;TEXT((AR18+AE18)/1440,"[h]:mm")&amp;" Std.; ",IF(AR18+AE18&gt;480,"über Mitternacht: Pauschale am Vortag; ","über Mitternacht, zusammen nicht mehr als 8 Std.; ")),"")&amp;IF(AND(W18=1,V18&gt;0,OR(T18=1,U18=1)),"zwischendurch zu Hause: An- und Abreisetag; ","")&amp;IF(AND(W18=1,V18=0,T18=1),"Beginn leer lassen: unterwegs seit dem Vortag; ","")&amp;IF(AND(W18=0,V18&gt;0,U18=1),"Ende leer lassen: Übernachtung; ","")&amp;IF(AND(AJ18&gt;0,AM18&gt;AJ18),"Kürzung auf die Pauschale begrenzt; ",""))</f>
      </c>
      <c r="AM18" s="1">
        <f>ROUND(AG18*(IF(H18&lt;&gt;"",0.2,0)+IF(I18&lt;&gt;"",0.4,0)+IF(J18&lt;&gt;"",0.4,0)),2)</f>
      </c>
      <c r="AN18" s="1">
        <f>IF($A19="",'November'!$T$5,T19)</f>
      </c>
      <c r="AO18" s="1">
        <f>IF($A19="",'November'!$U$5,U19)</f>
      </c>
      <c r="AP18" s="1">
        <f>IF($A19="",'November'!$V$5,V19)</f>
      </c>
      <c r="AQ18" s="1">
        <f>IF($A19="",'November'!$AE$5,AE19)</f>
      </c>
      <c r="AR18" s="1">
        <f>AE17</f>
      </c>
      <c r="AS18" s="1">
        <f>X17</f>
      </c>
      <c r="AT18" s="1">
        <f>U17</f>
      </c>
      <c r="AU18" s="1">
        <f>V17</f>
      </c>
    </row>
    <row r="19" spans="1:47" x14ac:dyDescent="0.25">
      <c r="A19" s="17">
        <f>IF(MONTH(DATE(Jahr,10,15))=10,DATE(Jahr,10,15),"")</f>
      </c>
      <c r="B19" s="13">
        <f>IF(A19="","",CHOOSE(WEEKDAY(A19,2),"Mo","Di","Mi","Do","Fr","Sa","So"))</f>
      </c>
      <c r="C19" s="18"/>
      <c r="D19" s="18"/>
      <c r="E19" s="7"/>
      <c r="F19" s="7"/>
      <c r="G19" s="7"/>
      <c r="H19" s="19"/>
      <c r="I19" s="19"/>
      <c r="J19" s="19"/>
      <c r="K19" s="9"/>
      <c r="L19" s="20">
        <f>IF(OR(AD19=0,AF19&lt;&gt;"",AND(W19=1,V19&gt;0,OR(T19=1,U19=1))),"",AE19/1440)</f>
      </c>
      <c r="M19" s="21">
        <f>IF(OR(AD19=0,AF19&lt;&gt;""),"",AJ19)</f>
      </c>
      <c r="N19" s="21">
        <f>IF(AK19=0,"",AK19)</f>
      </c>
      <c r="O19" s="21">
        <f>IF(OR(AD19=0,AF19&lt;&gt;""),"",AJ19-AK19)</f>
      </c>
      <c r="P19" s="21">
        <f>IF(AND(AD19=1,AF19="",V19=2),AI19,"")</f>
      </c>
      <c r="Q19" s="21">
        <f>IF(OR($A19="",N(K19)=0),"",ROUND(K19*KmSatz,2))</f>
      </c>
      <c r="R19" s="22">
        <f>IF(AF19&amp;AL19="","",LEFT(AF19&amp;AL19,LEN(AF19&amp;AL19)-2))</f>
      </c>
      <c r="S19" s="1"/>
      <c r="T19" s="1">
        <f>IF(AND($A19&lt;&gt;"",ISNUMBER(C19)),1,0)</f>
      </c>
      <c r="U19" s="1">
        <f>IF(AND($A19&lt;&gt;"",ISNUMBER(D19)),1,0)</f>
      </c>
      <c r="V19" s="1">
        <f>IF($A19="",0,IF(E19="ja",1,IF(E19="Pauschale",2,0)))</f>
      </c>
      <c r="W19" s="1">
        <f>IF($A19="",0,IF(AU19&gt;0,1,0))</f>
      </c>
      <c r="X19" s="1">
        <f>IF(AND(T19=1,W19=0),1,0)</f>
      </c>
      <c r="Y19" s="1">
        <f>IF(AND(AS19=1,AT19=0,AU19=0),1,0)</f>
      </c>
      <c r="Z19" s="1">
        <f>IF(AND(Y19=1,T19=0,U19=1,V19=0),1,0)</f>
      </c>
      <c r="AA19" s="1">
        <f>IF(AND(X19=1,U19=0,V19=0,AN19=0,AO19=1,AP19=0),1,0)</f>
      </c>
      <c r="AB19" s="1">
        <f>IF(OR(W19=1,Z19=1),0,IF(T19=1,C19,0))</f>
      </c>
      <c r="AC19" s="1">
        <f>IF(OR(V19&gt;0,AA19=1),1,IF(U19=1,D19,1))</f>
      </c>
      <c r="AD19" s="1">
        <f>IF($A19="",0,IF(OR(T19=1,U19=1,V19&gt;0,W19=1),1,0))</f>
      </c>
      <c r="AE19" s="1">
        <f>IF(AD19=0,0,ROUND((AC19-AB19)*1440,0))</f>
      </c>
      <c r="AF19" s="1">
        <f>IF(AD19=0,"",IF(AND(F19&lt;&gt;"",ISNA(MATCH(F19,PauschLand,0))),"Land nicht in der Liste; ","")&amp;IF(AND(T19=0,W19=0,Z19=0),"Beginn fehlt; ","")&amp;IF(AND(V19=0,U19=0,AA19=0),"Ende fehlt; ","")&amp;IF(AND(X19=1,U19=1,V19=0,N(D19)&lt;N(C19)),"Ende vor Beginn (über Mitternacht: Ende in die Zeile des Folgetags); ",""))</f>
      </c>
      <c r="AG19" s="1">
        <f>IF(AD19=0,0,IFERROR(VLOOKUP(IF(F19="","Deutschland",F19),PauschTab,2,FALSE),0))</f>
      </c>
      <c r="AH19" s="1">
        <f>IF(AD19=0,0,IFERROR(VLOOKUP(IF(F19="","Deutschland",F19),PauschTab,3,FALSE),0))</f>
      </c>
      <c r="AI19" s="1">
        <f>IF(AD19=0,0,IFERROR(VLOOKUP(IF(F19="","Deutschland",F19),PauschTab,4,FALSE),0))</f>
      </c>
      <c r="AJ19" s="1">
        <f>IF(OR(AD19=0,AF19&lt;&gt;""),0,IF(AND(W19=1,V19&gt;0),IF(OR(T19=1,U19=1),AH19,AG19),IF(OR(W19=1,V19&gt;0),AH19,IF(AA19=1,IF(AND(AE19+AQ19&gt;480,AE19&gt;=AQ19),AH19,0),IF(Z19=1,IF(AND(AR19+AE19&gt;480,AE19&gt;AR19),AH19,0),IF(AE19&gt;480,AH19,0))))))</f>
      </c>
      <c r="AK19" s="1">
        <f>MIN(AJ19,AM19)</f>
      </c>
      <c r="AL19" s="1">
        <f>IF(OR(AD19=0,AF19&lt;&gt;""),"",IF(AND(W19=0,V19=0,AA19=0,Z19=0,AE19&lt;=480),"nicht mehr als 8 Std.; ","")&amp;IF(AA19=1,IF(AJ19&gt;0,"über Mitternacht, zusammen "&amp;TEXT((AE19+AQ19)/1440,"[h]:mm")&amp;" Std.; ",IF(AE19+AQ19&gt;480,"über Mitternacht: Pauschale am Folgetag; ","über Mitternacht, zusammen nicht mehr als 8 Std.; ")),"")&amp;IF(Z19=1,IF(AJ19&gt;0,"über Mitternacht, zusammen "&amp;TEXT((AR19+AE19)/1440,"[h]:mm")&amp;" Std.; ",IF(AR19+AE19&gt;480,"über Mitternacht: Pauschale am Vortag; ","über Mitternacht, zusammen nicht mehr als 8 Std.; ")),"")&amp;IF(AND(W19=1,V19&gt;0,OR(T19=1,U19=1)),"zwischendurch zu Hause: An- und Abreisetag; ","")&amp;IF(AND(W19=1,V19=0,T19=1),"Beginn leer lassen: unterwegs seit dem Vortag; ","")&amp;IF(AND(W19=0,V19&gt;0,U19=1),"Ende leer lassen: Übernachtung; ","")&amp;IF(AND(AJ19&gt;0,AM19&gt;AJ19),"Kürzung auf die Pauschale begrenzt; ",""))</f>
      </c>
      <c r="AM19" s="1">
        <f>ROUND(AG19*(IF(H19&lt;&gt;"",0.2,0)+IF(I19&lt;&gt;"",0.4,0)+IF(J19&lt;&gt;"",0.4,0)),2)</f>
      </c>
      <c r="AN19" s="1">
        <f>IF($A20="",'November'!$T$5,T20)</f>
      </c>
      <c r="AO19" s="1">
        <f>IF($A20="",'November'!$U$5,U20)</f>
      </c>
      <c r="AP19" s="1">
        <f>IF($A20="",'November'!$V$5,V20)</f>
      </c>
      <c r="AQ19" s="1">
        <f>IF($A20="",'November'!$AE$5,AE20)</f>
      </c>
      <c r="AR19" s="1">
        <f>AE18</f>
      </c>
      <c r="AS19" s="1">
        <f>X18</f>
      </c>
      <c r="AT19" s="1">
        <f>U18</f>
      </c>
      <c r="AU19" s="1">
        <f>V18</f>
      </c>
    </row>
    <row r="20" spans="1:47" x14ac:dyDescent="0.25">
      <c r="A20" s="17">
        <f>IF(MONTH(DATE(Jahr,10,16))=10,DATE(Jahr,10,16),"")</f>
      </c>
      <c r="B20" s="13">
        <f>IF(A20="","",CHOOSE(WEEKDAY(A20,2),"Mo","Di","Mi","Do","Fr","Sa","So"))</f>
      </c>
      <c r="C20" s="18"/>
      <c r="D20" s="18"/>
      <c r="E20" s="7"/>
      <c r="F20" s="7"/>
      <c r="G20" s="7"/>
      <c r="H20" s="19"/>
      <c r="I20" s="19"/>
      <c r="J20" s="19"/>
      <c r="K20" s="9"/>
      <c r="L20" s="20">
        <f>IF(OR(AD20=0,AF20&lt;&gt;"",AND(W20=1,V20&gt;0,OR(T20=1,U20=1))),"",AE20/1440)</f>
      </c>
      <c r="M20" s="21">
        <f>IF(OR(AD20=0,AF20&lt;&gt;""),"",AJ20)</f>
      </c>
      <c r="N20" s="21">
        <f>IF(AK20=0,"",AK20)</f>
      </c>
      <c r="O20" s="21">
        <f>IF(OR(AD20=0,AF20&lt;&gt;""),"",AJ20-AK20)</f>
      </c>
      <c r="P20" s="21">
        <f>IF(AND(AD20=1,AF20="",V20=2),AI20,"")</f>
      </c>
      <c r="Q20" s="21">
        <f>IF(OR($A20="",N(K20)=0),"",ROUND(K20*KmSatz,2))</f>
      </c>
      <c r="R20" s="22">
        <f>IF(AF20&amp;AL20="","",LEFT(AF20&amp;AL20,LEN(AF20&amp;AL20)-2))</f>
      </c>
      <c r="S20" s="1"/>
      <c r="T20" s="1">
        <f>IF(AND($A20&lt;&gt;"",ISNUMBER(C20)),1,0)</f>
      </c>
      <c r="U20" s="1">
        <f>IF(AND($A20&lt;&gt;"",ISNUMBER(D20)),1,0)</f>
      </c>
      <c r="V20" s="1">
        <f>IF($A20="",0,IF(E20="ja",1,IF(E20="Pauschale",2,0)))</f>
      </c>
      <c r="W20" s="1">
        <f>IF($A20="",0,IF(AU20&gt;0,1,0))</f>
      </c>
      <c r="X20" s="1">
        <f>IF(AND(T20=1,W20=0),1,0)</f>
      </c>
      <c r="Y20" s="1">
        <f>IF(AND(AS20=1,AT20=0,AU20=0),1,0)</f>
      </c>
      <c r="Z20" s="1">
        <f>IF(AND(Y20=1,T20=0,U20=1,V20=0),1,0)</f>
      </c>
      <c r="AA20" s="1">
        <f>IF(AND(X20=1,U20=0,V20=0,AN20=0,AO20=1,AP20=0),1,0)</f>
      </c>
      <c r="AB20" s="1">
        <f>IF(OR(W20=1,Z20=1),0,IF(T20=1,C20,0))</f>
      </c>
      <c r="AC20" s="1">
        <f>IF(OR(V20&gt;0,AA20=1),1,IF(U20=1,D20,1))</f>
      </c>
      <c r="AD20" s="1">
        <f>IF($A20="",0,IF(OR(T20=1,U20=1,V20&gt;0,W20=1),1,0))</f>
      </c>
      <c r="AE20" s="1">
        <f>IF(AD20=0,0,ROUND((AC20-AB20)*1440,0))</f>
      </c>
      <c r="AF20" s="1">
        <f>IF(AD20=0,"",IF(AND(F20&lt;&gt;"",ISNA(MATCH(F20,PauschLand,0))),"Land nicht in der Liste; ","")&amp;IF(AND(T20=0,W20=0,Z20=0),"Beginn fehlt; ","")&amp;IF(AND(V20=0,U20=0,AA20=0),"Ende fehlt; ","")&amp;IF(AND(X20=1,U20=1,V20=0,N(D20)&lt;N(C20)),"Ende vor Beginn (über Mitternacht: Ende in die Zeile des Folgetags); ",""))</f>
      </c>
      <c r="AG20" s="1">
        <f>IF(AD20=0,0,IFERROR(VLOOKUP(IF(F20="","Deutschland",F20),PauschTab,2,FALSE),0))</f>
      </c>
      <c r="AH20" s="1">
        <f>IF(AD20=0,0,IFERROR(VLOOKUP(IF(F20="","Deutschland",F20),PauschTab,3,FALSE),0))</f>
      </c>
      <c r="AI20" s="1">
        <f>IF(AD20=0,0,IFERROR(VLOOKUP(IF(F20="","Deutschland",F20),PauschTab,4,FALSE),0))</f>
      </c>
      <c r="AJ20" s="1">
        <f>IF(OR(AD20=0,AF20&lt;&gt;""),0,IF(AND(W20=1,V20&gt;0),IF(OR(T20=1,U20=1),AH20,AG20),IF(OR(W20=1,V20&gt;0),AH20,IF(AA20=1,IF(AND(AE20+AQ20&gt;480,AE20&gt;=AQ20),AH20,0),IF(Z20=1,IF(AND(AR20+AE20&gt;480,AE20&gt;AR20),AH20,0),IF(AE20&gt;480,AH20,0))))))</f>
      </c>
      <c r="AK20" s="1">
        <f>MIN(AJ20,AM20)</f>
      </c>
      <c r="AL20" s="1">
        <f>IF(OR(AD20=0,AF20&lt;&gt;""),"",IF(AND(W20=0,V20=0,AA20=0,Z20=0,AE20&lt;=480),"nicht mehr als 8 Std.; ","")&amp;IF(AA20=1,IF(AJ20&gt;0,"über Mitternacht, zusammen "&amp;TEXT((AE20+AQ20)/1440,"[h]:mm")&amp;" Std.; ",IF(AE20+AQ20&gt;480,"über Mitternacht: Pauschale am Folgetag; ","über Mitternacht, zusammen nicht mehr als 8 Std.; ")),"")&amp;IF(Z20=1,IF(AJ20&gt;0,"über Mitternacht, zusammen "&amp;TEXT((AR20+AE20)/1440,"[h]:mm")&amp;" Std.; ",IF(AR20+AE20&gt;480,"über Mitternacht: Pauschale am Vortag; ","über Mitternacht, zusammen nicht mehr als 8 Std.; ")),"")&amp;IF(AND(W20=1,V20&gt;0,OR(T20=1,U20=1)),"zwischendurch zu Hause: An- und Abreisetag; ","")&amp;IF(AND(W20=1,V20=0,T20=1),"Beginn leer lassen: unterwegs seit dem Vortag; ","")&amp;IF(AND(W20=0,V20&gt;0,U20=1),"Ende leer lassen: Übernachtung; ","")&amp;IF(AND(AJ20&gt;0,AM20&gt;AJ20),"Kürzung auf die Pauschale begrenzt; ",""))</f>
      </c>
      <c r="AM20" s="1">
        <f>ROUND(AG20*(IF(H20&lt;&gt;"",0.2,0)+IF(I20&lt;&gt;"",0.4,0)+IF(J20&lt;&gt;"",0.4,0)),2)</f>
      </c>
      <c r="AN20" s="1">
        <f>IF($A21="",'November'!$T$5,T21)</f>
      </c>
      <c r="AO20" s="1">
        <f>IF($A21="",'November'!$U$5,U21)</f>
      </c>
      <c r="AP20" s="1">
        <f>IF($A21="",'November'!$V$5,V21)</f>
      </c>
      <c r="AQ20" s="1">
        <f>IF($A21="",'November'!$AE$5,AE21)</f>
      </c>
      <c r="AR20" s="1">
        <f>AE19</f>
      </c>
      <c r="AS20" s="1">
        <f>X19</f>
      </c>
      <c r="AT20" s="1">
        <f>U19</f>
      </c>
      <c r="AU20" s="1">
        <f>V19</f>
      </c>
    </row>
    <row r="21" spans="1:47" x14ac:dyDescent="0.25">
      <c r="A21" s="17">
        <f>IF(MONTH(DATE(Jahr,10,17))=10,DATE(Jahr,10,17),"")</f>
      </c>
      <c r="B21" s="13">
        <f>IF(A21="","",CHOOSE(WEEKDAY(A21,2),"Mo","Di","Mi","Do","Fr","Sa","So"))</f>
      </c>
      <c r="C21" s="18"/>
      <c r="D21" s="18"/>
      <c r="E21" s="7"/>
      <c r="F21" s="7"/>
      <c r="G21" s="7"/>
      <c r="H21" s="19"/>
      <c r="I21" s="19"/>
      <c r="J21" s="19"/>
      <c r="K21" s="9"/>
      <c r="L21" s="20">
        <f>IF(OR(AD21=0,AF21&lt;&gt;"",AND(W21=1,V21&gt;0,OR(T21=1,U21=1))),"",AE21/1440)</f>
      </c>
      <c r="M21" s="21">
        <f>IF(OR(AD21=0,AF21&lt;&gt;""),"",AJ21)</f>
      </c>
      <c r="N21" s="21">
        <f>IF(AK21=0,"",AK21)</f>
      </c>
      <c r="O21" s="21">
        <f>IF(OR(AD21=0,AF21&lt;&gt;""),"",AJ21-AK21)</f>
      </c>
      <c r="P21" s="21">
        <f>IF(AND(AD21=1,AF21="",V21=2),AI21,"")</f>
      </c>
      <c r="Q21" s="21">
        <f>IF(OR($A21="",N(K21)=0),"",ROUND(K21*KmSatz,2))</f>
      </c>
      <c r="R21" s="22">
        <f>IF(AF21&amp;AL21="","",LEFT(AF21&amp;AL21,LEN(AF21&amp;AL21)-2))</f>
      </c>
      <c r="S21" s="1"/>
      <c r="T21" s="1">
        <f>IF(AND($A21&lt;&gt;"",ISNUMBER(C21)),1,0)</f>
      </c>
      <c r="U21" s="1">
        <f>IF(AND($A21&lt;&gt;"",ISNUMBER(D21)),1,0)</f>
      </c>
      <c r="V21" s="1">
        <f>IF($A21="",0,IF(E21="ja",1,IF(E21="Pauschale",2,0)))</f>
      </c>
      <c r="W21" s="1">
        <f>IF($A21="",0,IF(AU21&gt;0,1,0))</f>
      </c>
      <c r="X21" s="1">
        <f>IF(AND(T21=1,W21=0),1,0)</f>
      </c>
      <c r="Y21" s="1">
        <f>IF(AND(AS21=1,AT21=0,AU21=0),1,0)</f>
      </c>
      <c r="Z21" s="1">
        <f>IF(AND(Y21=1,T21=0,U21=1,V21=0),1,0)</f>
      </c>
      <c r="AA21" s="1">
        <f>IF(AND(X21=1,U21=0,V21=0,AN21=0,AO21=1,AP21=0),1,0)</f>
      </c>
      <c r="AB21" s="1">
        <f>IF(OR(W21=1,Z21=1),0,IF(T21=1,C21,0))</f>
      </c>
      <c r="AC21" s="1">
        <f>IF(OR(V21&gt;0,AA21=1),1,IF(U21=1,D21,1))</f>
      </c>
      <c r="AD21" s="1">
        <f>IF($A21="",0,IF(OR(T21=1,U21=1,V21&gt;0,W21=1),1,0))</f>
      </c>
      <c r="AE21" s="1">
        <f>IF(AD21=0,0,ROUND((AC21-AB21)*1440,0))</f>
      </c>
      <c r="AF21" s="1">
        <f>IF(AD21=0,"",IF(AND(F21&lt;&gt;"",ISNA(MATCH(F21,PauschLand,0))),"Land nicht in der Liste; ","")&amp;IF(AND(T21=0,W21=0,Z21=0),"Beginn fehlt; ","")&amp;IF(AND(V21=0,U21=0,AA21=0),"Ende fehlt; ","")&amp;IF(AND(X21=1,U21=1,V21=0,N(D21)&lt;N(C21)),"Ende vor Beginn (über Mitternacht: Ende in die Zeile des Folgetags); ",""))</f>
      </c>
      <c r="AG21" s="1">
        <f>IF(AD21=0,0,IFERROR(VLOOKUP(IF(F21="","Deutschland",F21),PauschTab,2,FALSE),0))</f>
      </c>
      <c r="AH21" s="1">
        <f>IF(AD21=0,0,IFERROR(VLOOKUP(IF(F21="","Deutschland",F21),PauschTab,3,FALSE),0))</f>
      </c>
      <c r="AI21" s="1">
        <f>IF(AD21=0,0,IFERROR(VLOOKUP(IF(F21="","Deutschland",F21),PauschTab,4,FALSE),0))</f>
      </c>
      <c r="AJ21" s="1">
        <f>IF(OR(AD21=0,AF21&lt;&gt;""),0,IF(AND(W21=1,V21&gt;0),IF(OR(T21=1,U21=1),AH21,AG21),IF(OR(W21=1,V21&gt;0),AH21,IF(AA21=1,IF(AND(AE21+AQ21&gt;480,AE21&gt;=AQ21),AH21,0),IF(Z21=1,IF(AND(AR21+AE21&gt;480,AE21&gt;AR21),AH21,0),IF(AE21&gt;480,AH21,0))))))</f>
      </c>
      <c r="AK21" s="1">
        <f>MIN(AJ21,AM21)</f>
      </c>
      <c r="AL21" s="1">
        <f>IF(OR(AD21=0,AF21&lt;&gt;""),"",IF(AND(W21=0,V21=0,AA21=0,Z21=0,AE21&lt;=480),"nicht mehr als 8 Std.; ","")&amp;IF(AA21=1,IF(AJ21&gt;0,"über Mitternacht, zusammen "&amp;TEXT((AE21+AQ21)/1440,"[h]:mm")&amp;" Std.; ",IF(AE21+AQ21&gt;480,"über Mitternacht: Pauschale am Folgetag; ","über Mitternacht, zusammen nicht mehr als 8 Std.; ")),"")&amp;IF(Z21=1,IF(AJ21&gt;0,"über Mitternacht, zusammen "&amp;TEXT((AR21+AE21)/1440,"[h]:mm")&amp;" Std.; ",IF(AR21+AE21&gt;480,"über Mitternacht: Pauschale am Vortag; ","über Mitternacht, zusammen nicht mehr als 8 Std.; ")),"")&amp;IF(AND(W21=1,V21&gt;0,OR(T21=1,U21=1)),"zwischendurch zu Hause: An- und Abreisetag; ","")&amp;IF(AND(W21=1,V21=0,T21=1),"Beginn leer lassen: unterwegs seit dem Vortag; ","")&amp;IF(AND(W21=0,V21&gt;0,U21=1),"Ende leer lassen: Übernachtung; ","")&amp;IF(AND(AJ21&gt;0,AM21&gt;AJ21),"Kürzung auf die Pauschale begrenzt; ",""))</f>
      </c>
      <c r="AM21" s="1">
        <f>ROUND(AG21*(IF(H21&lt;&gt;"",0.2,0)+IF(I21&lt;&gt;"",0.4,0)+IF(J21&lt;&gt;"",0.4,0)),2)</f>
      </c>
      <c r="AN21" s="1">
        <f>IF($A22="",'November'!$T$5,T22)</f>
      </c>
      <c r="AO21" s="1">
        <f>IF($A22="",'November'!$U$5,U22)</f>
      </c>
      <c r="AP21" s="1">
        <f>IF($A22="",'November'!$V$5,V22)</f>
      </c>
      <c r="AQ21" s="1">
        <f>IF($A22="",'November'!$AE$5,AE22)</f>
      </c>
      <c r="AR21" s="1">
        <f>AE20</f>
      </c>
      <c r="AS21" s="1">
        <f>X20</f>
      </c>
      <c r="AT21" s="1">
        <f>U20</f>
      </c>
      <c r="AU21" s="1">
        <f>V20</f>
      </c>
    </row>
    <row r="22" spans="1:47" x14ac:dyDescent="0.25">
      <c r="A22" s="17">
        <f>IF(MONTH(DATE(Jahr,10,18))=10,DATE(Jahr,10,18),"")</f>
      </c>
      <c r="B22" s="13">
        <f>IF(A22="","",CHOOSE(WEEKDAY(A22,2),"Mo","Di","Mi","Do","Fr","Sa","So"))</f>
      </c>
      <c r="C22" s="18"/>
      <c r="D22" s="18"/>
      <c r="E22" s="7"/>
      <c r="F22" s="7"/>
      <c r="G22" s="7"/>
      <c r="H22" s="19"/>
      <c r="I22" s="19"/>
      <c r="J22" s="19"/>
      <c r="K22" s="9"/>
      <c r="L22" s="20">
        <f>IF(OR(AD22=0,AF22&lt;&gt;"",AND(W22=1,V22&gt;0,OR(T22=1,U22=1))),"",AE22/1440)</f>
      </c>
      <c r="M22" s="21">
        <f>IF(OR(AD22=0,AF22&lt;&gt;""),"",AJ22)</f>
      </c>
      <c r="N22" s="21">
        <f>IF(AK22=0,"",AK22)</f>
      </c>
      <c r="O22" s="21">
        <f>IF(OR(AD22=0,AF22&lt;&gt;""),"",AJ22-AK22)</f>
      </c>
      <c r="P22" s="21">
        <f>IF(AND(AD22=1,AF22="",V22=2),AI22,"")</f>
      </c>
      <c r="Q22" s="21">
        <f>IF(OR($A22="",N(K22)=0),"",ROUND(K22*KmSatz,2))</f>
      </c>
      <c r="R22" s="22">
        <f>IF(AF22&amp;AL22="","",LEFT(AF22&amp;AL22,LEN(AF22&amp;AL22)-2))</f>
      </c>
      <c r="S22" s="1"/>
      <c r="T22" s="1">
        <f>IF(AND($A22&lt;&gt;"",ISNUMBER(C22)),1,0)</f>
      </c>
      <c r="U22" s="1">
        <f>IF(AND($A22&lt;&gt;"",ISNUMBER(D22)),1,0)</f>
      </c>
      <c r="V22" s="1">
        <f>IF($A22="",0,IF(E22="ja",1,IF(E22="Pauschale",2,0)))</f>
      </c>
      <c r="W22" s="1">
        <f>IF($A22="",0,IF(AU22&gt;0,1,0))</f>
      </c>
      <c r="X22" s="1">
        <f>IF(AND(T22=1,W22=0),1,0)</f>
      </c>
      <c r="Y22" s="1">
        <f>IF(AND(AS22=1,AT22=0,AU22=0),1,0)</f>
      </c>
      <c r="Z22" s="1">
        <f>IF(AND(Y22=1,T22=0,U22=1,V22=0),1,0)</f>
      </c>
      <c r="AA22" s="1">
        <f>IF(AND(X22=1,U22=0,V22=0,AN22=0,AO22=1,AP22=0),1,0)</f>
      </c>
      <c r="AB22" s="1">
        <f>IF(OR(W22=1,Z22=1),0,IF(T22=1,C22,0))</f>
      </c>
      <c r="AC22" s="1">
        <f>IF(OR(V22&gt;0,AA22=1),1,IF(U22=1,D22,1))</f>
      </c>
      <c r="AD22" s="1">
        <f>IF($A22="",0,IF(OR(T22=1,U22=1,V22&gt;0,W22=1),1,0))</f>
      </c>
      <c r="AE22" s="1">
        <f>IF(AD22=0,0,ROUND((AC22-AB22)*1440,0))</f>
      </c>
      <c r="AF22" s="1">
        <f>IF(AD22=0,"",IF(AND(F22&lt;&gt;"",ISNA(MATCH(F22,PauschLand,0))),"Land nicht in der Liste; ","")&amp;IF(AND(T22=0,W22=0,Z22=0),"Beginn fehlt; ","")&amp;IF(AND(V22=0,U22=0,AA22=0),"Ende fehlt; ","")&amp;IF(AND(X22=1,U22=1,V22=0,N(D22)&lt;N(C22)),"Ende vor Beginn (über Mitternacht: Ende in die Zeile des Folgetags); ",""))</f>
      </c>
      <c r="AG22" s="1">
        <f>IF(AD22=0,0,IFERROR(VLOOKUP(IF(F22="","Deutschland",F22),PauschTab,2,FALSE),0))</f>
      </c>
      <c r="AH22" s="1">
        <f>IF(AD22=0,0,IFERROR(VLOOKUP(IF(F22="","Deutschland",F22),PauschTab,3,FALSE),0))</f>
      </c>
      <c r="AI22" s="1">
        <f>IF(AD22=0,0,IFERROR(VLOOKUP(IF(F22="","Deutschland",F22),PauschTab,4,FALSE),0))</f>
      </c>
      <c r="AJ22" s="1">
        <f>IF(OR(AD22=0,AF22&lt;&gt;""),0,IF(AND(W22=1,V22&gt;0),IF(OR(T22=1,U22=1),AH22,AG22),IF(OR(W22=1,V22&gt;0),AH22,IF(AA22=1,IF(AND(AE22+AQ22&gt;480,AE22&gt;=AQ22),AH22,0),IF(Z22=1,IF(AND(AR22+AE22&gt;480,AE22&gt;AR22),AH22,0),IF(AE22&gt;480,AH22,0))))))</f>
      </c>
      <c r="AK22" s="1">
        <f>MIN(AJ22,AM22)</f>
      </c>
      <c r="AL22" s="1">
        <f>IF(OR(AD22=0,AF22&lt;&gt;""),"",IF(AND(W22=0,V22=0,AA22=0,Z22=0,AE22&lt;=480),"nicht mehr als 8 Std.; ","")&amp;IF(AA22=1,IF(AJ22&gt;0,"über Mitternacht, zusammen "&amp;TEXT((AE22+AQ22)/1440,"[h]:mm")&amp;" Std.; ",IF(AE22+AQ22&gt;480,"über Mitternacht: Pauschale am Folgetag; ","über Mitternacht, zusammen nicht mehr als 8 Std.; ")),"")&amp;IF(Z22=1,IF(AJ22&gt;0,"über Mitternacht, zusammen "&amp;TEXT((AR22+AE22)/1440,"[h]:mm")&amp;" Std.; ",IF(AR22+AE22&gt;480,"über Mitternacht: Pauschale am Vortag; ","über Mitternacht, zusammen nicht mehr als 8 Std.; ")),"")&amp;IF(AND(W22=1,V22&gt;0,OR(T22=1,U22=1)),"zwischendurch zu Hause: An- und Abreisetag; ","")&amp;IF(AND(W22=1,V22=0,T22=1),"Beginn leer lassen: unterwegs seit dem Vortag; ","")&amp;IF(AND(W22=0,V22&gt;0,U22=1),"Ende leer lassen: Übernachtung; ","")&amp;IF(AND(AJ22&gt;0,AM22&gt;AJ22),"Kürzung auf die Pauschale begrenzt; ",""))</f>
      </c>
      <c r="AM22" s="1">
        <f>ROUND(AG22*(IF(H22&lt;&gt;"",0.2,0)+IF(I22&lt;&gt;"",0.4,0)+IF(J22&lt;&gt;"",0.4,0)),2)</f>
      </c>
      <c r="AN22" s="1">
        <f>IF($A23="",'November'!$T$5,T23)</f>
      </c>
      <c r="AO22" s="1">
        <f>IF($A23="",'November'!$U$5,U23)</f>
      </c>
      <c r="AP22" s="1">
        <f>IF($A23="",'November'!$V$5,V23)</f>
      </c>
      <c r="AQ22" s="1">
        <f>IF($A23="",'November'!$AE$5,AE23)</f>
      </c>
      <c r="AR22" s="1">
        <f>AE21</f>
      </c>
      <c r="AS22" s="1">
        <f>X21</f>
      </c>
      <c r="AT22" s="1">
        <f>U21</f>
      </c>
      <c r="AU22" s="1">
        <f>V21</f>
      </c>
    </row>
    <row r="23" spans="1:47" x14ac:dyDescent="0.25">
      <c r="A23" s="17">
        <f>IF(MONTH(DATE(Jahr,10,19))=10,DATE(Jahr,10,19),"")</f>
      </c>
      <c r="B23" s="13">
        <f>IF(A23="","",CHOOSE(WEEKDAY(A23,2),"Mo","Di","Mi","Do","Fr","Sa","So"))</f>
      </c>
      <c r="C23" s="18"/>
      <c r="D23" s="18"/>
      <c r="E23" s="7"/>
      <c r="F23" s="7"/>
      <c r="G23" s="7"/>
      <c r="H23" s="19"/>
      <c r="I23" s="19"/>
      <c r="J23" s="19"/>
      <c r="K23" s="9"/>
      <c r="L23" s="20">
        <f>IF(OR(AD23=0,AF23&lt;&gt;"",AND(W23=1,V23&gt;0,OR(T23=1,U23=1))),"",AE23/1440)</f>
      </c>
      <c r="M23" s="21">
        <f>IF(OR(AD23=0,AF23&lt;&gt;""),"",AJ23)</f>
      </c>
      <c r="N23" s="21">
        <f>IF(AK23=0,"",AK23)</f>
      </c>
      <c r="O23" s="21">
        <f>IF(OR(AD23=0,AF23&lt;&gt;""),"",AJ23-AK23)</f>
      </c>
      <c r="P23" s="21">
        <f>IF(AND(AD23=1,AF23="",V23=2),AI23,"")</f>
      </c>
      <c r="Q23" s="21">
        <f>IF(OR($A23="",N(K23)=0),"",ROUND(K23*KmSatz,2))</f>
      </c>
      <c r="R23" s="22">
        <f>IF(AF23&amp;AL23="","",LEFT(AF23&amp;AL23,LEN(AF23&amp;AL23)-2))</f>
      </c>
      <c r="S23" s="1"/>
      <c r="T23" s="1">
        <f>IF(AND($A23&lt;&gt;"",ISNUMBER(C23)),1,0)</f>
      </c>
      <c r="U23" s="1">
        <f>IF(AND($A23&lt;&gt;"",ISNUMBER(D23)),1,0)</f>
      </c>
      <c r="V23" s="1">
        <f>IF($A23="",0,IF(E23="ja",1,IF(E23="Pauschale",2,0)))</f>
      </c>
      <c r="W23" s="1">
        <f>IF($A23="",0,IF(AU23&gt;0,1,0))</f>
      </c>
      <c r="X23" s="1">
        <f>IF(AND(T23=1,W23=0),1,0)</f>
      </c>
      <c r="Y23" s="1">
        <f>IF(AND(AS23=1,AT23=0,AU23=0),1,0)</f>
      </c>
      <c r="Z23" s="1">
        <f>IF(AND(Y23=1,T23=0,U23=1,V23=0),1,0)</f>
      </c>
      <c r="AA23" s="1">
        <f>IF(AND(X23=1,U23=0,V23=0,AN23=0,AO23=1,AP23=0),1,0)</f>
      </c>
      <c r="AB23" s="1">
        <f>IF(OR(W23=1,Z23=1),0,IF(T23=1,C23,0))</f>
      </c>
      <c r="AC23" s="1">
        <f>IF(OR(V23&gt;0,AA23=1),1,IF(U23=1,D23,1))</f>
      </c>
      <c r="AD23" s="1">
        <f>IF($A23="",0,IF(OR(T23=1,U23=1,V23&gt;0,W23=1),1,0))</f>
      </c>
      <c r="AE23" s="1">
        <f>IF(AD23=0,0,ROUND((AC23-AB23)*1440,0))</f>
      </c>
      <c r="AF23" s="1">
        <f>IF(AD23=0,"",IF(AND(F23&lt;&gt;"",ISNA(MATCH(F23,PauschLand,0))),"Land nicht in der Liste; ","")&amp;IF(AND(T23=0,W23=0,Z23=0),"Beginn fehlt; ","")&amp;IF(AND(V23=0,U23=0,AA23=0),"Ende fehlt; ","")&amp;IF(AND(X23=1,U23=1,V23=0,N(D23)&lt;N(C23)),"Ende vor Beginn (über Mitternacht: Ende in die Zeile des Folgetags); ",""))</f>
      </c>
      <c r="AG23" s="1">
        <f>IF(AD23=0,0,IFERROR(VLOOKUP(IF(F23="","Deutschland",F23),PauschTab,2,FALSE),0))</f>
      </c>
      <c r="AH23" s="1">
        <f>IF(AD23=0,0,IFERROR(VLOOKUP(IF(F23="","Deutschland",F23),PauschTab,3,FALSE),0))</f>
      </c>
      <c r="AI23" s="1">
        <f>IF(AD23=0,0,IFERROR(VLOOKUP(IF(F23="","Deutschland",F23),PauschTab,4,FALSE),0))</f>
      </c>
      <c r="AJ23" s="1">
        <f>IF(OR(AD23=0,AF23&lt;&gt;""),0,IF(AND(W23=1,V23&gt;0),IF(OR(T23=1,U23=1),AH23,AG23),IF(OR(W23=1,V23&gt;0),AH23,IF(AA23=1,IF(AND(AE23+AQ23&gt;480,AE23&gt;=AQ23),AH23,0),IF(Z23=1,IF(AND(AR23+AE23&gt;480,AE23&gt;AR23),AH23,0),IF(AE23&gt;480,AH23,0))))))</f>
      </c>
      <c r="AK23" s="1">
        <f>MIN(AJ23,AM23)</f>
      </c>
      <c r="AL23" s="1">
        <f>IF(OR(AD23=0,AF23&lt;&gt;""),"",IF(AND(W23=0,V23=0,AA23=0,Z23=0,AE23&lt;=480),"nicht mehr als 8 Std.; ","")&amp;IF(AA23=1,IF(AJ23&gt;0,"über Mitternacht, zusammen "&amp;TEXT((AE23+AQ23)/1440,"[h]:mm")&amp;" Std.; ",IF(AE23+AQ23&gt;480,"über Mitternacht: Pauschale am Folgetag; ","über Mitternacht, zusammen nicht mehr als 8 Std.; ")),"")&amp;IF(Z23=1,IF(AJ23&gt;0,"über Mitternacht, zusammen "&amp;TEXT((AR23+AE23)/1440,"[h]:mm")&amp;" Std.; ",IF(AR23+AE23&gt;480,"über Mitternacht: Pauschale am Vortag; ","über Mitternacht, zusammen nicht mehr als 8 Std.; ")),"")&amp;IF(AND(W23=1,V23&gt;0,OR(T23=1,U23=1)),"zwischendurch zu Hause: An- und Abreisetag; ","")&amp;IF(AND(W23=1,V23=0,T23=1),"Beginn leer lassen: unterwegs seit dem Vortag; ","")&amp;IF(AND(W23=0,V23&gt;0,U23=1),"Ende leer lassen: Übernachtung; ","")&amp;IF(AND(AJ23&gt;0,AM23&gt;AJ23),"Kürzung auf die Pauschale begrenzt; ",""))</f>
      </c>
      <c r="AM23" s="1">
        <f>ROUND(AG23*(IF(H23&lt;&gt;"",0.2,0)+IF(I23&lt;&gt;"",0.4,0)+IF(J23&lt;&gt;"",0.4,0)),2)</f>
      </c>
      <c r="AN23" s="1">
        <f>IF($A24="",'November'!$T$5,T24)</f>
      </c>
      <c r="AO23" s="1">
        <f>IF($A24="",'November'!$U$5,U24)</f>
      </c>
      <c r="AP23" s="1">
        <f>IF($A24="",'November'!$V$5,V24)</f>
      </c>
      <c r="AQ23" s="1">
        <f>IF($A24="",'November'!$AE$5,AE24)</f>
      </c>
      <c r="AR23" s="1">
        <f>AE22</f>
      </c>
      <c r="AS23" s="1">
        <f>X22</f>
      </c>
      <c r="AT23" s="1">
        <f>U22</f>
      </c>
      <c r="AU23" s="1">
        <f>V22</f>
      </c>
    </row>
    <row r="24" spans="1:47" x14ac:dyDescent="0.25">
      <c r="A24" s="17">
        <f>IF(MONTH(DATE(Jahr,10,20))=10,DATE(Jahr,10,20),"")</f>
      </c>
      <c r="B24" s="13">
        <f>IF(A24="","",CHOOSE(WEEKDAY(A24,2),"Mo","Di","Mi","Do","Fr","Sa","So"))</f>
      </c>
      <c r="C24" s="18"/>
      <c r="D24" s="18"/>
      <c r="E24" s="7"/>
      <c r="F24" s="7"/>
      <c r="G24" s="7"/>
      <c r="H24" s="19"/>
      <c r="I24" s="19"/>
      <c r="J24" s="19"/>
      <c r="K24" s="9"/>
      <c r="L24" s="20">
        <f>IF(OR(AD24=0,AF24&lt;&gt;"",AND(W24=1,V24&gt;0,OR(T24=1,U24=1))),"",AE24/1440)</f>
      </c>
      <c r="M24" s="21">
        <f>IF(OR(AD24=0,AF24&lt;&gt;""),"",AJ24)</f>
      </c>
      <c r="N24" s="21">
        <f>IF(AK24=0,"",AK24)</f>
      </c>
      <c r="O24" s="21">
        <f>IF(OR(AD24=0,AF24&lt;&gt;""),"",AJ24-AK24)</f>
      </c>
      <c r="P24" s="21">
        <f>IF(AND(AD24=1,AF24="",V24=2),AI24,"")</f>
      </c>
      <c r="Q24" s="21">
        <f>IF(OR($A24="",N(K24)=0),"",ROUND(K24*KmSatz,2))</f>
      </c>
      <c r="R24" s="22">
        <f>IF(AF24&amp;AL24="","",LEFT(AF24&amp;AL24,LEN(AF24&amp;AL24)-2))</f>
      </c>
      <c r="S24" s="1"/>
      <c r="T24" s="1">
        <f>IF(AND($A24&lt;&gt;"",ISNUMBER(C24)),1,0)</f>
      </c>
      <c r="U24" s="1">
        <f>IF(AND($A24&lt;&gt;"",ISNUMBER(D24)),1,0)</f>
      </c>
      <c r="V24" s="1">
        <f>IF($A24="",0,IF(E24="ja",1,IF(E24="Pauschale",2,0)))</f>
      </c>
      <c r="W24" s="1">
        <f>IF($A24="",0,IF(AU24&gt;0,1,0))</f>
      </c>
      <c r="X24" s="1">
        <f>IF(AND(T24=1,W24=0),1,0)</f>
      </c>
      <c r="Y24" s="1">
        <f>IF(AND(AS24=1,AT24=0,AU24=0),1,0)</f>
      </c>
      <c r="Z24" s="1">
        <f>IF(AND(Y24=1,T24=0,U24=1,V24=0),1,0)</f>
      </c>
      <c r="AA24" s="1">
        <f>IF(AND(X24=1,U24=0,V24=0,AN24=0,AO24=1,AP24=0),1,0)</f>
      </c>
      <c r="AB24" s="1">
        <f>IF(OR(W24=1,Z24=1),0,IF(T24=1,C24,0))</f>
      </c>
      <c r="AC24" s="1">
        <f>IF(OR(V24&gt;0,AA24=1),1,IF(U24=1,D24,1))</f>
      </c>
      <c r="AD24" s="1">
        <f>IF($A24="",0,IF(OR(T24=1,U24=1,V24&gt;0,W24=1),1,0))</f>
      </c>
      <c r="AE24" s="1">
        <f>IF(AD24=0,0,ROUND((AC24-AB24)*1440,0))</f>
      </c>
      <c r="AF24" s="1">
        <f>IF(AD24=0,"",IF(AND(F24&lt;&gt;"",ISNA(MATCH(F24,PauschLand,0))),"Land nicht in der Liste; ","")&amp;IF(AND(T24=0,W24=0,Z24=0),"Beginn fehlt; ","")&amp;IF(AND(V24=0,U24=0,AA24=0),"Ende fehlt; ","")&amp;IF(AND(X24=1,U24=1,V24=0,N(D24)&lt;N(C24)),"Ende vor Beginn (über Mitternacht: Ende in die Zeile des Folgetags); ",""))</f>
      </c>
      <c r="AG24" s="1">
        <f>IF(AD24=0,0,IFERROR(VLOOKUP(IF(F24="","Deutschland",F24),PauschTab,2,FALSE),0))</f>
      </c>
      <c r="AH24" s="1">
        <f>IF(AD24=0,0,IFERROR(VLOOKUP(IF(F24="","Deutschland",F24),PauschTab,3,FALSE),0))</f>
      </c>
      <c r="AI24" s="1">
        <f>IF(AD24=0,0,IFERROR(VLOOKUP(IF(F24="","Deutschland",F24),PauschTab,4,FALSE),0))</f>
      </c>
      <c r="AJ24" s="1">
        <f>IF(OR(AD24=0,AF24&lt;&gt;""),0,IF(AND(W24=1,V24&gt;0),IF(OR(T24=1,U24=1),AH24,AG24),IF(OR(W24=1,V24&gt;0),AH24,IF(AA24=1,IF(AND(AE24+AQ24&gt;480,AE24&gt;=AQ24),AH24,0),IF(Z24=1,IF(AND(AR24+AE24&gt;480,AE24&gt;AR24),AH24,0),IF(AE24&gt;480,AH24,0))))))</f>
      </c>
      <c r="AK24" s="1">
        <f>MIN(AJ24,AM24)</f>
      </c>
      <c r="AL24" s="1">
        <f>IF(OR(AD24=0,AF24&lt;&gt;""),"",IF(AND(W24=0,V24=0,AA24=0,Z24=0,AE24&lt;=480),"nicht mehr als 8 Std.; ","")&amp;IF(AA24=1,IF(AJ24&gt;0,"über Mitternacht, zusammen "&amp;TEXT((AE24+AQ24)/1440,"[h]:mm")&amp;" Std.; ",IF(AE24+AQ24&gt;480,"über Mitternacht: Pauschale am Folgetag; ","über Mitternacht, zusammen nicht mehr als 8 Std.; ")),"")&amp;IF(Z24=1,IF(AJ24&gt;0,"über Mitternacht, zusammen "&amp;TEXT((AR24+AE24)/1440,"[h]:mm")&amp;" Std.; ",IF(AR24+AE24&gt;480,"über Mitternacht: Pauschale am Vortag; ","über Mitternacht, zusammen nicht mehr als 8 Std.; ")),"")&amp;IF(AND(W24=1,V24&gt;0,OR(T24=1,U24=1)),"zwischendurch zu Hause: An- und Abreisetag; ","")&amp;IF(AND(W24=1,V24=0,T24=1),"Beginn leer lassen: unterwegs seit dem Vortag; ","")&amp;IF(AND(W24=0,V24&gt;0,U24=1),"Ende leer lassen: Übernachtung; ","")&amp;IF(AND(AJ24&gt;0,AM24&gt;AJ24),"Kürzung auf die Pauschale begrenzt; ",""))</f>
      </c>
      <c r="AM24" s="1">
        <f>ROUND(AG24*(IF(H24&lt;&gt;"",0.2,0)+IF(I24&lt;&gt;"",0.4,0)+IF(J24&lt;&gt;"",0.4,0)),2)</f>
      </c>
      <c r="AN24" s="1">
        <f>IF($A25="",'November'!$T$5,T25)</f>
      </c>
      <c r="AO24" s="1">
        <f>IF($A25="",'November'!$U$5,U25)</f>
      </c>
      <c r="AP24" s="1">
        <f>IF($A25="",'November'!$V$5,V25)</f>
      </c>
      <c r="AQ24" s="1">
        <f>IF($A25="",'November'!$AE$5,AE25)</f>
      </c>
      <c r="AR24" s="1">
        <f>AE23</f>
      </c>
      <c r="AS24" s="1">
        <f>X23</f>
      </c>
      <c r="AT24" s="1">
        <f>U23</f>
      </c>
      <c r="AU24" s="1">
        <f>V23</f>
      </c>
    </row>
    <row r="25" spans="1:47" x14ac:dyDescent="0.25">
      <c r="A25" s="17">
        <f>IF(MONTH(DATE(Jahr,10,21))=10,DATE(Jahr,10,21),"")</f>
      </c>
      <c r="B25" s="13">
        <f>IF(A25="","",CHOOSE(WEEKDAY(A25,2),"Mo","Di","Mi","Do","Fr","Sa","So"))</f>
      </c>
      <c r="C25" s="18"/>
      <c r="D25" s="18"/>
      <c r="E25" s="7"/>
      <c r="F25" s="7"/>
      <c r="G25" s="7"/>
      <c r="H25" s="19"/>
      <c r="I25" s="19"/>
      <c r="J25" s="19"/>
      <c r="K25" s="9"/>
      <c r="L25" s="20">
        <f>IF(OR(AD25=0,AF25&lt;&gt;"",AND(W25=1,V25&gt;0,OR(T25=1,U25=1))),"",AE25/1440)</f>
      </c>
      <c r="M25" s="21">
        <f>IF(OR(AD25=0,AF25&lt;&gt;""),"",AJ25)</f>
      </c>
      <c r="N25" s="21">
        <f>IF(AK25=0,"",AK25)</f>
      </c>
      <c r="O25" s="21">
        <f>IF(OR(AD25=0,AF25&lt;&gt;""),"",AJ25-AK25)</f>
      </c>
      <c r="P25" s="21">
        <f>IF(AND(AD25=1,AF25="",V25=2),AI25,"")</f>
      </c>
      <c r="Q25" s="21">
        <f>IF(OR($A25="",N(K25)=0),"",ROUND(K25*KmSatz,2))</f>
      </c>
      <c r="R25" s="22">
        <f>IF(AF25&amp;AL25="","",LEFT(AF25&amp;AL25,LEN(AF25&amp;AL25)-2))</f>
      </c>
      <c r="S25" s="1"/>
      <c r="T25" s="1">
        <f>IF(AND($A25&lt;&gt;"",ISNUMBER(C25)),1,0)</f>
      </c>
      <c r="U25" s="1">
        <f>IF(AND($A25&lt;&gt;"",ISNUMBER(D25)),1,0)</f>
      </c>
      <c r="V25" s="1">
        <f>IF($A25="",0,IF(E25="ja",1,IF(E25="Pauschale",2,0)))</f>
      </c>
      <c r="W25" s="1">
        <f>IF($A25="",0,IF(AU25&gt;0,1,0))</f>
      </c>
      <c r="X25" s="1">
        <f>IF(AND(T25=1,W25=0),1,0)</f>
      </c>
      <c r="Y25" s="1">
        <f>IF(AND(AS25=1,AT25=0,AU25=0),1,0)</f>
      </c>
      <c r="Z25" s="1">
        <f>IF(AND(Y25=1,T25=0,U25=1,V25=0),1,0)</f>
      </c>
      <c r="AA25" s="1">
        <f>IF(AND(X25=1,U25=0,V25=0,AN25=0,AO25=1,AP25=0),1,0)</f>
      </c>
      <c r="AB25" s="1">
        <f>IF(OR(W25=1,Z25=1),0,IF(T25=1,C25,0))</f>
      </c>
      <c r="AC25" s="1">
        <f>IF(OR(V25&gt;0,AA25=1),1,IF(U25=1,D25,1))</f>
      </c>
      <c r="AD25" s="1">
        <f>IF($A25="",0,IF(OR(T25=1,U25=1,V25&gt;0,W25=1),1,0))</f>
      </c>
      <c r="AE25" s="1">
        <f>IF(AD25=0,0,ROUND((AC25-AB25)*1440,0))</f>
      </c>
      <c r="AF25" s="1">
        <f>IF(AD25=0,"",IF(AND(F25&lt;&gt;"",ISNA(MATCH(F25,PauschLand,0))),"Land nicht in der Liste; ","")&amp;IF(AND(T25=0,W25=0,Z25=0),"Beginn fehlt; ","")&amp;IF(AND(V25=0,U25=0,AA25=0),"Ende fehlt; ","")&amp;IF(AND(X25=1,U25=1,V25=0,N(D25)&lt;N(C25)),"Ende vor Beginn (über Mitternacht: Ende in die Zeile des Folgetags); ",""))</f>
      </c>
      <c r="AG25" s="1">
        <f>IF(AD25=0,0,IFERROR(VLOOKUP(IF(F25="","Deutschland",F25),PauschTab,2,FALSE),0))</f>
      </c>
      <c r="AH25" s="1">
        <f>IF(AD25=0,0,IFERROR(VLOOKUP(IF(F25="","Deutschland",F25),PauschTab,3,FALSE),0))</f>
      </c>
      <c r="AI25" s="1">
        <f>IF(AD25=0,0,IFERROR(VLOOKUP(IF(F25="","Deutschland",F25),PauschTab,4,FALSE),0))</f>
      </c>
      <c r="AJ25" s="1">
        <f>IF(OR(AD25=0,AF25&lt;&gt;""),0,IF(AND(W25=1,V25&gt;0),IF(OR(T25=1,U25=1),AH25,AG25),IF(OR(W25=1,V25&gt;0),AH25,IF(AA25=1,IF(AND(AE25+AQ25&gt;480,AE25&gt;=AQ25),AH25,0),IF(Z25=1,IF(AND(AR25+AE25&gt;480,AE25&gt;AR25),AH25,0),IF(AE25&gt;480,AH25,0))))))</f>
      </c>
      <c r="AK25" s="1">
        <f>MIN(AJ25,AM25)</f>
      </c>
      <c r="AL25" s="1">
        <f>IF(OR(AD25=0,AF25&lt;&gt;""),"",IF(AND(W25=0,V25=0,AA25=0,Z25=0,AE25&lt;=480),"nicht mehr als 8 Std.; ","")&amp;IF(AA25=1,IF(AJ25&gt;0,"über Mitternacht, zusammen "&amp;TEXT((AE25+AQ25)/1440,"[h]:mm")&amp;" Std.; ",IF(AE25+AQ25&gt;480,"über Mitternacht: Pauschale am Folgetag; ","über Mitternacht, zusammen nicht mehr als 8 Std.; ")),"")&amp;IF(Z25=1,IF(AJ25&gt;0,"über Mitternacht, zusammen "&amp;TEXT((AR25+AE25)/1440,"[h]:mm")&amp;" Std.; ",IF(AR25+AE25&gt;480,"über Mitternacht: Pauschale am Vortag; ","über Mitternacht, zusammen nicht mehr als 8 Std.; ")),"")&amp;IF(AND(W25=1,V25&gt;0,OR(T25=1,U25=1)),"zwischendurch zu Hause: An- und Abreisetag; ","")&amp;IF(AND(W25=1,V25=0,T25=1),"Beginn leer lassen: unterwegs seit dem Vortag; ","")&amp;IF(AND(W25=0,V25&gt;0,U25=1),"Ende leer lassen: Übernachtung; ","")&amp;IF(AND(AJ25&gt;0,AM25&gt;AJ25),"Kürzung auf die Pauschale begrenzt; ",""))</f>
      </c>
      <c r="AM25" s="1">
        <f>ROUND(AG25*(IF(H25&lt;&gt;"",0.2,0)+IF(I25&lt;&gt;"",0.4,0)+IF(J25&lt;&gt;"",0.4,0)),2)</f>
      </c>
      <c r="AN25" s="1">
        <f>IF($A26="",'November'!$T$5,T26)</f>
      </c>
      <c r="AO25" s="1">
        <f>IF($A26="",'November'!$U$5,U26)</f>
      </c>
      <c r="AP25" s="1">
        <f>IF($A26="",'November'!$V$5,V26)</f>
      </c>
      <c r="AQ25" s="1">
        <f>IF($A26="",'November'!$AE$5,AE26)</f>
      </c>
      <c r="AR25" s="1">
        <f>AE24</f>
      </c>
      <c r="AS25" s="1">
        <f>X24</f>
      </c>
      <c r="AT25" s="1">
        <f>U24</f>
      </c>
      <c r="AU25" s="1">
        <f>V24</f>
      </c>
    </row>
    <row r="26" spans="1:47" x14ac:dyDescent="0.25">
      <c r="A26" s="17">
        <f>IF(MONTH(DATE(Jahr,10,22))=10,DATE(Jahr,10,22),"")</f>
      </c>
      <c r="B26" s="13">
        <f>IF(A26="","",CHOOSE(WEEKDAY(A26,2),"Mo","Di","Mi","Do","Fr","Sa","So"))</f>
      </c>
      <c r="C26" s="18"/>
      <c r="D26" s="18"/>
      <c r="E26" s="7"/>
      <c r="F26" s="7"/>
      <c r="G26" s="7"/>
      <c r="H26" s="19"/>
      <c r="I26" s="19"/>
      <c r="J26" s="19"/>
      <c r="K26" s="9"/>
      <c r="L26" s="20">
        <f>IF(OR(AD26=0,AF26&lt;&gt;"",AND(W26=1,V26&gt;0,OR(T26=1,U26=1))),"",AE26/1440)</f>
      </c>
      <c r="M26" s="21">
        <f>IF(OR(AD26=0,AF26&lt;&gt;""),"",AJ26)</f>
      </c>
      <c r="N26" s="21">
        <f>IF(AK26=0,"",AK26)</f>
      </c>
      <c r="O26" s="21">
        <f>IF(OR(AD26=0,AF26&lt;&gt;""),"",AJ26-AK26)</f>
      </c>
      <c r="P26" s="21">
        <f>IF(AND(AD26=1,AF26="",V26=2),AI26,"")</f>
      </c>
      <c r="Q26" s="21">
        <f>IF(OR($A26="",N(K26)=0),"",ROUND(K26*KmSatz,2))</f>
      </c>
      <c r="R26" s="22">
        <f>IF(AF26&amp;AL26="","",LEFT(AF26&amp;AL26,LEN(AF26&amp;AL26)-2))</f>
      </c>
      <c r="S26" s="1"/>
      <c r="T26" s="1">
        <f>IF(AND($A26&lt;&gt;"",ISNUMBER(C26)),1,0)</f>
      </c>
      <c r="U26" s="1">
        <f>IF(AND($A26&lt;&gt;"",ISNUMBER(D26)),1,0)</f>
      </c>
      <c r="V26" s="1">
        <f>IF($A26="",0,IF(E26="ja",1,IF(E26="Pauschale",2,0)))</f>
      </c>
      <c r="W26" s="1">
        <f>IF($A26="",0,IF(AU26&gt;0,1,0))</f>
      </c>
      <c r="X26" s="1">
        <f>IF(AND(T26=1,W26=0),1,0)</f>
      </c>
      <c r="Y26" s="1">
        <f>IF(AND(AS26=1,AT26=0,AU26=0),1,0)</f>
      </c>
      <c r="Z26" s="1">
        <f>IF(AND(Y26=1,T26=0,U26=1,V26=0),1,0)</f>
      </c>
      <c r="AA26" s="1">
        <f>IF(AND(X26=1,U26=0,V26=0,AN26=0,AO26=1,AP26=0),1,0)</f>
      </c>
      <c r="AB26" s="1">
        <f>IF(OR(W26=1,Z26=1),0,IF(T26=1,C26,0))</f>
      </c>
      <c r="AC26" s="1">
        <f>IF(OR(V26&gt;0,AA26=1),1,IF(U26=1,D26,1))</f>
      </c>
      <c r="AD26" s="1">
        <f>IF($A26="",0,IF(OR(T26=1,U26=1,V26&gt;0,W26=1),1,0))</f>
      </c>
      <c r="AE26" s="1">
        <f>IF(AD26=0,0,ROUND((AC26-AB26)*1440,0))</f>
      </c>
      <c r="AF26" s="1">
        <f>IF(AD26=0,"",IF(AND(F26&lt;&gt;"",ISNA(MATCH(F26,PauschLand,0))),"Land nicht in der Liste; ","")&amp;IF(AND(T26=0,W26=0,Z26=0),"Beginn fehlt; ","")&amp;IF(AND(V26=0,U26=0,AA26=0),"Ende fehlt; ","")&amp;IF(AND(X26=1,U26=1,V26=0,N(D26)&lt;N(C26)),"Ende vor Beginn (über Mitternacht: Ende in die Zeile des Folgetags); ",""))</f>
      </c>
      <c r="AG26" s="1">
        <f>IF(AD26=0,0,IFERROR(VLOOKUP(IF(F26="","Deutschland",F26),PauschTab,2,FALSE),0))</f>
      </c>
      <c r="AH26" s="1">
        <f>IF(AD26=0,0,IFERROR(VLOOKUP(IF(F26="","Deutschland",F26),PauschTab,3,FALSE),0))</f>
      </c>
      <c r="AI26" s="1">
        <f>IF(AD26=0,0,IFERROR(VLOOKUP(IF(F26="","Deutschland",F26),PauschTab,4,FALSE),0))</f>
      </c>
      <c r="AJ26" s="1">
        <f>IF(OR(AD26=0,AF26&lt;&gt;""),0,IF(AND(W26=1,V26&gt;0),IF(OR(T26=1,U26=1),AH26,AG26),IF(OR(W26=1,V26&gt;0),AH26,IF(AA26=1,IF(AND(AE26+AQ26&gt;480,AE26&gt;=AQ26),AH26,0),IF(Z26=1,IF(AND(AR26+AE26&gt;480,AE26&gt;AR26),AH26,0),IF(AE26&gt;480,AH26,0))))))</f>
      </c>
      <c r="AK26" s="1">
        <f>MIN(AJ26,AM26)</f>
      </c>
      <c r="AL26" s="1">
        <f>IF(OR(AD26=0,AF26&lt;&gt;""),"",IF(AND(W26=0,V26=0,AA26=0,Z26=0,AE26&lt;=480),"nicht mehr als 8 Std.; ","")&amp;IF(AA26=1,IF(AJ26&gt;0,"über Mitternacht, zusammen "&amp;TEXT((AE26+AQ26)/1440,"[h]:mm")&amp;" Std.; ",IF(AE26+AQ26&gt;480,"über Mitternacht: Pauschale am Folgetag; ","über Mitternacht, zusammen nicht mehr als 8 Std.; ")),"")&amp;IF(Z26=1,IF(AJ26&gt;0,"über Mitternacht, zusammen "&amp;TEXT((AR26+AE26)/1440,"[h]:mm")&amp;" Std.; ",IF(AR26+AE26&gt;480,"über Mitternacht: Pauschale am Vortag; ","über Mitternacht, zusammen nicht mehr als 8 Std.; ")),"")&amp;IF(AND(W26=1,V26&gt;0,OR(T26=1,U26=1)),"zwischendurch zu Hause: An- und Abreisetag; ","")&amp;IF(AND(W26=1,V26=0,T26=1),"Beginn leer lassen: unterwegs seit dem Vortag; ","")&amp;IF(AND(W26=0,V26&gt;0,U26=1),"Ende leer lassen: Übernachtung; ","")&amp;IF(AND(AJ26&gt;0,AM26&gt;AJ26),"Kürzung auf die Pauschale begrenzt; ",""))</f>
      </c>
      <c r="AM26" s="1">
        <f>ROUND(AG26*(IF(H26&lt;&gt;"",0.2,0)+IF(I26&lt;&gt;"",0.4,0)+IF(J26&lt;&gt;"",0.4,0)),2)</f>
      </c>
      <c r="AN26" s="1">
        <f>IF($A27="",'November'!$T$5,T27)</f>
      </c>
      <c r="AO26" s="1">
        <f>IF($A27="",'November'!$U$5,U27)</f>
      </c>
      <c r="AP26" s="1">
        <f>IF($A27="",'November'!$V$5,V27)</f>
      </c>
      <c r="AQ26" s="1">
        <f>IF($A27="",'November'!$AE$5,AE27)</f>
      </c>
      <c r="AR26" s="1">
        <f>AE25</f>
      </c>
      <c r="AS26" s="1">
        <f>X25</f>
      </c>
      <c r="AT26" s="1">
        <f>U25</f>
      </c>
      <c r="AU26" s="1">
        <f>V25</f>
      </c>
    </row>
    <row r="27" spans="1:47" x14ac:dyDescent="0.25">
      <c r="A27" s="17">
        <f>IF(MONTH(DATE(Jahr,10,23))=10,DATE(Jahr,10,23),"")</f>
      </c>
      <c r="B27" s="13">
        <f>IF(A27="","",CHOOSE(WEEKDAY(A27,2),"Mo","Di","Mi","Do","Fr","Sa","So"))</f>
      </c>
      <c r="C27" s="18"/>
      <c r="D27" s="18"/>
      <c r="E27" s="7"/>
      <c r="F27" s="7"/>
      <c r="G27" s="7"/>
      <c r="H27" s="19"/>
      <c r="I27" s="19"/>
      <c r="J27" s="19"/>
      <c r="K27" s="9"/>
      <c r="L27" s="20">
        <f>IF(OR(AD27=0,AF27&lt;&gt;"",AND(W27=1,V27&gt;0,OR(T27=1,U27=1))),"",AE27/1440)</f>
      </c>
      <c r="M27" s="21">
        <f>IF(OR(AD27=0,AF27&lt;&gt;""),"",AJ27)</f>
      </c>
      <c r="N27" s="21">
        <f>IF(AK27=0,"",AK27)</f>
      </c>
      <c r="O27" s="21">
        <f>IF(OR(AD27=0,AF27&lt;&gt;""),"",AJ27-AK27)</f>
      </c>
      <c r="P27" s="21">
        <f>IF(AND(AD27=1,AF27="",V27=2),AI27,"")</f>
      </c>
      <c r="Q27" s="21">
        <f>IF(OR($A27="",N(K27)=0),"",ROUND(K27*KmSatz,2))</f>
      </c>
      <c r="R27" s="22">
        <f>IF(AF27&amp;AL27="","",LEFT(AF27&amp;AL27,LEN(AF27&amp;AL27)-2))</f>
      </c>
      <c r="S27" s="1"/>
      <c r="T27" s="1">
        <f>IF(AND($A27&lt;&gt;"",ISNUMBER(C27)),1,0)</f>
      </c>
      <c r="U27" s="1">
        <f>IF(AND($A27&lt;&gt;"",ISNUMBER(D27)),1,0)</f>
      </c>
      <c r="V27" s="1">
        <f>IF($A27="",0,IF(E27="ja",1,IF(E27="Pauschale",2,0)))</f>
      </c>
      <c r="W27" s="1">
        <f>IF($A27="",0,IF(AU27&gt;0,1,0))</f>
      </c>
      <c r="X27" s="1">
        <f>IF(AND(T27=1,W27=0),1,0)</f>
      </c>
      <c r="Y27" s="1">
        <f>IF(AND(AS27=1,AT27=0,AU27=0),1,0)</f>
      </c>
      <c r="Z27" s="1">
        <f>IF(AND(Y27=1,T27=0,U27=1,V27=0),1,0)</f>
      </c>
      <c r="AA27" s="1">
        <f>IF(AND(X27=1,U27=0,V27=0,AN27=0,AO27=1,AP27=0),1,0)</f>
      </c>
      <c r="AB27" s="1">
        <f>IF(OR(W27=1,Z27=1),0,IF(T27=1,C27,0))</f>
      </c>
      <c r="AC27" s="1">
        <f>IF(OR(V27&gt;0,AA27=1),1,IF(U27=1,D27,1))</f>
      </c>
      <c r="AD27" s="1">
        <f>IF($A27="",0,IF(OR(T27=1,U27=1,V27&gt;0,W27=1),1,0))</f>
      </c>
      <c r="AE27" s="1">
        <f>IF(AD27=0,0,ROUND((AC27-AB27)*1440,0))</f>
      </c>
      <c r="AF27" s="1">
        <f>IF(AD27=0,"",IF(AND(F27&lt;&gt;"",ISNA(MATCH(F27,PauschLand,0))),"Land nicht in der Liste; ","")&amp;IF(AND(T27=0,W27=0,Z27=0),"Beginn fehlt; ","")&amp;IF(AND(V27=0,U27=0,AA27=0),"Ende fehlt; ","")&amp;IF(AND(X27=1,U27=1,V27=0,N(D27)&lt;N(C27)),"Ende vor Beginn (über Mitternacht: Ende in die Zeile des Folgetags); ",""))</f>
      </c>
      <c r="AG27" s="1">
        <f>IF(AD27=0,0,IFERROR(VLOOKUP(IF(F27="","Deutschland",F27),PauschTab,2,FALSE),0))</f>
      </c>
      <c r="AH27" s="1">
        <f>IF(AD27=0,0,IFERROR(VLOOKUP(IF(F27="","Deutschland",F27),PauschTab,3,FALSE),0))</f>
      </c>
      <c r="AI27" s="1">
        <f>IF(AD27=0,0,IFERROR(VLOOKUP(IF(F27="","Deutschland",F27),PauschTab,4,FALSE),0))</f>
      </c>
      <c r="AJ27" s="1">
        <f>IF(OR(AD27=0,AF27&lt;&gt;""),0,IF(AND(W27=1,V27&gt;0),IF(OR(T27=1,U27=1),AH27,AG27),IF(OR(W27=1,V27&gt;0),AH27,IF(AA27=1,IF(AND(AE27+AQ27&gt;480,AE27&gt;=AQ27),AH27,0),IF(Z27=1,IF(AND(AR27+AE27&gt;480,AE27&gt;AR27),AH27,0),IF(AE27&gt;480,AH27,0))))))</f>
      </c>
      <c r="AK27" s="1">
        <f>MIN(AJ27,AM27)</f>
      </c>
      <c r="AL27" s="1">
        <f>IF(OR(AD27=0,AF27&lt;&gt;""),"",IF(AND(W27=0,V27=0,AA27=0,Z27=0,AE27&lt;=480),"nicht mehr als 8 Std.; ","")&amp;IF(AA27=1,IF(AJ27&gt;0,"über Mitternacht, zusammen "&amp;TEXT((AE27+AQ27)/1440,"[h]:mm")&amp;" Std.; ",IF(AE27+AQ27&gt;480,"über Mitternacht: Pauschale am Folgetag; ","über Mitternacht, zusammen nicht mehr als 8 Std.; ")),"")&amp;IF(Z27=1,IF(AJ27&gt;0,"über Mitternacht, zusammen "&amp;TEXT((AR27+AE27)/1440,"[h]:mm")&amp;" Std.; ",IF(AR27+AE27&gt;480,"über Mitternacht: Pauschale am Vortag; ","über Mitternacht, zusammen nicht mehr als 8 Std.; ")),"")&amp;IF(AND(W27=1,V27&gt;0,OR(T27=1,U27=1)),"zwischendurch zu Hause: An- und Abreisetag; ","")&amp;IF(AND(W27=1,V27=0,T27=1),"Beginn leer lassen: unterwegs seit dem Vortag; ","")&amp;IF(AND(W27=0,V27&gt;0,U27=1),"Ende leer lassen: Übernachtung; ","")&amp;IF(AND(AJ27&gt;0,AM27&gt;AJ27),"Kürzung auf die Pauschale begrenzt; ",""))</f>
      </c>
      <c r="AM27" s="1">
        <f>ROUND(AG27*(IF(H27&lt;&gt;"",0.2,0)+IF(I27&lt;&gt;"",0.4,0)+IF(J27&lt;&gt;"",0.4,0)),2)</f>
      </c>
      <c r="AN27" s="1">
        <f>IF($A28="",'November'!$T$5,T28)</f>
      </c>
      <c r="AO27" s="1">
        <f>IF($A28="",'November'!$U$5,U28)</f>
      </c>
      <c r="AP27" s="1">
        <f>IF($A28="",'November'!$V$5,V28)</f>
      </c>
      <c r="AQ27" s="1">
        <f>IF($A28="",'November'!$AE$5,AE28)</f>
      </c>
      <c r="AR27" s="1">
        <f>AE26</f>
      </c>
      <c r="AS27" s="1">
        <f>X26</f>
      </c>
      <c r="AT27" s="1">
        <f>U26</f>
      </c>
      <c r="AU27" s="1">
        <f>V26</f>
      </c>
    </row>
    <row r="28" spans="1:47" x14ac:dyDescent="0.25">
      <c r="A28" s="17">
        <f>IF(MONTH(DATE(Jahr,10,24))=10,DATE(Jahr,10,24),"")</f>
      </c>
      <c r="B28" s="13">
        <f>IF(A28="","",CHOOSE(WEEKDAY(A28,2),"Mo","Di","Mi","Do","Fr","Sa","So"))</f>
      </c>
      <c r="C28" s="18"/>
      <c r="D28" s="18"/>
      <c r="E28" s="7"/>
      <c r="F28" s="7"/>
      <c r="G28" s="7"/>
      <c r="H28" s="19"/>
      <c r="I28" s="19"/>
      <c r="J28" s="19"/>
      <c r="K28" s="9"/>
      <c r="L28" s="20">
        <f>IF(OR(AD28=0,AF28&lt;&gt;"",AND(W28=1,V28&gt;0,OR(T28=1,U28=1))),"",AE28/1440)</f>
      </c>
      <c r="M28" s="21">
        <f>IF(OR(AD28=0,AF28&lt;&gt;""),"",AJ28)</f>
      </c>
      <c r="N28" s="21">
        <f>IF(AK28=0,"",AK28)</f>
      </c>
      <c r="O28" s="21">
        <f>IF(OR(AD28=0,AF28&lt;&gt;""),"",AJ28-AK28)</f>
      </c>
      <c r="P28" s="21">
        <f>IF(AND(AD28=1,AF28="",V28=2),AI28,"")</f>
      </c>
      <c r="Q28" s="21">
        <f>IF(OR($A28="",N(K28)=0),"",ROUND(K28*KmSatz,2))</f>
      </c>
      <c r="R28" s="22">
        <f>IF(AF28&amp;AL28="","",LEFT(AF28&amp;AL28,LEN(AF28&amp;AL28)-2))</f>
      </c>
      <c r="S28" s="1"/>
      <c r="T28" s="1">
        <f>IF(AND($A28&lt;&gt;"",ISNUMBER(C28)),1,0)</f>
      </c>
      <c r="U28" s="1">
        <f>IF(AND($A28&lt;&gt;"",ISNUMBER(D28)),1,0)</f>
      </c>
      <c r="V28" s="1">
        <f>IF($A28="",0,IF(E28="ja",1,IF(E28="Pauschale",2,0)))</f>
      </c>
      <c r="W28" s="1">
        <f>IF($A28="",0,IF(AU28&gt;0,1,0))</f>
      </c>
      <c r="X28" s="1">
        <f>IF(AND(T28=1,W28=0),1,0)</f>
      </c>
      <c r="Y28" s="1">
        <f>IF(AND(AS28=1,AT28=0,AU28=0),1,0)</f>
      </c>
      <c r="Z28" s="1">
        <f>IF(AND(Y28=1,T28=0,U28=1,V28=0),1,0)</f>
      </c>
      <c r="AA28" s="1">
        <f>IF(AND(X28=1,U28=0,V28=0,AN28=0,AO28=1,AP28=0),1,0)</f>
      </c>
      <c r="AB28" s="1">
        <f>IF(OR(W28=1,Z28=1),0,IF(T28=1,C28,0))</f>
      </c>
      <c r="AC28" s="1">
        <f>IF(OR(V28&gt;0,AA28=1),1,IF(U28=1,D28,1))</f>
      </c>
      <c r="AD28" s="1">
        <f>IF($A28="",0,IF(OR(T28=1,U28=1,V28&gt;0,W28=1),1,0))</f>
      </c>
      <c r="AE28" s="1">
        <f>IF(AD28=0,0,ROUND((AC28-AB28)*1440,0))</f>
      </c>
      <c r="AF28" s="1">
        <f>IF(AD28=0,"",IF(AND(F28&lt;&gt;"",ISNA(MATCH(F28,PauschLand,0))),"Land nicht in der Liste; ","")&amp;IF(AND(T28=0,W28=0,Z28=0),"Beginn fehlt; ","")&amp;IF(AND(V28=0,U28=0,AA28=0),"Ende fehlt; ","")&amp;IF(AND(X28=1,U28=1,V28=0,N(D28)&lt;N(C28)),"Ende vor Beginn (über Mitternacht: Ende in die Zeile des Folgetags); ",""))</f>
      </c>
      <c r="AG28" s="1">
        <f>IF(AD28=0,0,IFERROR(VLOOKUP(IF(F28="","Deutschland",F28),PauschTab,2,FALSE),0))</f>
      </c>
      <c r="AH28" s="1">
        <f>IF(AD28=0,0,IFERROR(VLOOKUP(IF(F28="","Deutschland",F28),PauschTab,3,FALSE),0))</f>
      </c>
      <c r="AI28" s="1">
        <f>IF(AD28=0,0,IFERROR(VLOOKUP(IF(F28="","Deutschland",F28),PauschTab,4,FALSE),0))</f>
      </c>
      <c r="AJ28" s="1">
        <f>IF(OR(AD28=0,AF28&lt;&gt;""),0,IF(AND(W28=1,V28&gt;0),IF(OR(T28=1,U28=1),AH28,AG28),IF(OR(W28=1,V28&gt;0),AH28,IF(AA28=1,IF(AND(AE28+AQ28&gt;480,AE28&gt;=AQ28),AH28,0),IF(Z28=1,IF(AND(AR28+AE28&gt;480,AE28&gt;AR28),AH28,0),IF(AE28&gt;480,AH28,0))))))</f>
      </c>
      <c r="AK28" s="1">
        <f>MIN(AJ28,AM28)</f>
      </c>
      <c r="AL28" s="1">
        <f>IF(OR(AD28=0,AF28&lt;&gt;""),"",IF(AND(W28=0,V28=0,AA28=0,Z28=0,AE28&lt;=480),"nicht mehr als 8 Std.; ","")&amp;IF(AA28=1,IF(AJ28&gt;0,"über Mitternacht, zusammen "&amp;TEXT((AE28+AQ28)/1440,"[h]:mm")&amp;" Std.; ",IF(AE28+AQ28&gt;480,"über Mitternacht: Pauschale am Folgetag; ","über Mitternacht, zusammen nicht mehr als 8 Std.; ")),"")&amp;IF(Z28=1,IF(AJ28&gt;0,"über Mitternacht, zusammen "&amp;TEXT((AR28+AE28)/1440,"[h]:mm")&amp;" Std.; ",IF(AR28+AE28&gt;480,"über Mitternacht: Pauschale am Vortag; ","über Mitternacht, zusammen nicht mehr als 8 Std.; ")),"")&amp;IF(AND(W28=1,V28&gt;0,OR(T28=1,U28=1)),"zwischendurch zu Hause: An- und Abreisetag; ","")&amp;IF(AND(W28=1,V28=0,T28=1),"Beginn leer lassen: unterwegs seit dem Vortag; ","")&amp;IF(AND(W28=0,V28&gt;0,U28=1),"Ende leer lassen: Übernachtung; ","")&amp;IF(AND(AJ28&gt;0,AM28&gt;AJ28),"Kürzung auf die Pauschale begrenzt; ",""))</f>
      </c>
      <c r="AM28" s="1">
        <f>ROUND(AG28*(IF(H28&lt;&gt;"",0.2,0)+IF(I28&lt;&gt;"",0.4,0)+IF(J28&lt;&gt;"",0.4,0)),2)</f>
      </c>
      <c r="AN28" s="1">
        <f>IF($A29="",'November'!$T$5,T29)</f>
      </c>
      <c r="AO28" s="1">
        <f>IF($A29="",'November'!$U$5,U29)</f>
      </c>
      <c r="AP28" s="1">
        <f>IF($A29="",'November'!$V$5,V29)</f>
      </c>
      <c r="AQ28" s="1">
        <f>IF($A29="",'November'!$AE$5,AE29)</f>
      </c>
      <c r="AR28" s="1">
        <f>AE27</f>
      </c>
      <c r="AS28" s="1">
        <f>X27</f>
      </c>
      <c r="AT28" s="1">
        <f>U27</f>
      </c>
      <c r="AU28" s="1">
        <f>V27</f>
      </c>
    </row>
    <row r="29" spans="1:47" x14ac:dyDescent="0.25">
      <c r="A29" s="17">
        <f>IF(MONTH(DATE(Jahr,10,25))=10,DATE(Jahr,10,25),"")</f>
      </c>
      <c r="B29" s="13">
        <f>IF(A29="","",CHOOSE(WEEKDAY(A29,2),"Mo","Di","Mi","Do","Fr","Sa","So"))</f>
      </c>
      <c r="C29" s="18"/>
      <c r="D29" s="18"/>
      <c r="E29" s="7"/>
      <c r="F29" s="7"/>
      <c r="G29" s="7"/>
      <c r="H29" s="19"/>
      <c r="I29" s="19"/>
      <c r="J29" s="19"/>
      <c r="K29" s="9"/>
      <c r="L29" s="20">
        <f>IF(OR(AD29=0,AF29&lt;&gt;"",AND(W29=1,V29&gt;0,OR(T29=1,U29=1))),"",AE29/1440)</f>
      </c>
      <c r="M29" s="21">
        <f>IF(OR(AD29=0,AF29&lt;&gt;""),"",AJ29)</f>
      </c>
      <c r="N29" s="21">
        <f>IF(AK29=0,"",AK29)</f>
      </c>
      <c r="O29" s="21">
        <f>IF(OR(AD29=0,AF29&lt;&gt;""),"",AJ29-AK29)</f>
      </c>
      <c r="P29" s="21">
        <f>IF(AND(AD29=1,AF29="",V29=2),AI29,"")</f>
      </c>
      <c r="Q29" s="21">
        <f>IF(OR($A29="",N(K29)=0),"",ROUND(K29*KmSatz,2))</f>
      </c>
      <c r="R29" s="22">
        <f>IF(AF29&amp;AL29="","",LEFT(AF29&amp;AL29,LEN(AF29&amp;AL29)-2))</f>
      </c>
      <c r="S29" s="1"/>
      <c r="T29" s="1">
        <f>IF(AND($A29&lt;&gt;"",ISNUMBER(C29)),1,0)</f>
      </c>
      <c r="U29" s="1">
        <f>IF(AND($A29&lt;&gt;"",ISNUMBER(D29)),1,0)</f>
      </c>
      <c r="V29" s="1">
        <f>IF($A29="",0,IF(E29="ja",1,IF(E29="Pauschale",2,0)))</f>
      </c>
      <c r="W29" s="1">
        <f>IF($A29="",0,IF(AU29&gt;0,1,0))</f>
      </c>
      <c r="X29" s="1">
        <f>IF(AND(T29=1,W29=0),1,0)</f>
      </c>
      <c r="Y29" s="1">
        <f>IF(AND(AS29=1,AT29=0,AU29=0),1,0)</f>
      </c>
      <c r="Z29" s="1">
        <f>IF(AND(Y29=1,T29=0,U29=1,V29=0),1,0)</f>
      </c>
      <c r="AA29" s="1">
        <f>IF(AND(X29=1,U29=0,V29=0,AN29=0,AO29=1,AP29=0),1,0)</f>
      </c>
      <c r="AB29" s="1">
        <f>IF(OR(W29=1,Z29=1),0,IF(T29=1,C29,0))</f>
      </c>
      <c r="AC29" s="1">
        <f>IF(OR(V29&gt;0,AA29=1),1,IF(U29=1,D29,1))</f>
      </c>
      <c r="AD29" s="1">
        <f>IF($A29="",0,IF(OR(T29=1,U29=1,V29&gt;0,W29=1),1,0))</f>
      </c>
      <c r="AE29" s="1">
        <f>IF(AD29=0,0,ROUND((AC29-AB29)*1440,0))</f>
      </c>
      <c r="AF29" s="1">
        <f>IF(AD29=0,"",IF(AND(F29&lt;&gt;"",ISNA(MATCH(F29,PauschLand,0))),"Land nicht in der Liste; ","")&amp;IF(AND(T29=0,W29=0,Z29=0),"Beginn fehlt; ","")&amp;IF(AND(V29=0,U29=0,AA29=0),"Ende fehlt; ","")&amp;IF(AND(X29=1,U29=1,V29=0,N(D29)&lt;N(C29)),"Ende vor Beginn (über Mitternacht: Ende in die Zeile des Folgetags); ",""))</f>
      </c>
      <c r="AG29" s="1">
        <f>IF(AD29=0,0,IFERROR(VLOOKUP(IF(F29="","Deutschland",F29),PauschTab,2,FALSE),0))</f>
      </c>
      <c r="AH29" s="1">
        <f>IF(AD29=0,0,IFERROR(VLOOKUP(IF(F29="","Deutschland",F29),PauschTab,3,FALSE),0))</f>
      </c>
      <c r="AI29" s="1">
        <f>IF(AD29=0,0,IFERROR(VLOOKUP(IF(F29="","Deutschland",F29),PauschTab,4,FALSE),0))</f>
      </c>
      <c r="AJ29" s="1">
        <f>IF(OR(AD29=0,AF29&lt;&gt;""),0,IF(AND(W29=1,V29&gt;0),IF(OR(T29=1,U29=1),AH29,AG29),IF(OR(W29=1,V29&gt;0),AH29,IF(AA29=1,IF(AND(AE29+AQ29&gt;480,AE29&gt;=AQ29),AH29,0),IF(Z29=1,IF(AND(AR29+AE29&gt;480,AE29&gt;AR29),AH29,0),IF(AE29&gt;480,AH29,0))))))</f>
      </c>
      <c r="AK29" s="1">
        <f>MIN(AJ29,AM29)</f>
      </c>
      <c r="AL29" s="1">
        <f>IF(OR(AD29=0,AF29&lt;&gt;""),"",IF(AND(W29=0,V29=0,AA29=0,Z29=0,AE29&lt;=480),"nicht mehr als 8 Std.; ","")&amp;IF(AA29=1,IF(AJ29&gt;0,"über Mitternacht, zusammen "&amp;TEXT((AE29+AQ29)/1440,"[h]:mm")&amp;" Std.; ",IF(AE29+AQ29&gt;480,"über Mitternacht: Pauschale am Folgetag; ","über Mitternacht, zusammen nicht mehr als 8 Std.; ")),"")&amp;IF(Z29=1,IF(AJ29&gt;0,"über Mitternacht, zusammen "&amp;TEXT((AR29+AE29)/1440,"[h]:mm")&amp;" Std.; ",IF(AR29+AE29&gt;480,"über Mitternacht: Pauschale am Vortag; ","über Mitternacht, zusammen nicht mehr als 8 Std.; ")),"")&amp;IF(AND(W29=1,V29&gt;0,OR(T29=1,U29=1)),"zwischendurch zu Hause: An- und Abreisetag; ","")&amp;IF(AND(W29=1,V29=0,T29=1),"Beginn leer lassen: unterwegs seit dem Vortag; ","")&amp;IF(AND(W29=0,V29&gt;0,U29=1),"Ende leer lassen: Übernachtung; ","")&amp;IF(AND(AJ29&gt;0,AM29&gt;AJ29),"Kürzung auf die Pauschale begrenzt; ",""))</f>
      </c>
      <c r="AM29" s="1">
        <f>ROUND(AG29*(IF(H29&lt;&gt;"",0.2,0)+IF(I29&lt;&gt;"",0.4,0)+IF(J29&lt;&gt;"",0.4,0)),2)</f>
      </c>
      <c r="AN29" s="1">
        <f>IF($A30="",'November'!$T$5,T30)</f>
      </c>
      <c r="AO29" s="1">
        <f>IF($A30="",'November'!$U$5,U30)</f>
      </c>
      <c r="AP29" s="1">
        <f>IF($A30="",'November'!$V$5,V30)</f>
      </c>
      <c r="AQ29" s="1">
        <f>IF($A30="",'November'!$AE$5,AE30)</f>
      </c>
      <c r="AR29" s="1">
        <f>AE28</f>
      </c>
      <c r="AS29" s="1">
        <f>X28</f>
      </c>
      <c r="AT29" s="1">
        <f>U28</f>
      </c>
      <c r="AU29" s="1">
        <f>V28</f>
      </c>
    </row>
    <row r="30" spans="1:47" x14ac:dyDescent="0.25">
      <c r="A30" s="17">
        <f>IF(MONTH(DATE(Jahr,10,26))=10,DATE(Jahr,10,26),"")</f>
      </c>
      <c r="B30" s="13">
        <f>IF(A30="","",CHOOSE(WEEKDAY(A30,2),"Mo","Di","Mi","Do","Fr","Sa","So"))</f>
      </c>
      <c r="C30" s="18"/>
      <c r="D30" s="18"/>
      <c r="E30" s="7"/>
      <c r="F30" s="7"/>
      <c r="G30" s="7"/>
      <c r="H30" s="19"/>
      <c r="I30" s="19"/>
      <c r="J30" s="19"/>
      <c r="K30" s="9"/>
      <c r="L30" s="20">
        <f>IF(OR(AD30=0,AF30&lt;&gt;"",AND(W30=1,V30&gt;0,OR(T30=1,U30=1))),"",AE30/1440)</f>
      </c>
      <c r="M30" s="21">
        <f>IF(OR(AD30=0,AF30&lt;&gt;""),"",AJ30)</f>
      </c>
      <c r="N30" s="21">
        <f>IF(AK30=0,"",AK30)</f>
      </c>
      <c r="O30" s="21">
        <f>IF(OR(AD30=0,AF30&lt;&gt;""),"",AJ30-AK30)</f>
      </c>
      <c r="P30" s="21">
        <f>IF(AND(AD30=1,AF30="",V30=2),AI30,"")</f>
      </c>
      <c r="Q30" s="21">
        <f>IF(OR($A30="",N(K30)=0),"",ROUND(K30*KmSatz,2))</f>
      </c>
      <c r="R30" s="22">
        <f>IF(AF30&amp;AL30="","",LEFT(AF30&amp;AL30,LEN(AF30&amp;AL30)-2))</f>
      </c>
      <c r="S30" s="1"/>
      <c r="T30" s="1">
        <f>IF(AND($A30&lt;&gt;"",ISNUMBER(C30)),1,0)</f>
      </c>
      <c r="U30" s="1">
        <f>IF(AND($A30&lt;&gt;"",ISNUMBER(D30)),1,0)</f>
      </c>
      <c r="V30" s="1">
        <f>IF($A30="",0,IF(E30="ja",1,IF(E30="Pauschale",2,0)))</f>
      </c>
      <c r="W30" s="1">
        <f>IF($A30="",0,IF(AU30&gt;0,1,0))</f>
      </c>
      <c r="X30" s="1">
        <f>IF(AND(T30=1,W30=0),1,0)</f>
      </c>
      <c r="Y30" s="1">
        <f>IF(AND(AS30=1,AT30=0,AU30=0),1,0)</f>
      </c>
      <c r="Z30" s="1">
        <f>IF(AND(Y30=1,T30=0,U30=1,V30=0),1,0)</f>
      </c>
      <c r="AA30" s="1">
        <f>IF(AND(X30=1,U30=0,V30=0,AN30=0,AO30=1,AP30=0),1,0)</f>
      </c>
      <c r="AB30" s="1">
        <f>IF(OR(W30=1,Z30=1),0,IF(T30=1,C30,0))</f>
      </c>
      <c r="AC30" s="1">
        <f>IF(OR(V30&gt;0,AA30=1),1,IF(U30=1,D30,1))</f>
      </c>
      <c r="AD30" s="1">
        <f>IF($A30="",0,IF(OR(T30=1,U30=1,V30&gt;0,W30=1),1,0))</f>
      </c>
      <c r="AE30" s="1">
        <f>IF(AD30=0,0,ROUND((AC30-AB30)*1440,0))</f>
      </c>
      <c r="AF30" s="1">
        <f>IF(AD30=0,"",IF(AND(F30&lt;&gt;"",ISNA(MATCH(F30,PauschLand,0))),"Land nicht in der Liste; ","")&amp;IF(AND(T30=0,W30=0,Z30=0),"Beginn fehlt; ","")&amp;IF(AND(V30=0,U30=0,AA30=0),"Ende fehlt; ","")&amp;IF(AND(X30=1,U30=1,V30=0,N(D30)&lt;N(C30)),"Ende vor Beginn (über Mitternacht: Ende in die Zeile des Folgetags); ",""))</f>
      </c>
      <c r="AG30" s="1">
        <f>IF(AD30=0,0,IFERROR(VLOOKUP(IF(F30="","Deutschland",F30),PauschTab,2,FALSE),0))</f>
      </c>
      <c r="AH30" s="1">
        <f>IF(AD30=0,0,IFERROR(VLOOKUP(IF(F30="","Deutschland",F30),PauschTab,3,FALSE),0))</f>
      </c>
      <c r="AI30" s="1">
        <f>IF(AD30=0,0,IFERROR(VLOOKUP(IF(F30="","Deutschland",F30),PauschTab,4,FALSE),0))</f>
      </c>
      <c r="AJ30" s="1">
        <f>IF(OR(AD30=0,AF30&lt;&gt;""),0,IF(AND(W30=1,V30&gt;0),IF(OR(T30=1,U30=1),AH30,AG30),IF(OR(W30=1,V30&gt;0),AH30,IF(AA30=1,IF(AND(AE30+AQ30&gt;480,AE30&gt;=AQ30),AH30,0),IF(Z30=1,IF(AND(AR30+AE30&gt;480,AE30&gt;AR30),AH30,0),IF(AE30&gt;480,AH30,0))))))</f>
      </c>
      <c r="AK30" s="1">
        <f>MIN(AJ30,AM30)</f>
      </c>
      <c r="AL30" s="1">
        <f>IF(OR(AD30=0,AF30&lt;&gt;""),"",IF(AND(W30=0,V30=0,AA30=0,Z30=0,AE30&lt;=480),"nicht mehr als 8 Std.; ","")&amp;IF(AA30=1,IF(AJ30&gt;0,"über Mitternacht, zusammen "&amp;TEXT((AE30+AQ30)/1440,"[h]:mm")&amp;" Std.; ",IF(AE30+AQ30&gt;480,"über Mitternacht: Pauschale am Folgetag; ","über Mitternacht, zusammen nicht mehr als 8 Std.; ")),"")&amp;IF(Z30=1,IF(AJ30&gt;0,"über Mitternacht, zusammen "&amp;TEXT((AR30+AE30)/1440,"[h]:mm")&amp;" Std.; ",IF(AR30+AE30&gt;480,"über Mitternacht: Pauschale am Vortag; ","über Mitternacht, zusammen nicht mehr als 8 Std.; ")),"")&amp;IF(AND(W30=1,V30&gt;0,OR(T30=1,U30=1)),"zwischendurch zu Hause: An- und Abreisetag; ","")&amp;IF(AND(W30=1,V30=0,T30=1),"Beginn leer lassen: unterwegs seit dem Vortag; ","")&amp;IF(AND(W30=0,V30&gt;0,U30=1),"Ende leer lassen: Übernachtung; ","")&amp;IF(AND(AJ30&gt;0,AM30&gt;AJ30),"Kürzung auf die Pauschale begrenzt; ",""))</f>
      </c>
      <c r="AM30" s="1">
        <f>ROUND(AG30*(IF(H30&lt;&gt;"",0.2,0)+IF(I30&lt;&gt;"",0.4,0)+IF(J30&lt;&gt;"",0.4,0)),2)</f>
      </c>
      <c r="AN30" s="1">
        <f>IF($A31="",'November'!$T$5,T31)</f>
      </c>
      <c r="AO30" s="1">
        <f>IF($A31="",'November'!$U$5,U31)</f>
      </c>
      <c r="AP30" s="1">
        <f>IF($A31="",'November'!$V$5,V31)</f>
      </c>
      <c r="AQ30" s="1">
        <f>IF($A31="",'November'!$AE$5,AE31)</f>
      </c>
      <c r="AR30" s="1">
        <f>AE29</f>
      </c>
      <c r="AS30" s="1">
        <f>X29</f>
      </c>
      <c r="AT30" s="1">
        <f>U29</f>
      </c>
      <c r="AU30" s="1">
        <f>V29</f>
      </c>
    </row>
    <row r="31" spans="1:47" x14ac:dyDescent="0.25">
      <c r="A31" s="17">
        <f>IF(MONTH(DATE(Jahr,10,27))=10,DATE(Jahr,10,27),"")</f>
      </c>
      <c r="B31" s="13">
        <f>IF(A31="","",CHOOSE(WEEKDAY(A31,2),"Mo","Di","Mi","Do","Fr","Sa","So"))</f>
      </c>
      <c r="C31" s="18"/>
      <c r="D31" s="18"/>
      <c r="E31" s="7"/>
      <c r="F31" s="7"/>
      <c r="G31" s="7"/>
      <c r="H31" s="19"/>
      <c r="I31" s="19"/>
      <c r="J31" s="19"/>
      <c r="K31" s="9"/>
      <c r="L31" s="20">
        <f>IF(OR(AD31=0,AF31&lt;&gt;"",AND(W31=1,V31&gt;0,OR(T31=1,U31=1))),"",AE31/1440)</f>
      </c>
      <c r="M31" s="21">
        <f>IF(OR(AD31=0,AF31&lt;&gt;""),"",AJ31)</f>
      </c>
      <c r="N31" s="21">
        <f>IF(AK31=0,"",AK31)</f>
      </c>
      <c r="O31" s="21">
        <f>IF(OR(AD31=0,AF31&lt;&gt;""),"",AJ31-AK31)</f>
      </c>
      <c r="P31" s="21">
        <f>IF(AND(AD31=1,AF31="",V31=2),AI31,"")</f>
      </c>
      <c r="Q31" s="21">
        <f>IF(OR($A31="",N(K31)=0),"",ROUND(K31*KmSatz,2))</f>
      </c>
      <c r="R31" s="22">
        <f>IF(AF31&amp;AL31="","",LEFT(AF31&amp;AL31,LEN(AF31&amp;AL31)-2))</f>
      </c>
      <c r="S31" s="1"/>
      <c r="T31" s="1">
        <f>IF(AND($A31&lt;&gt;"",ISNUMBER(C31)),1,0)</f>
      </c>
      <c r="U31" s="1">
        <f>IF(AND($A31&lt;&gt;"",ISNUMBER(D31)),1,0)</f>
      </c>
      <c r="V31" s="1">
        <f>IF($A31="",0,IF(E31="ja",1,IF(E31="Pauschale",2,0)))</f>
      </c>
      <c r="W31" s="1">
        <f>IF($A31="",0,IF(AU31&gt;0,1,0))</f>
      </c>
      <c r="X31" s="1">
        <f>IF(AND(T31=1,W31=0),1,0)</f>
      </c>
      <c r="Y31" s="1">
        <f>IF(AND(AS31=1,AT31=0,AU31=0),1,0)</f>
      </c>
      <c r="Z31" s="1">
        <f>IF(AND(Y31=1,T31=0,U31=1,V31=0),1,0)</f>
      </c>
      <c r="AA31" s="1">
        <f>IF(AND(X31=1,U31=0,V31=0,AN31=0,AO31=1,AP31=0),1,0)</f>
      </c>
      <c r="AB31" s="1">
        <f>IF(OR(W31=1,Z31=1),0,IF(T31=1,C31,0))</f>
      </c>
      <c r="AC31" s="1">
        <f>IF(OR(V31&gt;0,AA31=1),1,IF(U31=1,D31,1))</f>
      </c>
      <c r="AD31" s="1">
        <f>IF($A31="",0,IF(OR(T31=1,U31=1,V31&gt;0,W31=1),1,0))</f>
      </c>
      <c r="AE31" s="1">
        <f>IF(AD31=0,0,ROUND((AC31-AB31)*1440,0))</f>
      </c>
      <c r="AF31" s="1">
        <f>IF(AD31=0,"",IF(AND(F31&lt;&gt;"",ISNA(MATCH(F31,PauschLand,0))),"Land nicht in der Liste; ","")&amp;IF(AND(T31=0,W31=0,Z31=0),"Beginn fehlt; ","")&amp;IF(AND(V31=0,U31=0,AA31=0),"Ende fehlt; ","")&amp;IF(AND(X31=1,U31=1,V31=0,N(D31)&lt;N(C31)),"Ende vor Beginn (über Mitternacht: Ende in die Zeile des Folgetags); ",""))</f>
      </c>
      <c r="AG31" s="1">
        <f>IF(AD31=0,0,IFERROR(VLOOKUP(IF(F31="","Deutschland",F31),PauschTab,2,FALSE),0))</f>
      </c>
      <c r="AH31" s="1">
        <f>IF(AD31=0,0,IFERROR(VLOOKUP(IF(F31="","Deutschland",F31),PauschTab,3,FALSE),0))</f>
      </c>
      <c r="AI31" s="1">
        <f>IF(AD31=0,0,IFERROR(VLOOKUP(IF(F31="","Deutschland",F31),PauschTab,4,FALSE),0))</f>
      </c>
      <c r="AJ31" s="1">
        <f>IF(OR(AD31=0,AF31&lt;&gt;""),0,IF(AND(W31=1,V31&gt;0),IF(OR(T31=1,U31=1),AH31,AG31),IF(OR(W31=1,V31&gt;0),AH31,IF(AA31=1,IF(AND(AE31+AQ31&gt;480,AE31&gt;=AQ31),AH31,0),IF(Z31=1,IF(AND(AR31+AE31&gt;480,AE31&gt;AR31),AH31,0),IF(AE31&gt;480,AH31,0))))))</f>
      </c>
      <c r="AK31" s="1">
        <f>MIN(AJ31,AM31)</f>
      </c>
      <c r="AL31" s="1">
        <f>IF(OR(AD31=0,AF31&lt;&gt;""),"",IF(AND(W31=0,V31=0,AA31=0,Z31=0,AE31&lt;=480),"nicht mehr als 8 Std.; ","")&amp;IF(AA31=1,IF(AJ31&gt;0,"über Mitternacht, zusammen "&amp;TEXT((AE31+AQ31)/1440,"[h]:mm")&amp;" Std.; ",IF(AE31+AQ31&gt;480,"über Mitternacht: Pauschale am Folgetag; ","über Mitternacht, zusammen nicht mehr als 8 Std.; ")),"")&amp;IF(Z31=1,IF(AJ31&gt;0,"über Mitternacht, zusammen "&amp;TEXT((AR31+AE31)/1440,"[h]:mm")&amp;" Std.; ",IF(AR31+AE31&gt;480,"über Mitternacht: Pauschale am Vortag; ","über Mitternacht, zusammen nicht mehr als 8 Std.; ")),"")&amp;IF(AND(W31=1,V31&gt;0,OR(T31=1,U31=1)),"zwischendurch zu Hause: An- und Abreisetag; ","")&amp;IF(AND(W31=1,V31=0,T31=1),"Beginn leer lassen: unterwegs seit dem Vortag; ","")&amp;IF(AND(W31=0,V31&gt;0,U31=1),"Ende leer lassen: Übernachtung; ","")&amp;IF(AND(AJ31&gt;0,AM31&gt;AJ31),"Kürzung auf die Pauschale begrenzt; ",""))</f>
      </c>
      <c r="AM31" s="1">
        <f>ROUND(AG31*(IF(H31&lt;&gt;"",0.2,0)+IF(I31&lt;&gt;"",0.4,0)+IF(J31&lt;&gt;"",0.4,0)),2)</f>
      </c>
      <c r="AN31" s="1">
        <f>IF($A32="",'November'!$T$5,T32)</f>
      </c>
      <c r="AO31" s="1">
        <f>IF($A32="",'November'!$U$5,U32)</f>
      </c>
      <c r="AP31" s="1">
        <f>IF($A32="",'November'!$V$5,V32)</f>
      </c>
      <c r="AQ31" s="1">
        <f>IF($A32="",'November'!$AE$5,AE32)</f>
      </c>
      <c r="AR31" s="1">
        <f>AE30</f>
      </c>
      <c r="AS31" s="1">
        <f>X30</f>
      </c>
      <c r="AT31" s="1">
        <f>U30</f>
      </c>
      <c r="AU31" s="1">
        <f>V30</f>
      </c>
    </row>
    <row r="32" spans="1:47" x14ac:dyDescent="0.25">
      <c r="A32" s="17">
        <f>IF(MONTH(DATE(Jahr,10,28))=10,DATE(Jahr,10,28),"")</f>
      </c>
      <c r="B32" s="13">
        <f>IF(A32="","",CHOOSE(WEEKDAY(A32,2),"Mo","Di","Mi","Do","Fr","Sa","So"))</f>
      </c>
      <c r="C32" s="18"/>
      <c r="D32" s="18"/>
      <c r="E32" s="7"/>
      <c r="F32" s="7"/>
      <c r="G32" s="7"/>
      <c r="H32" s="19"/>
      <c r="I32" s="19"/>
      <c r="J32" s="19"/>
      <c r="K32" s="9"/>
      <c r="L32" s="20">
        <f>IF(OR(AD32=0,AF32&lt;&gt;"",AND(W32=1,V32&gt;0,OR(T32=1,U32=1))),"",AE32/1440)</f>
      </c>
      <c r="M32" s="21">
        <f>IF(OR(AD32=0,AF32&lt;&gt;""),"",AJ32)</f>
      </c>
      <c r="N32" s="21">
        <f>IF(AK32=0,"",AK32)</f>
      </c>
      <c r="O32" s="21">
        <f>IF(OR(AD32=0,AF32&lt;&gt;""),"",AJ32-AK32)</f>
      </c>
      <c r="P32" s="21">
        <f>IF(AND(AD32=1,AF32="",V32=2),AI32,"")</f>
      </c>
      <c r="Q32" s="21">
        <f>IF(OR($A32="",N(K32)=0),"",ROUND(K32*KmSatz,2))</f>
      </c>
      <c r="R32" s="22">
        <f>IF(AF32&amp;AL32="","",LEFT(AF32&amp;AL32,LEN(AF32&amp;AL32)-2))</f>
      </c>
      <c r="S32" s="1"/>
      <c r="T32" s="1">
        <f>IF(AND($A32&lt;&gt;"",ISNUMBER(C32)),1,0)</f>
      </c>
      <c r="U32" s="1">
        <f>IF(AND($A32&lt;&gt;"",ISNUMBER(D32)),1,0)</f>
      </c>
      <c r="V32" s="1">
        <f>IF($A32="",0,IF(E32="ja",1,IF(E32="Pauschale",2,0)))</f>
      </c>
      <c r="W32" s="1">
        <f>IF($A32="",0,IF(AU32&gt;0,1,0))</f>
      </c>
      <c r="X32" s="1">
        <f>IF(AND(T32=1,W32=0),1,0)</f>
      </c>
      <c r="Y32" s="1">
        <f>IF(AND(AS32=1,AT32=0,AU32=0),1,0)</f>
      </c>
      <c r="Z32" s="1">
        <f>IF(AND(Y32=1,T32=0,U32=1,V32=0),1,0)</f>
      </c>
      <c r="AA32" s="1">
        <f>IF(AND(X32=1,U32=0,V32=0,AN32=0,AO32=1,AP32=0),1,0)</f>
      </c>
      <c r="AB32" s="1">
        <f>IF(OR(W32=1,Z32=1),0,IF(T32=1,C32,0))</f>
      </c>
      <c r="AC32" s="1">
        <f>IF(OR(V32&gt;0,AA32=1),1,IF(U32=1,D32,1))</f>
      </c>
      <c r="AD32" s="1">
        <f>IF($A32="",0,IF(OR(T32=1,U32=1,V32&gt;0,W32=1),1,0))</f>
      </c>
      <c r="AE32" s="1">
        <f>IF(AD32=0,0,ROUND((AC32-AB32)*1440,0))</f>
      </c>
      <c r="AF32" s="1">
        <f>IF(AD32=0,"",IF(AND(F32&lt;&gt;"",ISNA(MATCH(F32,PauschLand,0))),"Land nicht in der Liste; ","")&amp;IF(AND(T32=0,W32=0,Z32=0),"Beginn fehlt; ","")&amp;IF(AND(V32=0,U32=0,AA32=0),"Ende fehlt; ","")&amp;IF(AND(X32=1,U32=1,V32=0,N(D32)&lt;N(C32)),"Ende vor Beginn (über Mitternacht: Ende in die Zeile des Folgetags); ",""))</f>
      </c>
      <c r="AG32" s="1">
        <f>IF(AD32=0,0,IFERROR(VLOOKUP(IF(F32="","Deutschland",F32),PauschTab,2,FALSE),0))</f>
      </c>
      <c r="AH32" s="1">
        <f>IF(AD32=0,0,IFERROR(VLOOKUP(IF(F32="","Deutschland",F32),PauschTab,3,FALSE),0))</f>
      </c>
      <c r="AI32" s="1">
        <f>IF(AD32=0,0,IFERROR(VLOOKUP(IF(F32="","Deutschland",F32),PauschTab,4,FALSE),0))</f>
      </c>
      <c r="AJ32" s="1">
        <f>IF(OR(AD32=0,AF32&lt;&gt;""),0,IF(AND(W32=1,V32&gt;0),IF(OR(T32=1,U32=1),AH32,AG32),IF(OR(W32=1,V32&gt;0),AH32,IF(AA32=1,IF(AND(AE32+AQ32&gt;480,AE32&gt;=AQ32),AH32,0),IF(Z32=1,IF(AND(AR32+AE32&gt;480,AE32&gt;AR32),AH32,0),IF(AE32&gt;480,AH32,0))))))</f>
      </c>
      <c r="AK32" s="1">
        <f>MIN(AJ32,AM32)</f>
      </c>
      <c r="AL32" s="1">
        <f>IF(OR(AD32=0,AF32&lt;&gt;""),"",IF(AND(W32=0,V32=0,AA32=0,Z32=0,AE32&lt;=480),"nicht mehr als 8 Std.; ","")&amp;IF(AA32=1,IF(AJ32&gt;0,"über Mitternacht, zusammen "&amp;TEXT((AE32+AQ32)/1440,"[h]:mm")&amp;" Std.; ",IF(AE32+AQ32&gt;480,"über Mitternacht: Pauschale am Folgetag; ","über Mitternacht, zusammen nicht mehr als 8 Std.; ")),"")&amp;IF(Z32=1,IF(AJ32&gt;0,"über Mitternacht, zusammen "&amp;TEXT((AR32+AE32)/1440,"[h]:mm")&amp;" Std.; ",IF(AR32+AE32&gt;480,"über Mitternacht: Pauschale am Vortag; ","über Mitternacht, zusammen nicht mehr als 8 Std.; ")),"")&amp;IF(AND(W32=1,V32&gt;0,OR(T32=1,U32=1)),"zwischendurch zu Hause: An- und Abreisetag; ","")&amp;IF(AND(W32=1,V32=0,T32=1),"Beginn leer lassen: unterwegs seit dem Vortag; ","")&amp;IF(AND(W32=0,V32&gt;0,U32=1),"Ende leer lassen: Übernachtung; ","")&amp;IF(AND(AJ32&gt;0,AM32&gt;AJ32),"Kürzung auf die Pauschale begrenzt; ",""))</f>
      </c>
      <c r="AM32" s="1">
        <f>ROUND(AG32*(IF(H32&lt;&gt;"",0.2,0)+IF(I32&lt;&gt;"",0.4,0)+IF(J32&lt;&gt;"",0.4,0)),2)</f>
      </c>
      <c r="AN32" s="1">
        <f>IF($A33="",'November'!$T$5,T33)</f>
      </c>
      <c r="AO32" s="1">
        <f>IF($A33="",'November'!$U$5,U33)</f>
      </c>
      <c r="AP32" s="1">
        <f>IF($A33="",'November'!$V$5,V33)</f>
      </c>
      <c r="AQ32" s="1">
        <f>IF($A33="",'November'!$AE$5,AE33)</f>
      </c>
      <c r="AR32" s="1">
        <f>AE31</f>
      </c>
      <c r="AS32" s="1">
        <f>X31</f>
      </c>
      <c r="AT32" s="1">
        <f>U31</f>
      </c>
      <c r="AU32" s="1">
        <f>V31</f>
      </c>
    </row>
    <row r="33" spans="1:47" x14ac:dyDescent="0.25">
      <c r="A33" s="17">
        <f>IF(MONTH(DATE(Jahr,10,29))=10,DATE(Jahr,10,29),"")</f>
      </c>
      <c r="B33" s="13">
        <f>IF(A33="","",CHOOSE(WEEKDAY(A33,2),"Mo","Di","Mi","Do","Fr","Sa","So"))</f>
      </c>
      <c r="C33" s="18"/>
      <c r="D33" s="18"/>
      <c r="E33" s="7"/>
      <c r="F33" s="7"/>
      <c r="G33" s="7"/>
      <c r="H33" s="19"/>
      <c r="I33" s="19"/>
      <c r="J33" s="19"/>
      <c r="K33" s="9"/>
      <c r="L33" s="20">
        <f>IF(OR(AD33=0,AF33&lt;&gt;"",AND(W33=1,V33&gt;0,OR(T33=1,U33=1))),"",AE33/1440)</f>
      </c>
      <c r="M33" s="21">
        <f>IF(OR(AD33=0,AF33&lt;&gt;""),"",AJ33)</f>
      </c>
      <c r="N33" s="21">
        <f>IF(AK33=0,"",AK33)</f>
      </c>
      <c r="O33" s="21">
        <f>IF(OR(AD33=0,AF33&lt;&gt;""),"",AJ33-AK33)</f>
      </c>
      <c r="P33" s="21">
        <f>IF(AND(AD33=1,AF33="",V33=2),AI33,"")</f>
      </c>
      <c r="Q33" s="21">
        <f>IF(OR($A33="",N(K33)=0),"",ROUND(K33*KmSatz,2))</f>
      </c>
      <c r="R33" s="22">
        <f>IF(AF33&amp;AL33="","",LEFT(AF33&amp;AL33,LEN(AF33&amp;AL33)-2))</f>
      </c>
      <c r="S33" s="1"/>
      <c r="T33" s="1">
        <f>IF(AND($A33&lt;&gt;"",ISNUMBER(C33)),1,0)</f>
      </c>
      <c r="U33" s="1">
        <f>IF(AND($A33&lt;&gt;"",ISNUMBER(D33)),1,0)</f>
      </c>
      <c r="V33" s="1">
        <f>IF($A33="",0,IF(E33="ja",1,IF(E33="Pauschale",2,0)))</f>
      </c>
      <c r="W33" s="1">
        <f>IF($A33="",0,IF(AU33&gt;0,1,0))</f>
      </c>
      <c r="X33" s="1">
        <f>IF(AND(T33=1,W33=0),1,0)</f>
      </c>
      <c r="Y33" s="1">
        <f>IF(AND(AS33=1,AT33=0,AU33=0),1,0)</f>
      </c>
      <c r="Z33" s="1">
        <f>IF(AND(Y33=1,T33=0,U33=1,V33=0),1,0)</f>
      </c>
      <c r="AA33" s="1">
        <f>IF(AND(X33=1,U33=0,V33=0,AN33=0,AO33=1,AP33=0),1,0)</f>
      </c>
      <c r="AB33" s="1">
        <f>IF(OR(W33=1,Z33=1),0,IF(T33=1,C33,0))</f>
      </c>
      <c r="AC33" s="1">
        <f>IF(OR(V33&gt;0,AA33=1),1,IF(U33=1,D33,1))</f>
      </c>
      <c r="AD33" s="1">
        <f>IF($A33="",0,IF(OR(T33=1,U33=1,V33&gt;0,W33=1),1,0))</f>
      </c>
      <c r="AE33" s="1">
        <f>IF(AD33=0,0,ROUND((AC33-AB33)*1440,0))</f>
      </c>
      <c r="AF33" s="1">
        <f>IF(AD33=0,"",IF(AND(F33&lt;&gt;"",ISNA(MATCH(F33,PauschLand,0))),"Land nicht in der Liste; ","")&amp;IF(AND(T33=0,W33=0,Z33=0),"Beginn fehlt; ","")&amp;IF(AND(V33=0,U33=0,AA33=0),"Ende fehlt; ","")&amp;IF(AND(X33=1,U33=1,V33=0,N(D33)&lt;N(C33)),"Ende vor Beginn (über Mitternacht: Ende in die Zeile des Folgetags); ",""))</f>
      </c>
      <c r="AG33" s="1">
        <f>IF(AD33=0,0,IFERROR(VLOOKUP(IF(F33="","Deutschland",F33),PauschTab,2,FALSE),0))</f>
      </c>
      <c r="AH33" s="1">
        <f>IF(AD33=0,0,IFERROR(VLOOKUP(IF(F33="","Deutschland",F33),PauschTab,3,FALSE),0))</f>
      </c>
      <c r="AI33" s="1">
        <f>IF(AD33=0,0,IFERROR(VLOOKUP(IF(F33="","Deutschland",F33),PauschTab,4,FALSE),0))</f>
      </c>
      <c r="AJ33" s="1">
        <f>IF(OR(AD33=0,AF33&lt;&gt;""),0,IF(AND(W33=1,V33&gt;0),IF(OR(T33=1,U33=1),AH33,AG33),IF(OR(W33=1,V33&gt;0),AH33,IF(AA33=1,IF(AND(AE33+AQ33&gt;480,AE33&gt;=AQ33),AH33,0),IF(Z33=1,IF(AND(AR33+AE33&gt;480,AE33&gt;AR33),AH33,0),IF(AE33&gt;480,AH33,0))))))</f>
      </c>
      <c r="AK33" s="1">
        <f>MIN(AJ33,AM33)</f>
      </c>
      <c r="AL33" s="1">
        <f>IF(OR(AD33=0,AF33&lt;&gt;""),"",IF(AND(W33=0,V33=0,AA33=0,Z33=0,AE33&lt;=480),"nicht mehr als 8 Std.; ","")&amp;IF(AA33=1,IF(AJ33&gt;0,"über Mitternacht, zusammen "&amp;TEXT((AE33+AQ33)/1440,"[h]:mm")&amp;" Std.; ",IF(AE33+AQ33&gt;480,"über Mitternacht: Pauschale am Folgetag; ","über Mitternacht, zusammen nicht mehr als 8 Std.; ")),"")&amp;IF(Z33=1,IF(AJ33&gt;0,"über Mitternacht, zusammen "&amp;TEXT((AR33+AE33)/1440,"[h]:mm")&amp;" Std.; ",IF(AR33+AE33&gt;480,"über Mitternacht: Pauschale am Vortag; ","über Mitternacht, zusammen nicht mehr als 8 Std.; ")),"")&amp;IF(AND(W33=1,V33&gt;0,OR(T33=1,U33=1)),"zwischendurch zu Hause: An- und Abreisetag; ","")&amp;IF(AND(W33=1,V33=0,T33=1),"Beginn leer lassen: unterwegs seit dem Vortag; ","")&amp;IF(AND(W33=0,V33&gt;0,U33=1),"Ende leer lassen: Übernachtung; ","")&amp;IF(AND(AJ33&gt;0,AM33&gt;AJ33),"Kürzung auf die Pauschale begrenzt; ",""))</f>
      </c>
      <c r="AM33" s="1">
        <f>ROUND(AG33*(IF(H33&lt;&gt;"",0.2,0)+IF(I33&lt;&gt;"",0.4,0)+IF(J33&lt;&gt;"",0.4,0)),2)</f>
      </c>
      <c r="AN33" s="1">
        <f>IF($A34="",'November'!$T$5,T34)</f>
      </c>
      <c r="AO33" s="1">
        <f>IF($A34="",'November'!$U$5,U34)</f>
      </c>
      <c r="AP33" s="1">
        <f>IF($A34="",'November'!$V$5,V34)</f>
      </c>
      <c r="AQ33" s="1">
        <f>IF($A34="",'November'!$AE$5,AE34)</f>
      </c>
      <c r="AR33" s="1">
        <f>AE32</f>
      </c>
      <c r="AS33" s="1">
        <f>X32</f>
      </c>
      <c r="AT33" s="1">
        <f>U32</f>
      </c>
      <c r="AU33" s="1">
        <f>V32</f>
      </c>
    </row>
    <row r="34" spans="1:47" x14ac:dyDescent="0.25">
      <c r="A34" s="17">
        <f>IF(MONTH(DATE(Jahr,10,30))=10,DATE(Jahr,10,30),"")</f>
      </c>
      <c r="B34" s="13">
        <f>IF(A34="","",CHOOSE(WEEKDAY(A34,2),"Mo","Di","Mi","Do","Fr","Sa","So"))</f>
      </c>
      <c r="C34" s="18"/>
      <c r="D34" s="18"/>
      <c r="E34" s="7"/>
      <c r="F34" s="7"/>
      <c r="G34" s="7"/>
      <c r="H34" s="19"/>
      <c r="I34" s="19"/>
      <c r="J34" s="19"/>
      <c r="K34" s="9"/>
      <c r="L34" s="20">
        <f>IF(OR(AD34=0,AF34&lt;&gt;"",AND(W34=1,V34&gt;0,OR(T34=1,U34=1))),"",AE34/1440)</f>
      </c>
      <c r="M34" s="21">
        <f>IF(OR(AD34=0,AF34&lt;&gt;""),"",AJ34)</f>
      </c>
      <c r="N34" s="21">
        <f>IF(AK34=0,"",AK34)</f>
      </c>
      <c r="O34" s="21">
        <f>IF(OR(AD34=0,AF34&lt;&gt;""),"",AJ34-AK34)</f>
      </c>
      <c r="P34" s="21">
        <f>IF(AND(AD34=1,AF34="",V34=2),AI34,"")</f>
      </c>
      <c r="Q34" s="21">
        <f>IF(OR($A34="",N(K34)=0),"",ROUND(K34*KmSatz,2))</f>
      </c>
      <c r="R34" s="22">
        <f>IF(AF34&amp;AL34="","",LEFT(AF34&amp;AL34,LEN(AF34&amp;AL34)-2))</f>
      </c>
      <c r="S34" s="1"/>
      <c r="T34" s="1">
        <f>IF(AND($A34&lt;&gt;"",ISNUMBER(C34)),1,0)</f>
      </c>
      <c r="U34" s="1">
        <f>IF(AND($A34&lt;&gt;"",ISNUMBER(D34)),1,0)</f>
      </c>
      <c r="V34" s="1">
        <f>IF($A34="",0,IF(E34="ja",1,IF(E34="Pauschale",2,0)))</f>
      </c>
      <c r="W34" s="1">
        <f>IF($A34="",0,IF(AU34&gt;0,1,0))</f>
      </c>
      <c r="X34" s="1">
        <f>IF(AND(T34=1,W34=0),1,0)</f>
      </c>
      <c r="Y34" s="1">
        <f>IF(AND(AS34=1,AT34=0,AU34=0),1,0)</f>
      </c>
      <c r="Z34" s="1">
        <f>IF(AND(Y34=1,T34=0,U34=1,V34=0),1,0)</f>
      </c>
      <c r="AA34" s="1">
        <f>IF(AND(X34=1,U34=0,V34=0,AN34=0,AO34=1,AP34=0),1,0)</f>
      </c>
      <c r="AB34" s="1">
        <f>IF(OR(W34=1,Z34=1),0,IF(T34=1,C34,0))</f>
      </c>
      <c r="AC34" s="1">
        <f>IF(OR(V34&gt;0,AA34=1),1,IF(U34=1,D34,1))</f>
      </c>
      <c r="AD34" s="1">
        <f>IF($A34="",0,IF(OR(T34=1,U34=1,V34&gt;0,W34=1),1,0))</f>
      </c>
      <c r="AE34" s="1">
        <f>IF(AD34=0,0,ROUND((AC34-AB34)*1440,0))</f>
      </c>
      <c r="AF34" s="1">
        <f>IF(AD34=0,"",IF(AND(F34&lt;&gt;"",ISNA(MATCH(F34,PauschLand,0))),"Land nicht in der Liste; ","")&amp;IF(AND(T34=0,W34=0,Z34=0),"Beginn fehlt; ","")&amp;IF(AND(V34=0,U34=0,AA34=0),"Ende fehlt; ","")&amp;IF(AND(X34=1,U34=1,V34=0,N(D34)&lt;N(C34)),"Ende vor Beginn (über Mitternacht: Ende in die Zeile des Folgetags); ",""))</f>
      </c>
      <c r="AG34" s="1">
        <f>IF(AD34=0,0,IFERROR(VLOOKUP(IF(F34="","Deutschland",F34),PauschTab,2,FALSE),0))</f>
      </c>
      <c r="AH34" s="1">
        <f>IF(AD34=0,0,IFERROR(VLOOKUP(IF(F34="","Deutschland",F34),PauschTab,3,FALSE),0))</f>
      </c>
      <c r="AI34" s="1">
        <f>IF(AD34=0,0,IFERROR(VLOOKUP(IF(F34="","Deutschland",F34),PauschTab,4,FALSE),0))</f>
      </c>
      <c r="AJ34" s="1">
        <f>IF(OR(AD34=0,AF34&lt;&gt;""),0,IF(AND(W34=1,V34&gt;0),IF(OR(T34=1,U34=1),AH34,AG34),IF(OR(W34=1,V34&gt;0),AH34,IF(AA34=1,IF(AND(AE34+AQ34&gt;480,AE34&gt;=AQ34),AH34,0),IF(Z34=1,IF(AND(AR34+AE34&gt;480,AE34&gt;AR34),AH34,0),IF(AE34&gt;480,AH34,0))))))</f>
      </c>
      <c r="AK34" s="1">
        <f>MIN(AJ34,AM34)</f>
      </c>
      <c r="AL34" s="1">
        <f>IF(OR(AD34=0,AF34&lt;&gt;""),"",IF(AND(W34=0,V34=0,AA34=0,Z34=0,AE34&lt;=480),"nicht mehr als 8 Std.; ","")&amp;IF(AA34=1,IF(AJ34&gt;0,"über Mitternacht, zusammen "&amp;TEXT((AE34+AQ34)/1440,"[h]:mm")&amp;" Std.; ",IF(AE34+AQ34&gt;480,"über Mitternacht: Pauschale am Folgetag; ","über Mitternacht, zusammen nicht mehr als 8 Std.; ")),"")&amp;IF(Z34=1,IF(AJ34&gt;0,"über Mitternacht, zusammen "&amp;TEXT((AR34+AE34)/1440,"[h]:mm")&amp;" Std.; ",IF(AR34+AE34&gt;480,"über Mitternacht: Pauschale am Vortag; ","über Mitternacht, zusammen nicht mehr als 8 Std.; ")),"")&amp;IF(AND(W34=1,V34&gt;0,OR(T34=1,U34=1)),"zwischendurch zu Hause: An- und Abreisetag; ","")&amp;IF(AND(W34=1,V34=0,T34=1),"Beginn leer lassen: unterwegs seit dem Vortag; ","")&amp;IF(AND(W34=0,V34&gt;0,U34=1),"Ende leer lassen: Übernachtung; ","")&amp;IF(AND(AJ34&gt;0,AM34&gt;AJ34),"Kürzung auf die Pauschale begrenzt; ",""))</f>
      </c>
      <c r="AM34" s="1">
        <f>ROUND(AG34*(IF(H34&lt;&gt;"",0.2,0)+IF(I34&lt;&gt;"",0.4,0)+IF(J34&lt;&gt;"",0.4,0)),2)</f>
      </c>
      <c r="AN34" s="1">
        <f>IF($A35="",'November'!$T$5,T35)</f>
      </c>
      <c r="AO34" s="1">
        <f>IF($A35="",'November'!$U$5,U35)</f>
      </c>
      <c r="AP34" s="1">
        <f>IF($A35="",'November'!$V$5,V35)</f>
      </c>
      <c r="AQ34" s="1">
        <f>IF($A35="",'November'!$AE$5,AE35)</f>
      </c>
      <c r="AR34" s="1">
        <f>AE33</f>
      </c>
      <c r="AS34" s="1">
        <f>X33</f>
      </c>
      <c r="AT34" s="1">
        <f>U33</f>
      </c>
      <c r="AU34" s="1">
        <f>V33</f>
      </c>
    </row>
    <row r="35" spans="1:47" x14ac:dyDescent="0.25">
      <c r="A35" s="17">
        <f>IF(MONTH(DATE(Jahr,10,31))=10,DATE(Jahr,10,31),"")</f>
      </c>
      <c r="B35" s="13">
        <f>IF(A35="","",CHOOSE(WEEKDAY(A35,2),"Mo","Di","Mi","Do","Fr","Sa","So"))</f>
      </c>
      <c r="C35" s="18"/>
      <c r="D35" s="18"/>
      <c r="E35" s="7"/>
      <c r="F35" s="7"/>
      <c r="G35" s="7"/>
      <c r="H35" s="19"/>
      <c r="I35" s="19"/>
      <c r="J35" s="19"/>
      <c r="K35" s="9"/>
      <c r="L35" s="20">
        <f>IF(OR(AD35=0,AF35&lt;&gt;"",AND(W35=1,V35&gt;0,OR(T35=1,U35=1))),"",AE35/1440)</f>
      </c>
      <c r="M35" s="21">
        <f>IF(OR(AD35=0,AF35&lt;&gt;""),"",AJ35)</f>
      </c>
      <c r="N35" s="21">
        <f>IF(AK35=0,"",AK35)</f>
      </c>
      <c r="O35" s="21">
        <f>IF(OR(AD35=0,AF35&lt;&gt;""),"",AJ35-AK35)</f>
      </c>
      <c r="P35" s="21">
        <f>IF(AND(AD35=1,AF35="",V35=2),AI35,"")</f>
      </c>
      <c r="Q35" s="21">
        <f>IF(OR($A35="",N(K35)=0),"",ROUND(K35*KmSatz,2))</f>
      </c>
      <c r="R35" s="22">
        <f>IF(AF35&amp;AL35="","",LEFT(AF35&amp;AL35,LEN(AF35&amp;AL35)-2))</f>
      </c>
      <c r="S35" s="1"/>
      <c r="T35" s="1">
        <f>IF(AND($A35&lt;&gt;"",ISNUMBER(C35)),1,0)</f>
      </c>
      <c r="U35" s="1">
        <f>IF(AND($A35&lt;&gt;"",ISNUMBER(D35)),1,0)</f>
      </c>
      <c r="V35" s="1">
        <f>IF($A35="",0,IF(E35="ja",1,IF(E35="Pauschale",2,0)))</f>
      </c>
      <c r="W35" s="1">
        <f>IF($A35="",0,IF(AU35&gt;0,1,0))</f>
      </c>
      <c r="X35" s="1">
        <f>IF(AND(T35=1,W35=0),1,0)</f>
      </c>
      <c r="Y35" s="1">
        <f>IF(AND(AS35=1,AT35=0,AU35=0),1,0)</f>
      </c>
      <c r="Z35" s="1">
        <f>IF(AND(Y35=1,T35=0,U35=1,V35=0),1,0)</f>
      </c>
      <c r="AA35" s="1">
        <f>IF(AND(X35=1,U35=0,V35=0,AN35=0,AO35=1,AP35=0),1,0)</f>
      </c>
      <c r="AB35" s="1">
        <f>IF(OR(W35=1,Z35=1),0,IF(T35=1,C35,0))</f>
      </c>
      <c r="AC35" s="1">
        <f>IF(OR(V35&gt;0,AA35=1),1,IF(U35=1,D35,1))</f>
      </c>
      <c r="AD35" s="1">
        <f>IF($A35="",0,IF(OR(T35=1,U35=1,V35&gt;0,W35=1),1,0))</f>
      </c>
      <c r="AE35" s="1">
        <f>IF(AD35=0,0,ROUND((AC35-AB35)*1440,0))</f>
      </c>
      <c r="AF35" s="1">
        <f>IF(AD35=0,"",IF(AND(F35&lt;&gt;"",ISNA(MATCH(F35,PauschLand,0))),"Land nicht in der Liste; ","")&amp;IF(AND(T35=0,W35=0,Z35=0),"Beginn fehlt; ","")&amp;IF(AND(V35=0,U35=0,AA35=0),"Ende fehlt; ","")&amp;IF(AND(X35=1,U35=1,V35=0,N(D35)&lt;N(C35)),"Ende vor Beginn (über Mitternacht: Ende in die Zeile des Folgetags); ",""))</f>
      </c>
      <c r="AG35" s="1">
        <f>IF(AD35=0,0,IFERROR(VLOOKUP(IF(F35="","Deutschland",F35),PauschTab,2,FALSE),0))</f>
      </c>
      <c r="AH35" s="1">
        <f>IF(AD35=0,0,IFERROR(VLOOKUP(IF(F35="","Deutschland",F35),PauschTab,3,FALSE),0))</f>
      </c>
      <c r="AI35" s="1">
        <f>IF(AD35=0,0,IFERROR(VLOOKUP(IF(F35="","Deutschland",F35),PauschTab,4,FALSE),0))</f>
      </c>
      <c r="AJ35" s="1">
        <f>IF(OR(AD35=0,AF35&lt;&gt;""),0,IF(AND(W35=1,V35&gt;0),IF(OR(T35=1,U35=1),AH35,AG35),IF(OR(W35=1,V35&gt;0),AH35,IF(AA35=1,IF(AND(AE35+AQ35&gt;480,AE35&gt;=AQ35),AH35,0),IF(Z35=1,IF(AND(AR35+AE35&gt;480,AE35&gt;AR35),AH35,0),IF(AE35&gt;480,AH35,0))))))</f>
      </c>
      <c r="AK35" s="1">
        <f>MIN(AJ35,AM35)</f>
      </c>
      <c r="AL35" s="1">
        <f>IF(OR(AD35=0,AF35&lt;&gt;""),"",IF(AND(W35=0,V35=0,AA35=0,Z35=0,AE35&lt;=480),"nicht mehr als 8 Std.; ","")&amp;IF(AA35=1,IF(AJ35&gt;0,"über Mitternacht, zusammen "&amp;TEXT((AE35+AQ35)/1440,"[h]:mm")&amp;" Std.; ",IF(AE35+AQ35&gt;480,"über Mitternacht: Pauschale am Folgetag; ","über Mitternacht, zusammen nicht mehr als 8 Std.; ")),"")&amp;IF(Z35=1,IF(AJ35&gt;0,"über Mitternacht, zusammen "&amp;TEXT((AR35+AE35)/1440,"[h]:mm")&amp;" Std.; ",IF(AR35+AE35&gt;480,"über Mitternacht: Pauschale am Vortag; ","über Mitternacht, zusammen nicht mehr als 8 Std.; ")),"")&amp;IF(AND(W35=1,V35&gt;0,OR(T35=1,U35=1)),"zwischendurch zu Hause: An- und Abreisetag; ","")&amp;IF(AND(W35=1,V35=0,T35=1),"Beginn leer lassen: unterwegs seit dem Vortag; ","")&amp;IF(AND(W35=0,V35&gt;0,U35=1),"Ende leer lassen: Übernachtung; ","")&amp;IF(AND(AJ35&gt;0,AM35&gt;AJ35),"Kürzung auf die Pauschale begrenzt; ",""))</f>
      </c>
      <c r="AM35" s="1">
        <f>ROUND(AG35*(IF(H35&lt;&gt;"",0.2,0)+IF(I35&lt;&gt;"",0.4,0)+IF(J35&lt;&gt;"",0.4,0)),2)</f>
      </c>
      <c r="AN35" s="1">
        <f>'November'!$T$5</f>
      </c>
      <c r="AO35" s="1">
        <f>'November'!$U$5</f>
      </c>
      <c r="AP35" s="1">
        <f>'November'!$V$5</f>
      </c>
      <c r="AQ35" s="1">
        <f>'November'!$AE$5</f>
      </c>
      <c r="AR35" s="1">
        <f>AE34</f>
      </c>
      <c r="AS35" s="1">
        <f>X34</f>
      </c>
      <c r="AT35" s="1">
        <f>U34</f>
      </c>
      <c r="AU35" s="1">
        <f>V34</f>
      </c>
    </row>
    <row r="37" spans="1:21" x14ac:dyDescent="0.25">
      <c r="A37" s="23">
        <f>"Abrechnung Oktober "&amp;Jahr</f>
      </c>
      <c r="B37" s="1"/>
      <c r="C37" s="1"/>
      <c r="D37" s="1"/>
      <c r="E37" s="1"/>
      <c r="F37" s="1"/>
      <c r="G37" s="1"/>
      <c r="H37" s="1"/>
      <c r="I37" s="1"/>
      <c r="J37" s="1"/>
      <c r="K37" s="23">
        <f>"Buchung ("&amp;Kontenrahmen&amp;IF(Vorsteuerabzug="nein",", ohne Vorsteuer","")&amp;")"</f>
      </c>
      <c r="L37" s="1"/>
      <c r="M37" s="1"/>
      <c r="N37" s="1"/>
      <c r="O37" s="1"/>
      <c r="P37" s="1"/>
      <c r="Q37" s="1"/>
      <c r="R37" s="1"/>
      <c r="S37" s="1"/>
      <c r="T37" s="1">
        <f>COUNTIF(AD5:AD35,1)</f>
      </c>
      <c r="U37" s="1">
        <f>SUM(K5:K35)</f>
      </c>
    </row>
    <row r="38" spans="1:19" x14ac:dyDescent="0.25">
      <c r="A38" s="6" t="s">
        <v>49</v>
      </c>
      <c r="B38" s="6"/>
      <c r="C38" s="6"/>
      <c r="D38" s="6"/>
      <c r="E38" s="6"/>
      <c r="F38" s="6"/>
      <c r="G38" s="24">
        <f>SUM(O5:O35)</f>
      </c>
      <c r="H38" s="1"/>
      <c r="I38" s="1"/>
      <c r="J38" s="1"/>
      <c r="K38" s="25">
        <f>KtoVerpflegung</f>
      </c>
      <c r="L38" s="1" t="s">
        <v>49</v>
      </c>
      <c r="M38" s="1"/>
      <c r="N38" s="1"/>
      <c r="O38" s="1"/>
      <c r="P38" s="1"/>
      <c r="Q38" s="1"/>
      <c r="R38" s="26">
        <f>S38</f>
      </c>
      <c r="S38" s="1">
        <f>G38</f>
      </c>
    </row>
    <row r="39" spans="1:19" x14ac:dyDescent="0.25">
      <c r="A39" s="6" t="s">
        <v>75</v>
      </c>
      <c r="B39" s="6"/>
      <c r="C39" s="6"/>
      <c r="D39" s="6"/>
      <c r="E39" s="6"/>
      <c r="F39" s="6"/>
      <c r="G39" s="24">
        <f>SUMIFS(Belege!$O$5:$O$304,Belege!$L$5:$L$304,10,Belege!$C$5:$C$304,"Übernachtung")+SUM(P5:P35)</f>
      </c>
      <c r="H39" s="1"/>
      <c r="I39" s="1"/>
      <c r="J39" s="1"/>
      <c r="K39" s="25">
        <f>KtoUebernachtung</f>
      </c>
      <c r="L39" s="1" t="s">
        <v>50</v>
      </c>
      <c r="M39" s="1"/>
      <c r="N39" s="1"/>
      <c r="O39" s="1"/>
      <c r="P39" s="1"/>
      <c r="Q39" s="1"/>
      <c r="R39" s="26">
        <f>S39</f>
      </c>
      <c r="S39" s="1">
        <f>IF(Vorsteuerabzug="nein",SUMIFS(Belege!$O$5:$O$304,Belege!$L$5:$L$304,10,Belege!$C$5:$C$304,"Übernachtung"),SUMIFS(Belege!$P$5:$P$304,Belege!$L$5:$L$304,10,Belege!$C$5:$C$304,"Übernachtung"))+SUM(P5:P35)</f>
      </c>
    </row>
    <row r="40" spans="1:19" x14ac:dyDescent="0.25">
      <c r="A40" s="6" t="s">
        <v>76</v>
      </c>
      <c r="B40" s="6"/>
      <c r="C40" s="6"/>
      <c r="D40" s="6"/>
      <c r="E40" s="6"/>
      <c r="F40" s="6"/>
      <c r="G40" s="24">
        <f>SUMIFS(Belege!$O$5:$O$304,Belege!$L$5:$L$304,10,Belege!$C$5:$C$304,"Fahrtkosten")</f>
      </c>
      <c r="H40" s="1"/>
      <c r="I40" s="1"/>
      <c r="J40" s="1"/>
      <c r="K40" s="25">
        <f>KtoFahrtkosten</f>
      </c>
      <c r="L40" s="1" t="s">
        <v>51</v>
      </c>
      <c r="M40" s="1"/>
      <c r="N40" s="1"/>
      <c r="O40" s="1"/>
      <c r="P40" s="1"/>
      <c r="Q40" s="1"/>
      <c r="R40" s="26">
        <f>S40</f>
      </c>
      <c r="S40" s="1">
        <f>IF(Vorsteuerabzug="nein",SUMIFS(Belege!$O$5:$O$304,Belege!$L$5:$L$304,10,Belege!$C$5:$C$304,"Fahrtkosten"),SUMIFS(Belege!$P$5:$P$304,Belege!$L$5:$L$304,10,Belege!$C$5:$C$304,"Fahrtkosten"))</f>
      </c>
    </row>
    <row r="41" spans="1:19" x14ac:dyDescent="0.25">
      <c r="A41" s="6">
        <f>"Kilometergeld ("&amp;SUM(K5:K35)&amp;" km zu "&amp;IF(KmSatz=0.2,"0,20","0,30")&amp;" €)"</f>
      </c>
      <c r="B41" s="6"/>
      <c r="C41" s="6"/>
      <c r="D41" s="6"/>
      <c r="E41" s="6"/>
      <c r="F41" s="6"/>
      <c r="G41" s="24">
        <f>SUM(Q5:Q35)</f>
      </c>
      <c r="H41" s="1"/>
      <c r="I41" s="1"/>
      <c r="J41" s="1"/>
      <c r="K41" s="25">
        <f>KtoKilometergeld</f>
      </c>
      <c r="L41" s="1" t="s">
        <v>52</v>
      </c>
      <c r="M41" s="1"/>
      <c r="N41" s="1"/>
      <c r="O41" s="1"/>
      <c r="P41" s="1"/>
      <c r="Q41" s="1"/>
      <c r="R41" s="26">
        <f>S41</f>
      </c>
      <c r="S41" s="1">
        <f>G41</f>
      </c>
    </row>
    <row r="42" spans="1:19" x14ac:dyDescent="0.25">
      <c r="A42" s="6" t="s">
        <v>77</v>
      </c>
      <c r="B42" s="6"/>
      <c r="C42" s="6"/>
      <c r="D42" s="6"/>
      <c r="E42" s="6"/>
      <c r="F42" s="6"/>
      <c r="G42" s="24">
        <f>SUMIFS(Belege!$O$5:$O$304,Belege!$L$5:$L$304,10,Belege!$C$5:$C$304,"Nebenkosten")</f>
      </c>
      <c r="H42" s="1"/>
      <c r="I42" s="1"/>
      <c r="J42" s="1"/>
      <c r="K42" s="25">
        <f>KtoNebenkosten</f>
      </c>
      <c r="L42" s="1" t="s">
        <v>53</v>
      </c>
      <c r="M42" s="1"/>
      <c r="N42" s="1"/>
      <c r="O42" s="1"/>
      <c r="P42" s="1"/>
      <c r="Q42" s="1"/>
      <c r="R42" s="26">
        <f>S42</f>
      </c>
      <c r="S42" s="1">
        <f>IF(Vorsteuerabzug="nein",SUMIFS(Belege!$O$5:$O$304,Belege!$L$5:$L$304,10,Belege!$C$5:$C$304,"Nebenkosten"),SUMIFS(Belege!$P$5:$P$304,Belege!$L$5:$L$304,10,Belege!$C$5:$C$304,"Nebenkosten"))</f>
      </c>
    </row>
    <row r="43" spans="1:19" x14ac:dyDescent="0.25">
      <c r="A43" s="11" t="s">
        <v>78</v>
      </c>
      <c r="B43" s="11"/>
      <c r="C43" s="11"/>
      <c r="D43" s="11"/>
      <c r="E43" s="11"/>
      <c r="F43" s="11"/>
      <c r="G43" s="27">
        <f>SUM(G38:G42)</f>
      </c>
      <c r="H43" s="1"/>
      <c r="I43" s="1"/>
      <c r="J43" s="1"/>
      <c r="K43" s="25">
        <f>KtoVSt7</f>
      </c>
      <c r="L43" s="1" t="s">
        <v>54</v>
      </c>
      <c r="M43" s="1"/>
      <c r="N43" s="1"/>
      <c r="O43" s="1"/>
      <c r="P43" s="1"/>
      <c r="Q43" s="1"/>
      <c r="R43" s="26">
        <f>IF(Vorsteuerabzug="nein","",S43)</f>
      </c>
      <c r="S43" s="1">
        <f>IF(Vorsteuerabzug="nein",0,SUMIFS(Belege!$Q$5:$Q$304,Belege!$L$5:$L$304,10,Belege!$M$5:$M$304,0.07))</f>
      </c>
    </row>
    <row r="44" spans="1:19" x14ac:dyDescent="0.25">
      <c r="A44" s="6" t="s">
        <v>79</v>
      </c>
      <c r="B44" s="6"/>
      <c r="C44" s="6"/>
      <c r="D44" s="6"/>
      <c r="E44" s="6"/>
      <c r="F44" s="6"/>
      <c r="G44" s="28"/>
      <c r="H44" s="1"/>
      <c r="I44" s="1"/>
      <c r="J44" s="1"/>
      <c r="K44" s="25">
        <f>KtoVSt19</f>
      </c>
      <c r="L44" s="1" t="s">
        <v>55</v>
      </c>
      <c r="M44" s="1"/>
      <c r="N44" s="1"/>
      <c r="O44" s="1"/>
      <c r="P44" s="1"/>
      <c r="Q44" s="1"/>
      <c r="R44" s="26">
        <f>IF(Vorsteuerabzug="nein","",S44)</f>
      </c>
      <c r="S44" s="1">
        <f>IF(Vorsteuerabzug="nein",0,SUMIFS(Belege!$Q$5:$Q$304,Belege!$L$5:$L$304,10,Belege!$M$5:$M$304,0.19))</f>
      </c>
    </row>
    <row r="45" spans="1:18" x14ac:dyDescent="0.25">
      <c r="A45" s="11" t="s">
        <v>80</v>
      </c>
      <c r="B45" s="11"/>
      <c r="C45" s="11"/>
      <c r="D45" s="11"/>
      <c r="E45" s="11"/>
      <c r="F45" s="11"/>
      <c r="G45" s="27">
        <f>G43-N(G44)</f>
      </c>
      <c r="H45" s="1"/>
      <c r="I45" s="1"/>
      <c r="J45" s="1"/>
      <c r="K45" s="11" t="s">
        <v>81</v>
      </c>
      <c r="L45" s="11"/>
      <c r="M45" s="11"/>
      <c r="N45" s="11"/>
      <c r="O45" s="11"/>
      <c r="P45" s="11"/>
      <c r="Q45" s="11"/>
      <c r="R45" s="27">
        <f>SUM(S38:S44)</f>
      </c>
    </row>
    <row r="46" spans="1:7" x14ac:dyDescent="0.25">
      <c r="A46" s="29" t="s">
        <v>82</v>
      </c>
      <c r="B46" s="29"/>
      <c r="C46" s="29"/>
      <c r="D46" s="29"/>
      <c r="E46" s="29"/>
      <c r="F46" s="29"/>
      <c r="G46" s="30">
        <f>SUMIFS(Belege!$E$5:$E$304,Belege!$L$5:$L$304,10,Belege!$N$5:$N$304,0)</f>
      </c>
    </row>
    <row r="49" spans="1:18" x14ac:dyDescent="0.25">
      <c r="A49" s="31"/>
      <c r="B49" s="31"/>
      <c r="C49" s="31"/>
      <c r="D49" s="31"/>
      <c r="E49" s="31"/>
      <c r="F49" s="31"/>
      <c r="G49" s="31"/>
      <c r="H49" s="31"/>
      <c r="I49" s="31"/>
      <c r="J49" s="31"/>
      <c r="K49" s="31"/>
      <c r="M49" s="31"/>
      <c r="N49" s="31"/>
      <c r="O49" s="31"/>
      <c r="P49" s="31"/>
      <c r="Q49" s="31"/>
      <c r="R49" s="31"/>
    </row>
    <row r="50" spans="1:13" x14ac:dyDescent="0.25">
      <c r="A50" s="32" t="s">
        <v>83</v>
      </c>
      <c r="B50" s="1"/>
      <c r="C50" s="1"/>
      <c r="D50" s="1"/>
      <c r="E50" s="1"/>
      <c r="F50" s="1"/>
      <c r="G50" s="32" t="s">
        <v>84</v>
      </c>
      <c r="H50" s="1"/>
      <c r="I50" s="1"/>
      <c r="J50" s="1"/>
      <c r="K50" s="1"/>
      <c r="L50" s="1"/>
      <c r="M50" s="32" t="s">
        <v>85</v>
      </c>
    </row>
  </sheetData>
  <sheetProtection sheet="1" formatCells="0" formatColumns="0" formatRows="0"/>
  <mergeCells count="17">
    <mergeCell ref="A38:F38"/>
    <mergeCell ref="L38:Q38"/>
    <mergeCell ref="A39:F39"/>
    <mergeCell ref="L39:Q39"/>
    <mergeCell ref="A40:F40"/>
    <mergeCell ref="L40:Q40"/>
    <mergeCell ref="A41:F41"/>
    <mergeCell ref="L41:Q41"/>
    <mergeCell ref="A42:F42"/>
    <mergeCell ref="L42:Q42"/>
    <mergeCell ref="A43:F43"/>
    <mergeCell ref="L43:Q43"/>
    <mergeCell ref="A44:F44"/>
    <mergeCell ref="L44:Q44"/>
    <mergeCell ref="A45:F45"/>
    <mergeCell ref="K45:Q45"/>
    <mergeCell ref="A46:F46"/>
  </mergeCells>
  <conditionalFormatting sqref="A5:Q35">
    <cfRule type="expression" dxfId="54" priority="1">
      <formula>$A5=""</formula>
    </cfRule>
    <cfRule type="expression" dxfId="55" priority="2">
      <formula>WEEKDAY($A5,2)&gt;5</formula>
    </cfRule>
  </conditionalFormatting>
  <conditionalFormatting sqref="R5:R35">
    <cfRule type="expression" dxfId="56" priority="3">
      <formula>$A5=""</formula>
    </cfRule>
    <cfRule type="expression" dxfId="57" priority="4">
      <formula>AND($AF5&lt;&gt;"",WEEKDAY($A5,2)&gt;5)</formula>
    </cfRule>
    <cfRule type="expression" dxfId="58" priority="5">
      <formula>$AF5&lt;&gt;""</formula>
    </cfRule>
    <cfRule type="expression" dxfId="59" priority="6">
      <formula>WEEKDAY($A5,2)&gt;5</formula>
    </cfRule>
  </conditionalFormatting>
  <dataValidations count="11">
    <dataValidation type="decimal" allowBlank="1" showErrorMessage="1" errorTitle="Uhrzeit" error="Bitte als Uhrzeit hh:mm eingeben, z. B. 7:30 oder 16:45." sqref="C10:D35">
      <formula1>0</formula1>
      <formula2>0.99999</formula2>
    </dataValidation>
    <dataValidation type="decimal" allowBlank="1" showErrorMessage="1" errorTitle="Uhrzeit" error="Bitte als Uhrzeit hh:mm eingeben, z. B. 7:30 oder 16:45." sqref="C5:D35">
      <formula1>0</formula1>
      <formula2>0.99999</formula2>
    </dataValidation>
    <dataValidation type="list" allowBlank="1" showErrorMessage="1" errorTitle="Übernachtung" error="Bitte aus der Liste wählen." sqref="E10:E35">
      <formula1>"ja,Pauschale"</formula1>
    </dataValidation>
    <dataValidation type="list" allowBlank="1" showErrorMessage="1" errorTitle="Übernachtung" error="Bitte aus der Liste wählen." sqref="E5:E35">
      <formula1>"ja,Pauschale"</formula1>
    </dataValidation>
    <dataValidation type="list" allowBlank="1" showErrorMessage="1" errorTitle="Land / Ort" error="Bitte aus der Liste wählen; nicht aufgeführte Länder: Luxemburg." sqref="F10:F35">
      <formula1>Pauschalen!$A$4:$A$218</formula1>
    </dataValidation>
    <dataValidation type="list" allowBlank="1" showErrorMessage="1" errorTitle="Land / Ort" error="Bitte aus der Liste wählen; nicht aufgeführte Länder: Luxemburg." sqref="F5:F35">
      <formula1>Pauschalen!$A$4:$A$218</formula1>
    </dataValidation>
    <dataValidation type="decimal" allowBlank="1" showErrorMessage="1" errorTitle="Vorschuss" error="Bitte einen Betrag in Euro eintragen." sqref="G44">
      <formula1>0</formula1>
      <formula2>99999</formula2>
    </dataValidation>
    <dataValidation type="list" allowBlank="1" showErrorMessage="1" errorTitle="Mahlzeit" error="Bitte aus der Liste wählen." sqref="H10:J35">
      <formula1>"x"</formula1>
    </dataValidation>
    <dataValidation type="list" allowBlank="1" showErrorMessage="1" errorTitle="Mahlzeit" error="Bitte aus der Liste wählen." sqref="H5:J35">
      <formula1>"x"</formula1>
    </dataValidation>
    <dataValidation type="whole" allowBlank="1" showErrorMessage="1" errorTitle="Kilometer" error="Bitte die gefahrenen Kilometer als ganze Zahl eintragen." sqref="K10:K35">
      <formula1>0</formula1>
      <formula2>5000</formula2>
    </dataValidation>
    <dataValidation type="whole" allowBlank="1" showErrorMessage="1" errorTitle="Kilometer" error="Bitte die gefahrenen Kilometer als ganze Zahl eintragen." sqref="K5:K35">
      <formula1>0</formula1>
      <formula2>5000</formula2>
    </dataValidation>
  </dataValidations>
  <pageMargins left="0.4" right="0.4" top="0.5" bottom="0.5" header="0.2" footer="0.2"/>
  <pageSetup paperSize="9" orientation="landscape"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0"/>
  <sheetViews>
    <sheetView workbookViewId="0" showGridLines="0">
      <pane xSplit="2" ySplit="4" topLeftCell="C5" activePane="bottomRight" state="frozen"/>
      <selection pane="bottomRight"/>
    </sheetView>
  </sheetViews>
  <sheetFormatPr defaultRowHeight="15" outlineLevelRow="0" outlineLevelCol="0" x14ac:dyDescent="55"/>
  <cols>
    <col min="1" max="1" width="7" customWidth="1"/>
    <col min="2" max="2" width="4" customWidth="1"/>
    <col min="3" max="4" width="6.5" customWidth="1"/>
    <col min="5" max="5" width="10" customWidth="1"/>
    <col min="6" max="6" width="18" customWidth="1"/>
    <col min="7" max="7" width="24" customWidth="1"/>
    <col min="8" max="10" width="5.5" customWidth="1"/>
    <col min="11" max="11" width="8" customWidth="1"/>
    <col min="14" max="14" width="8.5" customWidth="1"/>
    <col min="15" max="15" width="10.5" customWidth="1"/>
    <col min="16" max="16" width="12" customWidth="1"/>
    <col min="17" max="17" width="10" customWidth="1"/>
    <col min="18" max="18" width="36" customWidth="1"/>
    <col min="19" max="19" width="9" hidden="1" customWidth="1"/>
    <col min="20" max="20" width="9" hidden="1" customWidth="1"/>
    <col min="21" max="21" width="9" hidden="1" customWidth="1"/>
    <col min="22" max="22" width="9" hidden="1" customWidth="1"/>
    <col min="23" max="23" width="9" hidden="1" customWidth="1"/>
    <col min="24" max="24" width="9" hidden="1" customWidth="1"/>
    <col min="25" max="25" width="9" hidden="1" customWidth="1"/>
    <col min="26" max="26" width="9" hidden="1" customWidth="1"/>
    <col min="27" max="27" width="9" hidden="1" customWidth="1"/>
    <col min="28" max="28" width="9" hidden="1" customWidth="1"/>
    <col min="29" max="29" width="9" hidden="1" customWidth="1"/>
    <col min="30" max="30" width="9" hidden="1" customWidth="1"/>
    <col min="31" max="31" width="9" hidden="1" customWidth="1"/>
    <col min="32" max="32" width="9" hidden="1" customWidth="1"/>
    <col min="33" max="33" width="9" hidden="1" customWidth="1"/>
    <col min="34" max="34" width="9" hidden="1" customWidth="1"/>
    <col min="35" max="35" width="9" hidden="1" customWidth="1"/>
    <col min="36" max="36" width="9" hidden="1" customWidth="1"/>
    <col min="37" max="37" width="9" hidden="1" customWidth="1"/>
    <col min="38" max="38" width="9" hidden="1" customWidth="1"/>
    <col min="39" max="39" width="9" hidden="1" customWidth="1"/>
    <col min="40" max="40" width="9" hidden="1" customWidth="1"/>
    <col min="41" max="41" width="9" hidden="1" customWidth="1"/>
    <col min="42" max="42" width="9" hidden="1" customWidth="1"/>
    <col min="43" max="43" width="9" hidden="1" customWidth="1"/>
    <col min="44" max="44" width="9" hidden="1" customWidth="1"/>
    <col min="45" max="45" width="9" hidden="1" customWidth="1"/>
    <col min="46" max="46" width="9" hidden="1" customWidth="1"/>
    <col min="47" max="47" width="9" hidden="1" customWidth="1"/>
  </cols>
  <sheetData>
    <row r="1" spans="1:1" x14ac:dyDescent="0.25">
      <c r="A1" s="5">
        <f>"Reisekostenabrechnung November "&amp;Jahr</f>
      </c>
    </row>
    <row r="2" spans="1:1" x14ac:dyDescent="0.25">
      <c r="A2" s="6">
        <f>"Name: "&amp;IF(MitarbeiterName="","…",MitarbeiterName)&amp;IF(Personalnummer="",""," · Personalnr. "&amp;Personalnummer)&amp;IF(Kostenstelle="",""," · "&amp;Kostenstelle)&amp;IF(Firma="",""," · "&amp;Firma)</f>
      </c>
    </row>
    <row r="3" spans="1:1" x14ac:dyDescent="0.25">
      <c r="A3" s="16">
        <f>IF(Jahr&lt;&gt;2026,"Die Pauschalen in dieser Datei gelten für 2026. ","")&amp;IF(MitarbeiterName="","Bitte in den Einstellungen den Namen eintragen.","")</f>
      </c>
    </row>
    <row r="4" ht="40" customHeight="1" spans="1:18" x14ac:dyDescent="0.25">
      <c r="A4" s="12" t="s">
        <v>57</v>
      </c>
      <c r="B4" s="12" t="s">
        <v>58</v>
      </c>
      <c r="C4" s="12" t="s">
        <v>59</v>
      </c>
      <c r="D4" s="12" t="s">
        <v>60</v>
      </c>
      <c r="E4" s="12" t="s">
        <v>61</v>
      </c>
      <c r="F4" s="12" t="s">
        <v>62</v>
      </c>
      <c r="G4" s="12" t="s">
        <v>63</v>
      </c>
      <c r="H4" s="12" t="s">
        <v>64</v>
      </c>
      <c r="I4" s="12" t="s">
        <v>65</v>
      </c>
      <c r="J4" s="12" t="s">
        <v>66</v>
      </c>
      <c r="K4" s="12" t="s">
        <v>67</v>
      </c>
      <c r="L4" s="12" t="s">
        <v>68</v>
      </c>
      <c r="M4" s="12" t="s">
        <v>69</v>
      </c>
      <c r="N4" s="12" t="s">
        <v>70</v>
      </c>
      <c r="O4" s="12" t="s">
        <v>71</v>
      </c>
      <c r="P4" s="12" t="s">
        <v>72</v>
      </c>
      <c r="Q4" s="12" t="s">
        <v>73</v>
      </c>
      <c r="R4" s="12" t="s">
        <v>74</v>
      </c>
    </row>
    <row r="5" spans="1:47" x14ac:dyDescent="0.25">
      <c r="A5" s="17">
        <f>IF(MONTH(DATE(Jahr,11,1))=11,DATE(Jahr,11,1),"")</f>
      </c>
      <c r="B5" s="13">
        <f>IF(A5="","",CHOOSE(WEEKDAY(A5,2),"Mo","Di","Mi","Do","Fr","Sa","So"))</f>
      </c>
      <c r="C5" s="18"/>
      <c r="D5" s="18"/>
      <c r="E5" s="7"/>
      <c r="F5" s="7"/>
      <c r="G5" s="7"/>
      <c r="H5" s="19"/>
      <c r="I5" s="19"/>
      <c r="J5" s="19"/>
      <c r="K5" s="9"/>
      <c r="L5" s="20">
        <f>IF(OR(AD5=0,AF5&lt;&gt;"",AND(W5=1,V5&gt;0,OR(T5=1,U5=1))),"",AE5/1440)</f>
      </c>
      <c r="M5" s="21">
        <f>IF(OR(AD5=0,AF5&lt;&gt;""),"",AJ5)</f>
      </c>
      <c r="N5" s="21">
        <f>IF(AK5=0,"",AK5)</f>
      </c>
      <c r="O5" s="21">
        <f>IF(OR(AD5=0,AF5&lt;&gt;""),"",AJ5-AK5)</f>
      </c>
      <c r="P5" s="21">
        <f>IF(AND(AD5=1,AF5="",V5=2),AI5,"")</f>
      </c>
      <c r="Q5" s="21">
        <f>IF(OR($A5="",N(K5)=0),"",ROUND(K5*KmSatz,2))</f>
      </c>
      <c r="R5" s="22">
        <f>IF(AF5&amp;AL5="","",LEFT(AF5&amp;AL5,LEN(AF5&amp;AL5)-2))</f>
      </c>
      <c r="S5" s="1"/>
      <c r="T5" s="1">
        <f>IF(AND($A5&lt;&gt;"",ISNUMBER(C5)),1,0)</f>
      </c>
      <c r="U5" s="1">
        <f>IF(AND($A5&lt;&gt;"",ISNUMBER(D5)),1,0)</f>
      </c>
      <c r="V5" s="1">
        <f>IF($A5="",0,IF(E5="ja",1,IF(E5="Pauschale",2,0)))</f>
      </c>
      <c r="W5" s="1">
        <f>IF($A5="",0,IF(AU5&gt;0,1,0))</f>
      </c>
      <c r="X5" s="1">
        <f>IF(AND(T5=1,W5=0),1,0)</f>
      </c>
      <c r="Y5" s="1">
        <f>IF(AND(AS5=1,AT5=0,AU5=0),1,0)</f>
      </c>
      <c r="Z5" s="1">
        <f>IF(AND(Y5=1,T5=0,U5=1,V5=0),1,0)</f>
      </c>
      <c r="AA5" s="1">
        <f>IF(AND(X5=1,U5=0,V5=0,AN5=0,AO5=1,AP5=0),1,0)</f>
      </c>
      <c r="AB5" s="1">
        <f>IF(OR(W5=1,Z5=1),0,IF(T5=1,C5,0))</f>
      </c>
      <c r="AC5" s="1">
        <f>IF(OR(V5&gt;0,AA5=1),1,IF(U5=1,D5,1))</f>
      </c>
      <c r="AD5" s="1">
        <f>IF($A5="",0,IF(OR(T5=1,U5=1,V5&gt;0,W5=1),1,0))</f>
      </c>
      <c r="AE5" s="1">
        <f>IF(AD5=0,0,ROUND((AC5-AB5)*1440,0))</f>
      </c>
      <c r="AF5" s="1">
        <f>IF(AD5=0,"",IF(AND(F5&lt;&gt;"",ISNA(MATCH(F5,PauschLand,0))),"Land nicht in der Liste; ","")&amp;IF(AND(T5=0,W5=0,Z5=0),"Beginn fehlt; ","")&amp;IF(AND(V5=0,U5=0,AA5=0),"Ende fehlt; ","")&amp;IF(AND(X5=1,U5=1,V5=0,N(D5)&lt;N(C5)),"Ende vor Beginn (über Mitternacht: Ende in die Zeile des Folgetags); ",""))</f>
      </c>
      <c r="AG5" s="1">
        <f>IF(AD5=0,0,IFERROR(VLOOKUP(IF(F5="","Deutschland",F5),PauschTab,2,FALSE),0))</f>
      </c>
      <c r="AH5" s="1">
        <f>IF(AD5=0,0,IFERROR(VLOOKUP(IF(F5="","Deutschland",F5),PauschTab,3,FALSE),0))</f>
      </c>
      <c r="AI5" s="1">
        <f>IF(AD5=0,0,IFERROR(VLOOKUP(IF(F5="","Deutschland",F5),PauschTab,4,FALSE),0))</f>
      </c>
      <c r="AJ5" s="1">
        <f>IF(OR(AD5=0,AF5&lt;&gt;""),0,IF(AND(W5=1,V5&gt;0),IF(OR(T5=1,U5=1),AH5,AG5),IF(OR(W5=1,V5&gt;0),AH5,IF(AA5=1,IF(AND(AE5+AQ5&gt;480,AE5&gt;=AQ5),AH5,0),IF(Z5=1,IF(AND(AR5+AE5&gt;480,AE5&gt;AR5),AH5,0),IF(AE5&gt;480,AH5,0))))))</f>
      </c>
      <c r="AK5" s="1">
        <f>MIN(AJ5,AM5)</f>
      </c>
      <c r="AL5" s="1">
        <f>IF(OR(AD5=0,AF5&lt;&gt;""),"",IF(AND(W5=0,V5=0,AA5=0,Z5=0,AE5&lt;=480),"nicht mehr als 8 Std.; ","")&amp;IF(AA5=1,IF(AJ5&gt;0,"über Mitternacht, zusammen "&amp;TEXT((AE5+AQ5)/1440,"[h]:mm")&amp;" Std.; ",IF(AE5+AQ5&gt;480,"über Mitternacht: Pauschale am Folgetag; ","über Mitternacht, zusammen nicht mehr als 8 Std.; ")),"")&amp;IF(Z5=1,IF(AJ5&gt;0,"über Mitternacht, zusammen "&amp;TEXT((AR5+AE5)/1440,"[h]:mm")&amp;" Std.; ",IF(AR5+AE5&gt;480,"über Mitternacht: Pauschale am Vortag; ","über Mitternacht, zusammen nicht mehr als 8 Std.; ")),"")&amp;IF(AND(W5=1,V5&gt;0,OR(T5=1,U5=1)),"zwischendurch zu Hause: An- und Abreisetag; ","")&amp;IF(AND(W5=1,V5=0,T5=1),"Beginn leer lassen: unterwegs seit dem Vortag; ","")&amp;IF(AND(W5=0,V5&gt;0,U5=1),"Ende leer lassen: Übernachtung; ","")&amp;IF(AND(AJ5&gt;0,AM5&gt;AJ5),"Kürzung auf die Pauschale begrenzt; ",""))</f>
      </c>
      <c r="AM5" s="1">
        <f>ROUND(AG5*(IF(H5&lt;&gt;"",0.2,0)+IF(I5&lt;&gt;"",0.4,0)+IF(J5&lt;&gt;"",0.4,0)),2)</f>
      </c>
      <c r="AN5" s="1">
        <f>IF($A6="",'Dezember'!$T$5,T6)</f>
      </c>
      <c r="AO5" s="1">
        <f>IF($A6="",'Dezember'!$U$5,U6)</f>
      </c>
      <c r="AP5" s="1">
        <f>IF($A6="",'Dezember'!$V$5,V6)</f>
      </c>
      <c r="AQ5" s="1">
        <f>IF($A6="",'Dezember'!$AE$5,AE6)</f>
      </c>
      <c r="AR5" s="1">
        <f>INDEX('Oktober'!$AE$5:$AE$35,DAY(DATE(Jahr,11,0)))</f>
      </c>
      <c r="AS5" s="1">
        <f>INDEX('Oktober'!$X$5:$X$35,DAY(DATE(Jahr,11,0)))</f>
      </c>
      <c r="AT5" s="1">
        <f>INDEX('Oktober'!$U$5:$U$35,DAY(DATE(Jahr,11,0)))</f>
      </c>
      <c r="AU5" s="1">
        <f>INDEX('Oktober'!$V$5:$V$35,DAY(DATE(Jahr,11,0)))</f>
      </c>
    </row>
    <row r="6" spans="1:47" x14ac:dyDescent="0.25">
      <c r="A6" s="17">
        <f>IF(MONTH(DATE(Jahr,11,2))=11,DATE(Jahr,11,2),"")</f>
      </c>
      <c r="B6" s="13">
        <f>IF(A6="","",CHOOSE(WEEKDAY(A6,2),"Mo","Di","Mi","Do","Fr","Sa","So"))</f>
      </c>
      <c r="C6" s="18"/>
      <c r="D6" s="18"/>
      <c r="E6" s="7"/>
      <c r="F6" s="7"/>
      <c r="G6" s="7"/>
      <c r="H6" s="19"/>
      <c r="I6" s="19"/>
      <c r="J6" s="19"/>
      <c r="K6" s="9"/>
      <c r="L6" s="20">
        <f>IF(OR(AD6=0,AF6&lt;&gt;"",AND(W6=1,V6&gt;0,OR(T6=1,U6=1))),"",AE6/1440)</f>
      </c>
      <c r="M6" s="21">
        <f>IF(OR(AD6=0,AF6&lt;&gt;""),"",AJ6)</f>
      </c>
      <c r="N6" s="21">
        <f>IF(AK6=0,"",AK6)</f>
      </c>
      <c r="O6" s="21">
        <f>IF(OR(AD6=0,AF6&lt;&gt;""),"",AJ6-AK6)</f>
      </c>
      <c r="P6" s="21">
        <f>IF(AND(AD6=1,AF6="",V6=2),AI6,"")</f>
      </c>
      <c r="Q6" s="21">
        <f>IF(OR($A6="",N(K6)=0),"",ROUND(K6*KmSatz,2))</f>
      </c>
      <c r="R6" s="22">
        <f>IF(AF6&amp;AL6="","",LEFT(AF6&amp;AL6,LEN(AF6&amp;AL6)-2))</f>
      </c>
      <c r="S6" s="1"/>
      <c r="T6" s="1">
        <f>IF(AND($A6&lt;&gt;"",ISNUMBER(C6)),1,0)</f>
      </c>
      <c r="U6" s="1">
        <f>IF(AND($A6&lt;&gt;"",ISNUMBER(D6)),1,0)</f>
      </c>
      <c r="V6" s="1">
        <f>IF($A6="",0,IF(E6="ja",1,IF(E6="Pauschale",2,0)))</f>
      </c>
      <c r="W6" s="1">
        <f>IF($A6="",0,IF(AU6&gt;0,1,0))</f>
      </c>
      <c r="X6" s="1">
        <f>IF(AND(T6=1,W6=0),1,0)</f>
      </c>
      <c r="Y6" s="1">
        <f>IF(AND(AS6=1,AT6=0,AU6=0),1,0)</f>
      </c>
      <c r="Z6" s="1">
        <f>IF(AND(Y6=1,T6=0,U6=1,V6=0),1,0)</f>
      </c>
      <c r="AA6" s="1">
        <f>IF(AND(X6=1,U6=0,V6=0,AN6=0,AO6=1,AP6=0),1,0)</f>
      </c>
      <c r="AB6" s="1">
        <f>IF(OR(W6=1,Z6=1),0,IF(T6=1,C6,0))</f>
      </c>
      <c r="AC6" s="1">
        <f>IF(OR(V6&gt;0,AA6=1),1,IF(U6=1,D6,1))</f>
      </c>
      <c r="AD6" s="1">
        <f>IF($A6="",0,IF(OR(T6=1,U6=1,V6&gt;0,W6=1),1,0))</f>
      </c>
      <c r="AE6" s="1">
        <f>IF(AD6=0,0,ROUND((AC6-AB6)*1440,0))</f>
      </c>
      <c r="AF6" s="1">
        <f>IF(AD6=0,"",IF(AND(F6&lt;&gt;"",ISNA(MATCH(F6,PauschLand,0))),"Land nicht in der Liste; ","")&amp;IF(AND(T6=0,W6=0,Z6=0),"Beginn fehlt; ","")&amp;IF(AND(V6=0,U6=0,AA6=0),"Ende fehlt; ","")&amp;IF(AND(X6=1,U6=1,V6=0,N(D6)&lt;N(C6)),"Ende vor Beginn (über Mitternacht: Ende in die Zeile des Folgetags); ",""))</f>
      </c>
      <c r="AG6" s="1">
        <f>IF(AD6=0,0,IFERROR(VLOOKUP(IF(F6="","Deutschland",F6),PauschTab,2,FALSE),0))</f>
      </c>
      <c r="AH6" s="1">
        <f>IF(AD6=0,0,IFERROR(VLOOKUP(IF(F6="","Deutschland",F6),PauschTab,3,FALSE),0))</f>
      </c>
      <c r="AI6" s="1">
        <f>IF(AD6=0,0,IFERROR(VLOOKUP(IF(F6="","Deutschland",F6),PauschTab,4,FALSE),0))</f>
      </c>
      <c r="AJ6" s="1">
        <f>IF(OR(AD6=0,AF6&lt;&gt;""),0,IF(AND(W6=1,V6&gt;0),IF(OR(T6=1,U6=1),AH6,AG6),IF(OR(W6=1,V6&gt;0),AH6,IF(AA6=1,IF(AND(AE6+AQ6&gt;480,AE6&gt;=AQ6),AH6,0),IF(Z6=1,IF(AND(AR6+AE6&gt;480,AE6&gt;AR6),AH6,0),IF(AE6&gt;480,AH6,0))))))</f>
      </c>
      <c r="AK6" s="1">
        <f>MIN(AJ6,AM6)</f>
      </c>
      <c r="AL6" s="1">
        <f>IF(OR(AD6=0,AF6&lt;&gt;""),"",IF(AND(W6=0,V6=0,AA6=0,Z6=0,AE6&lt;=480),"nicht mehr als 8 Std.; ","")&amp;IF(AA6=1,IF(AJ6&gt;0,"über Mitternacht, zusammen "&amp;TEXT((AE6+AQ6)/1440,"[h]:mm")&amp;" Std.; ",IF(AE6+AQ6&gt;480,"über Mitternacht: Pauschale am Folgetag; ","über Mitternacht, zusammen nicht mehr als 8 Std.; ")),"")&amp;IF(Z6=1,IF(AJ6&gt;0,"über Mitternacht, zusammen "&amp;TEXT((AR6+AE6)/1440,"[h]:mm")&amp;" Std.; ",IF(AR6+AE6&gt;480,"über Mitternacht: Pauschale am Vortag; ","über Mitternacht, zusammen nicht mehr als 8 Std.; ")),"")&amp;IF(AND(W6=1,V6&gt;0,OR(T6=1,U6=1)),"zwischendurch zu Hause: An- und Abreisetag; ","")&amp;IF(AND(W6=1,V6=0,T6=1),"Beginn leer lassen: unterwegs seit dem Vortag; ","")&amp;IF(AND(W6=0,V6&gt;0,U6=1),"Ende leer lassen: Übernachtung; ","")&amp;IF(AND(AJ6&gt;0,AM6&gt;AJ6),"Kürzung auf die Pauschale begrenzt; ",""))</f>
      </c>
      <c r="AM6" s="1">
        <f>ROUND(AG6*(IF(H6&lt;&gt;"",0.2,0)+IF(I6&lt;&gt;"",0.4,0)+IF(J6&lt;&gt;"",0.4,0)),2)</f>
      </c>
      <c r="AN6" s="1">
        <f>IF($A7="",'Dezember'!$T$5,T7)</f>
      </c>
      <c r="AO6" s="1">
        <f>IF($A7="",'Dezember'!$U$5,U7)</f>
      </c>
      <c r="AP6" s="1">
        <f>IF($A7="",'Dezember'!$V$5,V7)</f>
      </c>
      <c r="AQ6" s="1">
        <f>IF($A7="",'Dezember'!$AE$5,AE7)</f>
      </c>
      <c r="AR6" s="1">
        <f>AE5</f>
      </c>
      <c r="AS6" s="1">
        <f>X5</f>
      </c>
      <c r="AT6" s="1">
        <f>U5</f>
      </c>
      <c r="AU6" s="1">
        <f>V5</f>
      </c>
    </row>
    <row r="7" spans="1:47" x14ac:dyDescent="0.25">
      <c r="A7" s="17">
        <f>IF(MONTH(DATE(Jahr,11,3))=11,DATE(Jahr,11,3),"")</f>
      </c>
      <c r="B7" s="13">
        <f>IF(A7="","",CHOOSE(WEEKDAY(A7,2),"Mo","Di","Mi","Do","Fr","Sa","So"))</f>
      </c>
      <c r="C7" s="18"/>
      <c r="D7" s="18"/>
      <c r="E7" s="7"/>
      <c r="F7" s="7"/>
      <c r="G7" s="7"/>
      <c r="H7" s="19"/>
      <c r="I7" s="19"/>
      <c r="J7" s="19"/>
      <c r="K7" s="9"/>
      <c r="L7" s="20">
        <f>IF(OR(AD7=0,AF7&lt;&gt;"",AND(W7=1,V7&gt;0,OR(T7=1,U7=1))),"",AE7/1440)</f>
      </c>
      <c r="M7" s="21">
        <f>IF(OR(AD7=0,AF7&lt;&gt;""),"",AJ7)</f>
      </c>
      <c r="N7" s="21">
        <f>IF(AK7=0,"",AK7)</f>
      </c>
      <c r="O7" s="21">
        <f>IF(OR(AD7=0,AF7&lt;&gt;""),"",AJ7-AK7)</f>
      </c>
      <c r="P7" s="21">
        <f>IF(AND(AD7=1,AF7="",V7=2),AI7,"")</f>
      </c>
      <c r="Q7" s="21">
        <f>IF(OR($A7="",N(K7)=0),"",ROUND(K7*KmSatz,2))</f>
      </c>
      <c r="R7" s="22">
        <f>IF(AF7&amp;AL7="","",LEFT(AF7&amp;AL7,LEN(AF7&amp;AL7)-2))</f>
      </c>
      <c r="S7" s="1"/>
      <c r="T7" s="1">
        <f>IF(AND($A7&lt;&gt;"",ISNUMBER(C7)),1,0)</f>
      </c>
      <c r="U7" s="1">
        <f>IF(AND($A7&lt;&gt;"",ISNUMBER(D7)),1,0)</f>
      </c>
      <c r="V7" s="1">
        <f>IF($A7="",0,IF(E7="ja",1,IF(E7="Pauschale",2,0)))</f>
      </c>
      <c r="W7" s="1">
        <f>IF($A7="",0,IF(AU7&gt;0,1,0))</f>
      </c>
      <c r="X7" s="1">
        <f>IF(AND(T7=1,W7=0),1,0)</f>
      </c>
      <c r="Y7" s="1">
        <f>IF(AND(AS7=1,AT7=0,AU7=0),1,0)</f>
      </c>
      <c r="Z7" s="1">
        <f>IF(AND(Y7=1,T7=0,U7=1,V7=0),1,0)</f>
      </c>
      <c r="AA7" s="1">
        <f>IF(AND(X7=1,U7=0,V7=0,AN7=0,AO7=1,AP7=0),1,0)</f>
      </c>
      <c r="AB7" s="1">
        <f>IF(OR(W7=1,Z7=1),0,IF(T7=1,C7,0))</f>
      </c>
      <c r="AC7" s="1">
        <f>IF(OR(V7&gt;0,AA7=1),1,IF(U7=1,D7,1))</f>
      </c>
      <c r="AD7" s="1">
        <f>IF($A7="",0,IF(OR(T7=1,U7=1,V7&gt;0,W7=1),1,0))</f>
      </c>
      <c r="AE7" s="1">
        <f>IF(AD7=0,0,ROUND((AC7-AB7)*1440,0))</f>
      </c>
      <c r="AF7" s="1">
        <f>IF(AD7=0,"",IF(AND(F7&lt;&gt;"",ISNA(MATCH(F7,PauschLand,0))),"Land nicht in der Liste; ","")&amp;IF(AND(T7=0,W7=0,Z7=0),"Beginn fehlt; ","")&amp;IF(AND(V7=0,U7=0,AA7=0),"Ende fehlt; ","")&amp;IF(AND(X7=1,U7=1,V7=0,N(D7)&lt;N(C7)),"Ende vor Beginn (über Mitternacht: Ende in die Zeile des Folgetags); ",""))</f>
      </c>
      <c r="AG7" s="1">
        <f>IF(AD7=0,0,IFERROR(VLOOKUP(IF(F7="","Deutschland",F7),PauschTab,2,FALSE),0))</f>
      </c>
      <c r="AH7" s="1">
        <f>IF(AD7=0,0,IFERROR(VLOOKUP(IF(F7="","Deutschland",F7),PauschTab,3,FALSE),0))</f>
      </c>
      <c r="AI7" s="1">
        <f>IF(AD7=0,0,IFERROR(VLOOKUP(IF(F7="","Deutschland",F7),PauschTab,4,FALSE),0))</f>
      </c>
      <c r="AJ7" s="1">
        <f>IF(OR(AD7=0,AF7&lt;&gt;""),0,IF(AND(W7=1,V7&gt;0),IF(OR(T7=1,U7=1),AH7,AG7),IF(OR(W7=1,V7&gt;0),AH7,IF(AA7=1,IF(AND(AE7+AQ7&gt;480,AE7&gt;=AQ7),AH7,0),IF(Z7=1,IF(AND(AR7+AE7&gt;480,AE7&gt;AR7),AH7,0),IF(AE7&gt;480,AH7,0))))))</f>
      </c>
      <c r="AK7" s="1">
        <f>MIN(AJ7,AM7)</f>
      </c>
      <c r="AL7" s="1">
        <f>IF(OR(AD7=0,AF7&lt;&gt;""),"",IF(AND(W7=0,V7=0,AA7=0,Z7=0,AE7&lt;=480),"nicht mehr als 8 Std.; ","")&amp;IF(AA7=1,IF(AJ7&gt;0,"über Mitternacht, zusammen "&amp;TEXT((AE7+AQ7)/1440,"[h]:mm")&amp;" Std.; ",IF(AE7+AQ7&gt;480,"über Mitternacht: Pauschale am Folgetag; ","über Mitternacht, zusammen nicht mehr als 8 Std.; ")),"")&amp;IF(Z7=1,IF(AJ7&gt;0,"über Mitternacht, zusammen "&amp;TEXT((AR7+AE7)/1440,"[h]:mm")&amp;" Std.; ",IF(AR7+AE7&gt;480,"über Mitternacht: Pauschale am Vortag; ","über Mitternacht, zusammen nicht mehr als 8 Std.; ")),"")&amp;IF(AND(W7=1,V7&gt;0,OR(T7=1,U7=1)),"zwischendurch zu Hause: An- und Abreisetag; ","")&amp;IF(AND(W7=1,V7=0,T7=1),"Beginn leer lassen: unterwegs seit dem Vortag; ","")&amp;IF(AND(W7=0,V7&gt;0,U7=1),"Ende leer lassen: Übernachtung; ","")&amp;IF(AND(AJ7&gt;0,AM7&gt;AJ7),"Kürzung auf die Pauschale begrenzt; ",""))</f>
      </c>
      <c r="AM7" s="1">
        <f>ROUND(AG7*(IF(H7&lt;&gt;"",0.2,0)+IF(I7&lt;&gt;"",0.4,0)+IF(J7&lt;&gt;"",0.4,0)),2)</f>
      </c>
      <c r="AN7" s="1">
        <f>IF($A8="",'Dezember'!$T$5,T8)</f>
      </c>
      <c r="AO7" s="1">
        <f>IF($A8="",'Dezember'!$U$5,U8)</f>
      </c>
      <c r="AP7" s="1">
        <f>IF($A8="",'Dezember'!$V$5,V8)</f>
      </c>
      <c r="AQ7" s="1">
        <f>IF($A8="",'Dezember'!$AE$5,AE8)</f>
      </c>
      <c r="AR7" s="1">
        <f>AE6</f>
      </c>
      <c r="AS7" s="1">
        <f>X6</f>
      </c>
      <c r="AT7" s="1">
        <f>U6</f>
      </c>
      <c r="AU7" s="1">
        <f>V6</f>
      </c>
    </row>
    <row r="8" spans="1:47" x14ac:dyDescent="0.25">
      <c r="A8" s="17">
        <f>IF(MONTH(DATE(Jahr,11,4))=11,DATE(Jahr,11,4),"")</f>
      </c>
      <c r="B8" s="13">
        <f>IF(A8="","",CHOOSE(WEEKDAY(A8,2),"Mo","Di","Mi","Do","Fr","Sa","So"))</f>
      </c>
      <c r="C8" s="18"/>
      <c r="D8" s="18"/>
      <c r="E8" s="7"/>
      <c r="F8" s="7"/>
      <c r="G8" s="7"/>
      <c r="H8" s="19"/>
      <c r="I8" s="19"/>
      <c r="J8" s="19"/>
      <c r="K8" s="9"/>
      <c r="L8" s="20">
        <f>IF(OR(AD8=0,AF8&lt;&gt;"",AND(W8=1,V8&gt;0,OR(T8=1,U8=1))),"",AE8/1440)</f>
      </c>
      <c r="M8" s="21">
        <f>IF(OR(AD8=0,AF8&lt;&gt;""),"",AJ8)</f>
      </c>
      <c r="N8" s="21">
        <f>IF(AK8=0,"",AK8)</f>
      </c>
      <c r="O8" s="21">
        <f>IF(OR(AD8=0,AF8&lt;&gt;""),"",AJ8-AK8)</f>
      </c>
      <c r="P8" s="21">
        <f>IF(AND(AD8=1,AF8="",V8=2),AI8,"")</f>
      </c>
      <c r="Q8" s="21">
        <f>IF(OR($A8="",N(K8)=0),"",ROUND(K8*KmSatz,2))</f>
      </c>
      <c r="R8" s="22">
        <f>IF(AF8&amp;AL8="","",LEFT(AF8&amp;AL8,LEN(AF8&amp;AL8)-2))</f>
      </c>
      <c r="S8" s="1"/>
      <c r="T8" s="1">
        <f>IF(AND($A8&lt;&gt;"",ISNUMBER(C8)),1,0)</f>
      </c>
      <c r="U8" s="1">
        <f>IF(AND($A8&lt;&gt;"",ISNUMBER(D8)),1,0)</f>
      </c>
      <c r="V8" s="1">
        <f>IF($A8="",0,IF(E8="ja",1,IF(E8="Pauschale",2,0)))</f>
      </c>
      <c r="W8" s="1">
        <f>IF($A8="",0,IF(AU8&gt;0,1,0))</f>
      </c>
      <c r="X8" s="1">
        <f>IF(AND(T8=1,W8=0),1,0)</f>
      </c>
      <c r="Y8" s="1">
        <f>IF(AND(AS8=1,AT8=0,AU8=0),1,0)</f>
      </c>
      <c r="Z8" s="1">
        <f>IF(AND(Y8=1,T8=0,U8=1,V8=0),1,0)</f>
      </c>
      <c r="AA8" s="1">
        <f>IF(AND(X8=1,U8=0,V8=0,AN8=0,AO8=1,AP8=0),1,0)</f>
      </c>
      <c r="AB8" s="1">
        <f>IF(OR(W8=1,Z8=1),0,IF(T8=1,C8,0))</f>
      </c>
      <c r="AC8" s="1">
        <f>IF(OR(V8&gt;0,AA8=1),1,IF(U8=1,D8,1))</f>
      </c>
      <c r="AD8" s="1">
        <f>IF($A8="",0,IF(OR(T8=1,U8=1,V8&gt;0,W8=1),1,0))</f>
      </c>
      <c r="AE8" s="1">
        <f>IF(AD8=0,0,ROUND((AC8-AB8)*1440,0))</f>
      </c>
      <c r="AF8" s="1">
        <f>IF(AD8=0,"",IF(AND(F8&lt;&gt;"",ISNA(MATCH(F8,PauschLand,0))),"Land nicht in der Liste; ","")&amp;IF(AND(T8=0,W8=0,Z8=0),"Beginn fehlt; ","")&amp;IF(AND(V8=0,U8=0,AA8=0),"Ende fehlt; ","")&amp;IF(AND(X8=1,U8=1,V8=0,N(D8)&lt;N(C8)),"Ende vor Beginn (über Mitternacht: Ende in die Zeile des Folgetags); ",""))</f>
      </c>
      <c r="AG8" s="1">
        <f>IF(AD8=0,0,IFERROR(VLOOKUP(IF(F8="","Deutschland",F8),PauschTab,2,FALSE),0))</f>
      </c>
      <c r="AH8" s="1">
        <f>IF(AD8=0,0,IFERROR(VLOOKUP(IF(F8="","Deutschland",F8),PauschTab,3,FALSE),0))</f>
      </c>
      <c r="AI8" s="1">
        <f>IF(AD8=0,0,IFERROR(VLOOKUP(IF(F8="","Deutschland",F8),PauschTab,4,FALSE),0))</f>
      </c>
      <c r="AJ8" s="1">
        <f>IF(OR(AD8=0,AF8&lt;&gt;""),0,IF(AND(W8=1,V8&gt;0),IF(OR(T8=1,U8=1),AH8,AG8),IF(OR(W8=1,V8&gt;0),AH8,IF(AA8=1,IF(AND(AE8+AQ8&gt;480,AE8&gt;=AQ8),AH8,0),IF(Z8=1,IF(AND(AR8+AE8&gt;480,AE8&gt;AR8),AH8,0),IF(AE8&gt;480,AH8,0))))))</f>
      </c>
      <c r="AK8" s="1">
        <f>MIN(AJ8,AM8)</f>
      </c>
      <c r="AL8" s="1">
        <f>IF(OR(AD8=0,AF8&lt;&gt;""),"",IF(AND(W8=0,V8=0,AA8=0,Z8=0,AE8&lt;=480),"nicht mehr als 8 Std.; ","")&amp;IF(AA8=1,IF(AJ8&gt;0,"über Mitternacht, zusammen "&amp;TEXT((AE8+AQ8)/1440,"[h]:mm")&amp;" Std.; ",IF(AE8+AQ8&gt;480,"über Mitternacht: Pauschale am Folgetag; ","über Mitternacht, zusammen nicht mehr als 8 Std.; ")),"")&amp;IF(Z8=1,IF(AJ8&gt;0,"über Mitternacht, zusammen "&amp;TEXT((AR8+AE8)/1440,"[h]:mm")&amp;" Std.; ",IF(AR8+AE8&gt;480,"über Mitternacht: Pauschale am Vortag; ","über Mitternacht, zusammen nicht mehr als 8 Std.; ")),"")&amp;IF(AND(W8=1,V8&gt;0,OR(T8=1,U8=1)),"zwischendurch zu Hause: An- und Abreisetag; ","")&amp;IF(AND(W8=1,V8=0,T8=1),"Beginn leer lassen: unterwegs seit dem Vortag; ","")&amp;IF(AND(W8=0,V8&gt;0,U8=1),"Ende leer lassen: Übernachtung; ","")&amp;IF(AND(AJ8&gt;0,AM8&gt;AJ8),"Kürzung auf die Pauschale begrenzt; ",""))</f>
      </c>
      <c r="AM8" s="1">
        <f>ROUND(AG8*(IF(H8&lt;&gt;"",0.2,0)+IF(I8&lt;&gt;"",0.4,0)+IF(J8&lt;&gt;"",0.4,0)),2)</f>
      </c>
      <c r="AN8" s="1">
        <f>IF($A9="",'Dezember'!$T$5,T9)</f>
      </c>
      <c r="AO8" s="1">
        <f>IF($A9="",'Dezember'!$U$5,U9)</f>
      </c>
      <c r="AP8" s="1">
        <f>IF($A9="",'Dezember'!$V$5,V9)</f>
      </c>
      <c r="AQ8" s="1">
        <f>IF($A9="",'Dezember'!$AE$5,AE9)</f>
      </c>
      <c r="AR8" s="1">
        <f>AE7</f>
      </c>
      <c r="AS8" s="1">
        <f>X7</f>
      </c>
      <c r="AT8" s="1">
        <f>U7</f>
      </c>
      <c r="AU8" s="1">
        <f>V7</f>
      </c>
    </row>
    <row r="9" spans="1:47" x14ac:dyDescent="0.25">
      <c r="A9" s="17">
        <f>IF(MONTH(DATE(Jahr,11,5))=11,DATE(Jahr,11,5),"")</f>
      </c>
      <c r="B9" s="13">
        <f>IF(A9="","",CHOOSE(WEEKDAY(A9,2),"Mo","Di","Mi","Do","Fr","Sa","So"))</f>
      </c>
      <c r="C9" s="18"/>
      <c r="D9" s="18"/>
      <c r="E9" s="7"/>
      <c r="F9" s="7"/>
      <c r="G9" s="7"/>
      <c r="H9" s="19"/>
      <c r="I9" s="19"/>
      <c r="J9" s="19"/>
      <c r="K9" s="9"/>
      <c r="L9" s="20">
        <f>IF(OR(AD9=0,AF9&lt;&gt;"",AND(W9=1,V9&gt;0,OR(T9=1,U9=1))),"",AE9/1440)</f>
      </c>
      <c r="M9" s="21">
        <f>IF(OR(AD9=0,AF9&lt;&gt;""),"",AJ9)</f>
      </c>
      <c r="N9" s="21">
        <f>IF(AK9=0,"",AK9)</f>
      </c>
      <c r="O9" s="21">
        <f>IF(OR(AD9=0,AF9&lt;&gt;""),"",AJ9-AK9)</f>
      </c>
      <c r="P9" s="21">
        <f>IF(AND(AD9=1,AF9="",V9=2),AI9,"")</f>
      </c>
      <c r="Q9" s="21">
        <f>IF(OR($A9="",N(K9)=0),"",ROUND(K9*KmSatz,2))</f>
      </c>
      <c r="R9" s="22">
        <f>IF(AF9&amp;AL9="","",LEFT(AF9&amp;AL9,LEN(AF9&amp;AL9)-2))</f>
      </c>
      <c r="S9" s="1"/>
      <c r="T9" s="1">
        <f>IF(AND($A9&lt;&gt;"",ISNUMBER(C9)),1,0)</f>
      </c>
      <c r="U9" s="1">
        <f>IF(AND($A9&lt;&gt;"",ISNUMBER(D9)),1,0)</f>
      </c>
      <c r="V9" s="1">
        <f>IF($A9="",0,IF(E9="ja",1,IF(E9="Pauschale",2,0)))</f>
      </c>
      <c r="W9" s="1">
        <f>IF($A9="",0,IF(AU9&gt;0,1,0))</f>
      </c>
      <c r="X9" s="1">
        <f>IF(AND(T9=1,W9=0),1,0)</f>
      </c>
      <c r="Y9" s="1">
        <f>IF(AND(AS9=1,AT9=0,AU9=0),1,0)</f>
      </c>
      <c r="Z9" s="1">
        <f>IF(AND(Y9=1,T9=0,U9=1,V9=0),1,0)</f>
      </c>
      <c r="AA9" s="1">
        <f>IF(AND(X9=1,U9=0,V9=0,AN9=0,AO9=1,AP9=0),1,0)</f>
      </c>
      <c r="AB9" s="1">
        <f>IF(OR(W9=1,Z9=1),0,IF(T9=1,C9,0))</f>
      </c>
      <c r="AC9" s="1">
        <f>IF(OR(V9&gt;0,AA9=1),1,IF(U9=1,D9,1))</f>
      </c>
      <c r="AD9" s="1">
        <f>IF($A9="",0,IF(OR(T9=1,U9=1,V9&gt;0,W9=1),1,0))</f>
      </c>
      <c r="AE9" s="1">
        <f>IF(AD9=0,0,ROUND((AC9-AB9)*1440,0))</f>
      </c>
      <c r="AF9" s="1">
        <f>IF(AD9=0,"",IF(AND(F9&lt;&gt;"",ISNA(MATCH(F9,PauschLand,0))),"Land nicht in der Liste; ","")&amp;IF(AND(T9=0,W9=0,Z9=0),"Beginn fehlt; ","")&amp;IF(AND(V9=0,U9=0,AA9=0),"Ende fehlt; ","")&amp;IF(AND(X9=1,U9=1,V9=0,N(D9)&lt;N(C9)),"Ende vor Beginn (über Mitternacht: Ende in die Zeile des Folgetags); ",""))</f>
      </c>
      <c r="AG9" s="1">
        <f>IF(AD9=0,0,IFERROR(VLOOKUP(IF(F9="","Deutschland",F9),PauschTab,2,FALSE),0))</f>
      </c>
      <c r="AH9" s="1">
        <f>IF(AD9=0,0,IFERROR(VLOOKUP(IF(F9="","Deutschland",F9),PauschTab,3,FALSE),0))</f>
      </c>
      <c r="AI9" s="1">
        <f>IF(AD9=0,0,IFERROR(VLOOKUP(IF(F9="","Deutschland",F9),PauschTab,4,FALSE),0))</f>
      </c>
      <c r="AJ9" s="1">
        <f>IF(OR(AD9=0,AF9&lt;&gt;""),0,IF(AND(W9=1,V9&gt;0),IF(OR(T9=1,U9=1),AH9,AG9),IF(OR(W9=1,V9&gt;0),AH9,IF(AA9=1,IF(AND(AE9+AQ9&gt;480,AE9&gt;=AQ9),AH9,0),IF(Z9=1,IF(AND(AR9+AE9&gt;480,AE9&gt;AR9),AH9,0),IF(AE9&gt;480,AH9,0))))))</f>
      </c>
      <c r="AK9" s="1">
        <f>MIN(AJ9,AM9)</f>
      </c>
      <c r="AL9" s="1">
        <f>IF(OR(AD9=0,AF9&lt;&gt;""),"",IF(AND(W9=0,V9=0,AA9=0,Z9=0,AE9&lt;=480),"nicht mehr als 8 Std.; ","")&amp;IF(AA9=1,IF(AJ9&gt;0,"über Mitternacht, zusammen "&amp;TEXT((AE9+AQ9)/1440,"[h]:mm")&amp;" Std.; ",IF(AE9+AQ9&gt;480,"über Mitternacht: Pauschale am Folgetag; ","über Mitternacht, zusammen nicht mehr als 8 Std.; ")),"")&amp;IF(Z9=1,IF(AJ9&gt;0,"über Mitternacht, zusammen "&amp;TEXT((AR9+AE9)/1440,"[h]:mm")&amp;" Std.; ",IF(AR9+AE9&gt;480,"über Mitternacht: Pauschale am Vortag; ","über Mitternacht, zusammen nicht mehr als 8 Std.; ")),"")&amp;IF(AND(W9=1,V9&gt;0,OR(T9=1,U9=1)),"zwischendurch zu Hause: An- und Abreisetag; ","")&amp;IF(AND(W9=1,V9=0,T9=1),"Beginn leer lassen: unterwegs seit dem Vortag; ","")&amp;IF(AND(W9=0,V9&gt;0,U9=1),"Ende leer lassen: Übernachtung; ","")&amp;IF(AND(AJ9&gt;0,AM9&gt;AJ9),"Kürzung auf die Pauschale begrenzt; ",""))</f>
      </c>
      <c r="AM9" s="1">
        <f>ROUND(AG9*(IF(H9&lt;&gt;"",0.2,0)+IF(I9&lt;&gt;"",0.4,0)+IF(J9&lt;&gt;"",0.4,0)),2)</f>
      </c>
      <c r="AN9" s="1">
        <f>IF($A10="",'Dezember'!$T$5,T10)</f>
      </c>
      <c r="AO9" s="1">
        <f>IF($A10="",'Dezember'!$U$5,U10)</f>
      </c>
      <c r="AP9" s="1">
        <f>IF($A10="",'Dezember'!$V$5,V10)</f>
      </c>
      <c r="AQ9" s="1">
        <f>IF($A10="",'Dezember'!$AE$5,AE10)</f>
      </c>
      <c r="AR9" s="1">
        <f>AE8</f>
      </c>
      <c r="AS9" s="1">
        <f>X8</f>
      </c>
      <c r="AT9" s="1">
        <f>U8</f>
      </c>
      <c r="AU9" s="1">
        <f>V8</f>
      </c>
    </row>
    <row r="10" spans="1:47" x14ac:dyDescent="0.25">
      <c r="A10" s="17">
        <f>IF(MONTH(DATE(Jahr,11,6))=11,DATE(Jahr,11,6),"")</f>
      </c>
      <c r="B10" s="13">
        <f>IF(A10="","",CHOOSE(WEEKDAY(A10,2),"Mo","Di","Mi","Do","Fr","Sa","So"))</f>
      </c>
      <c r="C10" s="18"/>
      <c r="D10" s="18"/>
      <c r="E10" s="7"/>
      <c r="F10" s="7"/>
      <c r="G10" s="7"/>
      <c r="H10" s="19"/>
      <c r="I10" s="19"/>
      <c r="J10" s="19"/>
      <c r="K10" s="9"/>
      <c r="L10" s="20">
        <f>IF(OR(AD10=0,AF10&lt;&gt;"",AND(W10=1,V10&gt;0,OR(T10=1,U10=1))),"",AE10/1440)</f>
      </c>
      <c r="M10" s="21">
        <f>IF(OR(AD10=0,AF10&lt;&gt;""),"",AJ10)</f>
      </c>
      <c r="N10" s="21">
        <f>IF(AK10=0,"",AK10)</f>
      </c>
      <c r="O10" s="21">
        <f>IF(OR(AD10=0,AF10&lt;&gt;""),"",AJ10-AK10)</f>
      </c>
      <c r="P10" s="21">
        <f>IF(AND(AD10=1,AF10="",V10=2),AI10,"")</f>
      </c>
      <c r="Q10" s="21">
        <f>IF(OR($A10="",N(K10)=0),"",ROUND(K10*KmSatz,2))</f>
      </c>
      <c r="R10" s="22">
        <f>IF(AF10&amp;AL10="","",LEFT(AF10&amp;AL10,LEN(AF10&amp;AL10)-2))</f>
      </c>
      <c r="S10" s="1"/>
      <c r="T10" s="1">
        <f>IF(AND($A10&lt;&gt;"",ISNUMBER(C10)),1,0)</f>
      </c>
      <c r="U10" s="1">
        <f>IF(AND($A10&lt;&gt;"",ISNUMBER(D10)),1,0)</f>
      </c>
      <c r="V10" s="1">
        <f>IF($A10="",0,IF(E10="ja",1,IF(E10="Pauschale",2,0)))</f>
      </c>
      <c r="W10" s="1">
        <f>IF($A10="",0,IF(AU10&gt;0,1,0))</f>
      </c>
      <c r="X10" s="1">
        <f>IF(AND(T10=1,W10=0),1,0)</f>
      </c>
      <c r="Y10" s="1">
        <f>IF(AND(AS10=1,AT10=0,AU10=0),1,0)</f>
      </c>
      <c r="Z10" s="1">
        <f>IF(AND(Y10=1,T10=0,U10=1,V10=0),1,0)</f>
      </c>
      <c r="AA10" s="1">
        <f>IF(AND(X10=1,U10=0,V10=0,AN10=0,AO10=1,AP10=0),1,0)</f>
      </c>
      <c r="AB10" s="1">
        <f>IF(OR(W10=1,Z10=1),0,IF(T10=1,C10,0))</f>
      </c>
      <c r="AC10" s="1">
        <f>IF(OR(V10&gt;0,AA10=1),1,IF(U10=1,D10,1))</f>
      </c>
      <c r="AD10" s="1">
        <f>IF($A10="",0,IF(OR(T10=1,U10=1,V10&gt;0,W10=1),1,0))</f>
      </c>
      <c r="AE10" s="1">
        <f>IF(AD10=0,0,ROUND((AC10-AB10)*1440,0))</f>
      </c>
      <c r="AF10" s="1">
        <f>IF(AD10=0,"",IF(AND(F10&lt;&gt;"",ISNA(MATCH(F10,PauschLand,0))),"Land nicht in der Liste; ","")&amp;IF(AND(T10=0,W10=0,Z10=0),"Beginn fehlt; ","")&amp;IF(AND(V10=0,U10=0,AA10=0),"Ende fehlt; ","")&amp;IF(AND(X10=1,U10=1,V10=0,N(D10)&lt;N(C10)),"Ende vor Beginn (über Mitternacht: Ende in die Zeile des Folgetags); ",""))</f>
      </c>
      <c r="AG10" s="1">
        <f>IF(AD10=0,0,IFERROR(VLOOKUP(IF(F10="","Deutschland",F10),PauschTab,2,FALSE),0))</f>
      </c>
      <c r="AH10" s="1">
        <f>IF(AD10=0,0,IFERROR(VLOOKUP(IF(F10="","Deutschland",F10),PauschTab,3,FALSE),0))</f>
      </c>
      <c r="AI10" s="1">
        <f>IF(AD10=0,0,IFERROR(VLOOKUP(IF(F10="","Deutschland",F10),PauschTab,4,FALSE),0))</f>
      </c>
      <c r="AJ10" s="1">
        <f>IF(OR(AD10=0,AF10&lt;&gt;""),0,IF(AND(W10=1,V10&gt;0),IF(OR(T10=1,U10=1),AH10,AG10),IF(OR(W10=1,V10&gt;0),AH10,IF(AA10=1,IF(AND(AE10+AQ10&gt;480,AE10&gt;=AQ10),AH10,0),IF(Z10=1,IF(AND(AR10+AE10&gt;480,AE10&gt;AR10),AH10,0),IF(AE10&gt;480,AH10,0))))))</f>
      </c>
      <c r="AK10" s="1">
        <f>MIN(AJ10,AM10)</f>
      </c>
      <c r="AL10" s="1">
        <f>IF(OR(AD10=0,AF10&lt;&gt;""),"",IF(AND(W10=0,V10=0,AA10=0,Z10=0,AE10&lt;=480),"nicht mehr als 8 Std.; ","")&amp;IF(AA10=1,IF(AJ10&gt;0,"über Mitternacht, zusammen "&amp;TEXT((AE10+AQ10)/1440,"[h]:mm")&amp;" Std.; ",IF(AE10+AQ10&gt;480,"über Mitternacht: Pauschale am Folgetag; ","über Mitternacht, zusammen nicht mehr als 8 Std.; ")),"")&amp;IF(Z10=1,IF(AJ10&gt;0,"über Mitternacht, zusammen "&amp;TEXT((AR10+AE10)/1440,"[h]:mm")&amp;" Std.; ",IF(AR10+AE10&gt;480,"über Mitternacht: Pauschale am Vortag; ","über Mitternacht, zusammen nicht mehr als 8 Std.; ")),"")&amp;IF(AND(W10=1,V10&gt;0,OR(T10=1,U10=1)),"zwischendurch zu Hause: An- und Abreisetag; ","")&amp;IF(AND(W10=1,V10=0,T10=1),"Beginn leer lassen: unterwegs seit dem Vortag; ","")&amp;IF(AND(W10=0,V10&gt;0,U10=1),"Ende leer lassen: Übernachtung; ","")&amp;IF(AND(AJ10&gt;0,AM10&gt;AJ10),"Kürzung auf die Pauschale begrenzt; ",""))</f>
      </c>
      <c r="AM10" s="1">
        <f>ROUND(AG10*(IF(H10&lt;&gt;"",0.2,0)+IF(I10&lt;&gt;"",0.4,0)+IF(J10&lt;&gt;"",0.4,0)),2)</f>
      </c>
      <c r="AN10" s="1">
        <f>IF($A11="",'Dezember'!$T$5,T11)</f>
      </c>
      <c r="AO10" s="1">
        <f>IF($A11="",'Dezember'!$U$5,U11)</f>
      </c>
      <c r="AP10" s="1">
        <f>IF($A11="",'Dezember'!$V$5,V11)</f>
      </c>
      <c r="AQ10" s="1">
        <f>IF($A11="",'Dezember'!$AE$5,AE11)</f>
      </c>
      <c r="AR10" s="1">
        <f>AE9</f>
      </c>
      <c r="AS10" s="1">
        <f>X9</f>
      </c>
      <c r="AT10" s="1">
        <f>U9</f>
      </c>
      <c r="AU10" s="1">
        <f>V9</f>
      </c>
    </row>
    <row r="11" spans="1:47" x14ac:dyDescent="0.25">
      <c r="A11" s="17">
        <f>IF(MONTH(DATE(Jahr,11,7))=11,DATE(Jahr,11,7),"")</f>
      </c>
      <c r="B11" s="13">
        <f>IF(A11="","",CHOOSE(WEEKDAY(A11,2),"Mo","Di","Mi","Do","Fr","Sa","So"))</f>
      </c>
      <c r="C11" s="18"/>
      <c r="D11" s="18"/>
      <c r="E11" s="7"/>
      <c r="F11" s="7"/>
      <c r="G11" s="7"/>
      <c r="H11" s="19"/>
      <c r="I11" s="19"/>
      <c r="J11" s="19"/>
      <c r="K11" s="9"/>
      <c r="L11" s="20">
        <f>IF(OR(AD11=0,AF11&lt;&gt;"",AND(W11=1,V11&gt;0,OR(T11=1,U11=1))),"",AE11/1440)</f>
      </c>
      <c r="M11" s="21">
        <f>IF(OR(AD11=0,AF11&lt;&gt;""),"",AJ11)</f>
      </c>
      <c r="N11" s="21">
        <f>IF(AK11=0,"",AK11)</f>
      </c>
      <c r="O11" s="21">
        <f>IF(OR(AD11=0,AF11&lt;&gt;""),"",AJ11-AK11)</f>
      </c>
      <c r="P11" s="21">
        <f>IF(AND(AD11=1,AF11="",V11=2),AI11,"")</f>
      </c>
      <c r="Q11" s="21">
        <f>IF(OR($A11="",N(K11)=0),"",ROUND(K11*KmSatz,2))</f>
      </c>
      <c r="R11" s="22">
        <f>IF(AF11&amp;AL11="","",LEFT(AF11&amp;AL11,LEN(AF11&amp;AL11)-2))</f>
      </c>
      <c r="S11" s="1"/>
      <c r="T11" s="1">
        <f>IF(AND($A11&lt;&gt;"",ISNUMBER(C11)),1,0)</f>
      </c>
      <c r="U11" s="1">
        <f>IF(AND($A11&lt;&gt;"",ISNUMBER(D11)),1,0)</f>
      </c>
      <c r="V11" s="1">
        <f>IF($A11="",0,IF(E11="ja",1,IF(E11="Pauschale",2,0)))</f>
      </c>
      <c r="W11" s="1">
        <f>IF($A11="",0,IF(AU11&gt;0,1,0))</f>
      </c>
      <c r="X11" s="1">
        <f>IF(AND(T11=1,W11=0),1,0)</f>
      </c>
      <c r="Y11" s="1">
        <f>IF(AND(AS11=1,AT11=0,AU11=0),1,0)</f>
      </c>
      <c r="Z11" s="1">
        <f>IF(AND(Y11=1,T11=0,U11=1,V11=0),1,0)</f>
      </c>
      <c r="AA11" s="1">
        <f>IF(AND(X11=1,U11=0,V11=0,AN11=0,AO11=1,AP11=0),1,0)</f>
      </c>
      <c r="AB11" s="1">
        <f>IF(OR(W11=1,Z11=1),0,IF(T11=1,C11,0))</f>
      </c>
      <c r="AC11" s="1">
        <f>IF(OR(V11&gt;0,AA11=1),1,IF(U11=1,D11,1))</f>
      </c>
      <c r="AD11" s="1">
        <f>IF($A11="",0,IF(OR(T11=1,U11=1,V11&gt;0,W11=1),1,0))</f>
      </c>
      <c r="AE11" s="1">
        <f>IF(AD11=0,0,ROUND((AC11-AB11)*1440,0))</f>
      </c>
      <c r="AF11" s="1">
        <f>IF(AD11=0,"",IF(AND(F11&lt;&gt;"",ISNA(MATCH(F11,PauschLand,0))),"Land nicht in der Liste; ","")&amp;IF(AND(T11=0,W11=0,Z11=0),"Beginn fehlt; ","")&amp;IF(AND(V11=0,U11=0,AA11=0),"Ende fehlt; ","")&amp;IF(AND(X11=1,U11=1,V11=0,N(D11)&lt;N(C11)),"Ende vor Beginn (über Mitternacht: Ende in die Zeile des Folgetags); ",""))</f>
      </c>
      <c r="AG11" s="1">
        <f>IF(AD11=0,0,IFERROR(VLOOKUP(IF(F11="","Deutschland",F11),PauschTab,2,FALSE),0))</f>
      </c>
      <c r="AH11" s="1">
        <f>IF(AD11=0,0,IFERROR(VLOOKUP(IF(F11="","Deutschland",F11),PauschTab,3,FALSE),0))</f>
      </c>
      <c r="AI11" s="1">
        <f>IF(AD11=0,0,IFERROR(VLOOKUP(IF(F11="","Deutschland",F11),PauschTab,4,FALSE),0))</f>
      </c>
      <c r="AJ11" s="1">
        <f>IF(OR(AD11=0,AF11&lt;&gt;""),0,IF(AND(W11=1,V11&gt;0),IF(OR(T11=1,U11=1),AH11,AG11),IF(OR(W11=1,V11&gt;0),AH11,IF(AA11=1,IF(AND(AE11+AQ11&gt;480,AE11&gt;=AQ11),AH11,0),IF(Z11=1,IF(AND(AR11+AE11&gt;480,AE11&gt;AR11),AH11,0),IF(AE11&gt;480,AH11,0))))))</f>
      </c>
      <c r="AK11" s="1">
        <f>MIN(AJ11,AM11)</f>
      </c>
      <c r="AL11" s="1">
        <f>IF(OR(AD11=0,AF11&lt;&gt;""),"",IF(AND(W11=0,V11=0,AA11=0,Z11=0,AE11&lt;=480),"nicht mehr als 8 Std.; ","")&amp;IF(AA11=1,IF(AJ11&gt;0,"über Mitternacht, zusammen "&amp;TEXT((AE11+AQ11)/1440,"[h]:mm")&amp;" Std.; ",IF(AE11+AQ11&gt;480,"über Mitternacht: Pauschale am Folgetag; ","über Mitternacht, zusammen nicht mehr als 8 Std.; ")),"")&amp;IF(Z11=1,IF(AJ11&gt;0,"über Mitternacht, zusammen "&amp;TEXT((AR11+AE11)/1440,"[h]:mm")&amp;" Std.; ",IF(AR11+AE11&gt;480,"über Mitternacht: Pauschale am Vortag; ","über Mitternacht, zusammen nicht mehr als 8 Std.; ")),"")&amp;IF(AND(W11=1,V11&gt;0,OR(T11=1,U11=1)),"zwischendurch zu Hause: An- und Abreisetag; ","")&amp;IF(AND(W11=1,V11=0,T11=1),"Beginn leer lassen: unterwegs seit dem Vortag; ","")&amp;IF(AND(W11=0,V11&gt;0,U11=1),"Ende leer lassen: Übernachtung; ","")&amp;IF(AND(AJ11&gt;0,AM11&gt;AJ11),"Kürzung auf die Pauschale begrenzt; ",""))</f>
      </c>
      <c r="AM11" s="1">
        <f>ROUND(AG11*(IF(H11&lt;&gt;"",0.2,0)+IF(I11&lt;&gt;"",0.4,0)+IF(J11&lt;&gt;"",0.4,0)),2)</f>
      </c>
      <c r="AN11" s="1">
        <f>IF($A12="",'Dezember'!$T$5,T12)</f>
      </c>
      <c r="AO11" s="1">
        <f>IF($A12="",'Dezember'!$U$5,U12)</f>
      </c>
      <c r="AP11" s="1">
        <f>IF($A12="",'Dezember'!$V$5,V12)</f>
      </c>
      <c r="AQ11" s="1">
        <f>IF($A12="",'Dezember'!$AE$5,AE12)</f>
      </c>
      <c r="AR11" s="1">
        <f>AE10</f>
      </c>
      <c r="AS11" s="1">
        <f>X10</f>
      </c>
      <c r="AT11" s="1">
        <f>U10</f>
      </c>
      <c r="AU11" s="1">
        <f>V10</f>
      </c>
    </row>
    <row r="12" spans="1:47" x14ac:dyDescent="0.25">
      <c r="A12" s="17">
        <f>IF(MONTH(DATE(Jahr,11,8))=11,DATE(Jahr,11,8),"")</f>
      </c>
      <c r="B12" s="13">
        <f>IF(A12="","",CHOOSE(WEEKDAY(A12,2),"Mo","Di","Mi","Do","Fr","Sa","So"))</f>
      </c>
      <c r="C12" s="18"/>
      <c r="D12" s="18"/>
      <c r="E12" s="7"/>
      <c r="F12" s="7"/>
      <c r="G12" s="7"/>
      <c r="H12" s="19"/>
      <c r="I12" s="19"/>
      <c r="J12" s="19"/>
      <c r="K12" s="9"/>
      <c r="L12" s="20">
        <f>IF(OR(AD12=0,AF12&lt;&gt;"",AND(W12=1,V12&gt;0,OR(T12=1,U12=1))),"",AE12/1440)</f>
      </c>
      <c r="M12" s="21">
        <f>IF(OR(AD12=0,AF12&lt;&gt;""),"",AJ12)</f>
      </c>
      <c r="N12" s="21">
        <f>IF(AK12=0,"",AK12)</f>
      </c>
      <c r="O12" s="21">
        <f>IF(OR(AD12=0,AF12&lt;&gt;""),"",AJ12-AK12)</f>
      </c>
      <c r="P12" s="21">
        <f>IF(AND(AD12=1,AF12="",V12=2),AI12,"")</f>
      </c>
      <c r="Q12" s="21">
        <f>IF(OR($A12="",N(K12)=0),"",ROUND(K12*KmSatz,2))</f>
      </c>
      <c r="R12" s="22">
        <f>IF(AF12&amp;AL12="","",LEFT(AF12&amp;AL12,LEN(AF12&amp;AL12)-2))</f>
      </c>
      <c r="S12" s="1"/>
      <c r="T12" s="1">
        <f>IF(AND($A12&lt;&gt;"",ISNUMBER(C12)),1,0)</f>
      </c>
      <c r="U12" s="1">
        <f>IF(AND($A12&lt;&gt;"",ISNUMBER(D12)),1,0)</f>
      </c>
      <c r="V12" s="1">
        <f>IF($A12="",0,IF(E12="ja",1,IF(E12="Pauschale",2,0)))</f>
      </c>
      <c r="W12" s="1">
        <f>IF($A12="",0,IF(AU12&gt;0,1,0))</f>
      </c>
      <c r="X12" s="1">
        <f>IF(AND(T12=1,W12=0),1,0)</f>
      </c>
      <c r="Y12" s="1">
        <f>IF(AND(AS12=1,AT12=0,AU12=0),1,0)</f>
      </c>
      <c r="Z12" s="1">
        <f>IF(AND(Y12=1,T12=0,U12=1,V12=0),1,0)</f>
      </c>
      <c r="AA12" s="1">
        <f>IF(AND(X12=1,U12=0,V12=0,AN12=0,AO12=1,AP12=0),1,0)</f>
      </c>
      <c r="AB12" s="1">
        <f>IF(OR(W12=1,Z12=1),0,IF(T12=1,C12,0))</f>
      </c>
      <c r="AC12" s="1">
        <f>IF(OR(V12&gt;0,AA12=1),1,IF(U12=1,D12,1))</f>
      </c>
      <c r="AD12" s="1">
        <f>IF($A12="",0,IF(OR(T12=1,U12=1,V12&gt;0,W12=1),1,0))</f>
      </c>
      <c r="AE12" s="1">
        <f>IF(AD12=0,0,ROUND((AC12-AB12)*1440,0))</f>
      </c>
      <c r="AF12" s="1">
        <f>IF(AD12=0,"",IF(AND(F12&lt;&gt;"",ISNA(MATCH(F12,PauschLand,0))),"Land nicht in der Liste; ","")&amp;IF(AND(T12=0,W12=0,Z12=0),"Beginn fehlt; ","")&amp;IF(AND(V12=0,U12=0,AA12=0),"Ende fehlt; ","")&amp;IF(AND(X12=1,U12=1,V12=0,N(D12)&lt;N(C12)),"Ende vor Beginn (über Mitternacht: Ende in die Zeile des Folgetags); ",""))</f>
      </c>
      <c r="AG12" s="1">
        <f>IF(AD12=0,0,IFERROR(VLOOKUP(IF(F12="","Deutschland",F12),PauschTab,2,FALSE),0))</f>
      </c>
      <c r="AH12" s="1">
        <f>IF(AD12=0,0,IFERROR(VLOOKUP(IF(F12="","Deutschland",F12),PauschTab,3,FALSE),0))</f>
      </c>
      <c r="AI12" s="1">
        <f>IF(AD12=0,0,IFERROR(VLOOKUP(IF(F12="","Deutschland",F12),PauschTab,4,FALSE),0))</f>
      </c>
      <c r="AJ12" s="1">
        <f>IF(OR(AD12=0,AF12&lt;&gt;""),0,IF(AND(W12=1,V12&gt;0),IF(OR(T12=1,U12=1),AH12,AG12),IF(OR(W12=1,V12&gt;0),AH12,IF(AA12=1,IF(AND(AE12+AQ12&gt;480,AE12&gt;=AQ12),AH12,0),IF(Z12=1,IF(AND(AR12+AE12&gt;480,AE12&gt;AR12),AH12,0),IF(AE12&gt;480,AH12,0))))))</f>
      </c>
      <c r="AK12" s="1">
        <f>MIN(AJ12,AM12)</f>
      </c>
      <c r="AL12" s="1">
        <f>IF(OR(AD12=0,AF12&lt;&gt;""),"",IF(AND(W12=0,V12=0,AA12=0,Z12=0,AE12&lt;=480),"nicht mehr als 8 Std.; ","")&amp;IF(AA12=1,IF(AJ12&gt;0,"über Mitternacht, zusammen "&amp;TEXT((AE12+AQ12)/1440,"[h]:mm")&amp;" Std.; ",IF(AE12+AQ12&gt;480,"über Mitternacht: Pauschale am Folgetag; ","über Mitternacht, zusammen nicht mehr als 8 Std.; ")),"")&amp;IF(Z12=1,IF(AJ12&gt;0,"über Mitternacht, zusammen "&amp;TEXT((AR12+AE12)/1440,"[h]:mm")&amp;" Std.; ",IF(AR12+AE12&gt;480,"über Mitternacht: Pauschale am Vortag; ","über Mitternacht, zusammen nicht mehr als 8 Std.; ")),"")&amp;IF(AND(W12=1,V12&gt;0,OR(T12=1,U12=1)),"zwischendurch zu Hause: An- und Abreisetag; ","")&amp;IF(AND(W12=1,V12=0,T12=1),"Beginn leer lassen: unterwegs seit dem Vortag; ","")&amp;IF(AND(W12=0,V12&gt;0,U12=1),"Ende leer lassen: Übernachtung; ","")&amp;IF(AND(AJ12&gt;0,AM12&gt;AJ12),"Kürzung auf die Pauschale begrenzt; ",""))</f>
      </c>
      <c r="AM12" s="1">
        <f>ROUND(AG12*(IF(H12&lt;&gt;"",0.2,0)+IF(I12&lt;&gt;"",0.4,0)+IF(J12&lt;&gt;"",0.4,0)),2)</f>
      </c>
      <c r="AN12" s="1">
        <f>IF($A13="",'Dezember'!$T$5,T13)</f>
      </c>
      <c r="AO12" s="1">
        <f>IF($A13="",'Dezember'!$U$5,U13)</f>
      </c>
      <c r="AP12" s="1">
        <f>IF($A13="",'Dezember'!$V$5,V13)</f>
      </c>
      <c r="AQ12" s="1">
        <f>IF($A13="",'Dezember'!$AE$5,AE13)</f>
      </c>
      <c r="AR12" s="1">
        <f>AE11</f>
      </c>
      <c r="AS12" s="1">
        <f>X11</f>
      </c>
      <c r="AT12" s="1">
        <f>U11</f>
      </c>
      <c r="AU12" s="1">
        <f>V11</f>
      </c>
    </row>
    <row r="13" spans="1:47" x14ac:dyDescent="0.25">
      <c r="A13" s="17">
        <f>IF(MONTH(DATE(Jahr,11,9))=11,DATE(Jahr,11,9),"")</f>
      </c>
      <c r="B13" s="13">
        <f>IF(A13="","",CHOOSE(WEEKDAY(A13,2),"Mo","Di","Mi","Do","Fr","Sa","So"))</f>
      </c>
      <c r="C13" s="18"/>
      <c r="D13" s="18"/>
      <c r="E13" s="7"/>
      <c r="F13" s="7"/>
      <c r="G13" s="7"/>
      <c r="H13" s="19"/>
      <c r="I13" s="19"/>
      <c r="J13" s="19"/>
      <c r="K13" s="9"/>
      <c r="L13" s="20">
        <f>IF(OR(AD13=0,AF13&lt;&gt;"",AND(W13=1,V13&gt;0,OR(T13=1,U13=1))),"",AE13/1440)</f>
      </c>
      <c r="M13" s="21">
        <f>IF(OR(AD13=0,AF13&lt;&gt;""),"",AJ13)</f>
      </c>
      <c r="N13" s="21">
        <f>IF(AK13=0,"",AK13)</f>
      </c>
      <c r="O13" s="21">
        <f>IF(OR(AD13=0,AF13&lt;&gt;""),"",AJ13-AK13)</f>
      </c>
      <c r="P13" s="21">
        <f>IF(AND(AD13=1,AF13="",V13=2),AI13,"")</f>
      </c>
      <c r="Q13" s="21">
        <f>IF(OR($A13="",N(K13)=0),"",ROUND(K13*KmSatz,2))</f>
      </c>
      <c r="R13" s="22">
        <f>IF(AF13&amp;AL13="","",LEFT(AF13&amp;AL13,LEN(AF13&amp;AL13)-2))</f>
      </c>
      <c r="S13" s="1"/>
      <c r="T13" s="1">
        <f>IF(AND($A13&lt;&gt;"",ISNUMBER(C13)),1,0)</f>
      </c>
      <c r="U13" s="1">
        <f>IF(AND($A13&lt;&gt;"",ISNUMBER(D13)),1,0)</f>
      </c>
      <c r="V13" s="1">
        <f>IF($A13="",0,IF(E13="ja",1,IF(E13="Pauschale",2,0)))</f>
      </c>
      <c r="W13" s="1">
        <f>IF($A13="",0,IF(AU13&gt;0,1,0))</f>
      </c>
      <c r="X13" s="1">
        <f>IF(AND(T13=1,W13=0),1,0)</f>
      </c>
      <c r="Y13" s="1">
        <f>IF(AND(AS13=1,AT13=0,AU13=0),1,0)</f>
      </c>
      <c r="Z13" s="1">
        <f>IF(AND(Y13=1,T13=0,U13=1,V13=0),1,0)</f>
      </c>
      <c r="AA13" s="1">
        <f>IF(AND(X13=1,U13=0,V13=0,AN13=0,AO13=1,AP13=0),1,0)</f>
      </c>
      <c r="AB13" s="1">
        <f>IF(OR(W13=1,Z13=1),0,IF(T13=1,C13,0))</f>
      </c>
      <c r="AC13" s="1">
        <f>IF(OR(V13&gt;0,AA13=1),1,IF(U13=1,D13,1))</f>
      </c>
      <c r="AD13" s="1">
        <f>IF($A13="",0,IF(OR(T13=1,U13=1,V13&gt;0,W13=1),1,0))</f>
      </c>
      <c r="AE13" s="1">
        <f>IF(AD13=0,0,ROUND((AC13-AB13)*1440,0))</f>
      </c>
      <c r="AF13" s="1">
        <f>IF(AD13=0,"",IF(AND(F13&lt;&gt;"",ISNA(MATCH(F13,PauschLand,0))),"Land nicht in der Liste; ","")&amp;IF(AND(T13=0,W13=0,Z13=0),"Beginn fehlt; ","")&amp;IF(AND(V13=0,U13=0,AA13=0),"Ende fehlt; ","")&amp;IF(AND(X13=1,U13=1,V13=0,N(D13)&lt;N(C13)),"Ende vor Beginn (über Mitternacht: Ende in die Zeile des Folgetags); ",""))</f>
      </c>
      <c r="AG13" s="1">
        <f>IF(AD13=0,0,IFERROR(VLOOKUP(IF(F13="","Deutschland",F13),PauschTab,2,FALSE),0))</f>
      </c>
      <c r="AH13" s="1">
        <f>IF(AD13=0,0,IFERROR(VLOOKUP(IF(F13="","Deutschland",F13),PauschTab,3,FALSE),0))</f>
      </c>
      <c r="AI13" s="1">
        <f>IF(AD13=0,0,IFERROR(VLOOKUP(IF(F13="","Deutschland",F13),PauschTab,4,FALSE),0))</f>
      </c>
      <c r="AJ13" s="1">
        <f>IF(OR(AD13=0,AF13&lt;&gt;""),0,IF(AND(W13=1,V13&gt;0),IF(OR(T13=1,U13=1),AH13,AG13),IF(OR(W13=1,V13&gt;0),AH13,IF(AA13=1,IF(AND(AE13+AQ13&gt;480,AE13&gt;=AQ13),AH13,0),IF(Z13=1,IF(AND(AR13+AE13&gt;480,AE13&gt;AR13),AH13,0),IF(AE13&gt;480,AH13,0))))))</f>
      </c>
      <c r="AK13" s="1">
        <f>MIN(AJ13,AM13)</f>
      </c>
      <c r="AL13" s="1">
        <f>IF(OR(AD13=0,AF13&lt;&gt;""),"",IF(AND(W13=0,V13=0,AA13=0,Z13=0,AE13&lt;=480),"nicht mehr als 8 Std.; ","")&amp;IF(AA13=1,IF(AJ13&gt;0,"über Mitternacht, zusammen "&amp;TEXT((AE13+AQ13)/1440,"[h]:mm")&amp;" Std.; ",IF(AE13+AQ13&gt;480,"über Mitternacht: Pauschale am Folgetag; ","über Mitternacht, zusammen nicht mehr als 8 Std.; ")),"")&amp;IF(Z13=1,IF(AJ13&gt;0,"über Mitternacht, zusammen "&amp;TEXT((AR13+AE13)/1440,"[h]:mm")&amp;" Std.; ",IF(AR13+AE13&gt;480,"über Mitternacht: Pauschale am Vortag; ","über Mitternacht, zusammen nicht mehr als 8 Std.; ")),"")&amp;IF(AND(W13=1,V13&gt;0,OR(T13=1,U13=1)),"zwischendurch zu Hause: An- und Abreisetag; ","")&amp;IF(AND(W13=1,V13=0,T13=1),"Beginn leer lassen: unterwegs seit dem Vortag; ","")&amp;IF(AND(W13=0,V13&gt;0,U13=1),"Ende leer lassen: Übernachtung; ","")&amp;IF(AND(AJ13&gt;0,AM13&gt;AJ13),"Kürzung auf die Pauschale begrenzt; ",""))</f>
      </c>
      <c r="AM13" s="1">
        <f>ROUND(AG13*(IF(H13&lt;&gt;"",0.2,0)+IF(I13&lt;&gt;"",0.4,0)+IF(J13&lt;&gt;"",0.4,0)),2)</f>
      </c>
      <c r="AN13" s="1">
        <f>IF($A14="",'Dezember'!$T$5,T14)</f>
      </c>
      <c r="AO13" s="1">
        <f>IF($A14="",'Dezember'!$U$5,U14)</f>
      </c>
      <c r="AP13" s="1">
        <f>IF($A14="",'Dezember'!$V$5,V14)</f>
      </c>
      <c r="AQ13" s="1">
        <f>IF($A14="",'Dezember'!$AE$5,AE14)</f>
      </c>
      <c r="AR13" s="1">
        <f>AE12</f>
      </c>
      <c r="AS13" s="1">
        <f>X12</f>
      </c>
      <c r="AT13" s="1">
        <f>U12</f>
      </c>
      <c r="AU13" s="1">
        <f>V12</f>
      </c>
    </row>
    <row r="14" spans="1:47" x14ac:dyDescent="0.25">
      <c r="A14" s="17">
        <f>IF(MONTH(DATE(Jahr,11,10))=11,DATE(Jahr,11,10),"")</f>
      </c>
      <c r="B14" s="13">
        <f>IF(A14="","",CHOOSE(WEEKDAY(A14,2),"Mo","Di","Mi","Do","Fr","Sa","So"))</f>
      </c>
      <c r="C14" s="18"/>
      <c r="D14" s="18"/>
      <c r="E14" s="7"/>
      <c r="F14" s="7"/>
      <c r="G14" s="7"/>
      <c r="H14" s="19"/>
      <c r="I14" s="19"/>
      <c r="J14" s="19"/>
      <c r="K14" s="9"/>
      <c r="L14" s="20">
        <f>IF(OR(AD14=0,AF14&lt;&gt;"",AND(W14=1,V14&gt;0,OR(T14=1,U14=1))),"",AE14/1440)</f>
      </c>
      <c r="M14" s="21">
        <f>IF(OR(AD14=0,AF14&lt;&gt;""),"",AJ14)</f>
      </c>
      <c r="N14" s="21">
        <f>IF(AK14=0,"",AK14)</f>
      </c>
      <c r="O14" s="21">
        <f>IF(OR(AD14=0,AF14&lt;&gt;""),"",AJ14-AK14)</f>
      </c>
      <c r="P14" s="21">
        <f>IF(AND(AD14=1,AF14="",V14=2),AI14,"")</f>
      </c>
      <c r="Q14" s="21">
        <f>IF(OR($A14="",N(K14)=0),"",ROUND(K14*KmSatz,2))</f>
      </c>
      <c r="R14" s="22">
        <f>IF(AF14&amp;AL14="","",LEFT(AF14&amp;AL14,LEN(AF14&amp;AL14)-2))</f>
      </c>
      <c r="S14" s="1"/>
      <c r="T14" s="1">
        <f>IF(AND($A14&lt;&gt;"",ISNUMBER(C14)),1,0)</f>
      </c>
      <c r="U14" s="1">
        <f>IF(AND($A14&lt;&gt;"",ISNUMBER(D14)),1,0)</f>
      </c>
      <c r="V14" s="1">
        <f>IF($A14="",0,IF(E14="ja",1,IF(E14="Pauschale",2,0)))</f>
      </c>
      <c r="W14" s="1">
        <f>IF($A14="",0,IF(AU14&gt;0,1,0))</f>
      </c>
      <c r="X14" s="1">
        <f>IF(AND(T14=1,W14=0),1,0)</f>
      </c>
      <c r="Y14" s="1">
        <f>IF(AND(AS14=1,AT14=0,AU14=0),1,0)</f>
      </c>
      <c r="Z14" s="1">
        <f>IF(AND(Y14=1,T14=0,U14=1,V14=0),1,0)</f>
      </c>
      <c r="AA14" s="1">
        <f>IF(AND(X14=1,U14=0,V14=0,AN14=0,AO14=1,AP14=0),1,0)</f>
      </c>
      <c r="AB14" s="1">
        <f>IF(OR(W14=1,Z14=1),0,IF(T14=1,C14,0))</f>
      </c>
      <c r="AC14" s="1">
        <f>IF(OR(V14&gt;0,AA14=1),1,IF(U14=1,D14,1))</f>
      </c>
      <c r="AD14" s="1">
        <f>IF($A14="",0,IF(OR(T14=1,U14=1,V14&gt;0,W14=1),1,0))</f>
      </c>
      <c r="AE14" s="1">
        <f>IF(AD14=0,0,ROUND((AC14-AB14)*1440,0))</f>
      </c>
      <c r="AF14" s="1">
        <f>IF(AD14=0,"",IF(AND(F14&lt;&gt;"",ISNA(MATCH(F14,PauschLand,0))),"Land nicht in der Liste; ","")&amp;IF(AND(T14=0,W14=0,Z14=0),"Beginn fehlt; ","")&amp;IF(AND(V14=0,U14=0,AA14=0),"Ende fehlt; ","")&amp;IF(AND(X14=1,U14=1,V14=0,N(D14)&lt;N(C14)),"Ende vor Beginn (über Mitternacht: Ende in die Zeile des Folgetags); ",""))</f>
      </c>
      <c r="AG14" s="1">
        <f>IF(AD14=0,0,IFERROR(VLOOKUP(IF(F14="","Deutschland",F14),PauschTab,2,FALSE),0))</f>
      </c>
      <c r="AH14" s="1">
        <f>IF(AD14=0,0,IFERROR(VLOOKUP(IF(F14="","Deutschland",F14),PauschTab,3,FALSE),0))</f>
      </c>
      <c r="AI14" s="1">
        <f>IF(AD14=0,0,IFERROR(VLOOKUP(IF(F14="","Deutschland",F14),PauschTab,4,FALSE),0))</f>
      </c>
      <c r="AJ14" s="1">
        <f>IF(OR(AD14=0,AF14&lt;&gt;""),0,IF(AND(W14=1,V14&gt;0),IF(OR(T14=1,U14=1),AH14,AG14),IF(OR(W14=1,V14&gt;0),AH14,IF(AA14=1,IF(AND(AE14+AQ14&gt;480,AE14&gt;=AQ14),AH14,0),IF(Z14=1,IF(AND(AR14+AE14&gt;480,AE14&gt;AR14),AH14,0),IF(AE14&gt;480,AH14,0))))))</f>
      </c>
      <c r="AK14" s="1">
        <f>MIN(AJ14,AM14)</f>
      </c>
      <c r="AL14" s="1">
        <f>IF(OR(AD14=0,AF14&lt;&gt;""),"",IF(AND(W14=0,V14=0,AA14=0,Z14=0,AE14&lt;=480),"nicht mehr als 8 Std.; ","")&amp;IF(AA14=1,IF(AJ14&gt;0,"über Mitternacht, zusammen "&amp;TEXT((AE14+AQ14)/1440,"[h]:mm")&amp;" Std.; ",IF(AE14+AQ14&gt;480,"über Mitternacht: Pauschale am Folgetag; ","über Mitternacht, zusammen nicht mehr als 8 Std.; ")),"")&amp;IF(Z14=1,IF(AJ14&gt;0,"über Mitternacht, zusammen "&amp;TEXT((AR14+AE14)/1440,"[h]:mm")&amp;" Std.; ",IF(AR14+AE14&gt;480,"über Mitternacht: Pauschale am Vortag; ","über Mitternacht, zusammen nicht mehr als 8 Std.; ")),"")&amp;IF(AND(W14=1,V14&gt;0,OR(T14=1,U14=1)),"zwischendurch zu Hause: An- und Abreisetag; ","")&amp;IF(AND(W14=1,V14=0,T14=1),"Beginn leer lassen: unterwegs seit dem Vortag; ","")&amp;IF(AND(W14=0,V14&gt;0,U14=1),"Ende leer lassen: Übernachtung; ","")&amp;IF(AND(AJ14&gt;0,AM14&gt;AJ14),"Kürzung auf die Pauschale begrenzt; ",""))</f>
      </c>
      <c r="AM14" s="1">
        <f>ROUND(AG14*(IF(H14&lt;&gt;"",0.2,0)+IF(I14&lt;&gt;"",0.4,0)+IF(J14&lt;&gt;"",0.4,0)),2)</f>
      </c>
      <c r="AN14" s="1">
        <f>IF($A15="",'Dezember'!$T$5,T15)</f>
      </c>
      <c r="AO14" s="1">
        <f>IF($A15="",'Dezember'!$U$5,U15)</f>
      </c>
      <c r="AP14" s="1">
        <f>IF($A15="",'Dezember'!$V$5,V15)</f>
      </c>
      <c r="AQ14" s="1">
        <f>IF($A15="",'Dezember'!$AE$5,AE15)</f>
      </c>
      <c r="AR14" s="1">
        <f>AE13</f>
      </c>
      <c r="AS14" s="1">
        <f>X13</f>
      </c>
      <c r="AT14" s="1">
        <f>U13</f>
      </c>
      <c r="AU14" s="1">
        <f>V13</f>
      </c>
    </row>
    <row r="15" spans="1:47" x14ac:dyDescent="0.25">
      <c r="A15" s="17">
        <f>IF(MONTH(DATE(Jahr,11,11))=11,DATE(Jahr,11,11),"")</f>
      </c>
      <c r="B15" s="13">
        <f>IF(A15="","",CHOOSE(WEEKDAY(A15,2),"Mo","Di","Mi","Do","Fr","Sa","So"))</f>
      </c>
      <c r="C15" s="18"/>
      <c r="D15" s="18"/>
      <c r="E15" s="7"/>
      <c r="F15" s="7"/>
      <c r="G15" s="7"/>
      <c r="H15" s="19"/>
      <c r="I15" s="19"/>
      <c r="J15" s="19"/>
      <c r="K15" s="9"/>
      <c r="L15" s="20">
        <f>IF(OR(AD15=0,AF15&lt;&gt;"",AND(W15=1,V15&gt;0,OR(T15=1,U15=1))),"",AE15/1440)</f>
      </c>
      <c r="M15" s="21">
        <f>IF(OR(AD15=0,AF15&lt;&gt;""),"",AJ15)</f>
      </c>
      <c r="N15" s="21">
        <f>IF(AK15=0,"",AK15)</f>
      </c>
      <c r="O15" s="21">
        <f>IF(OR(AD15=0,AF15&lt;&gt;""),"",AJ15-AK15)</f>
      </c>
      <c r="P15" s="21">
        <f>IF(AND(AD15=1,AF15="",V15=2),AI15,"")</f>
      </c>
      <c r="Q15" s="21">
        <f>IF(OR($A15="",N(K15)=0),"",ROUND(K15*KmSatz,2))</f>
      </c>
      <c r="R15" s="22">
        <f>IF(AF15&amp;AL15="","",LEFT(AF15&amp;AL15,LEN(AF15&amp;AL15)-2))</f>
      </c>
      <c r="S15" s="1"/>
      <c r="T15" s="1">
        <f>IF(AND($A15&lt;&gt;"",ISNUMBER(C15)),1,0)</f>
      </c>
      <c r="U15" s="1">
        <f>IF(AND($A15&lt;&gt;"",ISNUMBER(D15)),1,0)</f>
      </c>
      <c r="V15" s="1">
        <f>IF($A15="",0,IF(E15="ja",1,IF(E15="Pauschale",2,0)))</f>
      </c>
      <c r="W15" s="1">
        <f>IF($A15="",0,IF(AU15&gt;0,1,0))</f>
      </c>
      <c r="X15" s="1">
        <f>IF(AND(T15=1,W15=0),1,0)</f>
      </c>
      <c r="Y15" s="1">
        <f>IF(AND(AS15=1,AT15=0,AU15=0),1,0)</f>
      </c>
      <c r="Z15" s="1">
        <f>IF(AND(Y15=1,T15=0,U15=1,V15=0),1,0)</f>
      </c>
      <c r="AA15" s="1">
        <f>IF(AND(X15=1,U15=0,V15=0,AN15=0,AO15=1,AP15=0),1,0)</f>
      </c>
      <c r="AB15" s="1">
        <f>IF(OR(W15=1,Z15=1),0,IF(T15=1,C15,0))</f>
      </c>
      <c r="AC15" s="1">
        <f>IF(OR(V15&gt;0,AA15=1),1,IF(U15=1,D15,1))</f>
      </c>
      <c r="AD15" s="1">
        <f>IF($A15="",0,IF(OR(T15=1,U15=1,V15&gt;0,W15=1),1,0))</f>
      </c>
      <c r="AE15" s="1">
        <f>IF(AD15=0,0,ROUND((AC15-AB15)*1440,0))</f>
      </c>
      <c r="AF15" s="1">
        <f>IF(AD15=0,"",IF(AND(F15&lt;&gt;"",ISNA(MATCH(F15,PauschLand,0))),"Land nicht in der Liste; ","")&amp;IF(AND(T15=0,W15=0,Z15=0),"Beginn fehlt; ","")&amp;IF(AND(V15=0,U15=0,AA15=0),"Ende fehlt; ","")&amp;IF(AND(X15=1,U15=1,V15=0,N(D15)&lt;N(C15)),"Ende vor Beginn (über Mitternacht: Ende in die Zeile des Folgetags); ",""))</f>
      </c>
      <c r="AG15" s="1">
        <f>IF(AD15=0,0,IFERROR(VLOOKUP(IF(F15="","Deutschland",F15),PauschTab,2,FALSE),0))</f>
      </c>
      <c r="AH15" s="1">
        <f>IF(AD15=0,0,IFERROR(VLOOKUP(IF(F15="","Deutschland",F15),PauschTab,3,FALSE),0))</f>
      </c>
      <c r="AI15" s="1">
        <f>IF(AD15=0,0,IFERROR(VLOOKUP(IF(F15="","Deutschland",F15),PauschTab,4,FALSE),0))</f>
      </c>
      <c r="AJ15" s="1">
        <f>IF(OR(AD15=0,AF15&lt;&gt;""),0,IF(AND(W15=1,V15&gt;0),IF(OR(T15=1,U15=1),AH15,AG15),IF(OR(W15=1,V15&gt;0),AH15,IF(AA15=1,IF(AND(AE15+AQ15&gt;480,AE15&gt;=AQ15),AH15,0),IF(Z15=1,IF(AND(AR15+AE15&gt;480,AE15&gt;AR15),AH15,0),IF(AE15&gt;480,AH15,0))))))</f>
      </c>
      <c r="AK15" s="1">
        <f>MIN(AJ15,AM15)</f>
      </c>
      <c r="AL15" s="1">
        <f>IF(OR(AD15=0,AF15&lt;&gt;""),"",IF(AND(W15=0,V15=0,AA15=0,Z15=0,AE15&lt;=480),"nicht mehr als 8 Std.; ","")&amp;IF(AA15=1,IF(AJ15&gt;0,"über Mitternacht, zusammen "&amp;TEXT((AE15+AQ15)/1440,"[h]:mm")&amp;" Std.; ",IF(AE15+AQ15&gt;480,"über Mitternacht: Pauschale am Folgetag; ","über Mitternacht, zusammen nicht mehr als 8 Std.; ")),"")&amp;IF(Z15=1,IF(AJ15&gt;0,"über Mitternacht, zusammen "&amp;TEXT((AR15+AE15)/1440,"[h]:mm")&amp;" Std.; ",IF(AR15+AE15&gt;480,"über Mitternacht: Pauschale am Vortag; ","über Mitternacht, zusammen nicht mehr als 8 Std.; ")),"")&amp;IF(AND(W15=1,V15&gt;0,OR(T15=1,U15=1)),"zwischendurch zu Hause: An- und Abreisetag; ","")&amp;IF(AND(W15=1,V15=0,T15=1),"Beginn leer lassen: unterwegs seit dem Vortag; ","")&amp;IF(AND(W15=0,V15&gt;0,U15=1),"Ende leer lassen: Übernachtung; ","")&amp;IF(AND(AJ15&gt;0,AM15&gt;AJ15),"Kürzung auf die Pauschale begrenzt; ",""))</f>
      </c>
      <c r="AM15" s="1">
        <f>ROUND(AG15*(IF(H15&lt;&gt;"",0.2,0)+IF(I15&lt;&gt;"",0.4,0)+IF(J15&lt;&gt;"",0.4,0)),2)</f>
      </c>
      <c r="AN15" s="1">
        <f>IF($A16="",'Dezember'!$T$5,T16)</f>
      </c>
      <c r="AO15" s="1">
        <f>IF($A16="",'Dezember'!$U$5,U16)</f>
      </c>
      <c r="AP15" s="1">
        <f>IF($A16="",'Dezember'!$V$5,V16)</f>
      </c>
      <c r="AQ15" s="1">
        <f>IF($A16="",'Dezember'!$AE$5,AE16)</f>
      </c>
      <c r="AR15" s="1">
        <f>AE14</f>
      </c>
      <c r="AS15" s="1">
        <f>X14</f>
      </c>
      <c r="AT15" s="1">
        <f>U14</f>
      </c>
      <c r="AU15" s="1">
        <f>V14</f>
      </c>
    </row>
    <row r="16" spans="1:47" x14ac:dyDescent="0.25">
      <c r="A16" s="17">
        <f>IF(MONTH(DATE(Jahr,11,12))=11,DATE(Jahr,11,12),"")</f>
      </c>
      <c r="B16" s="13">
        <f>IF(A16="","",CHOOSE(WEEKDAY(A16,2),"Mo","Di","Mi","Do","Fr","Sa","So"))</f>
      </c>
      <c r="C16" s="18"/>
      <c r="D16" s="18"/>
      <c r="E16" s="7"/>
      <c r="F16" s="7"/>
      <c r="G16" s="7"/>
      <c r="H16" s="19"/>
      <c r="I16" s="19"/>
      <c r="J16" s="19"/>
      <c r="K16" s="9"/>
      <c r="L16" s="20">
        <f>IF(OR(AD16=0,AF16&lt;&gt;"",AND(W16=1,V16&gt;0,OR(T16=1,U16=1))),"",AE16/1440)</f>
      </c>
      <c r="M16" s="21">
        <f>IF(OR(AD16=0,AF16&lt;&gt;""),"",AJ16)</f>
      </c>
      <c r="N16" s="21">
        <f>IF(AK16=0,"",AK16)</f>
      </c>
      <c r="O16" s="21">
        <f>IF(OR(AD16=0,AF16&lt;&gt;""),"",AJ16-AK16)</f>
      </c>
      <c r="P16" s="21">
        <f>IF(AND(AD16=1,AF16="",V16=2),AI16,"")</f>
      </c>
      <c r="Q16" s="21">
        <f>IF(OR($A16="",N(K16)=0),"",ROUND(K16*KmSatz,2))</f>
      </c>
      <c r="R16" s="22">
        <f>IF(AF16&amp;AL16="","",LEFT(AF16&amp;AL16,LEN(AF16&amp;AL16)-2))</f>
      </c>
      <c r="S16" s="1"/>
      <c r="T16" s="1">
        <f>IF(AND($A16&lt;&gt;"",ISNUMBER(C16)),1,0)</f>
      </c>
      <c r="U16" s="1">
        <f>IF(AND($A16&lt;&gt;"",ISNUMBER(D16)),1,0)</f>
      </c>
      <c r="V16" s="1">
        <f>IF($A16="",0,IF(E16="ja",1,IF(E16="Pauschale",2,0)))</f>
      </c>
      <c r="W16" s="1">
        <f>IF($A16="",0,IF(AU16&gt;0,1,0))</f>
      </c>
      <c r="X16" s="1">
        <f>IF(AND(T16=1,W16=0),1,0)</f>
      </c>
      <c r="Y16" s="1">
        <f>IF(AND(AS16=1,AT16=0,AU16=0),1,0)</f>
      </c>
      <c r="Z16" s="1">
        <f>IF(AND(Y16=1,T16=0,U16=1,V16=0),1,0)</f>
      </c>
      <c r="AA16" s="1">
        <f>IF(AND(X16=1,U16=0,V16=0,AN16=0,AO16=1,AP16=0),1,0)</f>
      </c>
      <c r="AB16" s="1">
        <f>IF(OR(W16=1,Z16=1),0,IF(T16=1,C16,0))</f>
      </c>
      <c r="AC16" s="1">
        <f>IF(OR(V16&gt;0,AA16=1),1,IF(U16=1,D16,1))</f>
      </c>
      <c r="AD16" s="1">
        <f>IF($A16="",0,IF(OR(T16=1,U16=1,V16&gt;0,W16=1),1,0))</f>
      </c>
      <c r="AE16" s="1">
        <f>IF(AD16=0,0,ROUND((AC16-AB16)*1440,0))</f>
      </c>
      <c r="AF16" s="1">
        <f>IF(AD16=0,"",IF(AND(F16&lt;&gt;"",ISNA(MATCH(F16,PauschLand,0))),"Land nicht in der Liste; ","")&amp;IF(AND(T16=0,W16=0,Z16=0),"Beginn fehlt; ","")&amp;IF(AND(V16=0,U16=0,AA16=0),"Ende fehlt; ","")&amp;IF(AND(X16=1,U16=1,V16=0,N(D16)&lt;N(C16)),"Ende vor Beginn (über Mitternacht: Ende in die Zeile des Folgetags); ",""))</f>
      </c>
      <c r="AG16" s="1">
        <f>IF(AD16=0,0,IFERROR(VLOOKUP(IF(F16="","Deutschland",F16),PauschTab,2,FALSE),0))</f>
      </c>
      <c r="AH16" s="1">
        <f>IF(AD16=0,0,IFERROR(VLOOKUP(IF(F16="","Deutschland",F16),PauschTab,3,FALSE),0))</f>
      </c>
      <c r="AI16" s="1">
        <f>IF(AD16=0,0,IFERROR(VLOOKUP(IF(F16="","Deutschland",F16),PauschTab,4,FALSE),0))</f>
      </c>
      <c r="AJ16" s="1">
        <f>IF(OR(AD16=0,AF16&lt;&gt;""),0,IF(AND(W16=1,V16&gt;0),IF(OR(T16=1,U16=1),AH16,AG16),IF(OR(W16=1,V16&gt;0),AH16,IF(AA16=1,IF(AND(AE16+AQ16&gt;480,AE16&gt;=AQ16),AH16,0),IF(Z16=1,IF(AND(AR16+AE16&gt;480,AE16&gt;AR16),AH16,0),IF(AE16&gt;480,AH16,0))))))</f>
      </c>
      <c r="AK16" s="1">
        <f>MIN(AJ16,AM16)</f>
      </c>
      <c r="AL16" s="1">
        <f>IF(OR(AD16=0,AF16&lt;&gt;""),"",IF(AND(W16=0,V16=0,AA16=0,Z16=0,AE16&lt;=480),"nicht mehr als 8 Std.; ","")&amp;IF(AA16=1,IF(AJ16&gt;0,"über Mitternacht, zusammen "&amp;TEXT((AE16+AQ16)/1440,"[h]:mm")&amp;" Std.; ",IF(AE16+AQ16&gt;480,"über Mitternacht: Pauschale am Folgetag; ","über Mitternacht, zusammen nicht mehr als 8 Std.; ")),"")&amp;IF(Z16=1,IF(AJ16&gt;0,"über Mitternacht, zusammen "&amp;TEXT((AR16+AE16)/1440,"[h]:mm")&amp;" Std.; ",IF(AR16+AE16&gt;480,"über Mitternacht: Pauschale am Vortag; ","über Mitternacht, zusammen nicht mehr als 8 Std.; ")),"")&amp;IF(AND(W16=1,V16&gt;0,OR(T16=1,U16=1)),"zwischendurch zu Hause: An- und Abreisetag; ","")&amp;IF(AND(W16=1,V16=0,T16=1),"Beginn leer lassen: unterwegs seit dem Vortag; ","")&amp;IF(AND(W16=0,V16&gt;0,U16=1),"Ende leer lassen: Übernachtung; ","")&amp;IF(AND(AJ16&gt;0,AM16&gt;AJ16),"Kürzung auf die Pauschale begrenzt; ",""))</f>
      </c>
      <c r="AM16" s="1">
        <f>ROUND(AG16*(IF(H16&lt;&gt;"",0.2,0)+IF(I16&lt;&gt;"",0.4,0)+IF(J16&lt;&gt;"",0.4,0)),2)</f>
      </c>
      <c r="AN16" s="1">
        <f>IF($A17="",'Dezember'!$T$5,T17)</f>
      </c>
      <c r="AO16" s="1">
        <f>IF($A17="",'Dezember'!$U$5,U17)</f>
      </c>
      <c r="AP16" s="1">
        <f>IF($A17="",'Dezember'!$V$5,V17)</f>
      </c>
      <c r="AQ16" s="1">
        <f>IF($A17="",'Dezember'!$AE$5,AE17)</f>
      </c>
      <c r="AR16" s="1">
        <f>AE15</f>
      </c>
      <c r="AS16" s="1">
        <f>X15</f>
      </c>
      <c r="AT16" s="1">
        <f>U15</f>
      </c>
      <c r="AU16" s="1">
        <f>V15</f>
      </c>
    </row>
    <row r="17" spans="1:47" x14ac:dyDescent="0.25">
      <c r="A17" s="17">
        <f>IF(MONTH(DATE(Jahr,11,13))=11,DATE(Jahr,11,13),"")</f>
      </c>
      <c r="B17" s="13">
        <f>IF(A17="","",CHOOSE(WEEKDAY(A17,2),"Mo","Di","Mi","Do","Fr","Sa","So"))</f>
      </c>
      <c r="C17" s="18"/>
      <c r="D17" s="18"/>
      <c r="E17" s="7"/>
      <c r="F17" s="7"/>
      <c r="G17" s="7"/>
      <c r="H17" s="19"/>
      <c r="I17" s="19"/>
      <c r="J17" s="19"/>
      <c r="K17" s="9"/>
      <c r="L17" s="20">
        <f>IF(OR(AD17=0,AF17&lt;&gt;"",AND(W17=1,V17&gt;0,OR(T17=1,U17=1))),"",AE17/1440)</f>
      </c>
      <c r="M17" s="21">
        <f>IF(OR(AD17=0,AF17&lt;&gt;""),"",AJ17)</f>
      </c>
      <c r="N17" s="21">
        <f>IF(AK17=0,"",AK17)</f>
      </c>
      <c r="O17" s="21">
        <f>IF(OR(AD17=0,AF17&lt;&gt;""),"",AJ17-AK17)</f>
      </c>
      <c r="P17" s="21">
        <f>IF(AND(AD17=1,AF17="",V17=2),AI17,"")</f>
      </c>
      <c r="Q17" s="21">
        <f>IF(OR($A17="",N(K17)=0),"",ROUND(K17*KmSatz,2))</f>
      </c>
      <c r="R17" s="22">
        <f>IF(AF17&amp;AL17="","",LEFT(AF17&amp;AL17,LEN(AF17&amp;AL17)-2))</f>
      </c>
      <c r="S17" s="1"/>
      <c r="T17" s="1">
        <f>IF(AND($A17&lt;&gt;"",ISNUMBER(C17)),1,0)</f>
      </c>
      <c r="U17" s="1">
        <f>IF(AND($A17&lt;&gt;"",ISNUMBER(D17)),1,0)</f>
      </c>
      <c r="V17" s="1">
        <f>IF($A17="",0,IF(E17="ja",1,IF(E17="Pauschale",2,0)))</f>
      </c>
      <c r="W17" s="1">
        <f>IF($A17="",0,IF(AU17&gt;0,1,0))</f>
      </c>
      <c r="X17" s="1">
        <f>IF(AND(T17=1,W17=0),1,0)</f>
      </c>
      <c r="Y17" s="1">
        <f>IF(AND(AS17=1,AT17=0,AU17=0),1,0)</f>
      </c>
      <c r="Z17" s="1">
        <f>IF(AND(Y17=1,T17=0,U17=1,V17=0),1,0)</f>
      </c>
      <c r="AA17" s="1">
        <f>IF(AND(X17=1,U17=0,V17=0,AN17=0,AO17=1,AP17=0),1,0)</f>
      </c>
      <c r="AB17" s="1">
        <f>IF(OR(W17=1,Z17=1),0,IF(T17=1,C17,0))</f>
      </c>
      <c r="AC17" s="1">
        <f>IF(OR(V17&gt;0,AA17=1),1,IF(U17=1,D17,1))</f>
      </c>
      <c r="AD17" s="1">
        <f>IF($A17="",0,IF(OR(T17=1,U17=1,V17&gt;0,W17=1),1,0))</f>
      </c>
      <c r="AE17" s="1">
        <f>IF(AD17=0,0,ROUND((AC17-AB17)*1440,0))</f>
      </c>
      <c r="AF17" s="1">
        <f>IF(AD17=0,"",IF(AND(F17&lt;&gt;"",ISNA(MATCH(F17,PauschLand,0))),"Land nicht in der Liste; ","")&amp;IF(AND(T17=0,W17=0,Z17=0),"Beginn fehlt; ","")&amp;IF(AND(V17=0,U17=0,AA17=0),"Ende fehlt; ","")&amp;IF(AND(X17=1,U17=1,V17=0,N(D17)&lt;N(C17)),"Ende vor Beginn (über Mitternacht: Ende in die Zeile des Folgetags); ",""))</f>
      </c>
      <c r="AG17" s="1">
        <f>IF(AD17=0,0,IFERROR(VLOOKUP(IF(F17="","Deutschland",F17),PauschTab,2,FALSE),0))</f>
      </c>
      <c r="AH17" s="1">
        <f>IF(AD17=0,0,IFERROR(VLOOKUP(IF(F17="","Deutschland",F17),PauschTab,3,FALSE),0))</f>
      </c>
      <c r="AI17" s="1">
        <f>IF(AD17=0,0,IFERROR(VLOOKUP(IF(F17="","Deutschland",F17),PauschTab,4,FALSE),0))</f>
      </c>
      <c r="AJ17" s="1">
        <f>IF(OR(AD17=0,AF17&lt;&gt;""),0,IF(AND(W17=1,V17&gt;0),IF(OR(T17=1,U17=1),AH17,AG17),IF(OR(W17=1,V17&gt;0),AH17,IF(AA17=1,IF(AND(AE17+AQ17&gt;480,AE17&gt;=AQ17),AH17,0),IF(Z17=1,IF(AND(AR17+AE17&gt;480,AE17&gt;AR17),AH17,0),IF(AE17&gt;480,AH17,0))))))</f>
      </c>
      <c r="AK17" s="1">
        <f>MIN(AJ17,AM17)</f>
      </c>
      <c r="AL17" s="1">
        <f>IF(OR(AD17=0,AF17&lt;&gt;""),"",IF(AND(W17=0,V17=0,AA17=0,Z17=0,AE17&lt;=480),"nicht mehr als 8 Std.; ","")&amp;IF(AA17=1,IF(AJ17&gt;0,"über Mitternacht, zusammen "&amp;TEXT((AE17+AQ17)/1440,"[h]:mm")&amp;" Std.; ",IF(AE17+AQ17&gt;480,"über Mitternacht: Pauschale am Folgetag; ","über Mitternacht, zusammen nicht mehr als 8 Std.; ")),"")&amp;IF(Z17=1,IF(AJ17&gt;0,"über Mitternacht, zusammen "&amp;TEXT((AR17+AE17)/1440,"[h]:mm")&amp;" Std.; ",IF(AR17+AE17&gt;480,"über Mitternacht: Pauschale am Vortag; ","über Mitternacht, zusammen nicht mehr als 8 Std.; ")),"")&amp;IF(AND(W17=1,V17&gt;0,OR(T17=1,U17=1)),"zwischendurch zu Hause: An- und Abreisetag; ","")&amp;IF(AND(W17=1,V17=0,T17=1),"Beginn leer lassen: unterwegs seit dem Vortag; ","")&amp;IF(AND(W17=0,V17&gt;0,U17=1),"Ende leer lassen: Übernachtung; ","")&amp;IF(AND(AJ17&gt;0,AM17&gt;AJ17),"Kürzung auf die Pauschale begrenzt; ",""))</f>
      </c>
      <c r="AM17" s="1">
        <f>ROUND(AG17*(IF(H17&lt;&gt;"",0.2,0)+IF(I17&lt;&gt;"",0.4,0)+IF(J17&lt;&gt;"",0.4,0)),2)</f>
      </c>
      <c r="AN17" s="1">
        <f>IF($A18="",'Dezember'!$T$5,T18)</f>
      </c>
      <c r="AO17" s="1">
        <f>IF($A18="",'Dezember'!$U$5,U18)</f>
      </c>
      <c r="AP17" s="1">
        <f>IF($A18="",'Dezember'!$V$5,V18)</f>
      </c>
      <c r="AQ17" s="1">
        <f>IF($A18="",'Dezember'!$AE$5,AE18)</f>
      </c>
      <c r="AR17" s="1">
        <f>AE16</f>
      </c>
      <c r="AS17" s="1">
        <f>X16</f>
      </c>
      <c r="AT17" s="1">
        <f>U16</f>
      </c>
      <c r="AU17" s="1">
        <f>V16</f>
      </c>
    </row>
    <row r="18" spans="1:47" x14ac:dyDescent="0.25">
      <c r="A18" s="17">
        <f>IF(MONTH(DATE(Jahr,11,14))=11,DATE(Jahr,11,14),"")</f>
      </c>
      <c r="B18" s="13">
        <f>IF(A18="","",CHOOSE(WEEKDAY(A18,2),"Mo","Di","Mi","Do","Fr","Sa","So"))</f>
      </c>
      <c r="C18" s="18"/>
      <c r="D18" s="18"/>
      <c r="E18" s="7"/>
      <c r="F18" s="7"/>
      <c r="G18" s="7"/>
      <c r="H18" s="19"/>
      <c r="I18" s="19"/>
      <c r="J18" s="19"/>
      <c r="K18" s="9"/>
      <c r="L18" s="20">
        <f>IF(OR(AD18=0,AF18&lt;&gt;"",AND(W18=1,V18&gt;0,OR(T18=1,U18=1))),"",AE18/1440)</f>
      </c>
      <c r="M18" s="21">
        <f>IF(OR(AD18=0,AF18&lt;&gt;""),"",AJ18)</f>
      </c>
      <c r="N18" s="21">
        <f>IF(AK18=0,"",AK18)</f>
      </c>
      <c r="O18" s="21">
        <f>IF(OR(AD18=0,AF18&lt;&gt;""),"",AJ18-AK18)</f>
      </c>
      <c r="P18" s="21">
        <f>IF(AND(AD18=1,AF18="",V18=2),AI18,"")</f>
      </c>
      <c r="Q18" s="21">
        <f>IF(OR($A18="",N(K18)=0),"",ROUND(K18*KmSatz,2))</f>
      </c>
      <c r="R18" s="22">
        <f>IF(AF18&amp;AL18="","",LEFT(AF18&amp;AL18,LEN(AF18&amp;AL18)-2))</f>
      </c>
      <c r="S18" s="1"/>
      <c r="T18" s="1">
        <f>IF(AND($A18&lt;&gt;"",ISNUMBER(C18)),1,0)</f>
      </c>
      <c r="U18" s="1">
        <f>IF(AND($A18&lt;&gt;"",ISNUMBER(D18)),1,0)</f>
      </c>
      <c r="V18" s="1">
        <f>IF($A18="",0,IF(E18="ja",1,IF(E18="Pauschale",2,0)))</f>
      </c>
      <c r="W18" s="1">
        <f>IF($A18="",0,IF(AU18&gt;0,1,0))</f>
      </c>
      <c r="X18" s="1">
        <f>IF(AND(T18=1,W18=0),1,0)</f>
      </c>
      <c r="Y18" s="1">
        <f>IF(AND(AS18=1,AT18=0,AU18=0),1,0)</f>
      </c>
      <c r="Z18" s="1">
        <f>IF(AND(Y18=1,T18=0,U18=1,V18=0),1,0)</f>
      </c>
      <c r="AA18" s="1">
        <f>IF(AND(X18=1,U18=0,V18=0,AN18=0,AO18=1,AP18=0),1,0)</f>
      </c>
      <c r="AB18" s="1">
        <f>IF(OR(W18=1,Z18=1),0,IF(T18=1,C18,0))</f>
      </c>
      <c r="AC18" s="1">
        <f>IF(OR(V18&gt;0,AA18=1),1,IF(U18=1,D18,1))</f>
      </c>
      <c r="AD18" s="1">
        <f>IF($A18="",0,IF(OR(T18=1,U18=1,V18&gt;0,W18=1),1,0))</f>
      </c>
      <c r="AE18" s="1">
        <f>IF(AD18=0,0,ROUND((AC18-AB18)*1440,0))</f>
      </c>
      <c r="AF18" s="1">
        <f>IF(AD18=0,"",IF(AND(F18&lt;&gt;"",ISNA(MATCH(F18,PauschLand,0))),"Land nicht in der Liste; ","")&amp;IF(AND(T18=0,W18=0,Z18=0),"Beginn fehlt; ","")&amp;IF(AND(V18=0,U18=0,AA18=0),"Ende fehlt; ","")&amp;IF(AND(X18=1,U18=1,V18=0,N(D18)&lt;N(C18)),"Ende vor Beginn (über Mitternacht: Ende in die Zeile des Folgetags); ",""))</f>
      </c>
      <c r="AG18" s="1">
        <f>IF(AD18=0,0,IFERROR(VLOOKUP(IF(F18="","Deutschland",F18),PauschTab,2,FALSE),0))</f>
      </c>
      <c r="AH18" s="1">
        <f>IF(AD18=0,0,IFERROR(VLOOKUP(IF(F18="","Deutschland",F18),PauschTab,3,FALSE),0))</f>
      </c>
      <c r="AI18" s="1">
        <f>IF(AD18=0,0,IFERROR(VLOOKUP(IF(F18="","Deutschland",F18),PauschTab,4,FALSE),0))</f>
      </c>
      <c r="AJ18" s="1">
        <f>IF(OR(AD18=0,AF18&lt;&gt;""),0,IF(AND(W18=1,V18&gt;0),IF(OR(T18=1,U18=1),AH18,AG18),IF(OR(W18=1,V18&gt;0),AH18,IF(AA18=1,IF(AND(AE18+AQ18&gt;480,AE18&gt;=AQ18),AH18,0),IF(Z18=1,IF(AND(AR18+AE18&gt;480,AE18&gt;AR18),AH18,0),IF(AE18&gt;480,AH18,0))))))</f>
      </c>
      <c r="AK18" s="1">
        <f>MIN(AJ18,AM18)</f>
      </c>
      <c r="AL18" s="1">
        <f>IF(OR(AD18=0,AF18&lt;&gt;""),"",IF(AND(W18=0,V18=0,AA18=0,Z18=0,AE18&lt;=480),"nicht mehr als 8 Std.; ","")&amp;IF(AA18=1,IF(AJ18&gt;0,"über Mitternacht, zusammen "&amp;TEXT((AE18+AQ18)/1440,"[h]:mm")&amp;" Std.; ",IF(AE18+AQ18&gt;480,"über Mitternacht: Pauschale am Folgetag; ","über Mitternacht, zusammen nicht mehr als 8 Std.; ")),"")&amp;IF(Z18=1,IF(AJ18&gt;0,"über Mitternacht, zusammen "&amp;TEXT((AR18+AE18)/1440,"[h]:mm")&amp;" Std.; ",IF(AR18+AE18&gt;480,"über Mitternacht: Pauschale am Vortag; ","über Mitternacht, zusammen nicht mehr als 8 Std.; ")),"")&amp;IF(AND(W18=1,V18&gt;0,OR(T18=1,U18=1)),"zwischendurch zu Hause: An- und Abreisetag; ","")&amp;IF(AND(W18=1,V18=0,T18=1),"Beginn leer lassen: unterwegs seit dem Vortag; ","")&amp;IF(AND(W18=0,V18&gt;0,U18=1),"Ende leer lassen: Übernachtung; ","")&amp;IF(AND(AJ18&gt;0,AM18&gt;AJ18),"Kürzung auf die Pauschale begrenzt; ",""))</f>
      </c>
      <c r="AM18" s="1">
        <f>ROUND(AG18*(IF(H18&lt;&gt;"",0.2,0)+IF(I18&lt;&gt;"",0.4,0)+IF(J18&lt;&gt;"",0.4,0)),2)</f>
      </c>
      <c r="AN18" s="1">
        <f>IF($A19="",'Dezember'!$T$5,T19)</f>
      </c>
      <c r="AO18" s="1">
        <f>IF($A19="",'Dezember'!$U$5,U19)</f>
      </c>
      <c r="AP18" s="1">
        <f>IF($A19="",'Dezember'!$V$5,V19)</f>
      </c>
      <c r="AQ18" s="1">
        <f>IF($A19="",'Dezember'!$AE$5,AE19)</f>
      </c>
      <c r="AR18" s="1">
        <f>AE17</f>
      </c>
      <c r="AS18" s="1">
        <f>X17</f>
      </c>
      <c r="AT18" s="1">
        <f>U17</f>
      </c>
      <c r="AU18" s="1">
        <f>V17</f>
      </c>
    </row>
    <row r="19" spans="1:47" x14ac:dyDescent="0.25">
      <c r="A19" s="17">
        <f>IF(MONTH(DATE(Jahr,11,15))=11,DATE(Jahr,11,15),"")</f>
      </c>
      <c r="B19" s="13">
        <f>IF(A19="","",CHOOSE(WEEKDAY(A19,2),"Mo","Di","Mi","Do","Fr","Sa","So"))</f>
      </c>
      <c r="C19" s="18"/>
      <c r="D19" s="18"/>
      <c r="E19" s="7"/>
      <c r="F19" s="7"/>
      <c r="G19" s="7"/>
      <c r="H19" s="19"/>
      <c r="I19" s="19"/>
      <c r="J19" s="19"/>
      <c r="K19" s="9"/>
      <c r="L19" s="20">
        <f>IF(OR(AD19=0,AF19&lt;&gt;"",AND(W19=1,V19&gt;0,OR(T19=1,U19=1))),"",AE19/1440)</f>
      </c>
      <c r="M19" s="21">
        <f>IF(OR(AD19=0,AF19&lt;&gt;""),"",AJ19)</f>
      </c>
      <c r="N19" s="21">
        <f>IF(AK19=0,"",AK19)</f>
      </c>
      <c r="O19" s="21">
        <f>IF(OR(AD19=0,AF19&lt;&gt;""),"",AJ19-AK19)</f>
      </c>
      <c r="P19" s="21">
        <f>IF(AND(AD19=1,AF19="",V19=2),AI19,"")</f>
      </c>
      <c r="Q19" s="21">
        <f>IF(OR($A19="",N(K19)=0),"",ROUND(K19*KmSatz,2))</f>
      </c>
      <c r="R19" s="22">
        <f>IF(AF19&amp;AL19="","",LEFT(AF19&amp;AL19,LEN(AF19&amp;AL19)-2))</f>
      </c>
      <c r="S19" s="1"/>
      <c r="T19" s="1">
        <f>IF(AND($A19&lt;&gt;"",ISNUMBER(C19)),1,0)</f>
      </c>
      <c r="U19" s="1">
        <f>IF(AND($A19&lt;&gt;"",ISNUMBER(D19)),1,0)</f>
      </c>
      <c r="V19" s="1">
        <f>IF($A19="",0,IF(E19="ja",1,IF(E19="Pauschale",2,0)))</f>
      </c>
      <c r="W19" s="1">
        <f>IF($A19="",0,IF(AU19&gt;0,1,0))</f>
      </c>
      <c r="X19" s="1">
        <f>IF(AND(T19=1,W19=0),1,0)</f>
      </c>
      <c r="Y19" s="1">
        <f>IF(AND(AS19=1,AT19=0,AU19=0),1,0)</f>
      </c>
      <c r="Z19" s="1">
        <f>IF(AND(Y19=1,T19=0,U19=1,V19=0),1,0)</f>
      </c>
      <c r="AA19" s="1">
        <f>IF(AND(X19=1,U19=0,V19=0,AN19=0,AO19=1,AP19=0),1,0)</f>
      </c>
      <c r="AB19" s="1">
        <f>IF(OR(W19=1,Z19=1),0,IF(T19=1,C19,0))</f>
      </c>
      <c r="AC19" s="1">
        <f>IF(OR(V19&gt;0,AA19=1),1,IF(U19=1,D19,1))</f>
      </c>
      <c r="AD19" s="1">
        <f>IF($A19="",0,IF(OR(T19=1,U19=1,V19&gt;0,W19=1),1,0))</f>
      </c>
      <c r="AE19" s="1">
        <f>IF(AD19=0,0,ROUND((AC19-AB19)*1440,0))</f>
      </c>
      <c r="AF19" s="1">
        <f>IF(AD19=0,"",IF(AND(F19&lt;&gt;"",ISNA(MATCH(F19,PauschLand,0))),"Land nicht in der Liste; ","")&amp;IF(AND(T19=0,W19=0,Z19=0),"Beginn fehlt; ","")&amp;IF(AND(V19=0,U19=0,AA19=0),"Ende fehlt; ","")&amp;IF(AND(X19=1,U19=1,V19=0,N(D19)&lt;N(C19)),"Ende vor Beginn (über Mitternacht: Ende in die Zeile des Folgetags); ",""))</f>
      </c>
      <c r="AG19" s="1">
        <f>IF(AD19=0,0,IFERROR(VLOOKUP(IF(F19="","Deutschland",F19),PauschTab,2,FALSE),0))</f>
      </c>
      <c r="AH19" s="1">
        <f>IF(AD19=0,0,IFERROR(VLOOKUP(IF(F19="","Deutschland",F19),PauschTab,3,FALSE),0))</f>
      </c>
      <c r="AI19" s="1">
        <f>IF(AD19=0,0,IFERROR(VLOOKUP(IF(F19="","Deutschland",F19),PauschTab,4,FALSE),0))</f>
      </c>
      <c r="AJ19" s="1">
        <f>IF(OR(AD19=0,AF19&lt;&gt;""),0,IF(AND(W19=1,V19&gt;0),IF(OR(T19=1,U19=1),AH19,AG19),IF(OR(W19=1,V19&gt;0),AH19,IF(AA19=1,IF(AND(AE19+AQ19&gt;480,AE19&gt;=AQ19),AH19,0),IF(Z19=1,IF(AND(AR19+AE19&gt;480,AE19&gt;AR19),AH19,0),IF(AE19&gt;480,AH19,0))))))</f>
      </c>
      <c r="AK19" s="1">
        <f>MIN(AJ19,AM19)</f>
      </c>
      <c r="AL19" s="1">
        <f>IF(OR(AD19=0,AF19&lt;&gt;""),"",IF(AND(W19=0,V19=0,AA19=0,Z19=0,AE19&lt;=480),"nicht mehr als 8 Std.; ","")&amp;IF(AA19=1,IF(AJ19&gt;0,"über Mitternacht, zusammen "&amp;TEXT((AE19+AQ19)/1440,"[h]:mm")&amp;" Std.; ",IF(AE19+AQ19&gt;480,"über Mitternacht: Pauschale am Folgetag; ","über Mitternacht, zusammen nicht mehr als 8 Std.; ")),"")&amp;IF(Z19=1,IF(AJ19&gt;0,"über Mitternacht, zusammen "&amp;TEXT((AR19+AE19)/1440,"[h]:mm")&amp;" Std.; ",IF(AR19+AE19&gt;480,"über Mitternacht: Pauschale am Vortag; ","über Mitternacht, zusammen nicht mehr als 8 Std.; ")),"")&amp;IF(AND(W19=1,V19&gt;0,OR(T19=1,U19=1)),"zwischendurch zu Hause: An- und Abreisetag; ","")&amp;IF(AND(W19=1,V19=0,T19=1),"Beginn leer lassen: unterwegs seit dem Vortag; ","")&amp;IF(AND(W19=0,V19&gt;0,U19=1),"Ende leer lassen: Übernachtung; ","")&amp;IF(AND(AJ19&gt;0,AM19&gt;AJ19),"Kürzung auf die Pauschale begrenzt; ",""))</f>
      </c>
      <c r="AM19" s="1">
        <f>ROUND(AG19*(IF(H19&lt;&gt;"",0.2,0)+IF(I19&lt;&gt;"",0.4,0)+IF(J19&lt;&gt;"",0.4,0)),2)</f>
      </c>
      <c r="AN19" s="1">
        <f>IF($A20="",'Dezember'!$T$5,T20)</f>
      </c>
      <c r="AO19" s="1">
        <f>IF($A20="",'Dezember'!$U$5,U20)</f>
      </c>
      <c r="AP19" s="1">
        <f>IF($A20="",'Dezember'!$V$5,V20)</f>
      </c>
      <c r="AQ19" s="1">
        <f>IF($A20="",'Dezember'!$AE$5,AE20)</f>
      </c>
      <c r="AR19" s="1">
        <f>AE18</f>
      </c>
      <c r="AS19" s="1">
        <f>X18</f>
      </c>
      <c r="AT19" s="1">
        <f>U18</f>
      </c>
      <c r="AU19" s="1">
        <f>V18</f>
      </c>
    </row>
    <row r="20" spans="1:47" x14ac:dyDescent="0.25">
      <c r="A20" s="17">
        <f>IF(MONTH(DATE(Jahr,11,16))=11,DATE(Jahr,11,16),"")</f>
      </c>
      <c r="B20" s="13">
        <f>IF(A20="","",CHOOSE(WEEKDAY(A20,2),"Mo","Di","Mi","Do","Fr","Sa","So"))</f>
      </c>
      <c r="C20" s="18"/>
      <c r="D20" s="18"/>
      <c r="E20" s="7"/>
      <c r="F20" s="7"/>
      <c r="G20" s="7"/>
      <c r="H20" s="19"/>
      <c r="I20" s="19"/>
      <c r="J20" s="19"/>
      <c r="K20" s="9"/>
      <c r="L20" s="20">
        <f>IF(OR(AD20=0,AF20&lt;&gt;"",AND(W20=1,V20&gt;0,OR(T20=1,U20=1))),"",AE20/1440)</f>
      </c>
      <c r="M20" s="21">
        <f>IF(OR(AD20=0,AF20&lt;&gt;""),"",AJ20)</f>
      </c>
      <c r="N20" s="21">
        <f>IF(AK20=0,"",AK20)</f>
      </c>
      <c r="O20" s="21">
        <f>IF(OR(AD20=0,AF20&lt;&gt;""),"",AJ20-AK20)</f>
      </c>
      <c r="P20" s="21">
        <f>IF(AND(AD20=1,AF20="",V20=2),AI20,"")</f>
      </c>
      <c r="Q20" s="21">
        <f>IF(OR($A20="",N(K20)=0),"",ROUND(K20*KmSatz,2))</f>
      </c>
      <c r="R20" s="22">
        <f>IF(AF20&amp;AL20="","",LEFT(AF20&amp;AL20,LEN(AF20&amp;AL20)-2))</f>
      </c>
      <c r="S20" s="1"/>
      <c r="T20" s="1">
        <f>IF(AND($A20&lt;&gt;"",ISNUMBER(C20)),1,0)</f>
      </c>
      <c r="U20" s="1">
        <f>IF(AND($A20&lt;&gt;"",ISNUMBER(D20)),1,0)</f>
      </c>
      <c r="V20" s="1">
        <f>IF($A20="",0,IF(E20="ja",1,IF(E20="Pauschale",2,0)))</f>
      </c>
      <c r="W20" s="1">
        <f>IF($A20="",0,IF(AU20&gt;0,1,0))</f>
      </c>
      <c r="X20" s="1">
        <f>IF(AND(T20=1,W20=0),1,0)</f>
      </c>
      <c r="Y20" s="1">
        <f>IF(AND(AS20=1,AT20=0,AU20=0),1,0)</f>
      </c>
      <c r="Z20" s="1">
        <f>IF(AND(Y20=1,T20=0,U20=1,V20=0),1,0)</f>
      </c>
      <c r="AA20" s="1">
        <f>IF(AND(X20=1,U20=0,V20=0,AN20=0,AO20=1,AP20=0),1,0)</f>
      </c>
      <c r="AB20" s="1">
        <f>IF(OR(W20=1,Z20=1),0,IF(T20=1,C20,0))</f>
      </c>
      <c r="AC20" s="1">
        <f>IF(OR(V20&gt;0,AA20=1),1,IF(U20=1,D20,1))</f>
      </c>
      <c r="AD20" s="1">
        <f>IF($A20="",0,IF(OR(T20=1,U20=1,V20&gt;0,W20=1),1,0))</f>
      </c>
      <c r="AE20" s="1">
        <f>IF(AD20=0,0,ROUND((AC20-AB20)*1440,0))</f>
      </c>
      <c r="AF20" s="1">
        <f>IF(AD20=0,"",IF(AND(F20&lt;&gt;"",ISNA(MATCH(F20,PauschLand,0))),"Land nicht in der Liste; ","")&amp;IF(AND(T20=0,W20=0,Z20=0),"Beginn fehlt; ","")&amp;IF(AND(V20=0,U20=0,AA20=0),"Ende fehlt; ","")&amp;IF(AND(X20=1,U20=1,V20=0,N(D20)&lt;N(C20)),"Ende vor Beginn (über Mitternacht: Ende in die Zeile des Folgetags); ",""))</f>
      </c>
      <c r="AG20" s="1">
        <f>IF(AD20=0,0,IFERROR(VLOOKUP(IF(F20="","Deutschland",F20),PauschTab,2,FALSE),0))</f>
      </c>
      <c r="AH20" s="1">
        <f>IF(AD20=0,0,IFERROR(VLOOKUP(IF(F20="","Deutschland",F20),PauschTab,3,FALSE),0))</f>
      </c>
      <c r="AI20" s="1">
        <f>IF(AD20=0,0,IFERROR(VLOOKUP(IF(F20="","Deutschland",F20),PauschTab,4,FALSE),0))</f>
      </c>
      <c r="AJ20" s="1">
        <f>IF(OR(AD20=0,AF20&lt;&gt;""),0,IF(AND(W20=1,V20&gt;0),IF(OR(T20=1,U20=1),AH20,AG20),IF(OR(W20=1,V20&gt;0),AH20,IF(AA20=1,IF(AND(AE20+AQ20&gt;480,AE20&gt;=AQ20),AH20,0),IF(Z20=1,IF(AND(AR20+AE20&gt;480,AE20&gt;AR20),AH20,0),IF(AE20&gt;480,AH20,0))))))</f>
      </c>
      <c r="AK20" s="1">
        <f>MIN(AJ20,AM20)</f>
      </c>
      <c r="AL20" s="1">
        <f>IF(OR(AD20=0,AF20&lt;&gt;""),"",IF(AND(W20=0,V20=0,AA20=0,Z20=0,AE20&lt;=480),"nicht mehr als 8 Std.; ","")&amp;IF(AA20=1,IF(AJ20&gt;0,"über Mitternacht, zusammen "&amp;TEXT((AE20+AQ20)/1440,"[h]:mm")&amp;" Std.; ",IF(AE20+AQ20&gt;480,"über Mitternacht: Pauschale am Folgetag; ","über Mitternacht, zusammen nicht mehr als 8 Std.; ")),"")&amp;IF(Z20=1,IF(AJ20&gt;0,"über Mitternacht, zusammen "&amp;TEXT((AR20+AE20)/1440,"[h]:mm")&amp;" Std.; ",IF(AR20+AE20&gt;480,"über Mitternacht: Pauschale am Vortag; ","über Mitternacht, zusammen nicht mehr als 8 Std.; ")),"")&amp;IF(AND(W20=1,V20&gt;0,OR(T20=1,U20=1)),"zwischendurch zu Hause: An- und Abreisetag; ","")&amp;IF(AND(W20=1,V20=0,T20=1),"Beginn leer lassen: unterwegs seit dem Vortag; ","")&amp;IF(AND(W20=0,V20&gt;0,U20=1),"Ende leer lassen: Übernachtung; ","")&amp;IF(AND(AJ20&gt;0,AM20&gt;AJ20),"Kürzung auf die Pauschale begrenzt; ",""))</f>
      </c>
      <c r="AM20" s="1">
        <f>ROUND(AG20*(IF(H20&lt;&gt;"",0.2,0)+IF(I20&lt;&gt;"",0.4,0)+IF(J20&lt;&gt;"",0.4,0)),2)</f>
      </c>
      <c r="AN20" s="1">
        <f>IF($A21="",'Dezember'!$T$5,T21)</f>
      </c>
      <c r="AO20" s="1">
        <f>IF($A21="",'Dezember'!$U$5,U21)</f>
      </c>
      <c r="AP20" s="1">
        <f>IF($A21="",'Dezember'!$V$5,V21)</f>
      </c>
      <c r="AQ20" s="1">
        <f>IF($A21="",'Dezember'!$AE$5,AE21)</f>
      </c>
      <c r="AR20" s="1">
        <f>AE19</f>
      </c>
      <c r="AS20" s="1">
        <f>X19</f>
      </c>
      <c r="AT20" s="1">
        <f>U19</f>
      </c>
      <c r="AU20" s="1">
        <f>V19</f>
      </c>
    </row>
    <row r="21" spans="1:47" x14ac:dyDescent="0.25">
      <c r="A21" s="17">
        <f>IF(MONTH(DATE(Jahr,11,17))=11,DATE(Jahr,11,17),"")</f>
      </c>
      <c r="B21" s="13">
        <f>IF(A21="","",CHOOSE(WEEKDAY(A21,2),"Mo","Di","Mi","Do","Fr","Sa","So"))</f>
      </c>
      <c r="C21" s="18"/>
      <c r="D21" s="18"/>
      <c r="E21" s="7"/>
      <c r="F21" s="7"/>
      <c r="G21" s="7"/>
      <c r="H21" s="19"/>
      <c r="I21" s="19"/>
      <c r="J21" s="19"/>
      <c r="K21" s="9"/>
      <c r="L21" s="20">
        <f>IF(OR(AD21=0,AF21&lt;&gt;"",AND(W21=1,V21&gt;0,OR(T21=1,U21=1))),"",AE21/1440)</f>
      </c>
      <c r="M21" s="21">
        <f>IF(OR(AD21=0,AF21&lt;&gt;""),"",AJ21)</f>
      </c>
      <c r="N21" s="21">
        <f>IF(AK21=0,"",AK21)</f>
      </c>
      <c r="O21" s="21">
        <f>IF(OR(AD21=0,AF21&lt;&gt;""),"",AJ21-AK21)</f>
      </c>
      <c r="P21" s="21">
        <f>IF(AND(AD21=1,AF21="",V21=2),AI21,"")</f>
      </c>
      <c r="Q21" s="21">
        <f>IF(OR($A21="",N(K21)=0),"",ROUND(K21*KmSatz,2))</f>
      </c>
      <c r="R21" s="22">
        <f>IF(AF21&amp;AL21="","",LEFT(AF21&amp;AL21,LEN(AF21&amp;AL21)-2))</f>
      </c>
      <c r="S21" s="1"/>
      <c r="T21" s="1">
        <f>IF(AND($A21&lt;&gt;"",ISNUMBER(C21)),1,0)</f>
      </c>
      <c r="U21" s="1">
        <f>IF(AND($A21&lt;&gt;"",ISNUMBER(D21)),1,0)</f>
      </c>
      <c r="V21" s="1">
        <f>IF($A21="",0,IF(E21="ja",1,IF(E21="Pauschale",2,0)))</f>
      </c>
      <c r="W21" s="1">
        <f>IF($A21="",0,IF(AU21&gt;0,1,0))</f>
      </c>
      <c r="X21" s="1">
        <f>IF(AND(T21=1,W21=0),1,0)</f>
      </c>
      <c r="Y21" s="1">
        <f>IF(AND(AS21=1,AT21=0,AU21=0),1,0)</f>
      </c>
      <c r="Z21" s="1">
        <f>IF(AND(Y21=1,T21=0,U21=1,V21=0),1,0)</f>
      </c>
      <c r="AA21" s="1">
        <f>IF(AND(X21=1,U21=0,V21=0,AN21=0,AO21=1,AP21=0),1,0)</f>
      </c>
      <c r="AB21" s="1">
        <f>IF(OR(W21=1,Z21=1),0,IF(T21=1,C21,0))</f>
      </c>
      <c r="AC21" s="1">
        <f>IF(OR(V21&gt;0,AA21=1),1,IF(U21=1,D21,1))</f>
      </c>
      <c r="AD21" s="1">
        <f>IF($A21="",0,IF(OR(T21=1,U21=1,V21&gt;0,W21=1),1,0))</f>
      </c>
      <c r="AE21" s="1">
        <f>IF(AD21=0,0,ROUND((AC21-AB21)*1440,0))</f>
      </c>
      <c r="AF21" s="1">
        <f>IF(AD21=0,"",IF(AND(F21&lt;&gt;"",ISNA(MATCH(F21,PauschLand,0))),"Land nicht in der Liste; ","")&amp;IF(AND(T21=0,W21=0,Z21=0),"Beginn fehlt; ","")&amp;IF(AND(V21=0,U21=0,AA21=0),"Ende fehlt; ","")&amp;IF(AND(X21=1,U21=1,V21=0,N(D21)&lt;N(C21)),"Ende vor Beginn (über Mitternacht: Ende in die Zeile des Folgetags); ",""))</f>
      </c>
      <c r="AG21" s="1">
        <f>IF(AD21=0,0,IFERROR(VLOOKUP(IF(F21="","Deutschland",F21),PauschTab,2,FALSE),0))</f>
      </c>
      <c r="AH21" s="1">
        <f>IF(AD21=0,0,IFERROR(VLOOKUP(IF(F21="","Deutschland",F21),PauschTab,3,FALSE),0))</f>
      </c>
      <c r="AI21" s="1">
        <f>IF(AD21=0,0,IFERROR(VLOOKUP(IF(F21="","Deutschland",F21),PauschTab,4,FALSE),0))</f>
      </c>
      <c r="AJ21" s="1">
        <f>IF(OR(AD21=0,AF21&lt;&gt;""),0,IF(AND(W21=1,V21&gt;0),IF(OR(T21=1,U21=1),AH21,AG21),IF(OR(W21=1,V21&gt;0),AH21,IF(AA21=1,IF(AND(AE21+AQ21&gt;480,AE21&gt;=AQ21),AH21,0),IF(Z21=1,IF(AND(AR21+AE21&gt;480,AE21&gt;AR21),AH21,0),IF(AE21&gt;480,AH21,0))))))</f>
      </c>
      <c r="AK21" s="1">
        <f>MIN(AJ21,AM21)</f>
      </c>
      <c r="AL21" s="1">
        <f>IF(OR(AD21=0,AF21&lt;&gt;""),"",IF(AND(W21=0,V21=0,AA21=0,Z21=0,AE21&lt;=480),"nicht mehr als 8 Std.; ","")&amp;IF(AA21=1,IF(AJ21&gt;0,"über Mitternacht, zusammen "&amp;TEXT((AE21+AQ21)/1440,"[h]:mm")&amp;" Std.; ",IF(AE21+AQ21&gt;480,"über Mitternacht: Pauschale am Folgetag; ","über Mitternacht, zusammen nicht mehr als 8 Std.; ")),"")&amp;IF(Z21=1,IF(AJ21&gt;0,"über Mitternacht, zusammen "&amp;TEXT((AR21+AE21)/1440,"[h]:mm")&amp;" Std.; ",IF(AR21+AE21&gt;480,"über Mitternacht: Pauschale am Vortag; ","über Mitternacht, zusammen nicht mehr als 8 Std.; ")),"")&amp;IF(AND(W21=1,V21&gt;0,OR(T21=1,U21=1)),"zwischendurch zu Hause: An- und Abreisetag; ","")&amp;IF(AND(W21=1,V21=0,T21=1),"Beginn leer lassen: unterwegs seit dem Vortag; ","")&amp;IF(AND(W21=0,V21&gt;0,U21=1),"Ende leer lassen: Übernachtung; ","")&amp;IF(AND(AJ21&gt;0,AM21&gt;AJ21),"Kürzung auf die Pauschale begrenzt; ",""))</f>
      </c>
      <c r="AM21" s="1">
        <f>ROUND(AG21*(IF(H21&lt;&gt;"",0.2,0)+IF(I21&lt;&gt;"",0.4,0)+IF(J21&lt;&gt;"",0.4,0)),2)</f>
      </c>
      <c r="AN21" s="1">
        <f>IF($A22="",'Dezember'!$T$5,T22)</f>
      </c>
      <c r="AO21" s="1">
        <f>IF($A22="",'Dezember'!$U$5,U22)</f>
      </c>
      <c r="AP21" s="1">
        <f>IF($A22="",'Dezember'!$V$5,V22)</f>
      </c>
      <c r="AQ21" s="1">
        <f>IF($A22="",'Dezember'!$AE$5,AE22)</f>
      </c>
      <c r="AR21" s="1">
        <f>AE20</f>
      </c>
      <c r="AS21" s="1">
        <f>X20</f>
      </c>
      <c r="AT21" s="1">
        <f>U20</f>
      </c>
      <c r="AU21" s="1">
        <f>V20</f>
      </c>
    </row>
    <row r="22" spans="1:47" x14ac:dyDescent="0.25">
      <c r="A22" s="17">
        <f>IF(MONTH(DATE(Jahr,11,18))=11,DATE(Jahr,11,18),"")</f>
      </c>
      <c r="B22" s="13">
        <f>IF(A22="","",CHOOSE(WEEKDAY(A22,2),"Mo","Di","Mi","Do","Fr","Sa","So"))</f>
      </c>
      <c r="C22" s="18"/>
      <c r="D22" s="18"/>
      <c r="E22" s="7"/>
      <c r="F22" s="7"/>
      <c r="G22" s="7"/>
      <c r="H22" s="19"/>
      <c r="I22" s="19"/>
      <c r="J22" s="19"/>
      <c r="K22" s="9"/>
      <c r="L22" s="20">
        <f>IF(OR(AD22=0,AF22&lt;&gt;"",AND(W22=1,V22&gt;0,OR(T22=1,U22=1))),"",AE22/1440)</f>
      </c>
      <c r="M22" s="21">
        <f>IF(OR(AD22=0,AF22&lt;&gt;""),"",AJ22)</f>
      </c>
      <c r="N22" s="21">
        <f>IF(AK22=0,"",AK22)</f>
      </c>
      <c r="O22" s="21">
        <f>IF(OR(AD22=0,AF22&lt;&gt;""),"",AJ22-AK22)</f>
      </c>
      <c r="P22" s="21">
        <f>IF(AND(AD22=1,AF22="",V22=2),AI22,"")</f>
      </c>
      <c r="Q22" s="21">
        <f>IF(OR($A22="",N(K22)=0),"",ROUND(K22*KmSatz,2))</f>
      </c>
      <c r="R22" s="22">
        <f>IF(AF22&amp;AL22="","",LEFT(AF22&amp;AL22,LEN(AF22&amp;AL22)-2))</f>
      </c>
      <c r="S22" s="1"/>
      <c r="T22" s="1">
        <f>IF(AND($A22&lt;&gt;"",ISNUMBER(C22)),1,0)</f>
      </c>
      <c r="U22" s="1">
        <f>IF(AND($A22&lt;&gt;"",ISNUMBER(D22)),1,0)</f>
      </c>
      <c r="V22" s="1">
        <f>IF($A22="",0,IF(E22="ja",1,IF(E22="Pauschale",2,0)))</f>
      </c>
      <c r="W22" s="1">
        <f>IF($A22="",0,IF(AU22&gt;0,1,0))</f>
      </c>
      <c r="X22" s="1">
        <f>IF(AND(T22=1,W22=0),1,0)</f>
      </c>
      <c r="Y22" s="1">
        <f>IF(AND(AS22=1,AT22=0,AU22=0),1,0)</f>
      </c>
      <c r="Z22" s="1">
        <f>IF(AND(Y22=1,T22=0,U22=1,V22=0),1,0)</f>
      </c>
      <c r="AA22" s="1">
        <f>IF(AND(X22=1,U22=0,V22=0,AN22=0,AO22=1,AP22=0),1,0)</f>
      </c>
      <c r="AB22" s="1">
        <f>IF(OR(W22=1,Z22=1),0,IF(T22=1,C22,0))</f>
      </c>
      <c r="AC22" s="1">
        <f>IF(OR(V22&gt;0,AA22=1),1,IF(U22=1,D22,1))</f>
      </c>
      <c r="AD22" s="1">
        <f>IF($A22="",0,IF(OR(T22=1,U22=1,V22&gt;0,W22=1),1,0))</f>
      </c>
      <c r="AE22" s="1">
        <f>IF(AD22=0,0,ROUND((AC22-AB22)*1440,0))</f>
      </c>
      <c r="AF22" s="1">
        <f>IF(AD22=0,"",IF(AND(F22&lt;&gt;"",ISNA(MATCH(F22,PauschLand,0))),"Land nicht in der Liste; ","")&amp;IF(AND(T22=0,W22=0,Z22=0),"Beginn fehlt; ","")&amp;IF(AND(V22=0,U22=0,AA22=0),"Ende fehlt; ","")&amp;IF(AND(X22=1,U22=1,V22=0,N(D22)&lt;N(C22)),"Ende vor Beginn (über Mitternacht: Ende in die Zeile des Folgetags); ",""))</f>
      </c>
      <c r="AG22" s="1">
        <f>IF(AD22=0,0,IFERROR(VLOOKUP(IF(F22="","Deutschland",F22),PauschTab,2,FALSE),0))</f>
      </c>
      <c r="AH22" s="1">
        <f>IF(AD22=0,0,IFERROR(VLOOKUP(IF(F22="","Deutschland",F22),PauschTab,3,FALSE),0))</f>
      </c>
      <c r="AI22" s="1">
        <f>IF(AD22=0,0,IFERROR(VLOOKUP(IF(F22="","Deutschland",F22),PauschTab,4,FALSE),0))</f>
      </c>
      <c r="AJ22" s="1">
        <f>IF(OR(AD22=0,AF22&lt;&gt;""),0,IF(AND(W22=1,V22&gt;0),IF(OR(T22=1,U22=1),AH22,AG22),IF(OR(W22=1,V22&gt;0),AH22,IF(AA22=1,IF(AND(AE22+AQ22&gt;480,AE22&gt;=AQ22),AH22,0),IF(Z22=1,IF(AND(AR22+AE22&gt;480,AE22&gt;AR22),AH22,0),IF(AE22&gt;480,AH22,0))))))</f>
      </c>
      <c r="AK22" s="1">
        <f>MIN(AJ22,AM22)</f>
      </c>
      <c r="AL22" s="1">
        <f>IF(OR(AD22=0,AF22&lt;&gt;""),"",IF(AND(W22=0,V22=0,AA22=0,Z22=0,AE22&lt;=480),"nicht mehr als 8 Std.; ","")&amp;IF(AA22=1,IF(AJ22&gt;0,"über Mitternacht, zusammen "&amp;TEXT((AE22+AQ22)/1440,"[h]:mm")&amp;" Std.; ",IF(AE22+AQ22&gt;480,"über Mitternacht: Pauschale am Folgetag; ","über Mitternacht, zusammen nicht mehr als 8 Std.; ")),"")&amp;IF(Z22=1,IF(AJ22&gt;0,"über Mitternacht, zusammen "&amp;TEXT((AR22+AE22)/1440,"[h]:mm")&amp;" Std.; ",IF(AR22+AE22&gt;480,"über Mitternacht: Pauschale am Vortag; ","über Mitternacht, zusammen nicht mehr als 8 Std.; ")),"")&amp;IF(AND(W22=1,V22&gt;0,OR(T22=1,U22=1)),"zwischendurch zu Hause: An- und Abreisetag; ","")&amp;IF(AND(W22=1,V22=0,T22=1),"Beginn leer lassen: unterwegs seit dem Vortag; ","")&amp;IF(AND(W22=0,V22&gt;0,U22=1),"Ende leer lassen: Übernachtung; ","")&amp;IF(AND(AJ22&gt;0,AM22&gt;AJ22),"Kürzung auf die Pauschale begrenzt; ",""))</f>
      </c>
      <c r="AM22" s="1">
        <f>ROUND(AG22*(IF(H22&lt;&gt;"",0.2,0)+IF(I22&lt;&gt;"",0.4,0)+IF(J22&lt;&gt;"",0.4,0)),2)</f>
      </c>
      <c r="AN22" s="1">
        <f>IF($A23="",'Dezember'!$T$5,T23)</f>
      </c>
      <c r="AO22" s="1">
        <f>IF($A23="",'Dezember'!$U$5,U23)</f>
      </c>
      <c r="AP22" s="1">
        <f>IF($A23="",'Dezember'!$V$5,V23)</f>
      </c>
      <c r="AQ22" s="1">
        <f>IF($A23="",'Dezember'!$AE$5,AE23)</f>
      </c>
      <c r="AR22" s="1">
        <f>AE21</f>
      </c>
      <c r="AS22" s="1">
        <f>X21</f>
      </c>
      <c r="AT22" s="1">
        <f>U21</f>
      </c>
      <c r="AU22" s="1">
        <f>V21</f>
      </c>
    </row>
    <row r="23" spans="1:47" x14ac:dyDescent="0.25">
      <c r="A23" s="17">
        <f>IF(MONTH(DATE(Jahr,11,19))=11,DATE(Jahr,11,19),"")</f>
      </c>
      <c r="B23" s="13">
        <f>IF(A23="","",CHOOSE(WEEKDAY(A23,2),"Mo","Di","Mi","Do","Fr","Sa","So"))</f>
      </c>
      <c r="C23" s="18"/>
      <c r="D23" s="18"/>
      <c r="E23" s="7"/>
      <c r="F23" s="7"/>
      <c r="G23" s="7"/>
      <c r="H23" s="19"/>
      <c r="I23" s="19"/>
      <c r="J23" s="19"/>
      <c r="K23" s="9"/>
      <c r="L23" s="20">
        <f>IF(OR(AD23=0,AF23&lt;&gt;"",AND(W23=1,V23&gt;0,OR(T23=1,U23=1))),"",AE23/1440)</f>
      </c>
      <c r="M23" s="21">
        <f>IF(OR(AD23=0,AF23&lt;&gt;""),"",AJ23)</f>
      </c>
      <c r="N23" s="21">
        <f>IF(AK23=0,"",AK23)</f>
      </c>
      <c r="O23" s="21">
        <f>IF(OR(AD23=0,AF23&lt;&gt;""),"",AJ23-AK23)</f>
      </c>
      <c r="P23" s="21">
        <f>IF(AND(AD23=1,AF23="",V23=2),AI23,"")</f>
      </c>
      <c r="Q23" s="21">
        <f>IF(OR($A23="",N(K23)=0),"",ROUND(K23*KmSatz,2))</f>
      </c>
      <c r="R23" s="22">
        <f>IF(AF23&amp;AL23="","",LEFT(AF23&amp;AL23,LEN(AF23&amp;AL23)-2))</f>
      </c>
      <c r="S23" s="1"/>
      <c r="T23" s="1">
        <f>IF(AND($A23&lt;&gt;"",ISNUMBER(C23)),1,0)</f>
      </c>
      <c r="U23" s="1">
        <f>IF(AND($A23&lt;&gt;"",ISNUMBER(D23)),1,0)</f>
      </c>
      <c r="V23" s="1">
        <f>IF($A23="",0,IF(E23="ja",1,IF(E23="Pauschale",2,0)))</f>
      </c>
      <c r="W23" s="1">
        <f>IF($A23="",0,IF(AU23&gt;0,1,0))</f>
      </c>
      <c r="X23" s="1">
        <f>IF(AND(T23=1,W23=0),1,0)</f>
      </c>
      <c r="Y23" s="1">
        <f>IF(AND(AS23=1,AT23=0,AU23=0),1,0)</f>
      </c>
      <c r="Z23" s="1">
        <f>IF(AND(Y23=1,T23=0,U23=1,V23=0),1,0)</f>
      </c>
      <c r="AA23" s="1">
        <f>IF(AND(X23=1,U23=0,V23=0,AN23=0,AO23=1,AP23=0),1,0)</f>
      </c>
      <c r="AB23" s="1">
        <f>IF(OR(W23=1,Z23=1),0,IF(T23=1,C23,0))</f>
      </c>
      <c r="AC23" s="1">
        <f>IF(OR(V23&gt;0,AA23=1),1,IF(U23=1,D23,1))</f>
      </c>
      <c r="AD23" s="1">
        <f>IF($A23="",0,IF(OR(T23=1,U23=1,V23&gt;0,W23=1),1,0))</f>
      </c>
      <c r="AE23" s="1">
        <f>IF(AD23=0,0,ROUND((AC23-AB23)*1440,0))</f>
      </c>
      <c r="AF23" s="1">
        <f>IF(AD23=0,"",IF(AND(F23&lt;&gt;"",ISNA(MATCH(F23,PauschLand,0))),"Land nicht in der Liste; ","")&amp;IF(AND(T23=0,W23=0,Z23=0),"Beginn fehlt; ","")&amp;IF(AND(V23=0,U23=0,AA23=0),"Ende fehlt; ","")&amp;IF(AND(X23=1,U23=1,V23=0,N(D23)&lt;N(C23)),"Ende vor Beginn (über Mitternacht: Ende in die Zeile des Folgetags); ",""))</f>
      </c>
      <c r="AG23" s="1">
        <f>IF(AD23=0,0,IFERROR(VLOOKUP(IF(F23="","Deutschland",F23),PauschTab,2,FALSE),0))</f>
      </c>
      <c r="AH23" s="1">
        <f>IF(AD23=0,0,IFERROR(VLOOKUP(IF(F23="","Deutschland",F23),PauschTab,3,FALSE),0))</f>
      </c>
      <c r="AI23" s="1">
        <f>IF(AD23=0,0,IFERROR(VLOOKUP(IF(F23="","Deutschland",F23),PauschTab,4,FALSE),0))</f>
      </c>
      <c r="AJ23" s="1">
        <f>IF(OR(AD23=0,AF23&lt;&gt;""),0,IF(AND(W23=1,V23&gt;0),IF(OR(T23=1,U23=1),AH23,AG23),IF(OR(W23=1,V23&gt;0),AH23,IF(AA23=1,IF(AND(AE23+AQ23&gt;480,AE23&gt;=AQ23),AH23,0),IF(Z23=1,IF(AND(AR23+AE23&gt;480,AE23&gt;AR23),AH23,0),IF(AE23&gt;480,AH23,0))))))</f>
      </c>
      <c r="AK23" s="1">
        <f>MIN(AJ23,AM23)</f>
      </c>
      <c r="AL23" s="1">
        <f>IF(OR(AD23=0,AF23&lt;&gt;""),"",IF(AND(W23=0,V23=0,AA23=0,Z23=0,AE23&lt;=480),"nicht mehr als 8 Std.; ","")&amp;IF(AA23=1,IF(AJ23&gt;0,"über Mitternacht, zusammen "&amp;TEXT((AE23+AQ23)/1440,"[h]:mm")&amp;" Std.; ",IF(AE23+AQ23&gt;480,"über Mitternacht: Pauschale am Folgetag; ","über Mitternacht, zusammen nicht mehr als 8 Std.; ")),"")&amp;IF(Z23=1,IF(AJ23&gt;0,"über Mitternacht, zusammen "&amp;TEXT((AR23+AE23)/1440,"[h]:mm")&amp;" Std.; ",IF(AR23+AE23&gt;480,"über Mitternacht: Pauschale am Vortag; ","über Mitternacht, zusammen nicht mehr als 8 Std.; ")),"")&amp;IF(AND(W23=1,V23&gt;0,OR(T23=1,U23=1)),"zwischendurch zu Hause: An- und Abreisetag; ","")&amp;IF(AND(W23=1,V23=0,T23=1),"Beginn leer lassen: unterwegs seit dem Vortag; ","")&amp;IF(AND(W23=0,V23&gt;0,U23=1),"Ende leer lassen: Übernachtung; ","")&amp;IF(AND(AJ23&gt;0,AM23&gt;AJ23),"Kürzung auf die Pauschale begrenzt; ",""))</f>
      </c>
      <c r="AM23" s="1">
        <f>ROUND(AG23*(IF(H23&lt;&gt;"",0.2,0)+IF(I23&lt;&gt;"",0.4,0)+IF(J23&lt;&gt;"",0.4,0)),2)</f>
      </c>
      <c r="AN23" s="1">
        <f>IF($A24="",'Dezember'!$T$5,T24)</f>
      </c>
      <c r="AO23" s="1">
        <f>IF($A24="",'Dezember'!$U$5,U24)</f>
      </c>
      <c r="AP23" s="1">
        <f>IF($A24="",'Dezember'!$V$5,V24)</f>
      </c>
      <c r="AQ23" s="1">
        <f>IF($A24="",'Dezember'!$AE$5,AE24)</f>
      </c>
      <c r="AR23" s="1">
        <f>AE22</f>
      </c>
      <c r="AS23" s="1">
        <f>X22</f>
      </c>
      <c r="AT23" s="1">
        <f>U22</f>
      </c>
      <c r="AU23" s="1">
        <f>V22</f>
      </c>
    </row>
    <row r="24" spans="1:47" x14ac:dyDescent="0.25">
      <c r="A24" s="17">
        <f>IF(MONTH(DATE(Jahr,11,20))=11,DATE(Jahr,11,20),"")</f>
      </c>
      <c r="B24" s="13">
        <f>IF(A24="","",CHOOSE(WEEKDAY(A24,2),"Mo","Di","Mi","Do","Fr","Sa","So"))</f>
      </c>
      <c r="C24" s="18"/>
      <c r="D24" s="18"/>
      <c r="E24" s="7"/>
      <c r="F24" s="7"/>
      <c r="G24" s="7"/>
      <c r="H24" s="19"/>
      <c r="I24" s="19"/>
      <c r="J24" s="19"/>
      <c r="K24" s="9"/>
      <c r="L24" s="20">
        <f>IF(OR(AD24=0,AF24&lt;&gt;"",AND(W24=1,V24&gt;0,OR(T24=1,U24=1))),"",AE24/1440)</f>
      </c>
      <c r="M24" s="21">
        <f>IF(OR(AD24=0,AF24&lt;&gt;""),"",AJ24)</f>
      </c>
      <c r="N24" s="21">
        <f>IF(AK24=0,"",AK24)</f>
      </c>
      <c r="O24" s="21">
        <f>IF(OR(AD24=0,AF24&lt;&gt;""),"",AJ24-AK24)</f>
      </c>
      <c r="P24" s="21">
        <f>IF(AND(AD24=1,AF24="",V24=2),AI24,"")</f>
      </c>
      <c r="Q24" s="21">
        <f>IF(OR($A24="",N(K24)=0),"",ROUND(K24*KmSatz,2))</f>
      </c>
      <c r="R24" s="22">
        <f>IF(AF24&amp;AL24="","",LEFT(AF24&amp;AL24,LEN(AF24&amp;AL24)-2))</f>
      </c>
      <c r="S24" s="1"/>
      <c r="T24" s="1">
        <f>IF(AND($A24&lt;&gt;"",ISNUMBER(C24)),1,0)</f>
      </c>
      <c r="U24" s="1">
        <f>IF(AND($A24&lt;&gt;"",ISNUMBER(D24)),1,0)</f>
      </c>
      <c r="V24" s="1">
        <f>IF($A24="",0,IF(E24="ja",1,IF(E24="Pauschale",2,0)))</f>
      </c>
      <c r="W24" s="1">
        <f>IF($A24="",0,IF(AU24&gt;0,1,0))</f>
      </c>
      <c r="X24" s="1">
        <f>IF(AND(T24=1,W24=0),1,0)</f>
      </c>
      <c r="Y24" s="1">
        <f>IF(AND(AS24=1,AT24=0,AU24=0),1,0)</f>
      </c>
      <c r="Z24" s="1">
        <f>IF(AND(Y24=1,T24=0,U24=1,V24=0),1,0)</f>
      </c>
      <c r="AA24" s="1">
        <f>IF(AND(X24=1,U24=0,V24=0,AN24=0,AO24=1,AP24=0),1,0)</f>
      </c>
      <c r="AB24" s="1">
        <f>IF(OR(W24=1,Z24=1),0,IF(T24=1,C24,0))</f>
      </c>
      <c r="AC24" s="1">
        <f>IF(OR(V24&gt;0,AA24=1),1,IF(U24=1,D24,1))</f>
      </c>
      <c r="AD24" s="1">
        <f>IF($A24="",0,IF(OR(T24=1,U24=1,V24&gt;0,W24=1),1,0))</f>
      </c>
      <c r="AE24" s="1">
        <f>IF(AD24=0,0,ROUND((AC24-AB24)*1440,0))</f>
      </c>
      <c r="AF24" s="1">
        <f>IF(AD24=0,"",IF(AND(F24&lt;&gt;"",ISNA(MATCH(F24,PauschLand,0))),"Land nicht in der Liste; ","")&amp;IF(AND(T24=0,W24=0,Z24=0),"Beginn fehlt; ","")&amp;IF(AND(V24=0,U24=0,AA24=0),"Ende fehlt; ","")&amp;IF(AND(X24=1,U24=1,V24=0,N(D24)&lt;N(C24)),"Ende vor Beginn (über Mitternacht: Ende in die Zeile des Folgetags); ",""))</f>
      </c>
      <c r="AG24" s="1">
        <f>IF(AD24=0,0,IFERROR(VLOOKUP(IF(F24="","Deutschland",F24),PauschTab,2,FALSE),0))</f>
      </c>
      <c r="AH24" s="1">
        <f>IF(AD24=0,0,IFERROR(VLOOKUP(IF(F24="","Deutschland",F24),PauschTab,3,FALSE),0))</f>
      </c>
      <c r="AI24" s="1">
        <f>IF(AD24=0,0,IFERROR(VLOOKUP(IF(F24="","Deutschland",F24),PauschTab,4,FALSE),0))</f>
      </c>
      <c r="AJ24" s="1">
        <f>IF(OR(AD24=0,AF24&lt;&gt;""),0,IF(AND(W24=1,V24&gt;0),IF(OR(T24=1,U24=1),AH24,AG24),IF(OR(W24=1,V24&gt;0),AH24,IF(AA24=1,IF(AND(AE24+AQ24&gt;480,AE24&gt;=AQ24),AH24,0),IF(Z24=1,IF(AND(AR24+AE24&gt;480,AE24&gt;AR24),AH24,0),IF(AE24&gt;480,AH24,0))))))</f>
      </c>
      <c r="AK24" s="1">
        <f>MIN(AJ24,AM24)</f>
      </c>
      <c r="AL24" s="1">
        <f>IF(OR(AD24=0,AF24&lt;&gt;""),"",IF(AND(W24=0,V24=0,AA24=0,Z24=0,AE24&lt;=480),"nicht mehr als 8 Std.; ","")&amp;IF(AA24=1,IF(AJ24&gt;0,"über Mitternacht, zusammen "&amp;TEXT((AE24+AQ24)/1440,"[h]:mm")&amp;" Std.; ",IF(AE24+AQ24&gt;480,"über Mitternacht: Pauschale am Folgetag; ","über Mitternacht, zusammen nicht mehr als 8 Std.; ")),"")&amp;IF(Z24=1,IF(AJ24&gt;0,"über Mitternacht, zusammen "&amp;TEXT((AR24+AE24)/1440,"[h]:mm")&amp;" Std.; ",IF(AR24+AE24&gt;480,"über Mitternacht: Pauschale am Vortag; ","über Mitternacht, zusammen nicht mehr als 8 Std.; ")),"")&amp;IF(AND(W24=1,V24&gt;0,OR(T24=1,U24=1)),"zwischendurch zu Hause: An- und Abreisetag; ","")&amp;IF(AND(W24=1,V24=0,T24=1),"Beginn leer lassen: unterwegs seit dem Vortag; ","")&amp;IF(AND(W24=0,V24&gt;0,U24=1),"Ende leer lassen: Übernachtung; ","")&amp;IF(AND(AJ24&gt;0,AM24&gt;AJ24),"Kürzung auf die Pauschale begrenzt; ",""))</f>
      </c>
      <c r="AM24" s="1">
        <f>ROUND(AG24*(IF(H24&lt;&gt;"",0.2,0)+IF(I24&lt;&gt;"",0.4,0)+IF(J24&lt;&gt;"",0.4,0)),2)</f>
      </c>
      <c r="AN24" s="1">
        <f>IF($A25="",'Dezember'!$T$5,T25)</f>
      </c>
      <c r="AO24" s="1">
        <f>IF($A25="",'Dezember'!$U$5,U25)</f>
      </c>
      <c r="AP24" s="1">
        <f>IF($A25="",'Dezember'!$V$5,V25)</f>
      </c>
      <c r="AQ24" s="1">
        <f>IF($A25="",'Dezember'!$AE$5,AE25)</f>
      </c>
      <c r="AR24" s="1">
        <f>AE23</f>
      </c>
      <c r="AS24" s="1">
        <f>X23</f>
      </c>
      <c r="AT24" s="1">
        <f>U23</f>
      </c>
      <c r="AU24" s="1">
        <f>V23</f>
      </c>
    </row>
    <row r="25" spans="1:47" x14ac:dyDescent="0.25">
      <c r="A25" s="17">
        <f>IF(MONTH(DATE(Jahr,11,21))=11,DATE(Jahr,11,21),"")</f>
      </c>
      <c r="B25" s="13">
        <f>IF(A25="","",CHOOSE(WEEKDAY(A25,2),"Mo","Di","Mi","Do","Fr","Sa","So"))</f>
      </c>
      <c r="C25" s="18"/>
      <c r="D25" s="18"/>
      <c r="E25" s="7"/>
      <c r="F25" s="7"/>
      <c r="G25" s="7"/>
      <c r="H25" s="19"/>
      <c r="I25" s="19"/>
      <c r="J25" s="19"/>
      <c r="K25" s="9"/>
      <c r="L25" s="20">
        <f>IF(OR(AD25=0,AF25&lt;&gt;"",AND(W25=1,V25&gt;0,OR(T25=1,U25=1))),"",AE25/1440)</f>
      </c>
      <c r="M25" s="21">
        <f>IF(OR(AD25=0,AF25&lt;&gt;""),"",AJ25)</f>
      </c>
      <c r="N25" s="21">
        <f>IF(AK25=0,"",AK25)</f>
      </c>
      <c r="O25" s="21">
        <f>IF(OR(AD25=0,AF25&lt;&gt;""),"",AJ25-AK25)</f>
      </c>
      <c r="P25" s="21">
        <f>IF(AND(AD25=1,AF25="",V25=2),AI25,"")</f>
      </c>
      <c r="Q25" s="21">
        <f>IF(OR($A25="",N(K25)=0),"",ROUND(K25*KmSatz,2))</f>
      </c>
      <c r="R25" s="22">
        <f>IF(AF25&amp;AL25="","",LEFT(AF25&amp;AL25,LEN(AF25&amp;AL25)-2))</f>
      </c>
      <c r="S25" s="1"/>
      <c r="T25" s="1">
        <f>IF(AND($A25&lt;&gt;"",ISNUMBER(C25)),1,0)</f>
      </c>
      <c r="U25" s="1">
        <f>IF(AND($A25&lt;&gt;"",ISNUMBER(D25)),1,0)</f>
      </c>
      <c r="V25" s="1">
        <f>IF($A25="",0,IF(E25="ja",1,IF(E25="Pauschale",2,0)))</f>
      </c>
      <c r="W25" s="1">
        <f>IF($A25="",0,IF(AU25&gt;0,1,0))</f>
      </c>
      <c r="X25" s="1">
        <f>IF(AND(T25=1,W25=0),1,0)</f>
      </c>
      <c r="Y25" s="1">
        <f>IF(AND(AS25=1,AT25=0,AU25=0),1,0)</f>
      </c>
      <c r="Z25" s="1">
        <f>IF(AND(Y25=1,T25=0,U25=1,V25=0),1,0)</f>
      </c>
      <c r="AA25" s="1">
        <f>IF(AND(X25=1,U25=0,V25=0,AN25=0,AO25=1,AP25=0),1,0)</f>
      </c>
      <c r="AB25" s="1">
        <f>IF(OR(W25=1,Z25=1),0,IF(T25=1,C25,0))</f>
      </c>
      <c r="AC25" s="1">
        <f>IF(OR(V25&gt;0,AA25=1),1,IF(U25=1,D25,1))</f>
      </c>
      <c r="AD25" s="1">
        <f>IF($A25="",0,IF(OR(T25=1,U25=1,V25&gt;0,W25=1),1,0))</f>
      </c>
      <c r="AE25" s="1">
        <f>IF(AD25=0,0,ROUND((AC25-AB25)*1440,0))</f>
      </c>
      <c r="AF25" s="1">
        <f>IF(AD25=0,"",IF(AND(F25&lt;&gt;"",ISNA(MATCH(F25,PauschLand,0))),"Land nicht in der Liste; ","")&amp;IF(AND(T25=0,W25=0,Z25=0),"Beginn fehlt; ","")&amp;IF(AND(V25=0,U25=0,AA25=0),"Ende fehlt; ","")&amp;IF(AND(X25=1,U25=1,V25=0,N(D25)&lt;N(C25)),"Ende vor Beginn (über Mitternacht: Ende in die Zeile des Folgetags); ",""))</f>
      </c>
      <c r="AG25" s="1">
        <f>IF(AD25=0,0,IFERROR(VLOOKUP(IF(F25="","Deutschland",F25),PauschTab,2,FALSE),0))</f>
      </c>
      <c r="AH25" s="1">
        <f>IF(AD25=0,0,IFERROR(VLOOKUP(IF(F25="","Deutschland",F25),PauschTab,3,FALSE),0))</f>
      </c>
      <c r="AI25" s="1">
        <f>IF(AD25=0,0,IFERROR(VLOOKUP(IF(F25="","Deutschland",F25),PauschTab,4,FALSE),0))</f>
      </c>
      <c r="AJ25" s="1">
        <f>IF(OR(AD25=0,AF25&lt;&gt;""),0,IF(AND(W25=1,V25&gt;0),IF(OR(T25=1,U25=1),AH25,AG25),IF(OR(W25=1,V25&gt;0),AH25,IF(AA25=1,IF(AND(AE25+AQ25&gt;480,AE25&gt;=AQ25),AH25,0),IF(Z25=1,IF(AND(AR25+AE25&gt;480,AE25&gt;AR25),AH25,0),IF(AE25&gt;480,AH25,0))))))</f>
      </c>
      <c r="AK25" s="1">
        <f>MIN(AJ25,AM25)</f>
      </c>
      <c r="AL25" s="1">
        <f>IF(OR(AD25=0,AF25&lt;&gt;""),"",IF(AND(W25=0,V25=0,AA25=0,Z25=0,AE25&lt;=480),"nicht mehr als 8 Std.; ","")&amp;IF(AA25=1,IF(AJ25&gt;0,"über Mitternacht, zusammen "&amp;TEXT((AE25+AQ25)/1440,"[h]:mm")&amp;" Std.; ",IF(AE25+AQ25&gt;480,"über Mitternacht: Pauschale am Folgetag; ","über Mitternacht, zusammen nicht mehr als 8 Std.; ")),"")&amp;IF(Z25=1,IF(AJ25&gt;0,"über Mitternacht, zusammen "&amp;TEXT((AR25+AE25)/1440,"[h]:mm")&amp;" Std.; ",IF(AR25+AE25&gt;480,"über Mitternacht: Pauschale am Vortag; ","über Mitternacht, zusammen nicht mehr als 8 Std.; ")),"")&amp;IF(AND(W25=1,V25&gt;0,OR(T25=1,U25=1)),"zwischendurch zu Hause: An- und Abreisetag; ","")&amp;IF(AND(W25=1,V25=0,T25=1),"Beginn leer lassen: unterwegs seit dem Vortag; ","")&amp;IF(AND(W25=0,V25&gt;0,U25=1),"Ende leer lassen: Übernachtung; ","")&amp;IF(AND(AJ25&gt;0,AM25&gt;AJ25),"Kürzung auf die Pauschale begrenzt; ",""))</f>
      </c>
      <c r="AM25" s="1">
        <f>ROUND(AG25*(IF(H25&lt;&gt;"",0.2,0)+IF(I25&lt;&gt;"",0.4,0)+IF(J25&lt;&gt;"",0.4,0)),2)</f>
      </c>
      <c r="AN25" s="1">
        <f>IF($A26="",'Dezember'!$T$5,T26)</f>
      </c>
      <c r="AO25" s="1">
        <f>IF($A26="",'Dezember'!$U$5,U26)</f>
      </c>
      <c r="AP25" s="1">
        <f>IF($A26="",'Dezember'!$V$5,V26)</f>
      </c>
      <c r="AQ25" s="1">
        <f>IF($A26="",'Dezember'!$AE$5,AE26)</f>
      </c>
      <c r="AR25" s="1">
        <f>AE24</f>
      </c>
      <c r="AS25" s="1">
        <f>X24</f>
      </c>
      <c r="AT25" s="1">
        <f>U24</f>
      </c>
      <c r="AU25" s="1">
        <f>V24</f>
      </c>
    </row>
    <row r="26" spans="1:47" x14ac:dyDescent="0.25">
      <c r="A26" s="17">
        <f>IF(MONTH(DATE(Jahr,11,22))=11,DATE(Jahr,11,22),"")</f>
      </c>
      <c r="B26" s="13">
        <f>IF(A26="","",CHOOSE(WEEKDAY(A26,2),"Mo","Di","Mi","Do","Fr","Sa","So"))</f>
      </c>
      <c r="C26" s="18"/>
      <c r="D26" s="18"/>
      <c r="E26" s="7"/>
      <c r="F26" s="7"/>
      <c r="G26" s="7"/>
      <c r="H26" s="19"/>
      <c r="I26" s="19"/>
      <c r="J26" s="19"/>
      <c r="K26" s="9"/>
      <c r="L26" s="20">
        <f>IF(OR(AD26=0,AF26&lt;&gt;"",AND(W26=1,V26&gt;0,OR(T26=1,U26=1))),"",AE26/1440)</f>
      </c>
      <c r="M26" s="21">
        <f>IF(OR(AD26=0,AF26&lt;&gt;""),"",AJ26)</f>
      </c>
      <c r="N26" s="21">
        <f>IF(AK26=0,"",AK26)</f>
      </c>
      <c r="O26" s="21">
        <f>IF(OR(AD26=0,AF26&lt;&gt;""),"",AJ26-AK26)</f>
      </c>
      <c r="P26" s="21">
        <f>IF(AND(AD26=1,AF26="",V26=2),AI26,"")</f>
      </c>
      <c r="Q26" s="21">
        <f>IF(OR($A26="",N(K26)=0),"",ROUND(K26*KmSatz,2))</f>
      </c>
      <c r="R26" s="22">
        <f>IF(AF26&amp;AL26="","",LEFT(AF26&amp;AL26,LEN(AF26&amp;AL26)-2))</f>
      </c>
      <c r="S26" s="1"/>
      <c r="T26" s="1">
        <f>IF(AND($A26&lt;&gt;"",ISNUMBER(C26)),1,0)</f>
      </c>
      <c r="U26" s="1">
        <f>IF(AND($A26&lt;&gt;"",ISNUMBER(D26)),1,0)</f>
      </c>
      <c r="V26" s="1">
        <f>IF($A26="",0,IF(E26="ja",1,IF(E26="Pauschale",2,0)))</f>
      </c>
      <c r="W26" s="1">
        <f>IF($A26="",0,IF(AU26&gt;0,1,0))</f>
      </c>
      <c r="X26" s="1">
        <f>IF(AND(T26=1,W26=0),1,0)</f>
      </c>
      <c r="Y26" s="1">
        <f>IF(AND(AS26=1,AT26=0,AU26=0),1,0)</f>
      </c>
      <c r="Z26" s="1">
        <f>IF(AND(Y26=1,T26=0,U26=1,V26=0),1,0)</f>
      </c>
      <c r="AA26" s="1">
        <f>IF(AND(X26=1,U26=0,V26=0,AN26=0,AO26=1,AP26=0),1,0)</f>
      </c>
      <c r="AB26" s="1">
        <f>IF(OR(W26=1,Z26=1),0,IF(T26=1,C26,0))</f>
      </c>
      <c r="AC26" s="1">
        <f>IF(OR(V26&gt;0,AA26=1),1,IF(U26=1,D26,1))</f>
      </c>
      <c r="AD26" s="1">
        <f>IF($A26="",0,IF(OR(T26=1,U26=1,V26&gt;0,W26=1),1,0))</f>
      </c>
      <c r="AE26" s="1">
        <f>IF(AD26=0,0,ROUND((AC26-AB26)*1440,0))</f>
      </c>
      <c r="AF26" s="1">
        <f>IF(AD26=0,"",IF(AND(F26&lt;&gt;"",ISNA(MATCH(F26,PauschLand,0))),"Land nicht in der Liste; ","")&amp;IF(AND(T26=0,W26=0,Z26=0),"Beginn fehlt; ","")&amp;IF(AND(V26=0,U26=0,AA26=0),"Ende fehlt; ","")&amp;IF(AND(X26=1,U26=1,V26=0,N(D26)&lt;N(C26)),"Ende vor Beginn (über Mitternacht: Ende in die Zeile des Folgetags); ",""))</f>
      </c>
      <c r="AG26" s="1">
        <f>IF(AD26=0,0,IFERROR(VLOOKUP(IF(F26="","Deutschland",F26),PauschTab,2,FALSE),0))</f>
      </c>
      <c r="AH26" s="1">
        <f>IF(AD26=0,0,IFERROR(VLOOKUP(IF(F26="","Deutschland",F26),PauschTab,3,FALSE),0))</f>
      </c>
      <c r="AI26" s="1">
        <f>IF(AD26=0,0,IFERROR(VLOOKUP(IF(F26="","Deutschland",F26),PauschTab,4,FALSE),0))</f>
      </c>
      <c r="AJ26" s="1">
        <f>IF(OR(AD26=0,AF26&lt;&gt;""),0,IF(AND(W26=1,V26&gt;0),IF(OR(T26=1,U26=1),AH26,AG26),IF(OR(W26=1,V26&gt;0),AH26,IF(AA26=1,IF(AND(AE26+AQ26&gt;480,AE26&gt;=AQ26),AH26,0),IF(Z26=1,IF(AND(AR26+AE26&gt;480,AE26&gt;AR26),AH26,0),IF(AE26&gt;480,AH26,0))))))</f>
      </c>
      <c r="AK26" s="1">
        <f>MIN(AJ26,AM26)</f>
      </c>
      <c r="AL26" s="1">
        <f>IF(OR(AD26=0,AF26&lt;&gt;""),"",IF(AND(W26=0,V26=0,AA26=0,Z26=0,AE26&lt;=480),"nicht mehr als 8 Std.; ","")&amp;IF(AA26=1,IF(AJ26&gt;0,"über Mitternacht, zusammen "&amp;TEXT((AE26+AQ26)/1440,"[h]:mm")&amp;" Std.; ",IF(AE26+AQ26&gt;480,"über Mitternacht: Pauschale am Folgetag; ","über Mitternacht, zusammen nicht mehr als 8 Std.; ")),"")&amp;IF(Z26=1,IF(AJ26&gt;0,"über Mitternacht, zusammen "&amp;TEXT((AR26+AE26)/1440,"[h]:mm")&amp;" Std.; ",IF(AR26+AE26&gt;480,"über Mitternacht: Pauschale am Vortag; ","über Mitternacht, zusammen nicht mehr als 8 Std.; ")),"")&amp;IF(AND(W26=1,V26&gt;0,OR(T26=1,U26=1)),"zwischendurch zu Hause: An- und Abreisetag; ","")&amp;IF(AND(W26=1,V26=0,T26=1),"Beginn leer lassen: unterwegs seit dem Vortag; ","")&amp;IF(AND(W26=0,V26&gt;0,U26=1),"Ende leer lassen: Übernachtung; ","")&amp;IF(AND(AJ26&gt;0,AM26&gt;AJ26),"Kürzung auf die Pauschale begrenzt; ",""))</f>
      </c>
      <c r="AM26" s="1">
        <f>ROUND(AG26*(IF(H26&lt;&gt;"",0.2,0)+IF(I26&lt;&gt;"",0.4,0)+IF(J26&lt;&gt;"",0.4,0)),2)</f>
      </c>
      <c r="AN26" s="1">
        <f>IF($A27="",'Dezember'!$T$5,T27)</f>
      </c>
      <c r="AO26" s="1">
        <f>IF($A27="",'Dezember'!$U$5,U27)</f>
      </c>
      <c r="AP26" s="1">
        <f>IF($A27="",'Dezember'!$V$5,V27)</f>
      </c>
      <c r="AQ26" s="1">
        <f>IF($A27="",'Dezember'!$AE$5,AE27)</f>
      </c>
      <c r="AR26" s="1">
        <f>AE25</f>
      </c>
      <c r="AS26" s="1">
        <f>X25</f>
      </c>
      <c r="AT26" s="1">
        <f>U25</f>
      </c>
      <c r="AU26" s="1">
        <f>V25</f>
      </c>
    </row>
    <row r="27" spans="1:47" x14ac:dyDescent="0.25">
      <c r="A27" s="17">
        <f>IF(MONTH(DATE(Jahr,11,23))=11,DATE(Jahr,11,23),"")</f>
      </c>
      <c r="B27" s="13">
        <f>IF(A27="","",CHOOSE(WEEKDAY(A27,2),"Mo","Di","Mi","Do","Fr","Sa","So"))</f>
      </c>
      <c r="C27" s="18"/>
      <c r="D27" s="18"/>
      <c r="E27" s="7"/>
      <c r="F27" s="7"/>
      <c r="G27" s="7"/>
      <c r="H27" s="19"/>
      <c r="I27" s="19"/>
      <c r="J27" s="19"/>
      <c r="K27" s="9"/>
      <c r="L27" s="20">
        <f>IF(OR(AD27=0,AF27&lt;&gt;"",AND(W27=1,V27&gt;0,OR(T27=1,U27=1))),"",AE27/1440)</f>
      </c>
      <c r="M27" s="21">
        <f>IF(OR(AD27=0,AF27&lt;&gt;""),"",AJ27)</f>
      </c>
      <c r="N27" s="21">
        <f>IF(AK27=0,"",AK27)</f>
      </c>
      <c r="O27" s="21">
        <f>IF(OR(AD27=0,AF27&lt;&gt;""),"",AJ27-AK27)</f>
      </c>
      <c r="P27" s="21">
        <f>IF(AND(AD27=1,AF27="",V27=2),AI27,"")</f>
      </c>
      <c r="Q27" s="21">
        <f>IF(OR($A27="",N(K27)=0),"",ROUND(K27*KmSatz,2))</f>
      </c>
      <c r="R27" s="22">
        <f>IF(AF27&amp;AL27="","",LEFT(AF27&amp;AL27,LEN(AF27&amp;AL27)-2))</f>
      </c>
      <c r="S27" s="1"/>
      <c r="T27" s="1">
        <f>IF(AND($A27&lt;&gt;"",ISNUMBER(C27)),1,0)</f>
      </c>
      <c r="U27" s="1">
        <f>IF(AND($A27&lt;&gt;"",ISNUMBER(D27)),1,0)</f>
      </c>
      <c r="V27" s="1">
        <f>IF($A27="",0,IF(E27="ja",1,IF(E27="Pauschale",2,0)))</f>
      </c>
      <c r="W27" s="1">
        <f>IF($A27="",0,IF(AU27&gt;0,1,0))</f>
      </c>
      <c r="X27" s="1">
        <f>IF(AND(T27=1,W27=0),1,0)</f>
      </c>
      <c r="Y27" s="1">
        <f>IF(AND(AS27=1,AT27=0,AU27=0),1,0)</f>
      </c>
      <c r="Z27" s="1">
        <f>IF(AND(Y27=1,T27=0,U27=1,V27=0),1,0)</f>
      </c>
      <c r="AA27" s="1">
        <f>IF(AND(X27=1,U27=0,V27=0,AN27=0,AO27=1,AP27=0),1,0)</f>
      </c>
      <c r="AB27" s="1">
        <f>IF(OR(W27=1,Z27=1),0,IF(T27=1,C27,0))</f>
      </c>
      <c r="AC27" s="1">
        <f>IF(OR(V27&gt;0,AA27=1),1,IF(U27=1,D27,1))</f>
      </c>
      <c r="AD27" s="1">
        <f>IF($A27="",0,IF(OR(T27=1,U27=1,V27&gt;0,W27=1),1,0))</f>
      </c>
      <c r="AE27" s="1">
        <f>IF(AD27=0,0,ROUND((AC27-AB27)*1440,0))</f>
      </c>
      <c r="AF27" s="1">
        <f>IF(AD27=0,"",IF(AND(F27&lt;&gt;"",ISNA(MATCH(F27,PauschLand,0))),"Land nicht in der Liste; ","")&amp;IF(AND(T27=0,W27=0,Z27=0),"Beginn fehlt; ","")&amp;IF(AND(V27=0,U27=0,AA27=0),"Ende fehlt; ","")&amp;IF(AND(X27=1,U27=1,V27=0,N(D27)&lt;N(C27)),"Ende vor Beginn (über Mitternacht: Ende in die Zeile des Folgetags); ",""))</f>
      </c>
      <c r="AG27" s="1">
        <f>IF(AD27=0,0,IFERROR(VLOOKUP(IF(F27="","Deutschland",F27),PauschTab,2,FALSE),0))</f>
      </c>
      <c r="AH27" s="1">
        <f>IF(AD27=0,0,IFERROR(VLOOKUP(IF(F27="","Deutschland",F27),PauschTab,3,FALSE),0))</f>
      </c>
      <c r="AI27" s="1">
        <f>IF(AD27=0,0,IFERROR(VLOOKUP(IF(F27="","Deutschland",F27),PauschTab,4,FALSE),0))</f>
      </c>
      <c r="AJ27" s="1">
        <f>IF(OR(AD27=0,AF27&lt;&gt;""),0,IF(AND(W27=1,V27&gt;0),IF(OR(T27=1,U27=1),AH27,AG27),IF(OR(W27=1,V27&gt;0),AH27,IF(AA27=1,IF(AND(AE27+AQ27&gt;480,AE27&gt;=AQ27),AH27,0),IF(Z27=1,IF(AND(AR27+AE27&gt;480,AE27&gt;AR27),AH27,0),IF(AE27&gt;480,AH27,0))))))</f>
      </c>
      <c r="AK27" s="1">
        <f>MIN(AJ27,AM27)</f>
      </c>
      <c r="AL27" s="1">
        <f>IF(OR(AD27=0,AF27&lt;&gt;""),"",IF(AND(W27=0,V27=0,AA27=0,Z27=0,AE27&lt;=480),"nicht mehr als 8 Std.; ","")&amp;IF(AA27=1,IF(AJ27&gt;0,"über Mitternacht, zusammen "&amp;TEXT((AE27+AQ27)/1440,"[h]:mm")&amp;" Std.; ",IF(AE27+AQ27&gt;480,"über Mitternacht: Pauschale am Folgetag; ","über Mitternacht, zusammen nicht mehr als 8 Std.; ")),"")&amp;IF(Z27=1,IF(AJ27&gt;0,"über Mitternacht, zusammen "&amp;TEXT((AR27+AE27)/1440,"[h]:mm")&amp;" Std.; ",IF(AR27+AE27&gt;480,"über Mitternacht: Pauschale am Vortag; ","über Mitternacht, zusammen nicht mehr als 8 Std.; ")),"")&amp;IF(AND(W27=1,V27&gt;0,OR(T27=1,U27=1)),"zwischendurch zu Hause: An- und Abreisetag; ","")&amp;IF(AND(W27=1,V27=0,T27=1),"Beginn leer lassen: unterwegs seit dem Vortag; ","")&amp;IF(AND(W27=0,V27&gt;0,U27=1),"Ende leer lassen: Übernachtung; ","")&amp;IF(AND(AJ27&gt;0,AM27&gt;AJ27),"Kürzung auf die Pauschale begrenzt; ",""))</f>
      </c>
      <c r="AM27" s="1">
        <f>ROUND(AG27*(IF(H27&lt;&gt;"",0.2,0)+IF(I27&lt;&gt;"",0.4,0)+IF(J27&lt;&gt;"",0.4,0)),2)</f>
      </c>
      <c r="AN27" s="1">
        <f>IF($A28="",'Dezember'!$T$5,T28)</f>
      </c>
      <c r="AO27" s="1">
        <f>IF($A28="",'Dezember'!$U$5,U28)</f>
      </c>
      <c r="AP27" s="1">
        <f>IF($A28="",'Dezember'!$V$5,V28)</f>
      </c>
      <c r="AQ27" s="1">
        <f>IF($A28="",'Dezember'!$AE$5,AE28)</f>
      </c>
      <c r="AR27" s="1">
        <f>AE26</f>
      </c>
      <c r="AS27" s="1">
        <f>X26</f>
      </c>
      <c r="AT27" s="1">
        <f>U26</f>
      </c>
      <c r="AU27" s="1">
        <f>V26</f>
      </c>
    </row>
    <row r="28" spans="1:47" x14ac:dyDescent="0.25">
      <c r="A28" s="17">
        <f>IF(MONTH(DATE(Jahr,11,24))=11,DATE(Jahr,11,24),"")</f>
      </c>
      <c r="B28" s="13">
        <f>IF(A28="","",CHOOSE(WEEKDAY(A28,2),"Mo","Di","Mi","Do","Fr","Sa","So"))</f>
      </c>
      <c r="C28" s="18"/>
      <c r="D28" s="18"/>
      <c r="E28" s="7"/>
      <c r="F28" s="7"/>
      <c r="G28" s="7"/>
      <c r="H28" s="19"/>
      <c r="I28" s="19"/>
      <c r="J28" s="19"/>
      <c r="K28" s="9"/>
      <c r="L28" s="20">
        <f>IF(OR(AD28=0,AF28&lt;&gt;"",AND(W28=1,V28&gt;0,OR(T28=1,U28=1))),"",AE28/1440)</f>
      </c>
      <c r="M28" s="21">
        <f>IF(OR(AD28=0,AF28&lt;&gt;""),"",AJ28)</f>
      </c>
      <c r="N28" s="21">
        <f>IF(AK28=0,"",AK28)</f>
      </c>
      <c r="O28" s="21">
        <f>IF(OR(AD28=0,AF28&lt;&gt;""),"",AJ28-AK28)</f>
      </c>
      <c r="P28" s="21">
        <f>IF(AND(AD28=1,AF28="",V28=2),AI28,"")</f>
      </c>
      <c r="Q28" s="21">
        <f>IF(OR($A28="",N(K28)=0),"",ROUND(K28*KmSatz,2))</f>
      </c>
      <c r="R28" s="22">
        <f>IF(AF28&amp;AL28="","",LEFT(AF28&amp;AL28,LEN(AF28&amp;AL28)-2))</f>
      </c>
      <c r="S28" s="1"/>
      <c r="T28" s="1">
        <f>IF(AND($A28&lt;&gt;"",ISNUMBER(C28)),1,0)</f>
      </c>
      <c r="U28" s="1">
        <f>IF(AND($A28&lt;&gt;"",ISNUMBER(D28)),1,0)</f>
      </c>
      <c r="V28" s="1">
        <f>IF($A28="",0,IF(E28="ja",1,IF(E28="Pauschale",2,0)))</f>
      </c>
      <c r="W28" s="1">
        <f>IF($A28="",0,IF(AU28&gt;0,1,0))</f>
      </c>
      <c r="X28" s="1">
        <f>IF(AND(T28=1,W28=0),1,0)</f>
      </c>
      <c r="Y28" s="1">
        <f>IF(AND(AS28=1,AT28=0,AU28=0),1,0)</f>
      </c>
      <c r="Z28" s="1">
        <f>IF(AND(Y28=1,T28=0,U28=1,V28=0),1,0)</f>
      </c>
      <c r="AA28" s="1">
        <f>IF(AND(X28=1,U28=0,V28=0,AN28=0,AO28=1,AP28=0),1,0)</f>
      </c>
      <c r="AB28" s="1">
        <f>IF(OR(W28=1,Z28=1),0,IF(T28=1,C28,0))</f>
      </c>
      <c r="AC28" s="1">
        <f>IF(OR(V28&gt;0,AA28=1),1,IF(U28=1,D28,1))</f>
      </c>
      <c r="AD28" s="1">
        <f>IF($A28="",0,IF(OR(T28=1,U28=1,V28&gt;0,W28=1),1,0))</f>
      </c>
      <c r="AE28" s="1">
        <f>IF(AD28=0,0,ROUND((AC28-AB28)*1440,0))</f>
      </c>
      <c r="AF28" s="1">
        <f>IF(AD28=0,"",IF(AND(F28&lt;&gt;"",ISNA(MATCH(F28,PauschLand,0))),"Land nicht in der Liste; ","")&amp;IF(AND(T28=0,W28=0,Z28=0),"Beginn fehlt; ","")&amp;IF(AND(V28=0,U28=0,AA28=0),"Ende fehlt; ","")&amp;IF(AND(X28=1,U28=1,V28=0,N(D28)&lt;N(C28)),"Ende vor Beginn (über Mitternacht: Ende in die Zeile des Folgetags); ",""))</f>
      </c>
      <c r="AG28" s="1">
        <f>IF(AD28=0,0,IFERROR(VLOOKUP(IF(F28="","Deutschland",F28),PauschTab,2,FALSE),0))</f>
      </c>
      <c r="AH28" s="1">
        <f>IF(AD28=0,0,IFERROR(VLOOKUP(IF(F28="","Deutschland",F28),PauschTab,3,FALSE),0))</f>
      </c>
      <c r="AI28" s="1">
        <f>IF(AD28=0,0,IFERROR(VLOOKUP(IF(F28="","Deutschland",F28),PauschTab,4,FALSE),0))</f>
      </c>
      <c r="AJ28" s="1">
        <f>IF(OR(AD28=0,AF28&lt;&gt;""),0,IF(AND(W28=1,V28&gt;0),IF(OR(T28=1,U28=1),AH28,AG28),IF(OR(W28=1,V28&gt;0),AH28,IF(AA28=1,IF(AND(AE28+AQ28&gt;480,AE28&gt;=AQ28),AH28,0),IF(Z28=1,IF(AND(AR28+AE28&gt;480,AE28&gt;AR28),AH28,0),IF(AE28&gt;480,AH28,0))))))</f>
      </c>
      <c r="AK28" s="1">
        <f>MIN(AJ28,AM28)</f>
      </c>
      <c r="AL28" s="1">
        <f>IF(OR(AD28=0,AF28&lt;&gt;""),"",IF(AND(W28=0,V28=0,AA28=0,Z28=0,AE28&lt;=480),"nicht mehr als 8 Std.; ","")&amp;IF(AA28=1,IF(AJ28&gt;0,"über Mitternacht, zusammen "&amp;TEXT((AE28+AQ28)/1440,"[h]:mm")&amp;" Std.; ",IF(AE28+AQ28&gt;480,"über Mitternacht: Pauschale am Folgetag; ","über Mitternacht, zusammen nicht mehr als 8 Std.; ")),"")&amp;IF(Z28=1,IF(AJ28&gt;0,"über Mitternacht, zusammen "&amp;TEXT((AR28+AE28)/1440,"[h]:mm")&amp;" Std.; ",IF(AR28+AE28&gt;480,"über Mitternacht: Pauschale am Vortag; ","über Mitternacht, zusammen nicht mehr als 8 Std.; ")),"")&amp;IF(AND(W28=1,V28&gt;0,OR(T28=1,U28=1)),"zwischendurch zu Hause: An- und Abreisetag; ","")&amp;IF(AND(W28=1,V28=0,T28=1),"Beginn leer lassen: unterwegs seit dem Vortag; ","")&amp;IF(AND(W28=0,V28&gt;0,U28=1),"Ende leer lassen: Übernachtung; ","")&amp;IF(AND(AJ28&gt;0,AM28&gt;AJ28),"Kürzung auf die Pauschale begrenzt; ",""))</f>
      </c>
      <c r="AM28" s="1">
        <f>ROUND(AG28*(IF(H28&lt;&gt;"",0.2,0)+IF(I28&lt;&gt;"",0.4,0)+IF(J28&lt;&gt;"",0.4,0)),2)</f>
      </c>
      <c r="AN28" s="1">
        <f>IF($A29="",'Dezember'!$T$5,T29)</f>
      </c>
      <c r="AO28" s="1">
        <f>IF($A29="",'Dezember'!$U$5,U29)</f>
      </c>
      <c r="AP28" s="1">
        <f>IF($A29="",'Dezember'!$V$5,V29)</f>
      </c>
      <c r="AQ28" s="1">
        <f>IF($A29="",'Dezember'!$AE$5,AE29)</f>
      </c>
      <c r="AR28" s="1">
        <f>AE27</f>
      </c>
      <c r="AS28" s="1">
        <f>X27</f>
      </c>
      <c r="AT28" s="1">
        <f>U27</f>
      </c>
      <c r="AU28" s="1">
        <f>V27</f>
      </c>
    </row>
    <row r="29" spans="1:47" x14ac:dyDescent="0.25">
      <c r="A29" s="17">
        <f>IF(MONTH(DATE(Jahr,11,25))=11,DATE(Jahr,11,25),"")</f>
      </c>
      <c r="B29" s="13">
        <f>IF(A29="","",CHOOSE(WEEKDAY(A29,2),"Mo","Di","Mi","Do","Fr","Sa","So"))</f>
      </c>
      <c r="C29" s="18"/>
      <c r="D29" s="18"/>
      <c r="E29" s="7"/>
      <c r="F29" s="7"/>
      <c r="G29" s="7"/>
      <c r="H29" s="19"/>
      <c r="I29" s="19"/>
      <c r="J29" s="19"/>
      <c r="K29" s="9"/>
      <c r="L29" s="20">
        <f>IF(OR(AD29=0,AF29&lt;&gt;"",AND(W29=1,V29&gt;0,OR(T29=1,U29=1))),"",AE29/1440)</f>
      </c>
      <c r="M29" s="21">
        <f>IF(OR(AD29=0,AF29&lt;&gt;""),"",AJ29)</f>
      </c>
      <c r="N29" s="21">
        <f>IF(AK29=0,"",AK29)</f>
      </c>
      <c r="O29" s="21">
        <f>IF(OR(AD29=0,AF29&lt;&gt;""),"",AJ29-AK29)</f>
      </c>
      <c r="P29" s="21">
        <f>IF(AND(AD29=1,AF29="",V29=2),AI29,"")</f>
      </c>
      <c r="Q29" s="21">
        <f>IF(OR($A29="",N(K29)=0),"",ROUND(K29*KmSatz,2))</f>
      </c>
      <c r="R29" s="22">
        <f>IF(AF29&amp;AL29="","",LEFT(AF29&amp;AL29,LEN(AF29&amp;AL29)-2))</f>
      </c>
      <c r="S29" s="1"/>
      <c r="T29" s="1">
        <f>IF(AND($A29&lt;&gt;"",ISNUMBER(C29)),1,0)</f>
      </c>
      <c r="U29" s="1">
        <f>IF(AND($A29&lt;&gt;"",ISNUMBER(D29)),1,0)</f>
      </c>
      <c r="V29" s="1">
        <f>IF($A29="",0,IF(E29="ja",1,IF(E29="Pauschale",2,0)))</f>
      </c>
      <c r="W29" s="1">
        <f>IF($A29="",0,IF(AU29&gt;0,1,0))</f>
      </c>
      <c r="X29" s="1">
        <f>IF(AND(T29=1,W29=0),1,0)</f>
      </c>
      <c r="Y29" s="1">
        <f>IF(AND(AS29=1,AT29=0,AU29=0),1,0)</f>
      </c>
      <c r="Z29" s="1">
        <f>IF(AND(Y29=1,T29=0,U29=1,V29=0),1,0)</f>
      </c>
      <c r="AA29" s="1">
        <f>IF(AND(X29=1,U29=0,V29=0,AN29=0,AO29=1,AP29=0),1,0)</f>
      </c>
      <c r="AB29" s="1">
        <f>IF(OR(W29=1,Z29=1),0,IF(T29=1,C29,0))</f>
      </c>
      <c r="AC29" s="1">
        <f>IF(OR(V29&gt;0,AA29=1),1,IF(U29=1,D29,1))</f>
      </c>
      <c r="AD29" s="1">
        <f>IF($A29="",0,IF(OR(T29=1,U29=1,V29&gt;0,W29=1),1,0))</f>
      </c>
      <c r="AE29" s="1">
        <f>IF(AD29=0,0,ROUND((AC29-AB29)*1440,0))</f>
      </c>
      <c r="AF29" s="1">
        <f>IF(AD29=0,"",IF(AND(F29&lt;&gt;"",ISNA(MATCH(F29,PauschLand,0))),"Land nicht in der Liste; ","")&amp;IF(AND(T29=0,W29=0,Z29=0),"Beginn fehlt; ","")&amp;IF(AND(V29=0,U29=0,AA29=0),"Ende fehlt; ","")&amp;IF(AND(X29=1,U29=1,V29=0,N(D29)&lt;N(C29)),"Ende vor Beginn (über Mitternacht: Ende in die Zeile des Folgetags); ",""))</f>
      </c>
      <c r="AG29" s="1">
        <f>IF(AD29=0,0,IFERROR(VLOOKUP(IF(F29="","Deutschland",F29),PauschTab,2,FALSE),0))</f>
      </c>
      <c r="AH29" s="1">
        <f>IF(AD29=0,0,IFERROR(VLOOKUP(IF(F29="","Deutschland",F29),PauschTab,3,FALSE),0))</f>
      </c>
      <c r="AI29" s="1">
        <f>IF(AD29=0,0,IFERROR(VLOOKUP(IF(F29="","Deutschland",F29),PauschTab,4,FALSE),0))</f>
      </c>
      <c r="AJ29" s="1">
        <f>IF(OR(AD29=0,AF29&lt;&gt;""),0,IF(AND(W29=1,V29&gt;0),IF(OR(T29=1,U29=1),AH29,AG29),IF(OR(W29=1,V29&gt;0),AH29,IF(AA29=1,IF(AND(AE29+AQ29&gt;480,AE29&gt;=AQ29),AH29,0),IF(Z29=1,IF(AND(AR29+AE29&gt;480,AE29&gt;AR29),AH29,0),IF(AE29&gt;480,AH29,0))))))</f>
      </c>
      <c r="AK29" s="1">
        <f>MIN(AJ29,AM29)</f>
      </c>
      <c r="AL29" s="1">
        <f>IF(OR(AD29=0,AF29&lt;&gt;""),"",IF(AND(W29=0,V29=0,AA29=0,Z29=0,AE29&lt;=480),"nicht mehr als 8 Std.; ","")&amp;IF(AA29=1,IF(AJ29&gt;0,"über Mitternacht, zusammen "&amp;TEXT((AE29+AQ29)/1440,"[h]:mm")&amp;" Std.; ",IF(AE29+AQ29&gt;480,"über Mitternacht: Pauschale am Folgetag; ","über Mitternacht, zusammen nicht mehr als 8 Std.; ")),"")&amp;IF(Z29=1,IF(AJ29&gt;0,"über Mitternacht, zusammen "&amp;TEXT((AR29+AE29)/1440,"[h]:mm")&amp;" Std.; ",IF(AR29+AE29&gt;480,"über Mitternacht: Pauschale am Vortag; ","über Mitternacht, zusammen nicht mehr als 8 Std.; ")),"")&amp;IF(AND(W29=1,V29&gt;0,OR(T29=1,U29=1)),"zwischendurch zu Hause: An- und Abreisetag; ","")&amp;IF(AND(W29=1,V29=0,T29=1),"Beginn leer lassen: unterwegs seit dem Vortag; ","")&amp;IF(AND(W29=0,V29&gt;0,U29=1),"Ende leer lassen: Übernachtung; ","")&amp;IF(AND(AJ29&gt;0,AM29&gt;AJ29),"Kürzung auf die Pauschale begrenzt; ",""))</f>
      </c>
      <c r="AM29" s="1">
        <f>ROUND(AG29*(IF(H29&lt;&gt;"",0.2,0)+IF(I29&lt;&gt;"",0.4,0)+IF(J29&lt;&gt;"",0.4,0)),2)</f>
      </c>
      <c r="AN29" s="1">
        <f>IF($A30="",'Dezember'!$T$5,T30)</f>
      </c>
      <c r="AO29" s="1">
        <f>IF($A30="",'Dezember'!$U$5,U30)</f>
      </c>
      <c r="AP29" s="1">
        <f>IF($A30="",'Dezember'!$V$5,V30)</f>
      </c>
      <c r="AQ29" s="1">
        <f>IF($A30="",'Dezember'!$AE$5,AE30)</f>
      </c>
      <c r="AR29" s="1">
        <f>AE28</f>
      </c>
      <c r="AS29" s="1">
        <f>X28</f>
      </c>
      <c r="AT29" s="1">
        <f>U28</f>
      </c>
      <c r="AU29" s="1">
        <f>V28</f>
      </c>
    </row>
    <row r="30" spans="1:47" x14ac:dyDescent="0.25">
      <c r="A30" s="17">
        <f>IF(MONTH(DATE(Jahr,11,26))=11,DATE(Jahr,11,26),"")</f>
      </c>
      <c r="B30" s="13">
        <f>IF(A30="","",CHOOSE(WEEKDAY(A30,2),"Mo","Di","Mi","Do","Fr","Sa","So"))</f>
      </c>
      <c r="C30" s="18"/>
      <c r="D30" s="18"/>
      <c r="E30" s="7"/>
      <c r="F30" s="7"/>
      <c r="G30" s="7"/>
      <c r="H30" s="19"/>
      <c r="I30" s="19"/>
      <c r="J30" s="19"/>
      <c r="K30" s="9"/>
      <c r="L30" s="20">
        <f>IF(OR(AD30=0,AF30&lt;&gt;"",AND(W30=1,V30&gt;0,OR(T30=1,U30=1))),"",AE30/1440)</f>
      </c>
      <c r="M30" s="21">
        <f>IF(OR(AD30=0,AF30&lt;&gt;""),"",AJ30)</f>
      </c>
      <c r="N30" s="21">
        <f>IF(AK30=0,"",AK30)</f>
      </c>
      <c r="O30" s="21">
        <f>IF(OR(AD30=0,AF30&lt;&gt;""),"",AJ30-AK30)</f>
      </c>
      <c r="P30" s="21">
        <f>IF(AND(AD30=1,AF30="",V30=2),AI30,"")</f>
      </c>
      <c r="Q30" s="21">
        <f>IF(OR($A30="",N(K30)=0),"",ROUND(K30*KmSatz,2))</f>
      </c>
      <c r="R30" s="22">
        <f>IF(AF30&amp;AL30="","",LEFT(AF30&amp;AL30,LEN(AF30&amp;AL30)-2))</f>
      </c>
      <c r="S30" s="1"/>
      <c r="T30" s="1">
        <f>IF(AND($A30&lt;&gt;"",ISNUMBER(C30)),1,0)</f>
      </c>
      <c r="U30" s="1">
        <f>IF(AND($A30&lt;&gt;"",ISNUMBER(D30)),1,0)</f>
      </c>
      <c r="V30" s="1">
        <f>IF($A30="",0,IF(E30="ja",1,IF(E30="Pauschale",2,0)))</f>
      </c>
      <c r="W30" s="1">
        <f>IF($A30="",0,IF(AU30&gt;0,1,0))</f>
      </c>
      <c r="X30" s="1">
        <f>IF(AND(T30=1,W30=0),1,0)</f>
      </c>
      <c r="Y30" s="1">
        <f>IF(AND(AS30=1,AT30=0,AU30=0),1,0)</f>
      </c>
      <c r="Z30" s="1">
        <f>IF(AND(Y30=1,T30=0,U30=1,V30=0),1,0)</f>
      </c>
      <c r="AA30" s="1">
        <f>IF(AND(X30=1,U30=0,V30=0,AN30=0,AO30=1,AP30=0),1,0)</f>
      </c>
      <c r="AB30" s="1">
        <f>IF(OR(W30=1,Z30=1),0,IF(T30=1,C30,0))</f>
      </c>
      <c r="AC30" s="1">
        <f>IF(OR(V30&gt;0,AA30=1),1,IF(U30=1,D30,1))</f>
      </c>
      <c r="AD30" s="1">
        <f>IF($A30="",0,IF(OR(T30=1,U30=1,V30&gt;0,W30=1),1,0))</f>
      </c>
      <c r="AE30" s="1">
        <f>IF(AD30=0,0,ROUND((AC30-AB30)*1440,0))</f>
      </c>
      <c r="AF30" s="1">
        <f>IF(AD30=0,"",IF(AND(F30&lt;&gt;"",ISNA(MATCH(F30,PauschLand,0))),"Land nicht in der Liste; ","")&amp;IF(AND(T30=0,W30=0,Z30=0),"Beginn fehlt; ","")&amp;IF(AND(V30=0,U30=0,AA30=0),"Ende fehlt; ","")&amp;IF(AND(X30=1,U30=1,V30=0,N(D30)&lt;N(C30)),"Ende vor Beginn (über Mitternacht: Ende in die Zeile des Folgetags); ",""))</f>
      </c>
      <c r="AG30" s="1">
        <f>IF(AD30=0,0,IFERROR(VLOOKUP(IF(F30="","Deutschland",F30),PauschTab,2,FALSE),0))</f>
      </c>
      <c r="AH30" s="1">
        <f>IF(AD30=0,0,IFERROR(VLOOKUP(IF(F30="","Deutschland",F30),PauschTab,3,FALSE),0))</f>
      </c>
      <c r="AI30" s="1">
        <f>IF(AD30=0,0,IFERROR(VLOOKUP(IF(F30="","Deutschland",F30),PauschTab,4,FALSE),0))</f>
      </c>
      <c r="AJ30" s="1">
        <f>IF(OR(AD30=0,AF30&lt;&gt;""),0,IF(AND(W30=1,V30&gt;0),IF(OR(T30=1,U30=1),AH30,AG30),IF(OR(W30=1,V30&gt;0),AH30,IF(AA30=1,IF(AND(AE30+AQ30&gt;480,AE30&gt;=AQ30),AH30,0),IF(Z30=1,IF(AND(AR30+AE30&gt;480,AE30&gt;AR30),AH30,0),IF(AE30&gt;480,AH30,0))))))</f>
      </c>
      <c r="AK30" s="1">
        <f>MIN(AJ30,AM30)</f>
      </c>
      <c r="AL30" s="1">
        <f>IF(OR(AD30=0,AF30&lt;&gt;""),"",IF(AND(W30=0,V30=0,AA30=0,Z30=0,AE30&lt;=480),"nicht mehr als 8 Std.; ","")&amp;IF(AA30=1,IF(AJ30&gt;0,"über Mitternacht, zusammen "&amp;TEXT((AE30+AQ30)/1440,"[h]:mm")&amp;" Std.; ",IF(AE30+AQ30&gt;480,"über Mitternacht: Pauschale am Folgetag; ","über Mitternacht, zusammen nicht mehr als 8 Std.; ")),"")&amp;IF(Z30=1,IF(AJ30&gt;0,"über Mitternacht, zusammen "&amp;TEXT((AR30+AE30)/1440,"[h]:mm")&amp;" Std.; ",IF(AR30+AE30&gt;480,"über Mitternacht: Pauschale am Vortag; ","über Mitternacht, zusammen nicht mehr als 8 Std.; ")),"")&amp;IF(AND(W30=1,V30&gt;0,OR(T30=1,U30=1)),"zwischendurch zu Hause: An- und Abreisetag; ","")&amp;IF(AND(W30=1,V30=0,T30=1),"Beginn leer lassen: unterwegs seit dem Vortag; ","")&amp;IF(AND(W30=0,V30&gt;0,U30=1),"Ende leer lassen: Übernachtung; ","")&amp;IF(AND(AJ30&gt;0,AM30&gt;AJ30),"Kürzung auf die Pauschale begrenzt; ",""))</f>
      </c>
      <c r="AM30" s="1">
        <f>ROUND(AG30*(IF(H30&lt;&gt;"",0.2,0)+IF(I30&lt;&gt;"",0.4,0)+IF(J30&lt;&gt;"",0.4,0)),2)</f>
      </c>
      <c r="AN30" s="1">
        <f>IF($A31="",'Dezember'!$T$5,T31)</f>
      </c>
      <c r="AO30" s="1">
        <f>IF($A31="",'Dezember'!$U$5,U31)</f>
      </c>
      <c r="AP30" s="1">
        <f>IF($A31="",'Dezember'!$V$5,V31)</f>
      </c>
      <c r="AQ30" s="1">
        <f>IF($A31="",'Dezember'!$AE$5,AE31)</f>
      </c>
      <c r="AR30" s="1">
        <f>AE29</f>
      </c>
      <c r="AS30" s="1">
        <f>X29</f>
      </c>
      <c r="AT30" s="1">
        <f>U29</f>
      </c>
      <c r="AU30" s="1">
        <f>V29</f>
      </c>
    </row>
    <row r="31" spans="1:47" x14ac:dyDescent="0.25">
      <c r="A31" s="17">
        <f>IF(MONTH(DATE(Jahr,11,27))=11,DATE(Jahr,11,27),"")</f>
      </c>
      <c r="B31" s="13">
        <f>IF(A31="","",CHOOSE(WEEKDAY(A31,2),"Mo","Di","Mi","Do","Fr","Sa","So"))</f>
      </c>
      <c r="C31" s="18"/>
      <c r="D31" s="18"/>
      <c r="E31" s="7"/>
      <c r="F31" s="7"/>
      <c r="G31" s="7"/>
      <c r="H31" s="19"/>
      <c r="I31" s="19"/>
      <c r="J31" s="19"/>
      <c r="K31" s="9"/>
      <c r="L31" s="20">
        <f>IF(OR(AD31=0,AF31&lt;&gt;"",AND(W31=1,V31&gt;0,OR(T31=1,U31=1))),"",AE31/1440)</f>
      </c>
      <c r="M31" s="21">
        <f>IF(OR(AD31=0,AF31&lt;&gt;""),"",AJ31)</f>
      </c>
      <c r="N31" s="21">
        <f>IF(AK31=0,"",AK31)</f>
      </c>
      <c r="O31" s="21">
        <f>IF(OR(AD31=0,AF31&lt;&gt;""),"",AJ31-AK31)</f>
      </c>
      <c r="P31" s="21">
        <f>IF(AND(AD31=1,AF31="",V31=2),AI31,"")</f>
      </c>
      <c r="Q31" s="21">
        <f>IF(OR($A31="",N(K31)=0),"",ROUND(K31*KmSatz,2))</f>
      </c>
      <c r="R31" s="22">
        <f>IF(AF31&amp;AL31="","",LEFT(AF31&amp;AL31,LEN(AF31&amp;AL31)-2))</f>
      </c>
      <c r="S31" s="1"/>
      <c r="T31" s="1">
        <f>IF(AND($A31&lt;&gt;"",ISNUMBER(C31)),1,0)</f>
      </c>
      <c r="U31" s="1">
        <f>IF(AND($A31&lt;&gt;"",ISNUMBER(D31)),1,0)</f>
      </c>
      <c r="V31" s="1">
        <f>IF($A31="",0,IF(E31="ja",1,IF(E31="Pauschale",2,0)))</f>
      </c>
      <c r="W31" s="1">
        <f>IF($A31="",0,IF(AU31&gt;0,1,0))</f>
      </c>
      <c r="X31" s="1">
        <f>IF(AND(T31=1,W31=0),1,0)</f>
      </c>
      <c r="Y31" s="1">
        <f>IF(AND(AS31=1,AT31=0,AU31=0),1,0)</f>
      </c>
      <c r="Z31" s="1">
        <f>IF(AND(Y31=1,T31=0,U31=1,V31=0),1,0)</f>
      </c>
      <c r="AA31" s="1">
        <f>IF(AND(X31=1,U31=0,V31=0,AN31=0,AO31=1,AP31=0),1,0)</f>
      </c>
      <c r="AB31" s="1">
        <f>IF(OR(W31=1,Z31=1),0,IF(T31=1,C31,0))</f>
      </c>
      <c r="AC31" s="1">
        <f>IF(OR(V31&gt;0,AA31=1),1,IF(U31=1,D31,1))</f>
      </c>
      <c r="AD31" s="1">
        <f>IF($A31="",0,IF(OR(T31=1,U31=1,V31&gt;0,W31=1),1,0))</f>
      </c>
      <c r="AE31" s="1">
        <f>IF(AD31=0,0,ROUND((AC31-AB31)*1440,0))</f>
      </c>
      <c r="AF31" s="1">
        <f>IF(AD31=0,"",IF(AND(F31&lt;&gt;"",ISNA(MATCH(F31,PauschLand,0))),"Land nicht in der Liste; ","")&amp;IF(AND(T31=0,W31=0,Z31=0),"Beginn fehlt; ","")&amp;IF(AND(V31=0,U31=0,AA31=0),"Ende fehlt; ","")&amp;IF(AND(X31=1,U31=1,V31=0,N(D31)&lt;N(C31)),"Ende vor Beginn (über Mitternacht: Ende in die Zeile des Folgetags); ",""))</f>
      </c>
      <c r="AG31" s="1">
        <f>IF(AD31=0,0,IFERROR(VLOOKUP(IF(F31="","Deutschland",F31),PauschTab,2,FALSE),0))</f>
      </c>
      <c r="AH31" s="1">
        <f>IF(AD31=0,0,IFERROR(VLOOKUP(IF(F31="","Deutschland",F31),PauschTab,3,FALSE),0))</f>
      </c>
      <c r="AI31" s="1">
        <f>IF(AD31=0,0,IFERROR(VLOOKUP(IF(F31="","Deutschland",F31),PauschTab,4,FALSE),0))</f>
      </c>
      <c r="AJ31" s="1">
        <f>IF(OR(AD31=0,AF31&lt;&gt;""),0,IF(AND(W31=1,V31&gt;0),IF(OR(T31=1,U31=1),AH31,AG31),IF(OR(W31=1,V31&gt;0),AH31,IF(AA31=1,IF(AND(AE31+AQ31&gt;480,AE31&gt;=AQ31),AH31,0),IF(Z31=1,IF(AND(AR31+AE31&gt;480,AE31&gt;AR31),AH31,0),IF(AE31&gt;480,AH31,0))))))</f>
      </c>
      <c r="AK31" s="1">
        <f>MIN(AJ31,AM31)</f>
      </c>
      <c r="AL31" s="1">
        <f>IF(OR(AD31=0,AF31&lt;&gt;""),"",IF(AND(W31=0,V31=0,AA31=0,Z31=0,AE31&lt;=480),"nicht mehr als 8 Std.; ","")&amp;IF(AA31=1,IF(AJ31&gt;0,"über Mitternacht, zusammen "&amp;TEXT((AE31+AQ31)/1440,"[h]:mm")&amp;" Std.; ",IF(AE31+AQ31&gt;480,"über Mitternacht: Pauschale am Folgetag; ","über Mitternacht, zusammen nicht mehr als 8 Std.; ")),"")&amp;IF(Z31=1,IF(AJ31&gt;0,"über Mitternacht, zusammen "&amp;TEXT((AR31+AE31)/1440,"[h]:mm")&amp;" Std.; ",IF(AR31+AE31&gt;480,"über Mitternacht: Pauschale am Vortag; ","über Mitternacht, zusammen nicht mehr als 8 Std.; ")),"")&amp;IF(AND(W31=1,V31&gt;0,OR(T31=1,U31=1)),"zwischendurch zu Hause: An- und Abreisetag; ","")&amp;IF(AND(W31=1,V31=0,T31=1),"Beginn leer lassen: unterwegs seit dem Vortag; ","")&amp;IF(AND(W31=0,V31&gt;0,U31=1),"Ende leer lassen: Übernachtung; ","")&amp;IF(AND(AJ31&gt;0,AM31&gt;AJ31),"Kürzung auf die Pauschale begrenzt; ",""))</f>
      </c>
      <c r="AM31" s="1">
        <f>ROUND(AG31*(IF(H31&lt;&gt;"",0.2,0)+IF(I31&lt;&gt;"",0.4,0)+IF(J31&lt;&gt;"",0.4,0)),2)</f>
      </c>
      <c r="AN31" s="1">
        <f>IF($A32="",'Dezember'!$T$5,T32)</f>
      </c>
      <c r="AO31" s="1">
        <f>IF($A32="",'Dezember'!$U$5,U32)</f>
      </c>
      <c r="AP31" s="1">
        <f>IF($A32="",'Dezember'!$V$5,V32)</f>
      </c>
      <c r="AQ31" s="1">
        <f>IF($A32="",'Dezember'!$AE$5,AE32)</f>
      </c>
      <c r="AR31" s="1">
        <f>AE30</f>
      </c>
      <c r="AS31" s="1">
        <f>X30</f>
      </c>
      <c r="AT31" s="1">
        <f>U30</f>
      </c>
      <c r="AU31" s="1">
        <f>V30</f>
      </c>
    </row>
    <row r="32" spans="1:47" x14ac:dyDescent="0.25">
      <c r="A32" s="17">
        <f>IF(MONTH(DATE(Jahr,11,28))=11,DATE(Jahr,11,28),"")</f>
      </c>
      <c r="B32" s="13">
        <f>IF(A32="","",CHOOSE(WEEKDAY(A32,2),"Mo","Di","Mi","Do","Fr","Sa","So"))</f>
      </c>
      <c r="C32" s="18"/>
      <c r="D32" s="18"/>
      <c r="E32" s="7"/>
      <c r="F32" s="7"/>
      <c r="G32" s="7"/>
      <c r="H32" s="19"/>
      <c r="I32" s="19"/>
      <c r="J32" s="19"/>
      <c r="K32" s="9"/>
      <c r="L32" s="20">
        <f>IF(OR(AD32=0,AF32&lt;&gt;"",AND(W32=1,V32&gt;0,OR(T32=1,U32=1))),"",AE32/1440)</f>
      </c>
      <c r="M32" s="21">
        <f>IF(OR(AD32=0,AF32&lt;&gt;""),"",AJ32)</f>
      </c>
      <c r="N32" s="21">
        <f>IF(AK32=0,"",AK32)</f>
      </c>
      <c r="O32" s="21">
        <f>IF(OR(AD32=0,AF32&lt;&gt;""),"",AJ32-AK32)</f>
      </c>
      <c r="P32" s="21">
        <f>IF(AND(AD32=1,AF32="",V32=2),AI32,"")</f>
      </c>
      <c r="Q32" s="21">
        <f>IF(OR($A32="",N(K32)=0),"",ROUND(K32*KmSatz,2))</f>
      </c>
      <c r="R32" s="22">
        <f>IF(AF32&amp;AL32="","",LEFT(AF32&amp;AL32,LEN(AF32&amp;AL32)-2))</f>
      </c>
      <c r="S32" s="1"/>
      <c r="T32" s="1">
        <f>IF(AND($A32&lt;&gt;"",ISNUMBER(C32)),1,0)</f>
      </c>
      <c r="U32" s="1">
        <f>IF(AND($A32&lt;&gt;"",ISNUMBER(D32)),1,0)</f>
      </c>
      <c r="V32" s="1">
        <f>IF($A32="",0,IF(E32="ja",1,IF(E32="Pauschale",2,0)))</f>
      </c>
      <c r="W32" s="1">
        <f>IF($A32="",0,IF(AU32&gt;0,1,0))</f>
      </c>
      <c r="X32" s="1">
        <f>IF(AND(T32=1,W32=0),1,0)</f>
      </c>
      <c r="Y32" s="1">
        <f>IF(AND(AS32=1,AT32=0,AU32=0),1,0)</f>
      </c>
      <c r="Z32" s="1">
        <f>IF(AND(Y32=1,T32=0,U32=1,V32=0),1,0)</f>
      </c>
      <c r="AA32" s="1">
        <f>IF(AND(X32=1,U32=0,V32=0,AN32=0,AO32=1,AP32=0),1,0)</f>
      </c>
      <c r="AB32" s="1">
        <f>IF(OR(W32=1,Z32=1),0,IF(T32=1,C32,0))</f>
      </c>
      <c r="AC32" s="1">
        <f>IF(OR(V32&gt;0,AA32=1),1,IF(U32=1,D32,1))</f>
      </c>
      <c r="AD32" s="1">
        <f>IF($A32="",0,IF(OR(T32=1,U32=1,V32&gt;0,W32=1),1,0))</f>
      </c>
      <c r="AE32" s="1">
        <f>IF(AD32=0,0,ROUND((AC32-AB32)*1440,0))</f>
      </c>
      <c r="AF32" s="1">
        <f>IF(AD32=0,"",IF(AND(F32&lt;&gt;"",ISNA(MATCH(F32,PauschLand,0))),"Land nicht in der Liste; ","")&amp;IF(AND(T32=0,W32=0,Z32=0),"Beginn fehlt; ","")&amp;IF(AND(V32=0,U32=0,AA32=0),"Ende fehlt; ","")&amp;IF(AND(X32=1,U32=1,V32=0,N(D32)&lt;N(C32)),"Ende vor Beginn (über Mitternacht: Ende in die Zeile des Folgetags); ",""))</f>
      </c>
      <c r="AG32" s="1">
        <f>IF(AD32=0,0,IFERROR(VLOOKUP(IF(F32="","Deutschland",F32),PauschTab,2,FALSE),0))</f>
      </c>
      <c r="AH32" s="1">
        <f>IF(AD32=0,0,IFERROR(VLOOKUP(IF(F32="","Deutschland",F32),PauschTab,3,FALSE),0))</f>
      </c>
      <c r="AI32" s="1">
        <f>IF(AD32=0,0,IFERROR(VLOOKUP(IF(F32="","Deutschland",F32),PauschTab,4,FALSE),0))</f>
      </c>
      <c r="AJ32" s="1">
        <f>IF(OR(AD32=0,AF32&lt;&gt;""),0,IF(AND(W32=1,V32&gt;0),IF(OR(T32=1,U32=1),AH32,AG32),IF(OR(W32=1,V32&gt;0),AH32,IF(AA32=1,IF(AND(AE32+AQ32&gt;480,AE32&gt;=AQ32),AH32,0),IF(Z32=1,IF(AND(AR32+AE32&gt;480,AE32&gt;AR32),AH32,0),IF(AE32&gt;480,AH32,0))))))</f>
      </c>
      <c r="AK32" s="1">
        <f>MIN(AJ32,AM32)</f>
      </c>
      <c r="AL32" s="1">
        <f>IF(OR(AD32=0,AF32&lt;&gt;""),"",IF(AND(W32=0,V32=0,AA32=0,Z32=0,AE32&lt;=480),"nicht mehr als 8 Std.; ","")&amp;IF(AA32=1,IF(AJ32&gt;0,"über Mitternacht, zusammen "&amp;TEXT((AE32+AQ32)/1440,"[h]:mm")&amp;" Std.; ",IF(AE32+AQ32&gt;480,"über Mitternacht: Pauschale am Folgetag; ","über Mitternacht, zusammen nicht mehr als 8 Std.; ")),"")&amp;IF(Z32=1,IF(AJ32&gt;0,"über Mitternacht, zusammen "&amp;TEXT((AR32+AE32)/1440,"[h]:mm")&amp;" Std.; ",IF(AR32+AE32&gt;480,"über Mitternacht: Pauschale am Vortag; ","über Mitternacht, zusammen nicht mehr als 8 Std.; ")),"")&amp;IF(AND(W32=1,V32&gt;0,OR(T32=1,U32=1)),"zwischendurch zu Hause: An- und Abreisetag; ","")&amp;IF(AND(W32=1,V32=0,T32=1),"Beginn leer lassen: unterwegs seit dem Vortag; ","")&amp;IF(AND(W32=0,V32&gt;0,U32=1),"Ende leer lassen: Übernachtung; ","")&amp;IF(AND(AJ32&gt;0,AM32&gt;AJ32),"Kürzung auf die Pauschale begrenzt; ",""))</f>
      </c>
      <c r="AM32" s="1">
        <f>ROUND(AG32*(IF(H32&lt;&gt;"",0.2,0)+IF(I32&lt;&gt;"",0.4,0)+IF(J32&lt;&gt;"",0.4,0)),2)</f>
      </c>
      <c r="AN32" s="1">
        <f>IF($A33="",'Dezember'!$T$5,T33)</f>
      </c>
      <c r="AO32" s="1">
        <f>IF($A33="",'Dezember'!$U$5,U33)</f>
      </c>
      <c r="AP32" s="1">
        <f>IF($A33="",'Dezember'!$V$5,V33)</f>
      </c>
      <c r="AQ32" s="1">
        <f>IF($A33="",'Dezember'!$AE$5,AE33)</f>
      </c>
      <c r="AR32" s="1">
        <f>AE31</f>
      </c>
      <c r="AS32" s="1">
        <f>X31</f>
      </c>
      <c r="AT32" s="1">
        <f>U31</f>
      </c>
      <c r="AU32" s="1">
        <f>V31</f>
      </c>
    </row>
    <row r="33" spans="1:47" x14ac:dyDescent="0.25">
      <c r="A33" s="17">
        <f>IF(MONTH(DATE(Jahr,11,29))=11,DATE(Jahr,11,29),"")</f>
      </c>
      <c r="B33" s="13">
        <f>IF(A33="","",CHOOSE(WEEKDAY(A33,2),"Mo","Di","Mi","Do","Fr","Sa","So"))</f>
      </c>
      <c r="C33" s="18"/>
      <c r="D33" s="18"/>
      <c r="E33" s="7"/>
      <c r="F33" s="7"/>
      <c r="G33" s="7"/>
      <c r="H33" s="19"/>
      <c r="I33" s="19"/>
      <c r="J33" s="19"/>
      <c r="K33" s="9"/>
      <c r="L33" s="20">
        <f>IF(OR(AD33=0,AF33&lt;&gt;"",AND(W33=1,V33&gt;0,OR(T33=1,U33=1))),"",AE33/1440)</f>
      </c>
      <c r="M33" s="21">
        <f>IF(OR(AD33=0,AF33&lt;&gt;""),"",AJ33)</f>
      </c>
      <c r="N33" s="21">
        <f>IF(AK33=0,"",AK33)</f>
      </c>
      <c r="O33" s="21">
        <f>IF(OR(AD33=0,AF33&lt;&gt;""),"",AJ33-AK33)</f>
      </c>
      <c r="P33" s="21">
        <f>IF(AND(AD33=1,AF33="",V33=2),AI33,"")</f>
      </c>
      <c r="Q33" s="21">
        <f>IF(OR($A33="",N(K33)=0),"",ROUND(K33*KmSatz,2))</f>
      </c>
      <c r="R33" s="22">
        <f>IF(AF33&amp;AL33="","",LEFT(AF33&amp;AL33,LEN(AF33&amp;AL33)-2))</f>
      </c>
      <c r="S33" s="1"/>
      <c r="T33" s="1">
        <f>IF(AND($A33&lt;&gt;"",ISNUMBER(C33)),1,0)</f>
      </c>
      <c r="U33" s="1">
        <f>IF(AND($A33&lt;&gt;"",ISNUMBER(D33)),1,0)</f>
      </c>
      <c r="V33" s="1">
        <f>IF($A33="",0,IF(E33="ja",1,IF(E33="Pauschale",2,0)))</f>
      </c>
      <c r="W33" s="1">
        <f>IF($A33="",0,IF(AU33&gt;0,1,0))</f>
      </c>
      <c r="X33" s="1">
        <f>IF(AND(T33=1,W33=0),1,0)</f>
      </c>
      <c r="Y33" s="1">
        <f>IF(AND(AS33=1,AT33=0,AU33=0),1,0)</f>
      </c>
      <c r="Z33" s="1">
        <f>IF(AND(Y33=1,T33=0,U33=1,V33=0),1,0)</f>
      </c>
      <c r="AA33" s="1">
        <f>IF(AND(X33=1,U33=0,V33=0,AN33=0,AO33=1,AP33=0),1,0)</f>
      </c>
      <c r="AB33" s="1">
        <f>IF(OR(W33=1,Z33=1),0,IF(T33=1,C33,0))</f>
      </c>
      <c r="AC33" s="1">
        <f>IF(OR(V33&gt;0,AA33=1),1,IF(U33=1,D33,1))</f>
      </c>
      <c r="AD33" s="1">
        <f>IF($A33="",0,IF(OR(T33=1,U33=1,V33&gt;0,W33=1),1,0))</f>
      </c>
      <c r="AE33" s="1">
        <f>IF(AD33=0,0,ROUND((AC33-AB33)*1440,0))</f>
      </c>
      <c r="AF33" s="1">
        <f>IF(AD33=0,"",IF(AND(F33&lt;&gt;"",ISNA(MATCH(F33,PauschLand,0))),"Land nicht in der Liste; ","")&amp;IF(AND(T33=0,W33=0,Z33=0),"Beginn fehlt; ","")&amp;IF(AND(V33=0,U33=0,AA33=0),"Ende fehlt; ","")&amp;IF(AND(X33=1,U33=1,V33=0,N(D33)&lt;N(C33)),"Ende vor Beginn (über Mitternacht: Ende in die Zeile des Folgetags); ",""))</f>
      </c>
      <c r="AG33" s="1">
        <f>IF(AD33=0,0,IFERROR(VLOOKUP(IF(F33="","Deutschland",F33),PauschTab,2,FALSE),0))</f>
      </c>
      <c r="AH33" s="1">
        <f>IF(AD33=0,0,IFERROR(VLOOKUP(IF(F33="","Deutschland",F33),PauschTab,3,FALSE),0))</f>
      </c>
      <c r="AI33" s="1">
        <f>IF(AD33=0,0,IFERROR(VLOOKUP(IF(F33="","Deutschland",F33),PauschTab,4,FALSE),0))</f>
      </c>
      <c r="AJ33" s="1">
        <f>IF(OR(AD33=0,AF33&lt;&gt;""),0,IF(AND(W33=1,V33&gt;0),IF(OR(T33=1,U33=1),AH33,AG33),IF(OR(W33=1,V33&gt;0),AH33,IF(AA33=1,IF(AND(AE33+AQ33&gt;480,AE33&gt;=AQ33),AH33,0),IF(Z33=1,IF(AND(AR33+AE33&gt;480,AE33&gt;AR33),AH33,0),IF(AE33&gt;480,AH33,0))))))</f>
      </c>
      <c r="AK33" s="1">
        <f>MIN(AJ33,AM33)</f>
      </c>
      <c r="AL33" s="1">
        <f>IF(OR(AD33=0,AF33&lt;&gt;""),"",IF(AND(W33=0,V33=0,AA33=0,Z33=0,AE33&lt;=480),"nicht mehr als 8 Std.; ","")&amp;IF(AA33=1,IF(AJ33&gt;0,"über Mitternacht, zusammen "&amp;TEXT((AE33+AQ33)/1440,"[h]:mm")&amp;" Std.; ",IF(AE33+AQ33&gt;480,"über Mitternacht: Pauschale am Folgetag; ","über Mitternacht, zusammen nicht mehr als 8 Std.; ")),"")&amp;IF(Z33=1,IF(AJ33&gt;0,"über Mitternacht, zusammen "&amp;TEXT((AR33+AE33)/1440,"[h]:mm")&amp;" Std.; ",IF(AR33+AE33&gt;480,"über Mitternacht: Pauschale am Vortag; ","über Mitternacht, zusammen nicht mehr als 8 Std.; ")),"")&amp;IF(AND(W33=1,V33&gt;0,OR(T33=1,U33=1)),"zwischendurch zu Hause: An- und Abreisetag; ","")&amp;IF(AND(W33=1,V33=0,T33=1),"Beginn leer lassen: unterwegs seit dem Vortag; ","")&amp;IF(AND(W33=0,V33&gt;0,U33=1),"Ende leer lassen: Übernachtung; ","")&amp;IF(AND(AJ33&gt;0,AM33&gt;AJ33),"Kürzung auf die Pauschale begrenzt; ",""))</f>
      </c>
      <c r="AM33" s="1">
        <f>ROUND(AG33*(IF(H33&lt;&gt;"",0.2,0)+IF(I33&lt;&gt;"",0.4,0)+IF(J33&lt;&gt;"",0.4,0)),2)</f>
      </c>
      <c r="AN33" s="1">
        <f>IF($A34="",'Dezember'!$T$5,T34)</f>
      </c>
      <c r="AO33" s="1">
        <f>IF($A34="",'Dezember'!$U$5,U34)</f>
      </c>
      <c r="AP33" s="1">
        <f>IF($A34="",'Dezember'!$V$5,V34)</f>
      </c>
      <c r="AQ33" s="1">
        <f>IF($A34="",'Dezember'!$AE$5,AE34)</f>
      </c>
      <c r="AR33" s="1">
        <f>AE32</f>
      </c>
      <c r="AS33" s="1">
        <f>X32</f>
      </c>
      <c r="AT33" s="1">
        <f>U32</f>
      </c>
      <c r="AU33" s="1">
        <f>V32</f>
      </c>
    </row>
    <row r="34" spans="1:47" x14ac:dyDescent="0.25">
      <c r="A34" s="17">
        <f>IF(MONTH(DATE(Jahr,11,30))=11,DATE(Jahr,11,30),"")</f>
      </c>
      <c r="B34" s="13">
        <f>IF(A34="","",CHOOSE(WEEKDAY(A34,2),"Mo","Di","Mi","Do","Fr","Sa","So"))</f>
      </c>
      <c r="C34" s="18"/>
      <c r="D34" s="18"/>
      <c r="E34" s="7"/>
      <c r="F34" s="7"/>
      <c r="G34" s="7"/>
      <c r="H34" s="19"/>
      <c r="I34" s="19"/>
      <c r="J34" s="19"/>
      <c r="K34" s="9"/>
      <c r="L34" s="20">
        <f>IF(OR(AD34=0,AF34&lt;&gt;"",AND(W34=1,V34&gt;0,OR(T34=1,U34=1))),"",AE34/1440)</f>
      </c>
      <c r="M34" s="21">
        <f>IF(OR(AD34=0,AF34&lt;&gt;""),"",AJ34)</f>
      </c>
      <c r="N34" s="21">
        <f>IF(AK34=0,"",AK34)</f>
      </c>
      <c r="O34" s="21">
        <f>IF(OR(AD34=0,AF34&lt;&gt;""),"",AJ34-AK34)</f>
      </c>
      <c r="P34" s="21">
        <f>IF(AND(AD34=1,AF34="",V34=2),AI34,"")</f>
      </c>
      <c r="Q34" s="21">
        <f>IF(OR($A34="",N(K34)=0),"",ROUND(K34*KmSatz,2))</f>
      </c>
      <c r="R34" s="22">
        <f>IF(AF34&amp;AL34="","",LEFT(AF34&amp;AL34,LEN(AF34&amp;AL34)-2))</f>
      </c>
      <c r="S34" s="1"/>
      <c r="T34" s="1">
        <f>IF(AND($A34&lt;&gt;"",ISNUMBER(C34)),1,0)</f>
      </c>
      <c r="U34" s="1">
        <f>IF(AND($A34&lt;&gt;"",ISNUMBER(D34)),1,0)</f>
      </c>
      <c r="V34" s="1">
        <f>IF($A34="",0,IF(E34="ja",1,IF(E34="Pauschale",2,0)))</f>
      </c>
      <c r="W34" s="1">
        <f>IF($A34="",0,IF(AU34&gt;0,1,0))</f>
      </c>
      <c r="X34" s="1">
        <f>IF(AND(T34=1,W34=0),1,0)</f>
      </c>
      <c r="Y34" s="1">
        <f>IF(AND(AS34=1,AT34=0,AU34=0),1,0)</f>
      </c>
      <c r="Z34" s="1">
        <f>IF(AND(Y34=1,T34=0,U34=1,V34=0),1,0)</f>
      </c>
      <c r="AA34" s="1">
        <f>IF(AND(X34=1,U34=0,V34=0,AN34=0,AO34=1,AP34=0),1,0)</f>
      </c>
      <c r="AB34" s="1">
        <f>IF(OR(W34=1,Z34=1),0,IF(T34=1,C34,0))</f>
      </c>
      <c r="AC34" s="1">
        <f>IF(OR(V34&gt;0,AA34=1),1,IF(U34=1,D34,1))</f>
      </c>
      <c r="AD34" s="1">
        <f>IF($A34="",0,IF(OR(T34=1,U34=1,V34&gt;0,W34=1),1,0))</f>
      </c>
      <c r="AE34" s="1">
        <f>IF(AD34=0,0,ROUND((AC34-AB34)*1440,0))</f>
      </c>
      <c r="AF34" s="1">
        <f>IF(AD34=0,"",IF(AND(F34&lt;&gt;"",ISNA(MATCH(F34,PauschLand,0))),"Land nicht in der Liste; ","")&amp;IF(AND(T34=0,W34=0,Z34=0),"Beginn fehlt; ","")&amp;IF(AND(V34=0,U34=0,AA34=0),"Ende fehlt; ","")&amp;IF(AND(X34=1,U34=1,V34=0,N(D34)&lt;N(C34)),"Ende vor Beginn (über Mitternacht: Ende in die Zeile des Folgetags); ",""))</f>
      </c>
      <c r="AG34" s="1">
        <f>IF(AD34=0,0,IFERROR(VLOOKUP(IF(F34="","Deutschland",F34),PauschTab,2,FALSE),0))</f>
      </c>
      <c r="AH34" s="1">
        <f>IF(AD34=0,0,IFERROR(VLOOKUP(IF(F34="","Deutschland",F34),PauschTab,3,FALSE),0))</f>
      </c>
      <c r="AI34" s="1">
        <f>IF(AD34=0,0,IFERROR(VLOOKUP(IF(F34="","Deutschland",F34),PauschTab,4,FALSE),0))</f>
      </c>
      <c r="AJ34" s="1">
        <f>IF(OR(AD34=0,AF34&lt;&gt;""),0,IF(AND(W34=1,V34&gt;0),IF(OR(T34=1,U34=1),AH34,AG34),IF(OR(W34=1,V34&gt;0),AH34,IF(AA34=1,IF(AND(AE34+AQ34&gt;480,AE34&gt;=AQ34),AH34,0),IF(Z34=1,IF(AND(AR34+AE34&gt;480,AE34&gt;AR34),AH34,0),IF(AE34&gt;480,AH34,0))))))</f>
      </c>
      <c r="AK34" s="1">
        <f>MIN(AJ34,AM34)</f>
      </c>
      <c r="AL34" s="1">
        <f>IF(OR(AD34=0,AF34&lt;&gt;""),"",IF(AND(W34=0,V34=0,AA34=0,Z34=0,AE34&lt;=480),"nicht mehr als 8 Std.; ","")&amp;IF(AA34=1,IF(AJ34&gt;0,"über Mitternacht, zusammen "&amp;TEXT((AE34+AQ34)/1440,"[h]:mm")&amp;" Std.; ",IF(AE34+AQ34&gt;480,"über Mitternacht: Pauschale am Folgetag; ","über Mitternacht, zusammen nicht mehr als 8 Std.; ")),"")&amp;IF(Z34=1,IF(AJ34&gt;0,"über Mitternacht, zusammen "&amp;TEXT((AR34+AE34)/1440,"[h]:mm")&amp;" Std.; ",IF(AR34+AE34&gt;480,"über Mitternacht: Pauschale am Vortag; ","über Mitternacht, zusammen nicht mehr als 8 Std.; ")),"")&amp;IF(AND(W34=1,V34&gt;0,OR(T34=1,U34=1)),"zwischendurch zu Hause: An- und Abreisetag; ","")&amp;IF(AND(W34=1,V34=0,T34=1),"Beginn leer lassen: unterwegs seit dem Vortag; ","")&amp;IF(AND(W34=0,V34&gt;0,U34=1),"Ende leer lassen: Übernachtung; ","")&amp;IF(AND(AJ34&gt;0,AM34&gt;AJ34),"Kürzung auf die Pauschale begrenzt; ",""))</f>
      </c>
      <c r="AM34" s="1">
        <f>ROUND(AG34*(IF(H34&lt;&gt;"",0.2,0)+IF(I34&lt;&gt;"",0.4,0)+IF(J34&lt;&gt;"",0.4,0)),2)</f>
      </c>
      <c r="AN34" s="1">
        <f>IF($A35="",'Dezember'!$T$5,T35)</f>
      </c>
      <c r="AO34" s="1">
        <f>IF($A35="",'Dezember'!$U$5,U35)</f>
      </c>
      <c r="AP34" s="1">
        <f>IF($A35="",'Dezember'!$V$5,V35)</f>
      </c>
      <c r="AQ34" s="1">
        <f>IF($A35="",'Dezember'!$AE$5,AE35)</f>
      </c>
      <c r="AR34" s="1">
        <f>AE33</f>
      </c>
      <c r="AS34" s="1">
        <f>X33</f>
      </c>
      <c r="AT34" s="1">
        <f>U33</f>
      </c>
      <c r="AU34" s="1">
        <f>V33</f>
      </c>
    </row>
    <row r="35" spans="1:47" x14ac:dyDescent="0.25">
      <c r="A35" s="17">
        <f>IF(MONTH(DATE(Jahr,11,31))=11,DATE(Jahr,11,31),"")</f>
      </c>
      <c r="B35" s="13">
        <f>IF(A35="","",CHOOSE(WEEKDAY(A35,2),"Mo","Di","Mi","Do","Fr","Sa","So"))</f>
      </c>
      <c r="C35" s="18"/>
      <c r="D35" s="18"/>
      <c r="E35" s="7"/>
      <c r="F35" s="7"/>
      <c r="G35" s="7"/>
      <c r="H35" s="19"/>
      <c r="I35" s="19"/>
      <c r="J35" s="19"/>
      <c r="K35" s="9"/>
      <c r="L35" s="20">
        <f>IF(OR(AD35=0,AF35&lt;&gt;"",AND(W35=1,V35&gt;0,OR(T35=1,U35=1))),"",AE35/1440)</f>
      </c>
      <c r="M35" s="21">
        <f>IF(OR(AD35=0,AF35&lt;&gt;""),"",AJ35)</f>
      </c>
      <c r="N35" s="21">
        <f>IF(AK35=0,"",AK35)</f>
      </c>
      <c r="O35" s="21">
        <f>IF(OR(AD35=0,AF35&lt;&gt;""),"",AJ35-AK35)</f>
      </c>
      <c r="P35" s="21">
        <f>IF(AND(AD35=1,AF35="",V35=2),AI35,"")</f>
      </c>
      <c r="Q35" s="21">
        <f>IF(OR($A35="",N(K35)=0),"",ROUND(K35*KmSatz,2))</f>
      </c>
      <c r="R35" s="22">
        <f>IF(AF35&amp;AL35="","",LEFT(AF35&amp;AL35,LEN(AF35&amp;AL35)-2))</f>
      </c>
      <c r="S35" s="1"/>
      <c r="T35" s="1">
        <f>IF(AND($A35&lt;&gt;"",ISNUMBER(C35)),1,0)</f>
      </c>
      <c r="U35" s="1">
        <f>IF(AND($A35&lt;&gt;"",ISNUMBER(D35)),1,0)</f>
      </c>
      <c r="V35" s="1">
        <f>IF($A35="",0,IF(E35="ja",1,IF(E35="Pauschale",2,0)))</f>
      </c>
      <c r="W35" s="1">
        <f>IF($A35="",0,IF(AU35&gt;0,1,0))</f>
      </c>
      <c r="X35" s="1">
        <f>IF(AND(T35=1,W35=0),1,0)</f>
      </c>
      <c r="Y35" s="1">
        <f>IF(AND(AS35=1,AT35=0,AU35=0),1,0)</f>
      </c>
      <c r="Z35" s="1">
        <f>IF(AND(Y35=1,T35=0,U35=1,V35=0),1,0)</f>
      </c>
      <c r="AA35" s="1">
        <f>IF(AND(X35=1,U35=0,V35=0,AN35=0,AO35=1,AP35=0),1,0)</f>
      </c>
      <c r="AB35" s="1">
        <f>IF(OR(W35=1,Z35=1),0,IF(T35=1,C35,0))</f>
      </c>
      <c r="AC35" s="1">
        <f>IF(OR(V35&gt;0,AA35=1),1,IF(U35=1,D35,1))</f>
      </c>
      <c r="AD35" s="1">
        <f>IF($A35="",0,IF(OR(T35=1,U35=1,V35&gt;0,W35=1),1,0))</f>
      </c>
      <c r="AE35" s="1">
        <f>IF(AD35=0,0,ROUND((AC35-AB35)*1440,0))</f>
      </c>
      <c r="AF35" s="1">
        <f>IF(AD35=0,"",IF(AND(F35&lt;&gt;"",ISNA(MATCH(F35,PauschLand,0))),"Land nicht in der Liste; ","")&amp;IF(AND(T35=0,W35=0,Z35=0),"Beginn fehlt; ","")&amp;IF(AND(V35=0,U35=0,AA35=0),"Ende fehlt; ","")&amp;IF(AND(X35=1,U35=1,V35=0,N(D35)&lt;N(C35)),"Ende vor Beginn (über Mitternacht: Ende in die Zeile des Folgetags); ",""))</f>
      </c>
      <c r="AG35" s="1">
        <f>IF(AD35=0,0,IFERROR(VLOOKUP(IF(F35="","Deutschland",F35),PauschTab,2,FALSE),0))</f>
      </c>
      <c r="AH35" s="1">
        <f>IF(AD35=0,0,IFERROR(VLOOKUP(IF(F35="","Deutschland",F35),PauschTab,3,FALSE),0))</f>
      </c>
      <c r="AI35" s="1">
        <f>IF(AD35=0,0,IFERROR(VLOOKUP(IF(F35="","Deutschland",F35),PauschTab,4,FALSE),0))</f>
      </c>
      <c r="AJ35" s="1">
        <f>IF(OR(AD35=0,AF35&lt;&gt;""),0,IF(AND(W35=1,V35&gt;0),IF(OR(T35=1,U35=1),AH35,AG35),IF(OR(W35=1,V35&gt;0),AH35,IF(AA35=1,IF(AND(AE35+AQ35&gt;480,AE35&gt;=AQ35),AH35,0),IF(Z35=1,IF(AND(AR35+AE35&gt;480,AE35&gt;AR35),AH35,0),IF(AE35&gt;480,AH35,0))))))</f>
      </c>
      <c r="AK35" s="1">
        <f>MIN(AJ35,AM35)</f>
      </c>
      <c r="AL35" s="1">
        <f>IF(OR(AD35=0,AF35&lt;&gt;""),"",IF(AND(W35=0,V35=0,AA35=0,Z35=0,AE35&lt;=480),"nicht mehr als 8 Std.; ","")&amp;IF(AA35=1,IF(AJ35&gt;0,"über Mitternacht, zusammen "&amp;TEXT((AE35+AQ35)/1440,"[h]:mm")&amp;" Std.; ",IF(AE35+AQ35&gt;480,"über Mitternacht: Pauschale am Folgetag; ","über Mitternacht, zusammen nicht mehr als 8 Std.; ")),"")&amp;IF(Z35=1,IF(AJ35&gt;0,"über Mitternacht, zusammen "&amp;TEXT((AR35+AE35)/1440,"[h]:mm")&amp;" Std.; ",IF(AR35+AE35&gt;480,"über Mitternacht: Pauschale am Vortag; ","über Mitternacht, zusammen nicht mehr als 8 Std.; ")),"")&amp;IF(AND(W35=1,V35&gt;0,OR(T35=1,U35=1)),"zwischendurch zu Hause: An- und Abreisetag; ","")&amp;IF(AND(W35=1,V35=0,T35=1),"Beginn leer lassen: unterwegs seit dem Vortag; ","")&amp;IF(AND(W35=0,V35&gt;0,U35=1),"Ende leer lassen: Übernachtung; ","")&amp;IF(AND(AJ35&gt;0,AM35&gt;AJ35),"Kürzung auf die Pauschale begrenzt; ",""))</f>
      </c>
      <c r="AM35" s="1">
        <f>ROUND(AG35*(IF(H35&lt;&gt;"",0.2,0)+IF(I35&lt;&gt;"",0.4,0)+IF(J35&lt;&gt;"",0.4,0)),2)</f>
      </c>
      <c r="AN35" s="1">
        <f>'Dezember'!$T$5</f>
      </c>
      <c r="AO35" s="1">
        <f>'Dezember'!$U$5</f>
      </c>
      <c r="AP35" s="1">
        <f>'Dezember'!$V$5</f>
      </c>
      <c r="AQ35" s="1">
        <f>'Dezember'!$AE$5</f>
      </c>
      <c r="AR35" s="1">
        <f>AE34</f>
      </c>
      <c r="AS35" s="1">
        <f>X34</f>
      </c>
      <c r="AT35" s="1">
        <f>U34</f>
      </c>
      <c r="AU35" s="1">
        <f>V34</f>
      </c>
    </row>
    <row r="37" spans="1:21" x14ac:dyDescent="0.25">
      <c r="A37" s="23">
        <f>"Abrechnung November "&amp;Jahr</f>
      </c>
      <c r="B37" s="1"/>
      <c r="C37" s="1"/>
      <c r="D37" s="1"/>
      <c r="E37" s="1"/>
      <c r="F37" s="1"/>
      <c r="G37" s="1"/>
      <c r="H37" s="1"/>
      <c r="I37" s="1"/>
      <c r="J37" s="1"/>
      <c r="K37" s="23">
        <f>"Buchung ("&amp;Kontenrahmen&amp;IF(Vorsteuerabzug="nein",", ohne Vorsteuer","")&amp;")"</f>
      </c>
      <c r="L37" s="1"/>
      <c r="M37" s="1"/>
      <c r="N37" s="1"/>
      <c r="O37" s="1"/>
      <c r="P37" s="1"/>
      <c r="Q37" s="1"/>
      <c r="R37" s="1"/>
      <c r="S37" s="1"/>
      <c r="T37" s="1">
        <f>COUNTIF(AD5:AD35,1)</f>
      </c>
      <c r="U37" s="1">
        <f>SUM(K5:K35)</f>
      </c>
    </row>
    <row r="38" spans="1:19" x14ac:dyDescent="0.25">
      <c r="A38" s="6" t="s">
        <v>49</v>
      </c>
      <c r="B38" s="6"/>
      <c r="C38" s="6"/>
      <c r="D38" s="6"/>
      <c r="E38" s="6"/>
      <c r="F38" s="6"/>
      <c r="G38" s="24">
        <f>SUM(O5:O35)</f>
      </c>
      <c r="H38" s="1"/>
      <c r="I38" s="1"/>
      <c r="J38" s="1"/>
      <c r="K38" s="25">
        <f>KtoVerpflegung</f>
      </c>
      <c r="L38" s="1" t="s">
        <v>49</v>
      </c>
      <c r="M38" s="1"/>
      <c r="N38" s="1"/>
      <c r="O38" s="1"/>
      <c r="P38" s="1"/>
      <c r="Q38" s="1"/>
      <c r="R38" s="26">
        <f>S38</f>
      </c>
      <c r="S38" s="1">
        <f>G38</f>
      </c>
    </row>
    <row r="39" spans="1:19" x14ac:dyDescent="0.25">
      <c r="A39" s="6" t="s">
        <v>75</v>
      </c>
      <c r="B39" s="6"/>
      <c r="C39" s="6"/>
      <c r="D39" s="6"/>
      <c r="E39" s="6"/>
      <c r="F39" s="6"/>
      <c r="G39" s="24">
        <f>SUMIFS(Belege!$O$5:$O$304,Belege!$L$5:$L$304,11,Belege!$C$5:$C$304,"Übernachtung")+SUM(P5:P35)</f>
      </c>
      <c r="H39" s="1"/>
      <c r="I39" s="1"/>
      <c r="J39" s="1"/>
      <c r="K39" s="25">
        <f>KtoUebernachtung</f>
      </c>
      <c r="L39" s="1" t="s">
        <v>50</v>
      </c>
      <c r="M39" s="1"/>
      <c r="N39" s="1"/>
      <c r="O39" s="1"/>
      <c r="P39" s="1"/>
      <c r="Q39" s="1"/>
      <c r="R39" s="26">
        <f>S39</f>
      </c>
      <c r="S39" s="1">
        <f>IF(Vorsteuerabzug="nein",SUMIFS(Belege!$O$5:$O$304,Belege!$L$5:$L$304,11,Belege!$C$5:$C$304,"Übernachtung"),SUMIFS(Belege!$P$5:$P$304,Belege!$L$5:$L$304,11,Belege!$C$5:$C$304,"Übernachtung"))+SUM(P5:P35)</f>
      </c>
    </row>
    <row r="40" spans="1:19" x14ac:dyDescent="0.25">
      <c r="A40" s="6" t="s">
        <v>76</v>
      </c>
      <c r="B40" s="6"/>
      <c r="C40" s="6"/>
      <c r="D40" s="6"/>
      <c r="E40" s="6"/>
      <c r="F40" s="6"/>
      <c r="G40" s="24">
        <f>SUMIFS(Belege!$O$5:$O$304,Belege!$L$5:$L$304,11,Belege!$C$5:$C$304,"Fahrtkosten")</f>
      </c>
      <c r="H40" s="1"/>
      <c r="I40" s="1"/>
      <c r="J40" s="1"/>
      <c r="K40" s="25">
        <f>KtoFahrtkosten</f>
      </c>
      <c r="L40" s="1" t="s">
        <v>51</v>
      </c>
      <c r="M40" s="1"/>
      <c r="N40" s="1"/>
      <c r="O40" s="1"/>
      <c r="P40" s="1"/>
      <c r="Q40" s="1"/>
      <c r="R40" s="26">
        <f>S40</f>
      </c>
      <c r="S40" s="1">
        <f>IF(Vorsteuerabzug="nein",SUMIFS(Belege!$O$5:$O$304,Belege!$L$5:$L$304,11,Belege!$C$5:$C$304,"Fahrtkosten"),SUMIFS(Belege!$P$5:$P$304,Belege!$L$5:$L$304,11,Belege!$C$5:$C$304,"Fahrtkosten"))</f>
      </c>
    </row>
    <row r="41" spans="1:19" x14ac:dyDescent="0.25">
      <c r="A41" s="6">
        <f>"Kilometergeld ("&amp;SUM(K5:K35)&amp;" km zu "&amp;IF(KmSatz=0.2,"0,20","0,30")&amp;" €)"</f>
      </c>
      <c r="B41" s="6"/>
      <c r="C41" s="6"/>
      <c r="D41" s="6"/>
      <c r="E41" s="6"/>
      <c r="F41" s="6"/>
      <c r="G41" s="24">
        <f>SUM(Q5:Q35)</f>
      </c>
      <c r="H41" s="1"/>
      <c r="I41" s="1"/>
      <c r="J41" s="1"/>
      <c r="K41" s="25">
        <f>KtoKilometergeld</f>
      </c>
      <c r="L41" s="1" t="s">
        <v>52</v>
      </c>
      <c r="M41" s="1"/>
      <c r="N41" s="1"/>
      <c r="O41" s="1"/>
      <c r="P41" s="1"/>
      <c r="Q41" s="1"/>
      <c r="R41" s="26">
        <f>S41</f>
      </c>
      <c r="S41" s="1">
        <f>G41</f>
      </c>
    </row>
    <row r="42" spans="1:19" x14ac:dyDescent="0.25">
      <c r="A42" s="6" t="s">
        <v>77</v>
      </c>
      <c r="B42" s="6"/>
      <c r="C42" s="6"/>
      <c r="D42" s="6"/>
      <c r="E42" s="6"/>
      <c r="F42" s="6"/>
      <c r="G42" s="24">
        <f>SUMIFS(Belege!$O$5:$O$304,Belege!$L$5:$L$304,11,Belege!$C$5:$C$304,"Nebenkosten")</f>
      </c>
      <c r="H42" s="1"/>
      <c r="I42" s="1"/>
      <c r="J42" s="1"/>
      <c r="K42" s="25">
        <f>KtoNebenkosten</f>
      </c>
      <c r="L42" s="1" t="s">
        <v>53</v>
      </c>
      <c r="M42" s="1"/>
      <c r="N42" s="1"/>
      <c r="O42" s="1"/>
      <c r="P42" s="1"/>
      <c r="Q42" s="1"/>
      <c r="R42" s="26">
        <f>S42</f>
      </c>
      <c r="S42" s="1">
        <f>IF(Vorsteuerabzug="nein",SUMIFS(Belege!$O$5:$O$304,Belege!$L$5:$L$304,11,Belege!$C$5:$C$304,"Nebenkosten"),SUMIFS(Belege!$P$5:$P$304,Belege!$L$5:$L$304,11,Belege!$C$5:$C$304,"Nebenkosten"))</f>
      </c>
    </row>
    <row r="43" spans="1:19" x14ac:dyDescent="0.25">
      <c r="A43" s="11" t="s">
        <v>78</v>
      </c>
      <c r="B43" s="11"/>
      <c r="C43" s="11"/>
      <c r="D43" s="11"/>
      <c r="E43" s="11"/>
      <c r="F43" s="11"/>
      <c r="G43" s="27">
        <f>SUM(G38:G42)</f>
      </c>
      <c r="H43" s="1"/>
      <c r="I43" s="1"/>
      <c r="J43" s="1"/>
      <c r="K43" s="25">
        <f>KtoVSt7</f>
      </c>
      <c r="L43" s="1" t="s">
        <v>54</v>
      </c>
      <c r="M43" s="1"/>
      <c r="N43" s="1"/>
      <c r="O43" s="1"/>
      <c r="P43" s="1"/>
      <c r="Q43" s="1"/>
      <c r="R43" s="26">
        <f>IF(Vorsteuerabzug="nein","",S43)</f>
      </c>
      <c r="S43" s="1">
        <f>IF(Vorsteuerabzug="nein",0,SUMIFS(Belege!$Q$5:$Q$304,Belege!$L$5:$L$304,11,Belege!$M$5:$M$304,0.07))</f>
      </c>
    </row>
    <row r="44" spans="1:19" x14ac:dyDescent="0.25">
      <c r="A44" s="6" t="s">
        <v>79</v>
      </c>
      <c r="B44" s="6"/>
      <c r="C44" s="6"/>
      <c r="D44" s="6"/>
      <c r="E44" s="6"/>
      <c r="F44" s="6"/>
      <c r="G44" s="28"/>
      <c r="H44" s="1"/>
      <c r="I44" s="1"/>
      <c r="J44" s="1"/>
      <c r="K44" s="25">
        <f>KtoVSt19</f>
      </c>
      <c r="L44" s="1" t="s">
        <v>55</v>
      </c>
      <c r="M44" s="1"/>
      <c r="N44" s="1"/>
      <c r="O44" s="1"/>
      <c r="P44" s="1"/>
      <c r="Q44" s="1"/>
      <c r="R44" s="26">
        <f>IF(Vorsteuerabzug="nein","",S44)</f>
      </c>
      <c r="S44" s="1">
        <f>IF(Vorsteuerabzug="nein",0,SUMIFS(Belege!$Q$5:$Q$304,Belege!$L$5:$L$304,11,Belege!$M$5:$M$304,0.19))</f>
      </c>
    </row>
    <row r="45" spans="1:18" x14ac:dyDescent="0.25">
      <c r="A45" s="11" t="s">
        <v>80</v>
      </c>
      <c r="B45" s="11"/>
      <c r="C45" s="11"/>
      <c r="D45" s="11"/>
      <c r="E45" s="11"/>
      <c r="F45" s="11"/>
      <c r="G45" s="27">
        <f>G43-N(G44)</f>
      </c>
      <c r="H45" s="1"/>
      <c r="I45" s="1"/>
      <c r="J45" s="1"/>
      <c r="K45" s="11" t="s">
        <v>81</v>
      </c>
      <c r="L45" s="11"/>
      <c r="M45" s="11"/>
      <c r="N45" s="11"/>
      <c r="O45" s="11"/>
      <c r="P45" s="11"/>
      <c r="Q45" s="11"/>
      <c r="R45" s="27">
        <f>SUM(S38:S44)</f>
      </c>
    </row>
    <row r="46" spans="1:7" x14ac:dyDescent="0.25">
      <c r="A46" s="29" t="s">
        <v>82</v>
      </c>
      <c r="B46" s="29"/>
      <c r="C46" s="29"/>
      <c r="D46" s="29"/>
      <c r="E46" s="29"/>
      <c r="F46" s="29"/>
      <c r="G46" s="30">
        <f>SUMIFS(Belege!$E$5:$E$304,Belege!$L$5:$L$304,11,Belege!$N$5:$N$304,0)</f>
      </c>
    </row>
    <row r="49" spans="1:18" x14ac:dyDescent="0.25">
      <c r="A49" s="31"/>
      <c r="B49" s="31"/>
      <c r="C49" s="31"/>
      <c r="D49" s="31"/>
      <c r="E49" s="31"/>
      <c r="F49" s="31"/>
      <c r="G49" s="31"/>
      <c r="H49" s="31"/>
      <c r="I49" s="31"/>
      <c r="J49" s="31"/>
      <c r="K49" s="31"/>
      <c r="M49" s="31"/>
      <c r="N49" s="31"/>
      <c r="O49" s="31"/>
      <c r="P49" s="31"/>
      <c r="Q49" s="31"/>
      <c r="R49" s="31"/>
    </row>
    <row r="50" spans="1:13" x14ac:dyDescent="0.25">
      <c r="A50" s="32" t="s">
        <v>83</v>
      </c>
      <c r="B50" s="1"/>
      <c r="C50" s="1"/>
      <c r="D50" s="1"/>
      <c r="E50" s="1"/>
      <c r="F50" s="1"/>
      <c r="G50" s="32" t="s">
        <v>84</v>
      </c>
      <c r="H50" s="1"/>
      <c r="I50" s="1"/>
      <c r="J50" s="1"/>
      <c r="K50" s="1"/>
      <c r="L50" s="1"/>
      <c r="M50" s="32" t="s">
        <v>85</v>
      </c>
    </row>
  </sheetData>
  <sheetProtection sheet="1" formatCells="0" formatColumns="0" formatRows="0"/>
  <mergeCells count="17">
    <mergeCell ref="A38:F38"/>
    <mergeCell ref="L38:Q38"/>
    <mergeCell ref="A39:F39"/>
    <mergeCell ref="L39:Q39"/>
    <mergeCell ref="A40:F40"/>
    <mergeCell ref="L40:Q40"/>
    <mergeCell ref="A41:F41"/>
    <mergeCell ref="L41:Q41"/>
    <mergeCell ref="A42:F42"/>
    <mergeCell ref="L42:Q42"/>
    <mergeCell ref="A43:F43"/>
    <mergeCell ref="L43:Q43"/>
    <mergeCell ref="A44:F44"/>
    <mergeCell ref="L44:Q44"/>
    <mergeCell ref="A45:F45"/>
    <mergeCell ref="K45:Q45"/>
    <mergeCell ref="A46:F46"/>
  </mergeCells>
  <conditionalFormatting sqref="A5:Q35">
    <cfRule type="expression" dxfId="60" priority="1">
      <formula>$A5=""</formula>
    </cfRule>
    <cfRule type="expression" dxfId="61" priority="2">
      <formula>WEEKDAY($A5,2)&gt;5</formula>
    </cfRule>
  </conditionalFormatting>
  <conditionalFormatting sqref="R5:R35">
    <cfRule type="expression" dxfId="62" priority="3">
      <formula>$A5=""</formula>
    </cfRule>
    <cfRule type="expression" dxfId="63" priority="4">
      <formula>AND($AF5&lt;&gt;"",WEEKDAY($A5,2)&gt;5)</formula>
    </cfRule>
    <cfRule type="expression" dxfId="64" priority="5">
      <formula>$AF5&lt;&gt;""</formula>
    </cfRule>
    <cfRule type="expression" dxfId="65" priority="6">
      <formula>WEEKDAY($A5,2)&gt;5</formula>
    </cfRule>
  </conditionalFormatting>
  <dataValidations count="11">
    <dataValidation type="decimal" allowBlank="1" showErrorMessage="1" errorTitle="Uhrzeit" error="Bitte als Uhrzeit hh:mm eingeben, z. B. 7:30 oder 16:45." sqref="C10:D35">
      <formula1>0</formula1>
      <formula2>0.99999</formula2>
    </dataValidation>
    <dataValidation type="decimal" allowBlank="1" showErrorMessage="1" errorTitle="Uhrzeit" error="Bitte als Uhrzeit hh:mm eingeben, z. B. 7:30 oder 16:45." sqref="C5:D35">
      <formula1>0</formula1>
      <formula2>0.99999</formula2>
    </dataValidation>
    <dataValidation type="list" allowBlank="1" showErrorMessage="1" errorTitle="Übernachtung" error="Bitte aus der Liste wählen." sqref="E10:E35">
      <formula1>"ja,Pauschale"</formula1>
    </dataValidation>
    <dataValidation type="list" allowBlank="1" showErrorMessage="1" errorTitle="Übernachtung" error="Bitte aus der Liste wählen." sqref="E5:E35">
      <formula1>"ja,Pauschale"</formula1>
    </dataValidation>
    <dataValidation type="list" allowBlank="1" showErrorMessage="1" errorTitle="Land / Ort" error="Bitte aus der Liste wählen; nicht aufgeführte Länder: Luxemburg." sqref="F10:F35">
      <formula1>Pauschalen!$A$4:$A$218</formula1>
    </dataValidation>
    <dataValidation type="list" allowBlank="1" showErrorMessage="1" errorTitle="Land / Ort" error="Bitte aus der Liste wählen; nicht aufgeführte Länder: Luxemburg." sqref="F5:F35">
      <formula1>Pauschalen!$A$4:$A$218</formula1>
    </dataValidation>
    <dataValidation type="decimal" allowBlank="1" showErrorMessage="1" errorTitle="Vorschuss" error="Bitte einen Betrag in Euro eintragen." sqref="G44">
      <formula1>0</formula1>
      <formula2>99999</formula2>
    </dataValidation>
    <dataValidation type="list" allowBlank="1" showErrorMessage="1" errorTitle="Mahlzeit" error="Bitte aus der Liste wählen." sqref="H10:J35">
      <formula1>"x"</formula1>
    </dataValidation>
    <dataValidation type="list" allowBlank="1" showErrorMessage="1" errorTitle="Mahlzeit" error="Bitte aus der Liste wählen." sqref="H5:J35">
      <formula1>"x"</formula1>
    </dataValidation>
    <dataValidation type="whole" allowBlank="1" showErrorMessage="1" errorTitle="Kilometer" error="Bitte die gefahrenen Kilometer als ganze Zahl eintragen." sqref="K10:K35">
      <formula1>0</formula1>
      <formula2>5000</formula2>
    </dataValidation>
    <dataValidation type="whole" allowBlank="1" showErrorMessage="1" errorTitle="Kilometer" error="Bitte die gefahrenen Kilometer als ganze Zahl eintragen." sqref="K5:K35">
      <formula1>0</formula1>
      <formula2>5000</formula2>
    </dataValidation>
  </dataValidations>
  <pageMargins left="0.4" right="0.4" top="0.5" bottom="0.5" header="0.2" footer="0.2"/>
  <pageSetup paperSize="9" orientation="landscape"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0"/>
  <sheetViews>
    <sheetView workbookViewId="0" showGridLines="0">
      <pane xSplit="2" ySplit="4" topLeftCell="C5" activePane="bottomRight" state="frozen"/>
      <selection pane="bottomRight"/>
    </sheetView>
  </sheetViews>
  <sheetFormatPr defaultRowHeight="15" outlineLevelRow="0" outlineLevelCol="0" x14ac:dyDescent="55"/>
  <cols>
    <col min="1" max="1" width="7" customWidth="1"/>
    <col min="2" max="2" width="4" customWidth="1"/>
    <col min="3" max="4" width="6.5" customWidth="1"/>
    <col min="5" max="5" width="10" customWidth="1"/>
    <col min="6" max="6" width="18" customWidth="1"/>
    <col min="7" max="7" width="24" customWidth="1"/>
    <col min="8" max="10" width="5.5" customWidth="1"/>
    <col min="11" max="11" width="8" customWidth="1"/>
    <col min="14" max="14" width="8.5" customWidth="1"/>
    <col min="15" max="15" width="10.5" customWidth="1"/>
    <col min="16" max="16" width="12" customWidth="1"/>
    <col min="17" max="17" width="10" customWidth="1"/>
    <col min="18" max="18" width="36" customWidth="1"/>
    <col min="19" max="19" width="9" hidden="1" customWidth="1"/>
    <col min="20" max="20" width="9" hidden="1" customWidth="1"/>
    <col min="21" max="21" width="9" hidden="1" customWidth="1"/>
    <col min="22" max="22" width="9" hidden="1" customWidth="1"/>
    <col min="23" max="23" width="9" hidden="1" customWidth="1"/>
    <col min="24" max="24" width="9" hidden="1" customWidth="1"/>
    <col min="25" max="25" width="9" hidden="1" customWidth="1"/>
    <col min="26" max="26" width="9" hidden="1" customWidth="1"/>
    <col min="27" max="27" width="9" hidden="1" customWidth="1"/>
    <col min="28" max="28" width="9" hidden="1" customWidth="1"/>
    <col min="29" max="29" width="9" hidden="1" customWidth="1"/>
    <col min="30" max="30" width="9" hidden="1" customWidth="1"/>
    <col min="31" max="31" width="9" hidden="1" customWidth="1"/>
    <col min="32" max="32" width="9" hidden="1" customWidth="1"/>
    <col min="33" max="33" width="9" hidden="1" customWidth="1"/>
    <col min="34" max="34" width="9" hidden="1" customWidth="1"/>
    <col min="35" max="35" width="9" hidden="1" customWidth="1"/>
    <col min="36" max="36" width="9" hidden="1" customWidth="1"/>
    <col min="37" max="37" width="9" hidden="1" customWidth="1"/>
    <col min="38" max="38" width="9" hidden="1" customWidth="1"/>
    <col min="39" max="39" width="9" hidden="1" customWidth="1"/>
    <col min="40" max="40" width="9" hidden="1" customWidth="1"/>
    <col min="41" max="41" width="9" hidden="1" customWidth="1"/>
    <col min="42" max="42" width="9" hidden="1" customWidth="1"/>
    <col min="43" max="43" width="9" hidden="1" customWidth="1"/>
    <col min="44" max="44" width="9" hidden="1" customWidth="1"/>
    <col min="45" max="45" width="9" hidden="1" customWidth="1"/>
    <col min="46" max="46" width="9" hidden="1" customWidth="1"/>
    <col min="47" max="47" width="9" hidden="1" customWidth="1"/>
  </cols>
  <sheetData>
    <row r="1" spans="1:1" x14ac:dyDescent="0.25">
      <c r="A1" s="5">
        <f>"Reisekostenabrechnung Dezember "&amp;Jahr</f>
      </c>
    </row>
    <row r="2" spans="1:1" x14ac:dyDescent="0.25">
      <c r="A2" s="6">
        <f>"Name: "&amp;IF(MitarbeiterName="","…",MitarbeiterName)&amp;IF(Personalnummer="",""," · Personalnr. "&amp;Personalnummer)&amp;IF(Kostenstelle="",""," · "&amp;Kostenstelle)&amp;IF(Firma="",""," · "&amp;Firma)</f>
      </c>
    </row>
    <row r="3" spans="1:1" x14ac:dyDescent="0.25">
      <c r="A3" s="16">
        <f>IF(Jahr&lt;&gt;2026,"Die Pauschalen in dieser Datei gelten für 2026. ","")&amp;IF(MitarbeiterName="","Bitte in den Einstellungen den Namen eintragen.","")</f>
      </c>
    </row>
    <row r="4" ht="40" customHeight="1" spans="1:18" x14ac:dyDescent="0.25">
      <c r="A4" s="12" t="s">
        <v>57</v>
      </c>
      <c r="B4" s="12" t="s">
        <v>58</v>
      </c>
      <c r="C4" s="12" t="s">
        <v>59</v>
      </c>
      <c r="D4" s="12" t="s">
        <v>60</v>
      </c>
      <c r="E4" s="12" t="s">
        <v>61</v>
      </c>
      <c r="F4" s="12" t="s">
        <v>62</v>
      </c>
      <c r="G4" s="12" t="s">
        <v>63</v>
      </c>
      <c r="H4" s="12" t="s">
        <v>64</v>
      </c>
      <c r="I4" s="12" t="s">
        <v>65</v>
      </c>
      <c r="J4" s="12" t="s">
        <v>66</v>
      </c>
      <c r="K4" s="12" t="s">
        <v>67</v>
      </c>
      <c r="L4" s="12" t="s">
        <v>68</v>
      </c>
      <c r="M4" s="12" t="s">
        <v>69</v>
      </c>
      <c r="N4" s="12" t="s">
        <v>70</v>
      </c>
      <c r="O4" s="12" t="s">
        <v>71</v>
      </c>
      <c r="P4" s="12" t="s">
        <v>72</v>
      </c>
      <c r="Q4" s="12" t="s">
        <v>73</v>
      </c>
      <c r="R4" s="12" t="s">
        <v>74</v>
      </c>
    </row>
    <row r="5" spans="1:47" x14ac:dyDescent="0.25">
      <c r="A5" s="17">
        <f>IF(MONTH(DATE(Jahr,12,1))=12,DATE(Jahr,12,1),"")</f>
      </c>
      <c r="B5" s="13">
        <f>IF(A5="","",CHOOSE(WEEKDAY(A5,2),"Mo","Di","Mi","Do","Fr","Sa","So"))</f>
      </c>
      <c r="C5" s="18"/>
      <c r="D5" s="18"/>
      <c r="E5" s="7"/>
      <c r="F5" s="7"/>
      <c r="G5" s="7"/>
      <c r="H5" s="19"/>
      <c r="I5" s="19"/>
      <c r="J5" s="19"/>
      <c r="K5" s="9"/>
      <c r="L5" s="20">
        <f>IF(OR(AD5=0,AF5&lt;&gt;"",AND(W5=1,V5&gt;0,OR(T5=1,U5=1))),"",AE5/1440)</f>
      </c>
      <c r="M5" s="21">
        <f>IF(OR(AD5=0,AF5&lt;&gt;""),"",AJ5)</f>
      </c>
      <c r="N5" s="21">
        <f>IF(AK5=0,"",AK5)</f>
      </c>
      <c r="O5" s="21">
        <f>IF(OR(AD5=0,AF5&lt;&gt;""),"",AJ5-AK5)</f>
      </c>
      <c r="P5" s="21">
        <f>IF(AND(AD5=1,AF5="",V5=2),AI5,"")</f>
      </c>
      <c r="Q5" s="21">
        <f>IF(OR($A5="",N(K5)=0),"",ROUND(K5*KmSatz,2))</f>
      </c>
      <c r="R5" s="22">
        <f>IF(AF5&amp;AL5="","",LEFT(AF5&amp;AL5,LEN(AF5&amp;AL5)-2))</f>
      </c>
      <c r="S5" s="1"/>
      <c r="T5" s="1">
        <f>IF(AND($A5&lt;&gt;"",ISNUMBER(C5)),1,0)</f>
      </c>
      <c r="U5" s="1">
        <f>IF(AND($A5&lt;&gt;"",ISNUMBER(D5)),1,0)</f>
      </c>
      <c r="V5" s="1">
        <f>IF($A5="",0,IF(E5="ja",1,IF(E5="Pauschale",2,0)))</f>
      </c>
      <c r="W5" s="1">
        <f>IF($A5="",0,IF(AU5&gt;0,1,0))</f>
      </c>
      <c r="X5" s="1">
        <f>IF(AND(T5=1,W5=0),1,0)</f>
      </c>
      <c r="Y5" s="1">
        <f>IF(AND(AS5=1,AT5=0,AU5=0),1,0)</f>
      </c>
      <c r="Z5" s="1">
        <f>IF(AND(Y5=1,T5=0,U5=1,V5=0),1,0)</f>
      </c>
      <c r="AA5" s="1">
        <f>IF(AND(X5=1,U5=0,V5=0,AN5=0,AO5=1,AP5=0),1,0)</f>
      </c>
      <c r="AB5" s="1">
        <f>IF(OR(W5=1,Z5=1),0,IF(T5=1,C5,0))</f>
      </c>
      <c r="AC5" s="1">
        <f>IF(OR(V5&gt;0,AA5=1),1,IF(U5=1,D5,1))</f>
      </c>
      <c r="AD5" s="1">
        <f>IF($A5="",0,IF(OR(T5=1,U5=1,V5&gt;0,W5=1),1,0))</f>
      </c>
      <c r="AE5" s="1">
        <f>IF(AD5=0,0,ROUND((AC5-AB5)*1440,0))</f>
      </c>
      <c r="AF5" s="1">
        <f>IF(AD5=0,"",IF(AND(F5&lt;&gt;"",ISNA(MATCH(F5,PauschLand,0))),"Land nicht in der Liste; ","")&amp;IF(AND(T5=0,W5=0,Z5=0),"Beginn fehlt; ","")&amp;IF(AND(V5=0,U5=0,AA5=0),"Ende fehlt; ","")&amp;IF(AND(X5=1,U5=1,V5=0,N(D5)&lt;N(C5)),"Ende vor Beginn (über Mitternacht: Ende in die Zeile des Folgetags); ",""))</f>
      </c>
      <c r="AG5" s="1">
        <f>IF(AD5=0,0,IFERROR(VLOOKUP(IF(F5="","Deutschland",F5),PauschTab,2,FALSE),0))</f>
      </c>
      <c r="AH5" s="1">
        <f>IF(AD5=0,0,IFERROR(VLOOKUP(IF(F5="","Deutschland",F5),PauschTab,3,FALSE),0))</f>
      </c>
      <c r="AI5" s="1">
        <f>IF(AD5=0,0,IFERROR(VLOOKUP(IF(F5="","Deutschland",F5),PauschTab,4,FALSE),0))</f>
      </c>
      <c r="AJ5" s="1">
        <f>IF(OR(AD5=0,AF5&lt;&gt;""),0,IF(AND(W5=1,V5&gt;0),IF(OR(T5=1,U5=1),AH5,AG5),IF(OR(W5=1,V5&gt;0),AH5,IF(AA5=1,IF(AND(AE5+AQ5&gt;480,AE5&gt;=AQ5),AH5,0),IF(Z5=1,IF(AND(AR5+AE5&gt;480,AE5&gt;AR5),AH5,0),IF(AE5&gt;480,AH5,0))))))</f>
      </c>
      <c r="AK5" s="1">
        <f>MIN(AJ5,AM5)</f>
      </c>
      <c r="AL5" s="1">
        <f>IF(OR(AD5=0,AF5&lt;&gt;""),"",IF(AND(W5=0,V5=0,AA5=0,Z5=0,AE5&lt;=480),"nicht mehr als 8 Std.; ","")&amp;IF(AA5=1,IF(AJ5&gt;0,"über Mitternacht, zusammen "&amp;TEXT((AE5+AQ5)/1440,"[h]:mm")&amp;" Std.; ",IF(AE5+AQ5&gt;480,"über Mitternacht: Pauschale am Folgetag; ","über Mitternacht, zusammen nicht mehr als 8 Std.; ")),"")&amp;IF(Z5=1,IF(AJ5&gt;0,"über Mitternacht, zusammen "&amp;TEXT((AR5+AE5)/1440,"[h]:mm")&amp;" Std.; ",IF(AR5+AE5&gt;480,"über Mitternacht: Pauschale am Vortag; ","über Mitternacht, zusammen nicht mehr als 8 Std.; ")),"")&amp;IF(AND(W5=1,V5&gt;0,OR(T5=1,U5=1)),"zwischendurch zu Hause: An- und Abreisetag; ","")&amp;IF(AND(W5=1,V5=0,T5=1),"Beginn leer lassen: unterwegs seit dem Vortag; ","")&amp;IF(AND(W5=0,V5&gt;0,U5=1),"Ende leer lassen: Übernachtung; ","")&amp;IF(AND(AJ5&gt;0,AM5&gt;AJ5),"Kürzung auf die Pauschale begrenzt; ",""))</f>
      </c>
      <c r="AM5" s="1">
        <f>ROUND(AG5*(IF(H5&lt;&gt;"",0.2,0)+IF(I5&lt;&gt;"",0.4,0)+IF(J5&lt;&gt;"",0.4,0)),2)</f>
      </c>
      <c r="AN5" s="1">
        <f>IF($A6="",0,T6)</f>
      </c>
      <c r="AO5" s="1">
        <f>IF($A6="",0,U6)</f>
      </c>
      <c r="AP5" s="1">
        <f>IF($A6="",0,V6)</f>
      </c>
      <c r="AQ5" s="1">
        <f>IF($A6="",0,AE6)</f>
      </c>
      <c r="AR5" s="1">
        <f>INDEX('November'!$AE$5:$AE$35,DAY(DATE(Jahr,12,0)))</f>
      </c>
      <c r="AS5" s="1">
        <f>INDEX('November'!$X$5:$X$35,DAY(DATE(Jahr,12,0)))</f>
      </c>
      <c r="AT5" s="1">
        <f>INDEX('November'!$U$5:$U$35,DAY(DATE(Jahr,12,0)))</f>
      </c>
      <c r="AU5" s="1">
        <f>INDEX('November'!$V$5:$V$35,DAY(DATE(Jahr,12,0)))</f>
      </c>
    </row>
    <row r="6" spans="1:47" x14ac:dyDescent="0.25">
      <c r="A6" s="17">
        <f>IF(MONTH(DATE(Jahr,12,2))=12,DATE(Jahr,12,2),"")</f>
      </c>
      <c r="B6" s="13">
        <f>IF(A6="","",CHOOSE(WEEKDAY(A6,2),"Mo","Di","Mi","Do","Fr","Sa","So"))</f>
      </c>
      <c r="C6" s="18"/>
      <c r="D6" s="18"/>
      <c r="E6" s="7"/>
      <c r="F6" s="7"/>
      <c r="G6" s="7"/>
      <c r="H6" s="19"/>
      <c r="I6" s="19"/>
      <c r="J6" s="19"/>
      <c r="K6" s="9"/>
      <c r="L6" s="20">
        <f>IF(OR(AD6=0,AF6&lt;&gt;"",AND(W6=1,V6&gt;0,OR(T6=1,U6=1))),"",AE6/1440)</f>
      </c>
      <c r="M6" s="21">
        <f>IF(OR(AD6=0,AF6&lt;&gt;""),"",AJ6)</f>
      </c>
      <c r="N6" s="21">
        <f>IF(AK6=0,"",AK6)</f>
      </c>
      <c r="O6" s="21">
        <f>IF(OR(AD6=0,AF6&lt;&gt;""),"",AJ6-AK6)</f>
      </c>
      <c r="P6" s="21">
        <f>IF(AND(AD6=1,AF6="",V6=2),AI6,"")</f>
      </c>
      <c r="Q6" s="21">
        <f>IF(OR($A6="",N(K6)=0),"",ROUND(K6*KmSatz,2))</f>
      </c>
      <c r="R6" s="22">
        <f>IF(AF6&amp;AL6="","",LEFT(AF6&amp;AL6,LEN(AF6&amp;AL6)-2))</f>
      </c>
      <c r="S6" s="1"/>
      <c r="T6" s="1">
        <f>IF(AND($A6&lt;&gt;"",ISNUMBER(C6)),1,0)</f>
      </c>
      <c r="U6" s="1">
        <f>IF(AND($A6&lt;&gt;"",ISNUMBER(D6)),1,0)</f>
      </c>
      <c r="V6" s="1">
        <f>IF($A6="",0,IF(E6="ja",1,IF(E6="Pauschale",2,0)))</f>
      </c>
      <c r="W6" s="1">
        <f>IF($A6="",0,IF(AU6&gt;0,1,0))</f>
      </c>
      <c r="X6" s="1">
        <f>IF(AND(T6=1,W6=0),1,0)</f>
      </c>
      <c r="Y6" s="1">
        <f>IF(AND(AS6=1,AT6=0,AU6=0),1,0)</f>
      </c>
      <c r="Z6" s="1">
        <f>IF(AND(Y6=1,T6=0,U6=1,V6=0),1,0)</f>
      </c>
      <c r="AA6" s="1">
        <f>IF(AND(X6=1,U6=0,V6=0,AN6=0,AO6=1,AP6=0),1,0)</f>
      </c>
      <c r="AB6" s="1">
        <f>IF(OR(W6=1,Z6=1),0,IF(T6=1,C6,0))</f>
      </c>
      <c r="AC6" s="1">
        <f>IF(OR(V6&gt;0,AA6=1),1,IF(U6=1,D6,1))</f>
      </c>
      <c r="AD6" s="1">
        <f>IF($A6="",0,IF(OR(T6=1,U6=1,V6&gt;0,W6=1),1,0))</f>
      </c>
      <c r="AE6" s="1">
        <f>IF(AD6=0,0,ROUND((AC6-AB6)*1440,0))</f>
      </c>
      <c r="AF6" s="1">
        <f>IF(AD6=0,"",IF(AND(F6&lt;&gt;"",ISNA(MATCH(F6,PauschLand,0))),"Land nicht in der Liste; ","")&amp;IF(AND(T6=0,W6=0,Z6=0),"Beginn fehlt; ","")&amp;IF(AND(V6=0,U6=0,AA6=0),"Ende fehlt; ","")&amp;IF(AND(X6=1,U6=1,V6=0,N(D6)&lt;N(C6)),"Ende vor Beginn (über Mitternacht: Ende in die Zeile des Folgetags); ",""))</f>
      </c>
      <c r="AG6" s="1">
        <f>IF(AD6=0,0,IFERROR(VLOOKUP(IF(F6="","Deutschland",F6),PauschTab,2,FALSE),0))</f>
      </c>
      <c r="AH6" s="1">
        <f>IF(AD6=0,0,IFERROR(VLOOKUP(IF(F6="","Deutschland",F6),PauschTab,3,FALSE),0))</f>
      </c>
      <c r="AI6" s="1">
        <f>IF(AD6=0,0,IFERROR(VLOOKUP(IF(F6="","Deutschland",F6),PauschTab,4,FALSE),0))</f>
      </c>
      <c r="AJ6" s="1">
        <f>IF(OR(AD6=0,AF6&lt;&gt;""),0,IF(AND(W6=1,V6&gt;0),IF(OR(T6=1,U6=1),AH6,AG6),IF(OR(W6=1,V6&gt;0),AH6,IF(AA6=1,IF(AND(AE6+AQ6&gt;480,AE6&gt;=AQ6),AH6,0),IF(Z6=1,IF(AND(AR6+AE6&gt;480,AE6&gt;AR6),AH6,0),IF(AE6&gt;480,AH6,0))))))</f>
      </c>
      <c r="AK6" s="1">
        <f>MIN(AJ6,AM6)</f>
      </c>
      <c r="AL6" s="1">
        <f>IF(OR(AD6=0,AF6&lt;&gt;""),"",IF(AND(W6=0,V6=0,AA6=0,Z6=0,AE6&lt;=480),"nicht mehr als 8 Std.; ","")&amp;IF(AA6=1,IF(AJ6&gt;0,"über Mitternacht, zusammen "&amp;TEXT((AE6+AQ6)/1440,"[h]:mm")&amp;" Std.; ",IF(AE6+AQ6&gt;480,"über Mitternacht: Pauschale am Folgetag; ","über Mitternacht, zusammen nicht mehr als 8 Std.; ")),"")&amp;IF(Z6=1,IF(AJ6&gt;0,"über Mitternacht, zusammen "&amp;TEXT((AR6+AE6)/1440,"[h]:mm")&amp;" Std.; ",IF(AR6+AE6&gt;480,"über Mitternacht: Pauschale am Vortag; ","über Mitternacht, zusammen nicht mehr als 8 Std.; ")),"")&amp;IF(AND(W6=1,V6&gt;0,OR(T6=1,U6=1)),"zwischendurch zu Hause: An- und Abreisetag; ","")&amp;IF(AND(W6=1,V6=0,T6=1),"Beginn leer lassen: unterwegs seit dem Vortag; ","")&amp;IF(AND(W6=0,V6&gt;0,U6=1),"Ende leer lassen: Übernachtung; ","")&amp;IF(AND(AJ6&gt;0,AM6&gt;AJ6),"Kürzung auf die Pauschale begrenzt; ",""))</f>
      </c>
      <c r="AM6" s="1">
        <f>ROUND(AG6*(IF(H6&lt;&gt;"",0.2,0)+IF(I6&lt;&gt;"",0.4,0)+IF(J6&lt;&gt;"",0.4,0)),2)</f>
      </c>
      <c r="AN6" s="1">
        <f>IF($A7="",0,T7)</f>
      </c>
      <c r="AO6" s="1">
        <f>IF($A7="",0,U7)</f>
      </c>
      <c r="AP6" s="1">
        <f>IF($A7="",0,V7)</f>
      </c>
      <c r="AQ6" s="1">
        <f>IF($A7="",0,AE7)</f>
      </c>
      <c r="AR6" s="1">
        <f>AE5</f>
      </c>
      <c r="AS6" s="1">
        <f>X5</f>
      </c>
      <c r="AT6" s="1">
        <f>U5</f>
      </c>
      <c r="AU6" s="1">
        <f>V5</f>
      </c>
    </row>
    <row r="7" spans="1:47" x14ac:dyDescent="0.25">
      <c r="A7" s="17">
        <f>IF(MONTH(DATE(Jahr,12,3))=12,DATE(Jahr,12,3),"")</f>
      </c>
      <c r="B7" s="13">
        <f>IF(A7="","",CHOOSE(WEEKDAY(A7,2),"Mo","Di","Mi","Do","Fr","Sa","So"))</f>
      </c>
      <c r="C7" s="18"/>
      <c r="D7" s="18"/>
      <c r="E7" s="7"/>
      <c r="F7" s="7"/>
      <c r="G7" s="7"/>
      <c r="H7" s="19"/>
      <c r="I7" s="19"/>
      <c r="J7" s="19"/>
      <c r="K7" s="9"/>
      <c r="L7" s="20">
        <f>IF(OR(AD7=0,AF7&lt;&gt;"",AND(W7=1,V7&gt;0,OR(T7=1,U7=1))),"",AE7/1440)</f>
      </c>
      <c r="M7" s="21">
        <f>IF(OR(AD7=0,AF7&lt;&gt;""),"",AJ7)</f>
      </c>
      <c r="N7" s="21">
        <f>IF(AK7=0,"",AK7)</f>
      </c>
      <c r="O7" s="21">
        <f>IF(OR(AD7=0,AF7&lt;&gt;""),"",AJ7-AK7)</f>
      </c>
      <c r="P7" s="21">
        <f>IF(AND(AD7=1,AF7="",V7=2),AI7,"")</f>
      </c>
      <c r="Q7" s="21">
        <f>IF(OR($A7="",N(K7)=0),"",ROUND(K7*KmSatz,2))</f>
      </c>
      <c r="R7" s="22">
        <f>IF(AF7&amp;AL7="","",LEFT(AF7&amp;AL7,LEN(AF7&amp;AL7)-2))</f>
      </c>
      <c r="S7" s="1"/>
      <c r="T7" s="1">
        <f>IF(AND($A7&lt;&gt;"",ISNUMBER(C7)),1,0)</f>
      </c>
      <c r="U7" s="1">
        <f>IF(AND($A7&lt;&gt;"",ISNUMBER(D7)),1,0)</f>
      </c>
      <c r="V7" s="1">
        <f>IF($A7="",0,IF(E7="ja",1,IF(E7="Pauschale",2,0)))</f>
      </c>
      <c r="W7" s="1">
        <f>IF($A7="",0,IF(AU7&gt;0,1,0))</f>
      </c>
      <c r="X7" s="1">
        <f>IF(AND(T7=1,W7=0),1,0)</f>
      </c>
      <c r="Y7" s="1">
        <f>IF(AND(AS7=1,AT7=0,AU7=0),1,0)</f>
      </c>
      <c r="Z7" s="1">
        <f>IF(AND(Y7=1,T7=0,U7=1,V7=0),1,0)</f>
      </c>
      <c r="AA7" s="1">
        <f>IF(AND(X7=1,U7=0,V7=0,AN7=0,AO7=1,AP7=0),1,0)</f>
      </c>
      <c r="AB7" s="1">
        <f>IF(OR(W7=1,Z7=1),0,IF(T7=1,C7,0))</f>
      </c>
      <c r="AC7" s="1">
        <f>IF(OR(V7&gt;0,AA7=1),1,IF(U7=1,D7,1))</f>
      </c>
      <c r="AD7" s="1">
        <f>IF($A7="",0,IF(OR(T7=1,U7=1,V7&gt;0,W7=1),1,0))</f>
      </c>
      <c r="AE7" s="1">
        <f>IF(AD7=0,0,ROUND((AC7-AB7)*1440,0))</f>
      </c>
      <c r="AF7" s="1">
        <f>IF(AD7=0,"",IF(AND(F7&lt;&gt;"",ISNA(MATCH(F7,PauschLand,0))),"Land nicht in der Liste; ","")&amp;IF(AND(T7=0,W7=0,Z7=0),"Beginn fehlt; ","")&amp;IF(AND(V7=0,U7=0,AA7=0),"Ende fehlt; ","")&amp;IF(AND(X7=1,U7=1,V7=0,N(D7)&lt;N(C7)),"Ende vor Beginn (über Mitternacht: Ende in die Zeile des Folgetags); ",""))</f>
      </c>
      <c r="AG7" s="1">
        <f>IF(AD7=0,0,IFERROR(VLOOKUP(IF(F7="","Deutschland",F7),PauschTab,2,FALSE),0))</f>
      </c>
      <c r="AH7" s="1">
        <f>IF(AD7=0,0,IFERROR(VLOOKUP(IF(F7="","Deutschland",F7),PauschTab,3,FALSE),0))</f>
      </c>
      <c r="AI7" s="1">
        <f>IF(AD7=0,0,IFERROR(VLOOKUP(IF(F7="","Deutschland",F7),PauschTab,4,FALSE),0))</f>
      </c>
      <c r="AJ7" s="1">
        <f>IF(OR(AD7=0,AF7&lt;&gt;""),0,IF(AND(W7=1,V7&gt;0),IF(OR(T7=1,U7=1),AH7,AG7),IF(OR(W7=1,V7&gt;0),AH7,IF(AA7=1,IF(AND(AE7+AQ7&gt;480,AE7&gt;=AQ7),AH7,0),IF(Z7=1,IF(AND(AR7+AE7&gt;480,AE7&gt;AR7),AH7,0),IF(AE7&gt;480,AH7,0))))))</f>
      </c>
      <c r="AK7" s="1">
        <f>MIN(AJ7,AM7)</f>
      </c>
      <c r="AL7" s="1">
        <f>IF(OR(AD7=0,AF7&lt;&gt;""),"",IF(AND(W7=0,V7=0,AA7=0,Z7=0,AE7&lt;=480),"nicht mehr als 8 Std.; ","")&amp;IF(AA7=1,IF(AJ7&gt;0,"über Mitternacht, zusammen "&amp;TEXT((AE7+AQ7)/1440,"[h]:mm")&amp;" Std.; ",IF(AE7+AQ7&gt;480,"über Mitternacht: Pauschale am Folgetag; ","über Mitternacht, zusammen nicht mehr als 8 Std.; ")),"")&amp;IF(Z7=1,IF(AJ7&gt;0,"über Mitternacht, zusammen "&amp;TEXT((AR7+AE7)/1440,"[h]:mm")&amp;" Std.; ",IF(AR7+AE7&gt;480,"über Mitternacht: Pauschale am Vortag; ","über Mitternacht, zusammen nicht mehr als 8 Std.; ")),"")&amp;IF(AND(W7=1,V7&gt;0,OR(T7=1,U7=1)),"zwischendurch zu Hause: An- und Abreisetag; ","")&amp;IF(AND(W7=1,V7=0,T7=1),"Beginn leer lassen: unterwegs seit dem Vortag; ","")&amp;IF(AND(W7=0,V7&gt;0,U7=1),"Ende leer lassen: Übernachtung; ","")&amp;IF(AND(AJ7&gt;0,AM7&gt;AJ7),"Kürzung auf die Pauschale begrenzt; ",""))</f>
      </c>
      <c r="AM7" s="1">
        <f>ROUND(AG7*(IF(H7&lt;&gt;"",0.2,0)+IF(I7&lt;&gt;"",0.4,0)+IF(J7&lt;&gt;"",0.4,0)),2)</f>
      </c>
      <c r="AN7" s="1">
        <f>IF($A8="",0,T8)</f>
      </c>
      <c r="AO7" s="1">
        <f>IF($A8="",0,U8)</f>
      </c>
      <c r="AP7" s="1">
        <f>IF($A8="",0,V8)</f>
      </c>
      <c r="AQ7" s="1">
        <f>IF($A8="",0,AE8)</f>
      </c>
      <c r="AR7" s="1">
        <f>AE6</f>
      </c>
      <c r="AS7" s="1">
        <f>X6</f>
      </c>
      <c r="AT7" s="1">
        <f>U6</f>
      </c>
      <c r="AU7" s="1">
        <f>V6</f>
      </c>
    </row>
    <row r="8" spans="1:47" x14ac:dyDescent="0.25">
      <c r="A8" s="17">
        <f>IF(MONTH(DATE(Jahr,12,4))=12,DATE(Jahr,12,4),"")</f>
      </c>
      <c r="B8" s="13">
        <f>IF(A8="","",CHOOSE(WEEKDAY(A8,2),"Mo","Di","Mi","Do","Fr","Sa","So"))</f>
      </c>
      <c r="C8" s="18"/>
      <c r="D8" s="18"/>
      <c r="E8" s="7"/>
      <c r="F8" s="7"/>
      <c r="G8" s="7"/>
      <c r="H8" s="19"/>
      <c r="I8" s="19"/>
      <c r="J8" s="19"/>
      <c r="K8" s="9"/>
      <c r="L8" s="20">
        <f>IF(OR(AD8=0,AF8&lt;&gt;"",AND(W8=1,V8&gt;0,OR(T8=1,U8=1))),"",AE8/1440)</f>
      </c>
      <c r="M8" s="21">
        <f>IF(OR(AD8=0,AF8&lt;&gt;""),"",AJ8)</f>
      </c>
      <c r="N8" s="21">
        <f>IF(AK8=0,"",AK8)</f>
      </c>
      <c r="O8" s="21">
        <f>IF(OR(AD8=0,AF8&lt;&gt;""),"",AJ8-AK8)</f>
      </c>
      <c r="P8" s="21">
        <f>IF(AND(AD8=1,AF8="",V8=2),AI8,"")</f>
      </c>
      <c r="Q8" s="21">
        <f>IF(OR($A8="",N(K8)=0),"",ROUND(K8*KmSatz,2))</f>
      </c>
      <c r="R8" s="22">
        <f>IF(AF8&amp;AL8="","",LEFT(AF8&amp;AL8,LEN(AF8&amp;AL8)-2))</f>
      </c>
      <c r="S8" s="1"/>
      <c r="T8" s="1">
        <f>IF(AND($A8&lt;&gt;"",ISNUMBER(C8)),1,0)</f>
      </c>
      <c r="U8" s="1">
        <f>IF(AND($A8&lt;&gt;"",ISNUMBER(D8)),1,0)</f>
      </c>
      <c r="V8" s="1">
        <f>IF($A8="",0,IF(E8="ja",1,IF(E8="Pauschale",2,0)))</f>
      </c>
      <c r="W8" s="1">
        <f>IF($A8="",0,IF(AU8&gt;0,1,0))</f>
      </c>
      <c r="X8" s="1">
        <f>IF(AND(T8=1,W8=0),1,0)</f>
      </c>
      <c r="Y8" s="1">
        <f>IF(AND(AS8=1,AT8=0,AU8=0),1,0)</f>
      </c>
      <c r="Z8" s="1">
        <f>IF(AND(Y8=1,T8=0,U8=1,V8=0),1,0)</f>
      </c>
      <c r="AA8" s="1">
        <f>IF(AND(X8=1,U8=0,V8=0,AN8=0,AO8=1,AP8=0),1,0)</f>
      </c>
      <c r="AB8" s="1">
        <f>IF(OR(W8=1,Z8=1),0,IF(T8=1,C8,0))</f>
      </c>
      <c r="AC8" s="1">
        <f>IF(OR(V8&gt;0,AA8=1),1,IF(U8=1,D8,1))</f>
      </c>
      <c r="AD8" s="1">
        <f>IF($A8="",0,IF(OR(T8=1,U8=1,V8&gt;0,W8=1),1,0))</f>
      </c>
      <c r="AE8" s="1">
        <f>IF(AD8=0,0,ROUND((AC8-AB8)*1440,0))</f>
      </c>
      <c r="AF8" s="1">
        <f>IF(AD8=0,"",IF(AND(F8&lt;&gt;"",ISNA(MATCH(F8,PauschLand,0))),"Land nicht in der Liste; ","")&amp;IF(AND(T8=0,W8=0,Z8=0),"Beginn fehlt; ","")&amp;IF(AND(V8=0,U8=0,AA8=0),"Ende fehlt; ","")&amp;IF(AND(X8=1,U8=1,V8=0,N(D8)&lt;N(C8)),"Ende vor Beginn (über Mitternacht: Ende in die Zeile des Folgetags); ",""))</f>
      </c>
      <c r="AG8" s="1">
        <f>IF(AD8=0,0,IFERROR(VLOOKUP(IF(F8="","Deutschland",F8),PauschTab,2,FALSE),0))</f>
      </c>
      <c r="AH8" s="1">
        <f>IF(AD8=0,0,IFERROR(VLOOKUP(IF(F8="","Deutschland",F8),PauschTab,3,FALSE),0))</f>
      </c>
      <c r="AI8" s="1">
        <f>IF(AD8=0,0,IFERROR(VLOOKUP(IF(F8="","Deutschland",F8),PauschTab,4,FALSE),0))</f>
      </c>
      <c r="AJ8" s="1">
        <f>IF(OR(AD8=0,AF8&lt;&gt;""),0,IF(AND(W8=1,V8&gt;0),IF(OR(T8=1,U8=1),AH8,AG8),IF(OR(W8=1,V8&gt;0),AH8,IF(AA8=1,IF(AND(AE8+AQ8&gt;480,AE8&gt;=AQ8),AH8,0),IF(Z8=1,IF(AND(AR8+AE8&gt;480,AE8&gt;AR8),AH8,0),IF(AE8&gt;480,AH8,0))))))</f>
      </c>
      <c r="AK8" s="1">
        <f>MIN(AJ8,AM8)</f>
      </c>
      <c r="AL8" s="1">
        <f>IF(OR(AD8=0,AF8&lt;&gt;""),"",IF(AND(W8=0,V8=0,AA8=0,Z8=0,AE8&lt;=480),"nicht mehr als 8 Std.; ","")&amp;IF(AA8=1,IF(AJ8&gt;0,"über Mitternacht, zusammen "&amp;TEXT((AE8+AQ8)/1440,"[h]:mm")&amp;" Std.; ",IF(AE8+AQ8&gt;480,"über Mitternacht: Pauschale am Folgetag; ","über Mitternacht, zusammen nicht mehr als 8 Std.; ")),"")&amp;IF(Z8=1,IF(AJ8&gt;0,"über Mitternacht, zusammen "&amp;TEXT((AR8+AE8)/1440,"[h]:mm")&amp;" Std.; ",IF(AR8+AE8&gt;480,"über Mitternacht: Pauschale am Vortag; ","über Mitternacht, zusammen nicht mehr als 8 Std.; ")),"")&amp;IF(AND(W8=1,V8&gt;0,OR(T8=1,U8=1)),"zwischendurch zu Hause: An- und Abreisetag; ","")&amp;IF(AND(W8=1,V8=0,T8=1),"Beginn leer lassen: unterwegs seit dem Vortag; ","")&amp;IF(AND(W8=0,V8&gt;0,U8=1),"Ende leer lassen: Übernachtung; ","")&amp;IF(AND(AJ8&gt;0,AM8&gt;AJ8),"Kürzung auf die Pauschale begrenzt; ",""))</f>
      </c>
      <c r="AM8" s="1">
        <f>ROUND(AG8*(IF(H8&lt;&gt;"",0.2,0)+IF(I8&lt;&gt;"",0.4,0)+IF(J8&lt;&gt;"",0.4,0)),2)</f>
      </c>
      <c r="AN8" s="1">
        <f>IF($A9="",0,T9)</f>
      </c>
      <c r="AO8" s="1">
        <f>IF($A9="",0,U9)</f>
      </c>
      <c r="AP8" s="1">
        <f>IF($A9="",0,V9)</f>
      </c>
      <c r="AQ8" s="1">
        <f>IF($A9="",0,AE9)</f>
      </c>
      <c r="AR8" s="1">
        <f>AE7</f>
      </c>
      <c r="AS8" s="1">
        <f>X7</f>
      </c>
      <c r="AT8" s="1">
        <f>U7</f>
      </c>
      <c r="AU8" s="1">
        <f>V7</f>
      </c>
    </row>
    <row r="9" spans="1:47" x14ac:dyDescent="0.25">
      <c r="A9" s="17">
        <f>IF(MONTH(DATE(Jahr,12,5))=12,DATE(Jahr,12,5),"")</f>
      </c>
      <c r="B9" s="13">
        <f>IF(A9="","",CHOOSE(WEEKDAY(A9,2),"Mo","Di","Mi","Do","Fr","Sa","So"))</f>
      </c>
      <c r="C9" s="18"/>
      <c r="D9" s="18"/>
      <c r="E9" s="7"/>
      <c r="F9" s="7"/>
      <c r="G9" s="7"/>
      <c r="H9" s="19"/>
      <c r="I9" s="19"/>
      <c r="J9" s="19"/>
      <c r="K9" s="9"/>
      <c r="L9" s="20">
        <f>IF(OR(AD9=0,AF9&lt;&gt;"",AND(W9=1,V9&gt;0,OR(T9=1,U9=1))),"",AE9/1440)</f>
      </c>
      <c r="M9" s="21">
        <f>IF(OR(AD9=0,AF9&lt;&gt;""),"",AJ9)</f>
      </c>
      <c r="N9" s="21">
        <f>IF(AK9=0,"",AK9)</f>
      </c>
      <c r="O9" s="21">
        <f>IF(OR(AD9=0,AF9&lt;&gt;""),"",AJ9-AK9)</f>
      </c>
      <c r="P9" s="21">
        <f>IF(AND(AD9=1,AF9="",V9=2),AI9,"")</f>
      </c>
      <c r="Q9" s="21">
        <f>IF(OR($A9="",N(K9)=0),"",ROUND(K9*KmSatz,2))</f>
      </c>
      <c r="R9" s="22">
        <f>IF(AF9&amp;AL9="","",LEFT(AF9&amp;AL9,LEN(AF9&amp;AL9)-2))</f>
      </c>
      <c r="S9" s="1"/>
      <c r="T9" s="1">
        <f>IF(AND($A9&lt;&gt;"",ISNUMBER(C9)),1,0)</f>
      </c>
      <c r="U9" s="1">
        <f>IF(AND($A9&lt;&gt;"",ISNUMBER(D9)),1,0)</f>
      </c>
      <c r="V9" s="1">
        <f>IF($A9="",0,IF(E9="ja",1,IF(E9="Pauschale",2,0)))</f>
      </c>
      <c r="W9" s="1">
        <f>IF($A9="",0,IF(AU9&gt;0,1,0))</f>
      </c>
      <c r="X9" s="1">
        <f>IF(AND(T9=1,W9=0),1,0)</f>
      </c>
      <c r="Y9" s="1">
        <f>IF(AND(AS9=1,AT9=0,AU9=0),1,0)</f>
      </c>
      <c r="Z9" s="1">
        <f>IF(AND(Y9=1,T9=0,U9=1,V9=0),1,0)</f>
      </c>
      <c r="AA9" s="1">
        <f>IF(AND(X9=1,U9=0,V9=0,AN9=0,AO9=1,AP9=0),1,0)</f>
      </c>
      <c r="AB9" s="1">
        <f>IF(OR(W9=1,Z9=1),0,IF(T9=1,C9,0))</f>
      </c>
      <c r="AC9" s="1">
        <f>IF(OR(V9&gt;0,AA9=1),1,IF(U9=1,D9,1))</f>
      </c>
      <c r="AD9" s="1">
        <f>IF($A9="",0,IF(OR(T9=1,U9=1,V9&gt;0,W9=1),1,0))</f>
      </c>
      <c r="AE9" s="1">
        <f>IF(AD9=0,0,ROUND((AC9-AB9)*1440,0))</f>
      </c>
      <c r="AF9" s="1">
        <f>IF(AD9=0,"",IF(AND(F9&lt;&gt;"",ISNA(MATCH(F9,PauschLand,0))),"Land nicht in der Liste; ","")&amp;IF(AND(T9=0,W9=0,Z9=0),"Beginn fehlt; ","")&amp;IF(AND(V9=0,U9=0,AA9=0),"Ende fehlt; ","")&amp;IF(AND(X9=1,U9=1,V9=0,N(D9)&lt;N(C9)),"Ende vor Beginn (über Mitternacht: Ende in die Zeile des Folgetags); ",""))</f>
      </c>
      <c r="AG9" s="1">
        <f>IF(AD9=0,0,IFERROR(VLOOKUP(IF(F9="","Deutschland",F9),PauschTab,2,FALSE),0))</f>
      </c>
      <c r="AH9" s="1">
        <f>IF(AD9=0,0,IFERROR(VLOOKUP(IF(F9="","Deutschland",F9),PauschTab,3,FALSE),0))</f>
      </c>
      <c r="AI9" s="1">
        <f>IF(AD9=0,0,IFERROR(VLOOKUP(IF(F9="","Deutschland",F9),PauschTab,4,FALSE),0))</f>
      </c>
      <c r="AJ9" s="1">
        <f>IF(OR(AD9=0,AF9&lt;&gt;""),0,IF(AND(W9=1,V9&gt;0),IF(OR(T9=1,U9=1),AH9,AG9),IF(OR(W9=1,V9&gt;0),AH9,IF(AA9=1,IF(AND(AE9+AQ9&gt;480,AE9&gt;=AQ9),AH9,0),IF(Z9=1,IF(AND(AR9+AE9&gt;480,AE9&gt;AR9),AH9,0),IF(AE9&gt;480,AH9,0))))))</f>
      </c>
      <c r="AK9" s="1">
        <f>MIN(AJ9,AM9)</f>
      </c>
      <c r="AL9" s="1">
        <f>IF(OR(AD9=0,AF9&lt;&gt;""),"",IF(AND(W9=0,V9=0,AA9=0,Z9=0,AE9&lt;=480),"nicht mehr als 8 Std.; ","")&amp;IF(AA9=1,IF(AJ9&gt;0,"über Mitternacht, zusammen "&amp;TEXT((AE9+AQ9)/1440,"[h]:mm")&amp;" Std.; ",IF(AE9+AQ9&gt;480,"über Mitternacht: Pauschale am Folgetag; ","über Mitternacht, zusammen nicht mehr als 8 Std.; ")),"")&amp;IF(Z9=1,IF(AJ9&gt;0,"über Mitternacht, zusammen "&amp;TEXT((AR9+AE9)/1440,"[h]:mm")&amp;" Std.; ",IF(AR9+AE9&gt;480,"über Mitternacht: Pauschale am Vortag; ","über Mitternacht, zusammen nicht mehr als 8 Std.; ")),"")&amp;IF(AND(W9=1,V9&gt;0,OR(T9=1,U9=1)),"zwischendurch zu Hause: An- und Abreisetag; ","")&amp;IF(AND(W9=1,V9=0,T9=1),"Beginn leer lassen: unterwegs seit dem Vortag; ","")&amp;IF(AND(W9=0,V9&gt;0,U9=1),"Ende leer lassen: Übernachtung; ","")&amp;IF(AND(AJ9&gt;0,AM9&gt;AJ9),"Kürzung auf die Pauschale begrenzt; ",""))</f>
      </c>
      <c r="AM9" s="1">
        <f>ROUND(AG9*(IF(H9&lt;&gt;"",0.2,0)+IF(I9&lt;&gt;"",0.4,0)+IF(J9&lt;&gt;"",0.4,0)),2)</f>
      </c>
      <c r="AN9" s="1">
        <f>IF($A10="",0,T10)</f>
      </c>
      <c r="AO9" s="1">
        <f>IF($A10="",0,U10)</f>
      </c>
      <c r="AP9" s="1">
        <f>IF($A10="",0,V10)</f>
      </c>
      <c r="AQ9" s="1">
        <f>IF($A10="",0,AE10)</f>
      </c>
      <c r="AR9" s="1">
        <f>AE8</f>
      </c>
      <c r="AS9" s="1">
        <f>X8</f>
      </c>
      <c r="AT9" s="1">
        <f>U8</f>
      </c>
      <c r="AU9" s="1">
        <f>V8</f>
      </c>
    </row>
    <row r="10" spans="1:47" x14ac:dyDescent="0.25">
      <c r="A10" s="17">
        <f>IF(MONTH(DATE(Jahr,12,6))=12,DATE(Jahr,12,6),"")</f>
      </c>
      <c r="B10" s="13">
        <f>IF(A10="","",CHOOSE(WEEKDAY(A10,2),"Mo","Di","Mi","Do","Fr","Sa","So"))</f>
      </c>
      <c r="C10" s="18"/>
      <c r="D10" s="18"/>
      <c r="E10" s="7"/>
      <c r="F10" s="7"/>
      <c r="G10" s="7"/>
      <c r="H10" s="19"/>
      <c r="I10" s="19"/>
      <c r="J10" s="19"/>
      <c r="K10" s="9"/>
      <c r="L10" s="20">
        <f>IF(OR(AD10=0,AF10&lt;&gt;"",AND(W10=1,V10&gt;0,OR(T10=1,U10=1))),"",AE10/1440)</f>
      </c>
      <c r="M10" s="21">
        <f>IF(OR(AD10=0,AF10&lt;&gt;""),"",AJ10)</f>
      </c>
      <c r="N10" s="21">
        <f>IF(AK10=0,"",AK10)</f>
      </c>
      <c r="O10" s="21">
        <f>IF(OR(AD10=0,AF10&lt;&gt;""),"",AJ10-AK10)</f>
      </c>
      <c r="P10" s="21">
        <f>IF(AND(AD10=1,AF10="",V10=2),AI10,"")</f>
      </c>
      <c r="Q10" s="21">
        <f>IF(OR($A10="",N(K10)=0),"",ROUND(K10*KmSatz,2))</f>
      </c>
      <c r="R10" s="22">
        <f>IF(AF10&amp;AL10="","",LEFT(AF10&amp;AL10,LEN(AF10&amp;AL10)-2))</f>
      </c>
      <c r="S10" s="1"/>
      <c r="T10" s="1">
        <f>IF(AND($A10&lt;&gt;"",ISNUMBER(C10)),1,0)</f>
      </c>
      <c r="U10" s="1">
        <f>IF(AND($A10&lt;&gt;"",ISNUMBER(D10)),1,0)</f>
      </c>
      <c r="V10" s="1">
        <f>IF($A10="",0,IF(E10="ja",1,IF(E10="Pauschale",2,0)))</f>
      </c>
      <c r="W10" s="1">
        <f>IF($A10="",0,IF(AU10&gt;0,1,0))</f>
      </c>
      <c r="X10" s="1">
        <f>IF(AND(T10=1,W10=0),1,0)</f>
      </c>
      <c r="Y10" s="1">
        <f>IF(AND(AS10=1,AT10=0,AU10=0),1,0)</f>
      </c>
      <c r="Z10" s="1">
        <f>IF(AND(Y10=1,T10=0,U10=1,V10=0),1,0)</f>
      </c>
      <c r="AA10" s="1">
        <f>IF(AND(X10=1,U10=0,V10=0,AN10=0,AO10=1,AP10=0),1,0)</f>
      </c>
      <c r="AB10" s="1">
        <f>IF(OR(W10=1,Z10=1),0,IF(T10=1,C10,0))</f>
      </c>
      <c r="AC10" s="1">
        <f>IF(OR(V10&gt;0,AA10=1),1,IF(U10=1,D10,1))</f>
      </c>
      <c r="AD10" s="1">
        <f>IF($A10="",0,IF(OR(T10=1,U10=1,V10&gt;0,W10=1),1,0))</f>
      </c>
      <c r="AE10" s="1">
        <f>IF(AD10=0,0,ROUND((AC10-AB10)*1440,0))</f>
      </c>
      <c r="AF10" s="1">
        <f>IF(AD10=0,"",IF(AND(F10&lt;&gt;"",ISNA(MATCH(F10,PauschLand,0))),"Land nicht in der Liste; ","")&amp;IF(AND(T10=0,W10=0,Z10=0),"Beginn fehlt; ","")&amp;IF(AND(V10=0,U10=0,AA10=0),"Ende fehlt; ","")&amp;IF(AND(X10=1,U10=1,V10=0,N(D10)&lt;N(C10)),"Ende vor Beginn (über Mitternacht: Ende in die Zeile des Folgetags); ",""))</f>
      </c>
      <c r="AG10" s="1">
        <f>IF(AD10=0,0,IFERROR(VLOOKUP(IF(F10="","Deutschland",F10),PauschTab,2,FALSE),0))</f>
      </c>
      <c r="AH10" s="1">
        <f>IF(AD10=0,0,IFERROR(VLOOKUP(IF(F10="","Deutschland",F10),PauschTab,3,FALSE),0))</f>
      </c>
      <c r="AI10" s="1">
        <f>IF(AD10=0,0,IFERROR(VLOOKUP(IF(F10="","Deutschland",F10),PauschTab,4,FALSE),0))</f>
      </c>
      <c r="AJ10" s="1">
        <f>IF(OR(AD10=0,AF10&lt;&gt;""),0,IF(AND(W10=1,V10&gt;0),IF(OR(T10=1,U10=1),AH10,AG10),IF(OR(W10=1,V10&gt;0),AH10,IF(AA10=1,IF(AND(AE10+AQ10&gt;480,AE10&gt;=AQ10),AH10,0),IF(Z10=1,IF(AND(AR10+AE10&gt;480,AE10&gt;AR10),AH10,0),IF(AE10&gt;480,AH10,0))))))</f>
      </c>
      <c r="AK10" s="1">
        <f>MIN(AJ10,AM10)</f>
      </c>
      <c r="AL10" s="1">
        <f>IF(OR(AD10=0,AF10&lt;&gt;""),"",IF(AND(W10=0,V10=0,AA10=0,Z10=0,AE10&lt;=480),"nicht mehr als 8 Std.; ","")&amp;IF(AA10=1,IF(AJ10&gt;0,"über Mitternacht, zusammen "&amp;TEXT((AE10+AQ10)/1440,"[h]:mm")&amp;" Std.; ",IF(AE10+AQ10&gt;480,"über Mitternacht: Pauschale am Folgetag; ","über Mitternacht, zusammen nicht mehr als 8 Std.; ")),"")&amp;IF(Z10=1,IF(AJ10&gt;0,"über Mitternacht, zusammen "&amp;TEXT((AR10+AE10)/1440,"[h]:mm")&amp;" Std.; ",IF(AR10+AE10&gt;480,"über Mitternacht: Pauschale am Vortag; ","über Mitternacht, zusammen nicht mehr als 8 Std.; ")),"")&amp;IF(AND(W10=1,V10&gt;0,OR(T10=1,U10=1)),"zwischendurch zu Hause: An- und Abreisetag; ","")&amp;IF(AND(W10=1,V10=0,T10=1),"Beginn leer lassen: unterwegs seit dem Vortag; ","")&amp;IF(AND(W10=0,V10&gt;0,U10=1),"Ende leer lassen: Übernachtung; ","")&amp;IF(AND(AJ10&gt;0,AM10&gt;AJ10),"Kürzung auf die Pauschale begrenzt; ",""))</f>
      </c>
      <c r="AM10" s="1">
        <f>ROUND(AG10*(IF(H10&lt;&gt;"",0.2,0)+IF(I10&lt;&gt;"",0.4,0)+IF(J10&lt;&gt;"",0.4,0)),2)</f>
      </c>
      <c r="AN10" s="1">
        <f>IF($A11="",0,T11)</f>
      </c>
      <c r="AO10" s="1">
        <f>IF($A11="",0,U11)</f>
      </c>
      <c r="AP10" s="1">
        <f>IF($A11="",0,V11)</f>
      </c>
      <c r="AQ10" s="1">
        <f>IF($A11="",0,AE11)</f>
      </c>
      <c r="AR10" s="1">
        <f>AE9</f>
      </c>
      <c r="AS10" s="1">
        <f>X9</f>
      </c>
      <c r="AT10" s="1">
        <f>U9</f>
      </c>
      <c r="AU10" s="1">
        <f>V9</f>
      </c>
    </row>
    <row r="11" spans="1:47" x14ac:dyDescent="0.25">
      <c r="A11" s="17">
        <f>IF(MONTH(DATE(Jahr,12,7))=12,DATE(Jahr,12,7),"")</f>
      </c>
      <c r="B11" s="13">
        <f>IF(A11="","",CHOOSE(WEEKDAY(A11,2),"Mo","Di","Mi","Do","Fr","Sa","So"))</f>
      </c>
      <c r="C11" s="18"/>
      <c r="D11" s="18"/>
      <c r="E11" s="7"/>
      <c r="F11" s="7"/>
      <c r="G11" s="7"/>
      <c r="H11" s="19"/>
      <c r="I11" s="19"/>
      <c r="J11" s="19"/>
      <c r="K11" s="9"/>
      <c r="L11" s="20">
        <f>IF(OR(AD11=0,AF11&lt;&gt;"",AND(W11=1,V11&gt;0,OR(T11=1,U11=1))),"",AE11/1440)</f>
      </c>
      <c r="M11" s="21">
        <f>IF(OR(AD11=0,AF11&lt;&gt;""),"",AJ11)</f>
      </c>
      <c r="N11" s="21">
        <f>IF(AK11=0,"",AK11)</f>
      </c>
      <c r="O11" s="21">
        <f>IF(OR(AD11=0,AF11&lt;&gt;""),"",AJ11-AK11)</f>
      </c>
      <c r="P11" s="21">
        <f>IF(AND(AD11=1,AF11="",V11=2),AI11,"")</f>
      </c>
      <c r="Q11" s="21">
        <f>IF(OR($A11="",N(K11)=0),"",ROUND(K11*KmSatz,2))</f>
      </c>
      <c r="R11" s="22">
        <f>IF(AF11&amp;AL11="","",LEFT(AF11&amp;AL11,LEN(AF11&amp;AL11)-2))</f>
      </c>
      <c r="S11" s="1"/>
      <c r="T11" s="1">
        <f>IF(AND($A11&lt;&gt;"",ISNUMBER(C11)),1,0)</f>
      </c>
      <c r="U11" s="1">
        <f>IF(AND($A11&lt;&gt;"",ISNUMBER(D11)),1,0)</f>
      </c>
      <c r="V11" s="1">
        <f>IF($A11="",0,IF(E11="ja",1,IF(E11="Pauschale",2,0)))</f>
      </c>
      <c r="W11" s="1">
        <f>IF($A11="",0,IF(AU11&gt;0,1,0))</f>
      </c>
      <c r="X11" s="1">
        <f>IF(AND(T11=1,W11=0),1,0)</f>
      </c>
      <c r="Y11" s="1">
        <f>IF(AND(AS11=1,AT11=0,AU11=0),1,0)</f>
      </c>
      <c r="Z11" s="1">
        <f>IF(AND(Y11=1,T11=0,U11=1,V11=0),1,0)</f>
      </c>
      <c r="AA11" s="1">
        <f>IF(AND(X11=1,U11=0,V11=0,AN11=0,AO11=1,AP11=0),1,0)</f>
      </c>
      <c r="AB11" s="1">
        <f>IF(OR(W11=1,Z11=1),0,IF(T11=1,C11,0))</f>
      </c>
      <c r="AC11" s="1">
        <f>IF(OR(V11&gt;0,AA11=1),1,IF(U11=1,D11,1))</f>
      </c>
      <c r="AD11" s="1">
        <f>IF($A11="",0,IF(OR(T11=1,U11=1,V11&gt;0,W11=1),1,0))</f>
      </c>
      <c r="AE11" s="1">
        <f>IF(AD11=0,0,ROUND((AC11-AB11)*1440,0))</f>
      </c>
      <c r="AF11" s="1">
        <f>IF(AD11=0,"",IF(AND(F11&lt;&gt;"",ISNA(MATCH(F11,PauschLand,0))),"Land nicht in der Liste; ","")&amp;IF(AND(T11=0,W11=0,Z11=0),"Beginn fehlt; ","")&amp;IF(AND(V11=0,U11=0,AA11=0),"Ende fehlt; ","")&amp;IF(AND(X11=1,U11=1,V11=0,N(D11)&lt;N(C11)),"Ende vor Beginn (über Mitternacht: Ende in die Zeile des Folgetags); ",""))</f>
      </c>
      <c r="AG11" s="1">
        <f>IF(AD11=0,0,IFERROR(VLOOKUP(IF(F11="","Deutschland",F11),PauschTab,2,FALSE),0))</f>
      </c>
      <c r="AH11" s="1">
        <f>IF(AD11=0,0,IFERROR(VLOOKUP(IF(F11="","Deutschland",F11),PauschTab,3,FALSE),0))</f>
      </c>
      <c r="AI11" s="1">
        <f>IF(AD11=0,0,IFERROR(VLOOKUP(IF(F11="","Deutschland",F11),PauschTab,4,FALSE),0))</f>
      </c>
      <c r="AJ11" s="1">
        <f>IF(OR(AD11=0,AF11&lt;&gt;""),0,IF(AND(W11=1,V11&gt;0),IF(OR(T11=1,U11=1),AH11,AG11),IF(OR(W11=1,V11&gt;0),AH11,IF(AA11=1,IF(AND(AE11+AQ11&gt;480,AE11&gt;=AQ11),AH11,0),IF(Z11=1,IF(AND(AR11+AE11&gt;480,AE11&gt;AR11),AH11,0),IF(AE11&gt;480,AH11,0))))))</f>
      </c>
      <c r="AK11" s="1">
        <f>MIN(AJ11,AM11)</f>
      </c>
      <c r="AL11" s="1">
        <f>IF(OR(AD11=0,AF11&lt;&gt;""),"",IF(AND(W11=0,V11=0,AA11=0,Z11=0,AE11&lt;=480),"nicht mehr als 8 Std.; ","")&amp;IF(AA11=1,IF(AJ11&gt;0,"über Mitternacht, zusammen "&amp;TEXT((AE11+AQ11)/1440,"[h]:mm")&amp;" Std.; ",IF(AE11+AQ11&gt;480,"über Mitternacht: Pauschale am Folgetag; ","über Mitternacht, zusammen nicht mehr als 8 Std.; ")),"")&amp;IF(Z11=1,IF(AJ11&gt;0,"über Mitternacht, zusammen "&amp;TEXT((AR11+AE11)/1440,"[h]:mm")&amp;" Std.; ",IF(AR11+AE11&gt;480,"über Mitternacht: Pauschale am Vortag; ","über Mitternacht, zusammen nicht mehr als 8 Std.; ")),"")&amp;IF(AND(W11=1,V11&gt;0,OR(T11=1,U11=1)),"zwischendurch zu Hause: An- und Abreisetag; ","")&amp;IF(AND(W11=1,V11=0,T11=1),"Beginn leer lassen: unterwegs seit dem Vortag; ","")&amp;IF(AND(W11=0,V11&gt;0,U11=1),"Ende leer lassen: Übernachtung; ","")&amp;IF(AND(AJ11&gt;0,AM11&gt;AJ11),"Kürzung auf die Pauschale begrenzt; ",""))</f>
      </c>
      <c r="AM11" s="1">
        <f>ROUND(AG11*(IF(H11&lt;&gt;"",0.2,0)+IF(I11&lt;&gt;"",0.4,0)+IF(J11&lt;&gt;"",0.4,0)),2)</f>
      </c>
      <c r="AN11" s="1">
        <f>IF($A12="",0,T12)</f>
      </c>
      <c r="AO11" s="1">
        <f>IF($A12="",0,U12)</f>
      </c>
      <c r="AP11" s="1">
        <f>IF($A12="",0,V12)</f>
      </c>
      <c r="AQ11" s="1">
        <f>IF($A12="",0,AE12)</f>
      </c>
      <c r="AR11" s="1">
        <f>AE10</f>
      </c>
      <c r="AS11" s="1">
        <f>X10</f>
      </c>
      <c r="AT11" s="1">
        <f>U10</f>
      </c>
      <c r="AU11" s="1">
        <f>V10</f>
      </c>
    </row>
    <row r="12" spans="1:47" x14ac:dyDescent="0.25">
      <c r="A12" s="17">
        <f>IF(MONTH(DATE(Jahr,12,8))=12,DATE(Jahr,12,8),"")</f>
      </c>
      <c r="B12" s="13">
        <f>IF(A12="","",CHOOSE(WEEKDAY(A12,2),"Mo","Di","Mi","Do","Fr","Sa","So"))</f>
      </c>
      <c r="C12" s="18"/>
      <c r="D12" s="18"/>
      <c r="E12" s="7"/>
      <c r="F12" s="7"/>
      <c r="G12" s="7"/>
      <c r="H12" s="19"/>
      <c r="I12" s="19"/>
      <c r="J12" s="19"/>
      <c r="K12" s="9"/>
      <c r="L12" s="20">
        <f>IF(OR(AD12=0,AF12&lt;&gt;"",AND(W12=1,V12&gt;0,OR(T12=1,U12=1))),"",AE12/1440)</f>
      </c>
      <c r="M12" s="21">
        <f>IF(OR(AD12=0,AF12&lt;&gt;""),"",AJ12)</f>
      </c>
      <c r="N12" s="21">
        <f>IF(AK12=0,"",AK12)</f>
      </c>
      <c r="O12" s="21">
        <f>IF(OR(AD12=0,AF12&lt;&gt;""),"",AJ12-AK12)</f>
      </c>
      <c r="P12" s="21">
        <f>IF(AND(AD12=1,AF12="",V12=2),AI12,"")</f>
      </c>
      <c r="Q12" s="21">
        <f>IF(OR($A12="",N(K12)=0),"",ROUND(K12*KmSatz,2))</f>
      </c>
      <c r="R12" s="22">
        <f>IF(AF12&amp;AL12="","",LEFT(AF12&amp;AL12,LEN(AF12&amp;AL12)-2))</f>
      </c>
      <c r="S12" s="1"/>
      <c r="T12" s="1">
        <f>IF(AND($A12&lt;&gt;"",ISNUMBER(C12)),1,0)</f>
      </c>
      <c r="U12" s="1">
        <f>IF(AND($A12&lt;&gt;"",ISNUMBER(D12)),1,0)</f>
      </c>
      <c r="V12" s="1">
        <f>IF($A12="",0,IF(E12="ja",1,IF(E12="Pauschale",2,0)))</f>
      </c>
      <c r="W12" s="1">
        <f>IF($A12="",0,IF(AU12&gt;0,1,0))</f>
      </c>
      <c r="X12" s="1">
        <f>IF(AND(T12=1,W12=0),1,0)</f>
      </c>
      <c r="Y12" s="1">
        <f>IF(AND(AS12=1,AT12=0,AU12=0),1,0)</f>
      </c>
      <c r="Z12" s="1">
        <f>IF(AND(Y12=1,T12=0,U12=1,V12=0),1,0)</f>
      </c>
      <c r="AA12" s="1">
        <f>IF(AND(X12=1,U12=0,V12=0,AN12=0,AO12=1,AP12=0),1,0)</f>
      </c>
      <c r="AB12" s="1">
        <f>IF(OR(W12=1,Z12=1),0,IF(T12=1,C12,0))</f>
      </c>
      <c r="AC12" s="1">
        <f>IF(OR(V12&gt;0,AA12=1),1,IF(U12=1,D12,1))</f>
      </c>
      <c r="AD12" s="1">
        <f>IF($A12="",0,IF(OR(T12=1,U12=1,V12&gt;0,W12=1),1,0))</f>
      </c>
      <c r="AE12" s="1">
        <f>IF(AD12=0,0,ROUND((AC12-AB12)*1440,0))</f>
      </c>
      <c r="AF12" s="1">
        <f>IF(AD12=0,"",IF(AND(F12&lt;&gt;"",ISNA(MATCH(F12,PauschLand,0))),"Land nicht in der Liste; ","")&amp;IF(AND(T12=0,W12=0,Z12=0),"Beginn fehlt; ","")&amp;IF(AND(V12=0,U12=0,AA12=0),"Ende fehlt; ","")&amp;IF(AND(X12=1,U12=1,V12=0,N(D12)&lt;N(C12)),"Ende vor Beginn (über Mitternacht: Ende in die Zeile des Folgetags); ",""))</f>
      </c>
      <c r="AG12" s="1">
        <f>IF(AD12=0,0,IFERROR(VLOOKUP(IF(F12="","Deutschland",F12),PauschTab,2,FALSE),0))</f>
      </c>
      <c r="AH12" s="1">
        <f>IF(AD12=0,0,IFERROR(VLOOKUP(IF(F12="","Deutschland",F12),PauschTab,3,FALSE),0))</f>
      </c>
      <c r="AI12" s="1">
        <f>IF(AD12=0,0,IFERROR(VLOOKUP(IF(F12="","Deutschland",F12),PauschTab,4,FALSE),0))</f>
      </c>
      <c r="AJ12" s="1">
        <f>IF(OR(AD12=0,AF12&lt;&gt;""),0,IF(AND(W12=1,V12&gt;0),IF(OR(T12=1,U12=1),AH12,AG12),IF(OR(W12=1,V12&gt;0),AH12,IF(AA12=1,IF(AND(AE12+AQ12&gt;480,AE12&gt;=AQ12),AH12,0),IF(Z12=1,IF(AND(AR12+AE12&gt;480,AE12&gt;AR12),AH12,0),IF(AE12&gt;480,AH12,0))))))</f>
      </c>
      <c r="AK12" s="1">
        <f>MIN(AJ12,AM12)</f>
      </c>
      <c r="AL12" s="1">
        <f>IF(OR(AD12=0,AF12&lt;&gt;""),"",IF(AND(W12=0,V12=0,AA12=0,Z12=0,AE12&lt;=480),"nicht mehr als 8 Std.; ","")&amp;IF(AA12=1,IF(AJ12&gt;0,"über Mitternacht, zusammen "&amp;TEXT((AE12+AQ12)/1440,"[h]:mm")&amp;" Std.; ",IF(AE12+AQ12&gt;480,"über Mitternacht: Pauschale am Folgetag; ","über Mitternacht, zusammen nicht mehr als 8 Std.; ")),"")&amp;IF(Z12=1,IF(AJ12&gt;0,"über Mitternacht, zusammen "&amp;TEXT((AR12+AE12)/1440,"[h]:mm")&amp;" Std.; ",IF(AR12+AE12&gt;480,"über Mitternacht: Pauschale am Vortag; ","über Mitternacht, zusammen nicht mehr als 8 Std.; ")),"")&amp;IF(AND(W12=1,V12&gt;0,OR(T12=1,U12=1)),"zwischendurch zu Hause: An- und Abreisetag; ","")&amp;IF(AND(W12=1,V12=0,T12=1),"Beginn leer lassen: unterwegs seit dem Vortag; ","")&amp;IF(AND(W12=0,V12&gt;0,U12=1),"Ende leer lassen: Übernachtung; ","")&amp;IF(AND(AJ12&gt;0,AM12&gt;AJ12),"Kürzung auf die Pauschale begrenzt; ",""))</f>
      </c>
      <c r="AM12" s="1">
        <f>ROUND(AG12*(IF(H12&lt;&gt;"",0.2,0)+IF(I12&lt;&gt;"",0.4,0)+IF(J12&lt;&gt;"",0.4,0)),2)</f>
      </c>
      <c r="AN12" s="1">
        <f>IF($A13="",0,T13)</f>
      </c>
      <c r="AO12" s="1">
        <f>IF($A13="",0,U13)</f>
      </c>
      <c r="AP12" s="1">
        <f>IF($A13="",0,V13)</f>
      </c>
      <c r="AQ12" s="1">
        <f>IF($A13="",0,AE13)</f>
      </c>
      <c r="AR12" s="1">
        <f>AE11</f>
      </c>
      <c r="AS12" s="1">
        <f>X11</f>
      </c>
      <c r="AT12" s="1">
        <f>U11</f>
      </c>
      <c r="AU12" s="1">
        <f>V11</f>
      </c>
    </row>
    <row r="13" spans="1:47" x14ac:dyDescent="0.25">
      <c r="A13" s="17">
        <f>IF(MONTH(DATE(Jahr,12,9))=12,DATE(Jahr,12,9),"")</f>
      </c>
      <c r="B13" s="13">
        <f>IF(A13="","",CHOOSE(WEEKDAY(A13,2),"Mo","Di","Mi","Do","Fr","Sa","So"))</f>
      </c>
      <c r="C13" s="18"/>
      <c r="D13" s="18"/>
      <c r="E13" s="7"/>
      <c r="F13" s="7"/>
      <c r="G13" s="7"/>
      <c r="H13" s="19"/>
      <c r="I13" s="19"/>
      <c r="J13" s="19"/>
      <c r="K13" s="9"/>
      <c r="L13" s="20">
        <f>IF(OR(AD13=0,AF13&lt;&gt;"",AND(W13=1,V13&gt;0,OR(T13=1,U13=1))),"",AE13/1440)</f>
      </c>
      <c r="M13" s="21">
        <f>IF(OR(AD13=0,AF13&lt;&gt;""),"",AJ13)</f>
      </c>
      <c r="N13" s="21">
        <f>IF(AK13=0,"",AK13)</f>
      </c>
      <c r="O13" s="21">
        <f>IF(OR(AD13=0,AF13&lt;&gt;""),"",AJ13-AK13)</f>
      </c>
      <c r="P13" s="21">
        <f>IF(AND(AD13=1,AF13="",V13=2),AI13,"")</f>
      </c>
      <c r="Q13" s="21">
        <f>IF(OR($A13="",N(K13)=0),"",ROUND(K13*KmSatz,2))</f>
      </c>
      <c r="R13" s="22">
        <f>IF(AF13&amp;AL13="","",LEFT(AF13&amp;AL13,LEN(AF13&amp;AL13)-2))</f>
      </c>
      <c r="S13" s="1"/>
      <c r="T13" s="1">
        <f>IF(AND($A13&lt;&gt;"",ISNUMBER(C13)),1,0)</f>
      </c>
      <c r="U13" s="1">
        <f>IF(AND($A13&lt;&gt;"",ISNUMBER(D13)),1,0)</f>
      </c>
      <c r="V13" s="1">
        <f>IF($A13="",0,IF(E13="ja",1,IF(E13="Pauschale",2,0)))</f>
      </c>
      <c r="W13" s="1">
        <f>IF($A13="",0,IF(AU13&gt;0,1,0))</f>
      </c>
      <c r="X13" s="1">
        <f>IF(AND(T13=1,W13=0),1,0)</f>
      </c>
      <c r="Y13" s="1">
        <f>IF(AND(AS13=1,AT13=0,AU13=0),1,0)</f>
      </c>
      <c r="Z13" s="1">
        <f>IF(AND(Y13=1,T13=0,U13=1,V13=0),1,0)</f>
      </c>
      <c r="AA13" s="1">
        <f>IF(AND(X13=1,U13=0,V13=0,AN13=0,AO13=1,AP13=0),1,0)</f>
      </c>
      <c r="AB13" s="1">
        <f>IF(OR(W13=1,Z13=1),0,IF(T13=1,C13,0))</f>
      </c>
      <c r="AC13" s="1">
        <f>IF(OR(V13&gt;0,AA13=1),1,IF(U13=1,D13,1))</f>
      </c>
      <c r="AD13" s="1">
        <f>IF($A13="",0,IF(OR(T13=1,U13=1,V13&gt;0,W13=1),1,0))</f>
      </c>
      <c r="AE13" s="1">
        <f>IF(AD13=0,0,ROUND((AC13-AB13)*1440,0))</f>
      </c>
      <c r="AF13" s="1">
        <f>IF(AD13=0,"",IF(AND(F13&lt;&gt;"",ISNA(MATCH(F13,PauschLand,0))),"Land nicht in der Liste; ","")&amp;IF(AND(T13=0,W13=0,Z13=0),"Beginn fehlt; ","")&amp;IF(AND(V13=0,U13=0,AA13=0),"Ende fehlt; ","")&amp;IF(AND(X13=1,U13=1,V13=0,N(D13)&lt;N(C13)),"Ende vor Beginn (über Mitternacht: Ende in die Zeile des Folgetags); ",""))</f>
      </c>
      <c r="AG13" s="1">
        <f>IF(AD13=0,0,IFERROR(VLOOKUP(IF(F13="","Deutschland",F13),PauschTab,2,FALSE),0))</f>
      </c>
      <c r="AH13" s="1">
        <f>IF(AD13=0,0,IFERROR(VLOOKUP(IF(F13="","Deutschland",F13),PauschTab,3,FALSE),0))</f>
      </c>
      <c r="AI13" s="1">
        <f>IF(AD13=0,0,IFERROR(VLOOKUP(IF(F13="","Deutschland",F13),PauschTab,4,FALSE),0))</f>
      </c>
      <c r="AJ13" s="1">
        <f>IF(OR(AD13=0,AF13&lt;&gt;""),0,IF(AND(W13=1,V13&gt;0),IF(OR(T13=1,U13=1),AH13,AG13),IF(OR(W13=1,V13&gt;0),AH13,IF(AA13=1,IF(AND(AE13+AQ13&gt;480,AE13&gt;=AQ13),AH13,0),IF(Z13=1,IF(AND(AR13+AE13&gt;480,AE13&gt;AR13),AH13,0),IF(AE13&gt;480,AH13,0))))))</f>
      </c>
      <c r="AK13" s="1">
        <f>MIN(AJ13,AM13)</f>
      </c>
      <c r="AL13" s="1">
        <f>IF(OR(AD13=0,AF13&lt;&gt;""),"",IF(AND(W13=0,V13=0,AA13=0,Z13=0,AE13&lt;=480),"nicht mehr als 8 Std.; ","")&amp;IF(AA13=1,IF(AJ13&gt;0,"über Mitternacht, zusammen "&amp;TEXT((AE13+AQ13)/1440,"[h]:mm")&amp;" Std.; ",IF(AE13+AQ13&gt;480,"über Mitternacht: Pauschale am Folgetag; ","über Mitternacht, zusammen nicht mehr als 8 Std.; ")),"")&amp;IF(Z13=1,IF(AJ13&gt;0,"über Mitternacht, zusammen "&amp;TEXT((AR13+AE13)/1440,"[h]:mm")&amp;" Std.; ",IF(AR13+AE13&gt;480,"über Mitternacht: Pauschale am Vortag; ","über Mitternacht, zusammen nicht mehr als 8 Std.; ")),"")&amp;IF(AND(W13=1,V13&gt;0,OR(T13=1,U13=1)),"zwischendurch zu Hause: An- und Abreisetag; ","")&amp;IF(AND(W13=1,V13=0,T13=1),"Beginn leer lassen: unterwegs seit dem Vortag; ","")&amp;IF(AND(W13=0,V13&gt;0,U13=1),"Ende leer lassen: Übernachtung; ","")&amp;IF(AND(AJ13&gt;0,AM13&gt;AJ13),"Kürzung auf die Pauschale begrenzt; ",""))</f>
      </c>
      <c r="AM13" s="1">
        <f>ROUND(AG13*(IF(H13&lt;&gt;"",0.2,0)+IF(I13&lt;&gt;"",0.4,0)+IF(J13&lt;&gt;"",0.4,0)),2)</f>
      </c>
      <c r="AN13" s="1">
        <f>IF($A14="",0,T14)</f>
      </c>
      <c r="AO13" s="1">
        <f>IF($A14="",0,U14)</f>
      </c>
      <c r="AP13" s="1">
        <f>IF($A14="",0,V14)</f>
      </c>
      <c r="AQ13" s="1">
        <f>IF($A14="",0,AE14)</f>
      </c>
      <c r="AR13" s="1">
        <f>AE12</f>
      </c>
      <c r="AS13" s="1">
        <f>X12</f>
      </c>
      <c r="AT13" s="1">
        <f>U12</f>
      </c>
      <c r="AU13" s="1">
        <f>V12</f>
      </c>
    </row>
    <row r="14" spans="1:47" x14ac:dyDescent="0.25">
      <c r="A14" s="17">
        <f>IF(MONTH(DATE(Jahr,12,10))=12,DATE(Jahr,12,10),"")</f>
      </c>
      <c r="B14" s="13">
        <f>IF(A14="","",CHOOSE(WEEKDAY(A14,2),"Mo","Di","Mi","Do","Fr","Sa","So"))</f>
      </c>
      <c r="C14" s="18"/>
      <c r="D14" s="18"/>
      <c r="E14" s="7"/>
      <c r="F14" s="7"/>
      <c r="G14" s="7"/>
      <c r="H14" s="19"/>
      <c r="I14" s="19"/>
      <c r="J14" s="19"/>
      <c r="K14" s="9"/>
      <c r="L14" s="20">
        <f>IF(OR(AD14=0,AF14&lt;&gt;"",AND(W14=1,V14&gt;0,OR(T14=1,U14=1))),"",AE14/1440)</f>
      </c>
      <c r="M14" s="21">
        <f>IF(OR(AD14=0,AF14&lt;&gt;""),"",AJ14)</f>
      </c>
      <c r="N14" s="21">
        <f>IF(AK14=0,"",AK14)</f>
      </c>
      <c r="O14" s="21">
        <f>IF(OR(AD14=0,AF14&lt;&gt;""),"",AJ14-AK14)</f>
      </c>
      <c r="P14" s="21">
        <f>IF(AND(AD14=1,AF14="",V14=2),AI14,"")</f>
      </c>
      <c r="Q14" s="21">
        <f>IF(OR($A14="",N(K14)=0),"",ROUND(K14*KmSatz,2))</f>
      </c>
      <c r="R14" s="22">
        <f>IF(AF14&amp;AL14="","",LEFT(AF14&amp;AL14,LEN(AF14&amp;AL14)-2))</f>
      </c>
      <c r="S14" s="1"/>
      <c r="T14" s="1">
        <f>IF(AND($A14&lt;&gt;"",ISNUMBER(C14)),1,0)</f>
      </c>
      <c r="U14" s="1">
        <f>IF(AND($A14&lt;&gt;"",ISNUMBER(D14)),1,0)</f>
      </c>
      <c r="V14" s="1">
        <f>IF($A14="",0,IF(E14="ja",1,IF(E14="Pauschale",2,0)))</f>
      </c>
      <c r="W14" s="1">
        <f>IF($A14="",0,IF(AU14&gt;0,1,0))</f>
      </c>
      <c r="X14" s="1">
        <f>IF(AND(T14=1,W14=0),1,0)</f>
      </c>
      <c r="Y14" s="1">
        <f>IF(AND(AS14=1,AT14=0,AU14=0),1,0)</f>
      </c>
      <c r="Z14" s="1">
        <f>IF(AND(Y14=1,T14=0,U14=1,V14=0),1,0)</f>
      </c>
      <c r="AA14" s="1">
        <f>IF(AND(X14=1,U14=0,V14=0,AN14=0,AO14=1,AP14=0),1,0)</f>
      </c>
      <c r="AB14" s="1">
        <f>IF(OR(W14=1,Z14=1),0,IF(T14=1,C14,0))</f>
      </c>
      <c r="AC14" s="1">
        <f>IF(OR(V14&gt;0,AA14=1),1,IF(U14=1,D14,1))</f>
      </c>
      <c r="AD14" s="1">
        <f>IF($A14="",0,IF(OR(T14=1,U14=1,V14&gt;0,W14=1),1,0))</f>
      </c>
      <c r="AE14" s="1">
        <f>IF(AD14=0,0,ROUND((AC14-AB14)*1440,0))</f>
      </c>
      <c r="AF14" s="1">
        <f>IF(AD14=0,"",IF(AND(F14&lt;&gt;"",ISNA(MATCH(F14,PauschLand,0))),"Land nicht in der Liste; ","")&amp;IF(AND(T14=0,W14=0,Z14=0),"Beginn fehlt; ","")&amp;IF(AND(V14=0,U14=0,AA14=0),"Ende fehlt; ","")&amp;IF(AND(X14=1,U14=1,V14=0,N(D14)&lt;N(C14)),"Ende vor Beginn (über Mitternacht: Ende in die Zeile des Folgetags); ",""))</f>
      </c>
      <c r="AG14" s="1">
        <f>IF(AD14=0,0,IFERROR(VLOOKUP(IF(F14="","Deutschland",F14),PauschTab,2,FALSE),0))</f>
      </c>
      <c r="AH14" s="1">
        <f>IF(AD14=0,0,IFERROR(VLOOKUP(IF(F14="","Deutschland",F14),PauschTab,3,FALSE),0))</f>
      </c>
      <c r="AI14" s="1">
        <f>IF(AD14=0,0,IFERROR(VLOOKUP(IF(F14="","Deutschland",F14),PauschTab,4,FALSE),0))</f>
      </c>
      <c r="AJ14" s="1">
        <f>IF(OR(AD14=0,AF14&lt;&gt;""),0,IF(AND(W14=1,V14&gt;0),IF(OR(T14=1,U14=1),AH14,AG14),IF(OR(W14=1,V14&gt;0),AH14,IF(AA14=1,IF(AND(AE14+AQ14&gt;480,AE14&gt;=AQ14),AH14,0),IF(Z14=1,IF(AND(AR14+AE14&gt;480,AE14&gt;AR14),AH14,0),IF(AE14&gt;480,AH14,0))))))</f>
      </c>
      <c r="AK14" s="1">
        <f>MIN(AJ14,AM14)</f>
      </c>
      <c r="AL14" s="1">
        <f>IF(OR(AD14=0,AF14&lt;&gt;""),"",IF(AND(W14=0,V14=0,AA14=0,Z14=0,AE14&lt;=480),"nicht mehr als 8 Std.; ","")&amp;IF(AA14=1,IF(AJ14&gt;0,"über Mitternacht, zusammen "&amp;TEXT((AE14+AQ14)/1440,"[h]:mm")&amp;" Std.; ",IF(AE14+AQ14&gt;480,"über Mitternacht: Pauschale am Folgetag; ","über Mitternacht, zusammen nicht mehr als 8 Std.; ")),"")&amp;IF(Z14=1,IF(AJ14&gt;0,"über Mitternacht, zusammen "&amp;TEXT((AR14+AE14)/1440,"[h]:mm")&amp;" Std.; ",IF(AR14+AE14&gt;480,"über Mitternacht: Pauschale am Vortag; ","über Mitternacht, zusammen nicht mehr als 8 Std.; ")),"")&amp;IF(AND(W14=1,V14&gt;0,OR(T14=1,U14=1)),"zwischendurch zu Hause: An- und Abreisetag; ","")&amp;IF(AND(W14=1,V14=0,T14=1),"Beginn leer lassen: unterwegs seit dem Vortag; ","")&amp;IF(AND(W14=0,V14&gt;0,U14=1),"Ende leer lassen: Übernachtung; ","")&amp;IF(AND(AJ14&gt;0,AM14&gt;AJ14),"Kürzung auf die Pauschale begrenzt; ",""))</f>
      </c>
      <c r="AM14" s="1">
        <f>ROUND(AG14*(IF(H14&lt;&gt;"",0.2,0)+IF(I14&lt;&gt;"",0.4,0)+IF(J14&lt;&gt;"",0.4,0)),2)</f>
      </c>
      <c r="AN14" s="1">
        <f>IF($A15="",0,T15)</f>
      </c>
      <c r="AO14" s="1">
        <f>IF($A15="",0,U15)</f>
      </c>
      <c r="AP14" s="1">
        <f>IF($A15="",0,V15)</f>
      </c>
      <c r="AQ14" s="1">
        <f>IF($A15="",0,AE15)</f>
      </c>
      <c r="AR14" s="1">
        <f>AE13</f>
      </c>
      <c r="AS14" s="1">
        <f>X13</f>
      </c>
      <c r="AT14" s="1">
        <f>U13</f>
      </c>
      <c r="AU14" s="1">
        <f>V13</f>
      </c>
    </row>
    <row r="15" spans="1:47" x14ac:dyDescent="0.25">
      <c r="A15" s="17">
        <f>IF(MONTH(DATE(Jahr,12,11))=12,DATE(Jahr,12,11),"")</f>
      </c>
      <c r="B15" s="13">
        <f>IF(A15="","",CHOOSE(WEEKDAY(A15,2),"Mo","Di","Mi","Do","Fr","Sa","So"))</f>
      </c>
      <c r="C15" s="18"/>
      <c r="D15" s="18"/>
      <c r="E15" s="7"/>
      <c r="F15" s="7"/>
      <c r="G15" s="7"/>
      <c r="H15" s="19"/>
      <c r="I15" s="19"/>
      <c r="J15" s="19"/>
      <c r="K15" s="9"/>
      <c r="L15" s="20">
        <f>IF(OR(AD15=0,AF15&lt;&gt;"",AND(W15=1,V15&gt;0,OR(T15=1,U15=1))),"",AE15/1440)</f>
      </c>
      <c r="M15" s="21">
        <f>IF(OR(AD15=0,AF15&lt;&gt;""),"",AJ15)</f>
      </c>
      <c r="N15" s="21">
        <f>IF(AK15=0,"",AK15)</f>
      </c>
      <c r="O15" s="21">
        <f>IF(OR(AD15=0,AF15&lt;&gt;""),"",AJ15-AK15)</f>
      </c>
      <c r="P15" s="21">
        <f>IF(AND(AD15=1,AF15="",V15=2),AI15,"")</f>
      </c>
      <c r="Q15" s="21">
        <f>IF(OR($A15="",N(K15)=0),"",ROUND(K15*KmSatz,2))</f>
      </c>
      <c r="R15" s="22">
        <f>IF(AF15&amp;AL15="","",LEFT(AF15&amp;AL15,LEN(AF15&amp;AL15)-2))</f>
      </c>
      <c r="S15" s="1"/>
      <c r="T15" s="1">
        <f>IF(AND($A15&lt;&gt;"",ISNUMBER(C15)),1,0)</f>
      </c>
      <c r="U15" s="1">
        <f>IF(AND($A15&lt;&gt;"",ISNUMBER(D15)),1,0)</f>
      </c>
      <c r="V15" s="1">
        <f>IF($A15="",0,IF(E15="ja",1,IF(E15="Pauschale",2,0)))</f>
      </c>
      <c r="W15" s="1">
        <f>IF($A15="",0,IF(AU15&gt;0,1,0))</f>
      </c>
      <c r="X15" s="1">
        <f>IF(AND(T15=1,W15=0),1,0)</f>
      </c>
      <c r="Y15" s="1">
        <f>IF(AND(AS15=1,AT15=0,AU15=0),1,0)</f>
      </c>
      <c r="Z15" s="1">
        <f>IF(AND(Y15=1,T15=0,U15=1,V15=0),1,0)</f>
      </c>
      <c r="AA15" s="1">
        <f>IF(AND(X15=1,U15=0,V15=0,AN15=0,AO15=1,AP15=0),1,0)</f>
      </c>
      <c r="AB15" s="1">
        <f>IF(OR(W15=1,Z15=1),0,IF(T15=1,C15,0))</f>
      </c>
      <c r="AC15" s="1">
        <f>IF(OR(V15&gt;0,AA15=1),1,IF(U15=1,D15,1))</f>
      </c>
      <c r="AD15" s="1">
        <f>IF($A15="",0,IF(OR(T15=1,U15=1,V15&gt;0,W15=1),1,0))</f>
      </c>
      <c r="AE15" s="1">
        <f>IF(AD15=0,0,ROUND((AC15-AB15)*1440,0))</f>
      </c>
      <c r="AF15" s="1">
        <f>IF(AD15=0,"",IF(AND(F15&lt;&gt;"",ISNA(MATCH(F15,PauschLand,0))),"Land nicht in der Liste; ","")&amp;IF(AND(T15=0,W15=0,Z15=0),"Beginn fehlt; ","")&amp;IF(AND(V15=0,U15=0,AA15=0),"Ende fehlt; ","")&amp;IF(AND(X15=1,U15=1,V15=0,N(D15)&lt;N(C15)),"Ende vor Beginn (über Mitternacht: Ende in die Zeile des Folgetags); ",""))</f>
      </c>
      <c r="AG15" s="1">
        <f>IF(AD15=0,0,IFERROR(VLOOKUP(IF(F15="","Deutschland",F15),PauschTab,2,FALSE),0))</f>
      </c>
      <c r="AH15" s="1">
        <f>IF(AD15=0,0,IFERROR(VLOOKUP(IF(F15="","Deutschland",F15),PauschTab,3,FALSE),0))</f>
      </c>
      <c r="AI15" s="1">
        <f>IF(AD15=0,0,IFERROR(VLOOKUP(IF(F15="","Deutschland",F15),PauschTab,4,FALSE),0))</f>
      </c>
      <c r="AJ15" s="1">
        <f>IF(OR(AD15=0,AF15&lt;&gt;""),0,IF(AND(W15=1,V15&gt;0),IF(OR(T15=1,U15=1),AH15,AG15),IF(OR(W15=1,V15&gt;0),AH15,IF(AA15=1,IF(AND(AE15+AQ15&gt;480,AE15&gt;=AQ15),AH15,0),IF(Z15=1,IF(AND(AR15+AE15&gt;480,AE15&gt;AR15),AH15,0),IF(AE15&gt;480,AH15,0))))))</f>
      </c>
      <c r="AK15" s="1">
        <f>MIN(AJ15,AM15)</f>
      </c>
      <c r="AL15" s="1">
        <f>IF(OR(AD15=0,AF15&lt;&gt;""),"",IF(AND(W15=0,V15=0,AA15=0,Z15=0,AE15&lt;=480),"nicht mehr als 8 Std.; ","")&amp;IF(AA15=1,IF(AJ15&gt;0,"über Mitternacht, zusammen "&amp;TEXT((AE15+AQ15)/1440,"[h]:mm")&amp;" Std.; ",IF(AE15+AQ15&gt;480,"über Mitternacht: Pauschale am Folgetag; ","über Mitternacht, zusammen nicht mehr als 8 Std.; ")),"")&amp;IF(Z15=1,IF(AJ15&gt;0,"über Mitternacht, zusammen "&amp;TEXT((AR15+AE15)/1440,"[h]:mm")&amp;" Std.; ",IF(AR15+AE15&gt;480,"über Mitternacht: Pauschale am Vortag; ","über Mitternacht, zusammen nicht mehr als 8 Std.; ")),"")&amp;IF(AND(W15=1,V15&gt;0,OR(T15=1,U15=1)),"zwischendurch zu Hause: An- und Abreisetag; ","")&amp;IF(AND(W15=1,V15=0,T15=1),"Beginn leer lassen: unterwegs seit dem Vortag; ","")&amp;IF(AND(W15=0,V15&gt;0,U15=1),"Ende leer lassen: Übernachtung; ","")&amp;IF(AND(AJ15&gt;0,AM15&gt;AJ15),"Kürzung auf die Pauschale begrenzt; ",""))</f>
      </c>
      <c r="AM15" s="1">
        <f>ROUND(AG15*(IF(H15&lt;&gt;"",0.2,0)+IF(I15&lt;&gt;"",0.4,0)+IF(J15&lt;&gt;"",0.4,0)),2)</f>
      </c>
      <c r="AN15" s="1">
        <f>IF($A16="",0,T16)</f>
      </c>
      <c r="AO15" s="1">
        <f>IF($A16="",0,U16)</f>
      </c>
      <c r="AP15" s="1">
        <f>IF($A16="",0,V16)</f>
      </c>
      <c r="AQ15" s="1">
        <f>IF($A16="",0,AE16)</f>
      </c>
      <c r="AR15" s="1">
        <f>AE14</f>
      </c>
      <c r="AS15" s="1">
        <f>X14</f>
      </c>
      <c r="AT15" s="1">
        <f>U14</f>
      </c>
      <c r="AU15" s="1">
        <f>V14</f>
      </c>
    </row>
    <row r="16" spans="1:47" x14ac:dyDescent="0.25">
      <c r="A16" s="17">
        <f>IF(MONTH(DATE(Jahr,12,12))=12,DATE(Jahr,12,12),"")</f>
      </c>
      <c r="B16" s="13">
        <f>IF(A16="","",CHOOSE(WEEKDAY(A16,2),"Mo","Di","Mi","Do","Fr","Sa","So"))</f>
      </c>
      <c r="C16" s="18"/>
      <c r="D16" s="18"/>
      <c r="E16" s="7"/>
      <c r="F16" s="7"/>
      <c r="G16" s="7"/>
      <c r="H16" s="19"/>
      <c r="I16" s="19"/>
      <c r="J16" s="19"/>
      <c r="K16" s="9"/>
      <c r="L16" s="20">
        <f>IF(OR(AD16=0,AF16&lt;&gt;"",AND(W16=1,V16&gt;0,OR(T16=1,U16=1))),"",AE16/1440)</f>
      </c>
      <c r="M16" s="21">
        <f>IF(OR(AD16=0,AF16&lt;&gt;""),"",AJ16)</f>
      </c>
      <c r="N16" s="21">
        <f>IF(AK16=0,"",AK16)</f>
      </c>
      <c r="O16" s="21">
        <f>IF(OR(AD16=0,AF16&lt;&gt;""),"",AJ16-AK16)</f>
      </c>
      <c r="P16" s="21">
        <f>IF(AND(AD16=1,AF16="",V16=2),AI16,"")</f>
      </c>
      <c r="Q16" s="21">
        <f>IF(OR($A16="",N(K16)=0),"",ROUND(K16*KmSatz,2))</f>
      </c>
      <c r="R16" s="22">
        <f>IF(AF16&amp;AL16="","",LEFT(AF16&amp;AL16,LEN(AF16&amp;AL16)-2))</f>
      </c>
      <c r="S16" s="1"/>
      <c r="T16" s="1">
        <f>IF(AND($A16&lt;&gt;"",ISNUMBER(C16)),1,0)</f>
      </c>
      <c r="U16" s="1">
        <f>IF(AND($A16&lt;&gt;"",ISNUMBER(D16)),1,0)</f>
      </c>
      <c r="V16" s="1">
        <f>IF($A16="",0,IF(E16="ja",1,IF(E16="Pauschale",2,0)))</f>
      </c>
      <c r="W16" s="1">
        <f>IF($A16="",0,IF(AU16&gt;0,1,0))</f>
      </c>
      <c r="X16" s="1">
        <f>IF(AND(T16=1,W16=0),1,0)</f>
      </c>
      <c r="Y16" s="1">
        <f>IF(AND(AS16=1,AT16=0,AU16=0),1,0)</f>
      </c>
      <c r="Z16" s="1">
        <f>IF(AND(Y16=1,T16=0,U16=1,V16=0),1,0)</f>
      </c>
      <c r="AA16" s="1">
        <f>IF(AND(X16=1,U16=0,V16=0,AN16=0,AO16=1,AP16=0),1,0)</f>
      </c>
      <c r="AB16" s="1">
        <f>IF(OR(W16=1,Z16=1),0,IF(T16=1,C16,0))</f>
      </c>
      <c r="AC16" s="1">
        <f>IF(OR(V16&gt;0,AA16=1),1,IF(U16=1,D16,1))</f>
      </c>
      <c r="AD16" s="1">
        <f>IF($A16="",0,IF(OR(T16=1,U16=1,V16&gt;0,W16=1),1,0))</f>
      </c>
      <c r="AE16" s="1">
        <f>IF(AD16=0,0,ROUND((AC16-AB16)*1440,0))</f>
      </c>
      <c r="AF16" s="1">
        <f>IF(AD16=0,"",IF(AND(F16&lt;&gt;"",ISNA(MATCH(F16,PauschLand,0))),"Land nicht in der Liste; ","")&amp;IF(AND(T16=0,W16=0,Z16=0),"Beginn fehlt; ","")&amp;IF(AND(V16=0,U16=0,AA16=0),"Ende fehlt; ","")&amp;IF(AND(X16=1,U16=1,V16=0,N(D16)&lt;N(C16)),"Ende vor Beginn (über Mitternacht: Ende in die Zeile des Folgetags); ",""))</f>
      </c>
      <c r="AG16" s="1">
        <f>IF(AD16=0,0,IFERROR(VLOOKUP(IF(F16="","Deutschland",F16),PauschTab,2,FALSE),0))</f>
      </c>
      <c r="AH16" s="1">
        <f>IF(AD16=0,0,IFERROR(VLOOKUP(IF(F16="","Deutschland",F16),PauschTab,3,FALSE),0))</f>
      </c>
      <c r="AI16" s="1">
        <f>IF(AD16=0,0,IFERROR(VLOOKUP(IF(F16="","Deutschland",F16),PauschTab,4,FALSE),0))</f>
      </c>
      <c r="AJ16" s="1">
        <f>IF(OR(AD16=0,AF16&lt;&gt;""),0,IF(AND(W16=1,V16&gt;0),IF(OR(T16=1,U16=1),AH16,AG16),IF(OR(W16=1,V16&gt;0),AH16,IF(AA16=1,IF(AND(AE16+AQ16&gt;480,AE16&gt;=AQ16),AH16,0),IF(Z16=1,IF(AND(AR16+AE16&gt;480,AE16&gt;AR16),AH16,0),IF(AE16&gt;480,AH16,0))))))</f>
      </c>
      <c r="AK16" s="1">
        <f>MIN(AJ16,AM16)</f>
      </c>
      <c r="AL16" s="1">
        <f>IF(OR(AD16=0,AF16&lt;&gt;""),"",IF(AND(W16=0,V16=0,AA16=0,Z16=0,AE16&lt;=480),"nicht mehr als 8 Std.; ","")&amp;IF(AA16=1,IF(AJ16&gt;0,"über Mitternacht, zusammen "&amp;TEXT((AE16+AQ16)/1440,"[h]:mm")&amp;" Std.; ",IF(AE16+AQ16&gt;480,"über Mitternacht: Pauschale am Folgetag; ","über Mitternacht, zusammen nicht mehr als 8 Std.; ")),"")&amp;IF(Z16=1,IF(AJ16&gt;0,"über Mitternacht, zusammen "&amp;TEXT((AR16+AE16)/1440,"[h]:mm")&amp;" Std.; ",IF(AR16+AE16&gt;480,"über Mitternacht: Pauschale am Vortag; ","über Mitternacht, zusammen nicht mehr als 8 Std.; ")),"")&amp;IF(AND(W16=1,V16&gt;0,OR(T16=1,U16=1)),"zwischendurch zu Hause: An- und Abreisetag; ","")&amp;IF(AND(W16=1,V16=0,T16=1),"Beginn leer lassen: unterwegs seit dem Vortag; ","")&amp;IF(AND(W16=0,V16&gt;0,U16=1),"Ende leer lassen: Übernachtung; ","")&amp;IF(AND(AJ16&gt;0,AM16&gt;AJ16),"Kürzung auf die Pauschale begrenzt; ",""))</f>
      </c>
      <c r="AM16" s="1">
        <f>ROUND(AG16*(IF(H16&lt;&gt;"",0.2,0)+IF(I16&lt;&gt;"",0.4,0)+IF(J16&lt;&gt;"",0.4,0)),2)</f>
      </c>
      <c r="AN16" s="1">
        <f>IF($A17="",0,T17)</f>
      </c>
      <c r="AO16" s="1">
        <f>IF($A17="",0,U17)</f>
      </c>
      <c r="AP16" s="1">
        <f>IF($A17="",0,V17)</f>
      </c>
      <c r="AQ16" s="1">
        <f>IF($A17="",0,AE17)</f>
      </c>
      <c r="AR16" s="1">
        <f>AE15</f>
      </c>
      <c r="AS16" s="1">
        <f>X15</f>
      </c>
      <c r="AT16" s="1">
        <f>U15</f>
      </c>
      <c r="AU16" s="1">
        <f>V15</f>
      </c>
    </row>
    <row r="17" spans="1:47" x14ac:dyDescent="0.25">
      <c r="A17" s="17">
        <f>IF(MONTH(DATE(Jahr,12,13))=12,DATE(Jahr,12,13),"")</f>
      </c>
      <c r="B17" s="13">
        <f>IF(A17="","",CHOOSE(WEEKDAY(A17,2),"Mo","Di","Mi","Do","Fr","Sa","So"))</f>
      </c>
      <c r="C17" s="18"/>
      <c r="D17" s="18"/>
      <c r="E17" s="7"/>
      <c r="F17" s="7"/>
      <c r="G17" s="7"/>
      <c r="H17" s="19"/>
      <c r="I17" s="19"/>
      <c r="J17" s="19"/>
      <c r="K17" s="9"/>
      <c r="L17" s="20">
        <f>IF(OR(AD17=0,AF17&lt;&gt;"",AND(W17=1,V17&gt;0,OR(T17=1,U17=1))),"",AE17/1440)</f>
      </c>
      <c r="M17" s="21">
        <f>IF(OR(AD17=0,AF17&lt;&gt;""),"",AJ17)</f>
      </c>
      <c r="N17" s="21">
        <f>IF(AK17=0,"",AK17)</f>
      </c>
      <c r="O17" s="21">
        <f>IF(OR(AD17=0,AF17&lt;&gt;""),"",AJ17-AK17)</f>
      </c>
      <c r="P17" s="21">
        <f>IF(AND(AD17=1,AF17="",V17=2),AI17,"")</f>
      </c>
      <c r="Q17" s="21">
        <f>IF(OR($A17="",N(K17)=0),"",ROUND(K17*KmSatz,2))</f>
      </c>
      <c r="R17" s="22">
        <f>IF(AF17&amp;AL17="","",LEFT(AF17&amp;AL17,LEN(AF17&amp;AL17)-2))</f>
      </c>
      <c r="S17" s="1"/>
      <c r="T17" s="1">
        <f>IF(AND($A17&lt;&gt;"",ISNUMBER(C17)),1,0)</f>
      </c>
      <c r="U17" s="1">
        <f>IF(AND($A17&lt;&gt;"",ISNUMBER(D17)),1,0)</f>
      </c>
      <c r="V17" s="1">
        <f>IF($A17="",0,IF(E17="ja",1,IF(E17="Pauschale",2,0)))</f>
      </c>
      <c r="W17" s="1">
        <f>IF($A17="",0,IF(AU17&gt;0,1,0))</f>
      </c>
      <c r="X17" s="1">
        <f>IF(AND(T17=1,W17=0),1,0)</f>
      </c>
      <c r="Y17" s="1">
        <f>IF(AND(AS17=1,AT17=0,AU17=0),1,0)</f>
      </c>
      <c r="Z17" s="1">
        <f>IF(AND(Y17=1,T17=0,U17=1,V17=0),1,0)</f>
      </c>
      <c r="AA17" s="1">
        <f>IF(AND(X17=1,U17=0,V17=0,AN17=0,AO17=1,AP17=0),1,0)</f>
      </c>
      <c r="AB17" s="1">
        <f>IF(OR(W17=1,Z17=1),0,IF(T17=1,C17,0))</f>
      </c>
      <c r="AC17" s="1">
        <f>IF(OR(V17&gt;0,AA17=1),1,IF(U17=1,D17,1))</f>
      </c>
      <c r="AD17" s="1">
        <f>IF($A17="",0,IF(OR(T17=1,U17=1,V17&gt;0,W17=1),1,0))</f>
      </c>
      <c r="AE17" s="1">
        <f>IF(AD17=0,0,ROUND((AC17-AB17)*1440,0))</f>
      </c>
      <c r="AF17" s="1">
        <f>IF(AD17=0,"",IF(AND(F17&lt;&gt;"",ISNA(MATCH(F17,PauschLand,0))),"Land nicht in der Liste; ","")&amp;IF(AND(T17=0,W17=0,Z17=0),"Beginn fehlt; ","")&amp;IF(AND(V17=0,U17=0,AA17=0),"Ende fehlt; ","")&amp;IF(AND(X17=1,U17=1,V17=0,N(D17)&lt;N(C17)),"Ende vor Beginn (über Mitternacht: Ende in die Zeile des Folgetags); ",""))</f>
      </c>
      <c r="AG17" s="1">
        <f>IF(AD17=0,0,IFERROR(VLOOKUP(IF(F17="","Deutschland",F17),PauschTab,2,FALSE),0))</f>
      </c>
      <c r="AH17" s="1">
        <f>IF(AD17=0,0,IFERROR(VLOOKUP(IF(F17="","Deutschland",F17),PauschTab,3,FALSE),0))</f>
      </c>
      <c r="AI17" s="1">
        <f>IF(AD17=0,0,IFERROR(VLOOKUP(IF(F17="","Deutschland",F17),PauschTab,4,FALSE),0))</f>
      </c>
      <c r="AJ17" s="1">
        <f>IF(OR(AD17=0,AF17&lt;&gt;""),0,IF(AND(W17=1,V17&gt;0),IF(OR(T17=1,U17=1),AH17,AG17),IF(OR(W17=1,V17&gt;0),AH17,IF(AA17=1,IF(AND(AE17+AQ17&gt;480,AE17&gt;=AQ17),AH17,0),IF(Z17=1,IF(AND(AR17+AE17&gt;480,AE17&gt;AR17),AH17,0),IF(AE17&gt;480,AH17,0))))))</f>
      </c>
      <c r="AK17" s="1">
        <f>MIN(AJ17,AM17)</f>
      </c>
      <c r="AL17" s="1">
        <f>IF(OR(AD17=0,AF17&lt;&gt;""),"",IF(AND(W17=0,V17=0,AA17=0,Z17=0,AE17&lt;=480),"nicht mehr als 8 Std.; ","")&amp;IF(AA17=1,IF(AJ17&gt;0,"über Mitternacht, zusammen "&amp;TEXT((AE17+AQ17)/1440,"[h]:mm")&amp;" Std.; ",IF(AE17+AQ17&gt;480,"über Mitternacht: Pauschale am Folgetag; ","über Mitternacht, zusammen nicht mehr als 8 Std.; ")),"")&amp;IF(Z17=1,IF(AJ17&gt;0,"über Mitternacht, zusammen "&amp;TEXT((AR17+AE17)/1440,"[h]:mm")&amp;" Std.; ",IF(AR17+AE17&gt;480,"über Mitternacht: Pauschale am Vortag; ","über Mitternacht, zusammen nicht mehr als 8 Std.; ")),"")&amp;IF(AND(W17=1,V17&gt;0,OR(T17=1,U17=1)),"zwischendurch zu Hause: An- und Abreisetag; ","")&amp;IF(AND(W17=1,V17=0,T17=1),"Beginn leer lassen: unterwegs seit dem Vortag; ","")&amp;IF(AND(W17=0,V17&gt;0,U17=1),"Ende leer lassen: Übernachtung; ","")&amp;IF(AND(AJ17&gt;0,AM17&gt;AJ17),"Kürzung auf die Pauschale begrenzt; ",""))</f>
      </c>
      <c r="AM17" s="1">
        <f>ROUND(AG17*(IF(H17&lt;&gt;"",0.2,0)+IF(I17&lt;&gt;"",0.4,0)+IF(J17&lt;&gt;"",0.4,0)),2)</f>
      </c>
      <c r="AN17" s="1">
        <f>IF($A18="",0,T18)</f>
      </c>
      <c r="AO17" s="1">
        <f>IF($A18="",0,U18)</f>
      </c>
      <c r="AP17" s="1">
        <f>IF($A18="",0,V18)</f>
      </c>
      <c r="AQ17" s="1">
        <f>IF($A18="",0,AE18)</f>
      </c>
      <c r="AR17" s="1">
        <f>AE16</f>
      </c>
      <c r="AS17" s="1">
        <f>X16</f>
      </c>
      <c r="AT17" s="1">
        <f>U16</f>
      </c>
      <c r="AU17" s="1">
        <f>V16</f>
      </c>
    </row>
    <row r="18" spans="1:47" x14ac:dyDescent="0.25">
      <c r="A18" s="17">
        <f>IF(MONTH(DATE(Jahr,12,14))=12,DATE(Jahr,12,14),"")</f>
      </c>
      <c r="B18" s="13">
        <f>IF(A18="","",CHOOSE(WEEKDAY(A18,2),"Mo","Di","Mi","Do","Fr","Sa","So"))</f>
      </c>
      <c r="C18" s="18"/>
      <c r="D18" s="18"/>
      <c r="E18" s="7"/>
      <c r="F18" s="7"/>
      <c r="G18" s="7"/>
      <c r="H18" s="19"/>
      <c r="I18" s="19"/>
      <c r="J18" s="19"/>
      <c r="K18" s="9"/>
      <c r="L18" s="20">
        <f>IF(OR(AD18=0,AF18&lt;&gt;"",AND(W18=1,V18&gt;0,OR(T18=1,U18=1))),"",AE18/1440)</f>
      </c>
      <c r="M18" s="21">
        <f>IF(OR(AD18=0,AF18&lt;&gt;""),"",AJ18)</f>
      </c>
      <c r="N18" s="21">
        <f>IF(AK18=0,"",AK18)</f>
      </c>
      <c r="O18" s="21">
        <f>IF(OR(AD18=0,AF18&lt;&gt;""),"",AJ18-AK18)</f>
      </c>
      <c r="P18" s="21">
        <f>IF(AND(AD18=1,AF18="",V18=2),AI18,"")</f>
      </c>
      <c r="Q18" s="21">
        <f>IF(OR($A18="",N(K18)=0),"",ROUND(K18*KmSatz,2))</f>
      </c>
      <c r="R18" s="22">
        <f>IF(AF18&amp;AL18="","",LEFT(AF18&amp;AL18,LEN(AF18&amp;AL18)-2))</f>
      </c>
      <c r="S18" s="1"/>
      <c r="T18" s="1">
        <f>IF(AND($A18&lt;&gt;"",ISNUMBER(C18)),1,0)</f>
      </c>
      <c r="U18" s="1">
        <f>IF(AND($A18&lt;&gt;"",ISNUMBER(D18)),1,0)</f>
      </c>
      <c r="V18" s="1">
        <f>IF($A18="",0,IF(E18="ja",1,IF(E18="Pauschale",2,0)))</f>
      </c>
      <c r="W18" s="1">
        <f>IF($A18="",0,IF(AU18&gt;0,1,0))</f>
      </c>
      <c r="X18" s="1">
        <f>IF(AND(T18=1,W18=0),1,0)</f>
      </c>
      <c r="Y18" s="1">
        <f>IF(AND(AS18=1,AT18=0,AU18=0),1,0)</f>
      </c>
      <c r="Z18" s="1">
        <f>IF(AND(Y18=1,T18=0,U18=1,V18=0),1,0)</f>
      </c>
      <c r="AA18" s="1">
        <f>IF(AND(X18=1,U18=0,V18=0,AN18=0,AO18=1,AP18=0),1,0)</f>
      </c>
      <c r="AB18" s="1">
        <f>IF(OR(W18=1,Z18=1),0,IF(T18=1,C18,0))</f>
      </c>
      <c r="AC18" s="1">
        <f>IF(OR(V18&gt;0,AA18=1),1,IF(U18=1,D18,1))</f>
      </c>
      <c r="AD18" s="1">
        <f>IF($A18="",0,IF(OR(T18=1,U18=1,V18&gt;0,W18=1),1,0))</f>
      </c>
      <c r="AE18" s="1">
        <f>IF(AD18=0,0,ROUND((AC18-AB18)*1440,0))</f>
      </c>
      <c r="AF18" s="1">
        <f>IF(AD18=0,"",IF(AND(F18&lt;&gt;"",ISNA(MATCH(F18,PauschLand,0))),"Land nicht in der Liste; ","")&amp;IF(AND(T18=0,W18=0,Z18=0),"Beginn fehlt; ","")&amp;IF(AND(V18=0,U18=0,AA18=0),"Ende fehlt; ","")&amp;IF(AND(X18=1,U18=1,V18=0,N(D18)&lt;N(C18)),"Ende vor Beginn (über Mitternacht: Ende in die Zeile des Folgetags); ",""))</f>
      </c>
      <c r="AG18" s="1">
        <f>IF(AD18=0,0,IFERROR(VLOOKUP(IF(F18="","Deutschland",F18),PauschTab,2,FALSE),0))</f>
      </c>
      <c r="AH18" s="1">
        <f>IF(AD18=0,0,IFERROR(VLOOKUP(IF(F18="","Deutschland",F18),PauschTab,3,FALSE),0))</f>
      </c>
      <c r="AI18" s="1">
        <f>IF(AD18=0,0,IFERROR(VLOOKUP(IF(F18="","Deutschland",F18),PauschTab,4,FALSE),0))</f>
      </c>
      <c r="AJ18" s="1">
        <f>IF(OR(AD18=0,AF18&lt;&gt;""),0,IF(AND(W18=1,V18&gt;0),IF(OR(T18=1,U18=1),AH18,AG18),IF(OR(W18=1,V18&gt;0),AH18,IF(AA18=1,IF(AND(AE18+AQ18&gt;480,AE18&gt;=AQ18),AH18,0),IF(Z18=1,IF(AND(AR18+AE18&gt;480,AE18&gt;AR18),AH18,0),IF(AE18&gt;480,AH18,0))))))</f>
      </c>
      <c r="AK18" s="1">
        <f>MIN(AJ18,AM18)</f>
      </c>
      <c r="AL18" s="1">
        <f>IF(OR(AD18=0,AF18&lt;&gt;""),"",IF(AND(W18=0,V18=0,AA18=0,Z18=0,AE18&lt;=480),"nicht mehr als 8 Std.; ","")&amp;IF(AA18=1,IF(AJ18&gt;0,"über Mitternacht, zusammen "&amp;TEXT((AE18+AQ18)/1440,"[h]:mm")&amp;" Std.; ",IF(AE18+AQ18&gt;480,"über Mitternacht: Pauschale am Folgetag; ","über Mitternacht, zusammen nicht mehr als 8 Std.; ")),"")&amp;IF(Z18=1,IF(AJ18&gt;0,"über Mitternacht, zusammen "&amp;TEXT((AR18+AE18)/1440,"[h]:mm")&amp;" Std.; ",IF(AR18+AE18&gt;480,"über Mitternacht: Pauschale am Vortag; ","über Mitternacht, zusammen nicht mehr als 8 Std.; ")),"")&amp;IF(AND(W18=1,V18&gt;0,OR(T18=1,U18=1)),"zwischendurch zu Hause: An- und Abreisetag; ","")&amp;IF(AND(W18=1,V18=0,T18=1),"Beginn leer lassen: unterwegs seit dem Vortag; ","")&amp;IF(AND(W18=0,V18&gt;0,U18=1),"Ende leer lassen: Übernachtung; ","")&amp;IF(AND(AJ18&gt;0,AM18&gt;AJ18),"Kürzung auf die Pauschale begrenzt; ",""))</f>
      </c>
      <c r="AM18" s="1">
        <f>ROUND(AG18*(IF(H18&lt;&gt;"",0.2,0)+IF(I18&lt;&gt;"",0.4,0)+IF(J18&lt;&gt;"",0.4,0)),2)</f>
      </c>
      <c r="AN18" s="1">
        <f>IF($A19="",0,T19)</f>
      </c>
      <c r="AO18" s="1">
        <f>IF($A19="",0,U19)</f>
      </c>
      <c r="AP18" s="1">
        <f>IF($A19="",0,V19)</f>
      </c>
      <c r="AQ18" s="1">
        <f>IF($A19="",0,AE19)</f>
      </c>
      <c r="AR18" s="1">
        <f>AE17</f>
      </c>
      <c r="AS18" s="1">
        <f>X17</f>
      </c>
      <c r="AT18" s="1">
        <f>U17</f>
      </c>
      <c r="AU18" s="1">
        <f>V17</f>
      </c>
    </row>
    <row r="19" spans="1:47" x14ac:dyDescent="0.25">
      <c r="A19" s="17">
        <f>IF(MONTH(DATE(Jahr,12,15))=12,DATE(Jahr,12,15),"")</f>
      </c>
      <c r="B19" s="13">
        <f>IF(A19="","",CHOOSE(WEEKDAY(A19,2),"Mo","Di","Mi","Do","Fr","Sa","So"))</f>
      </c>
      <c r="C19" s="18"/>
      <c r="D19" s="18"/>
      <c r="E19" s="7"/>
      <c r="F19" s="7"/>
      <c r="G19" s="7"/>
      <c r="H19" s="19"/>
      <c r="I19" s="19"/>
      <c r="J19" s="19"/>
      <c r="K19" s="9"/>
      <c r="L19" s="20">
        <f>IF(OR(AD19=0,AF19&lt;&gt;"",AND(W19=1,V19&gt;0,OR(T19=1,U19=1))),"",AE19/1440)</f>
      </c>
      <c r="M19" s="21">
        <f>IF(OR(AD19=0,AF19&lt;&gt;""),"",AJ19)</f>
      </c>
      <c r="N19" s="21">
        <f>IF(AK19=0,"",AK19)</f>
      </c>
      <c r="O19" s="21">
        <f>IF(OR(AD19=0,AF19&lt;&gt;""),"",AJ19-AK19)</f>
      </c>
      <c r="P19" s="21">
        <f>IF(AND(AD19=1,AF19="",V19=2),AI19,"")</f>
      </c>
      <c r="Q19" s="21">
        <f>IF(OR($A19="",N(K19)=0),"",ROUND(K19*KmSatz,2))</f>
      </c>
      <c r="R19" s="22">
        <f>IF(AF19&amp;AL19="","",LEFT(AF19&amp;AL19,LEN(AF19&amp;AL19)-2))</f>
      </c>
      <c r="S19" s="1"/>
      <c r="T19" s="1">
        <f>IF(AND($A19&lt;&gt;"",ISNUMBER(C19)),1,0)</f>
      </c>
      <c r="U19" s="1">
        <f>IF(AND($A19&lt;&gt;"",ISNUMBER(D19)),1,0)</f>
      </c>
      <c r="V19" s="1">
        <f>IF($A19="",0,IF(E19="ja",1,IF(E19="Pauschale",2,0)))</f>
      </c>
      <c r="W19" s="1">
        <f>IF($A19="",0,IF(AU19&gt;0,1,0))</f>
      </c>
      <c r="X19" s="1">
        <f>IF(AND(T19=1,W19=0),1,0)</f>
      </c>
      <c r="Y19" s="1">
        <f>IF(AND(AS19=1,AT19=0,AU19=0),1,0)</f>
      </c>
      <c r="Z19" s="1">
        <f>IF(AND(Y19=1,T19=0,U19=1,V19=0),1,0)</f>
      </c>
      <c r="AA19" s="1">
        <f>IF(AND(X19=1,U19=0,V19=0,AN19=0,AO19=1,AP19=0),1,0)</f>
      </c>
      <c r="AB19" s="1">
        <f>IF(OR(W19=1,Z19=1),0,IF(T19=1,C19,0))</f>
      </c>
      <c r="AC19" s="1">
        <f>IF(OR(V19&gt;0,AA19=1),1,IF(U19=1,D19,1))</f>
      </c>
      <c r="AD19" s="1">
        <f>IF($A19="",0,IF(OR(T19=1,U19=1,V19&gt;0,W19=1),1,0))</f>
      </c>
      <c r="AE19" s="1">
        <f>IF(AD19=0,0,ROUND((AC19-AB19)*1440,0))</f>
      </c>
      <c r="AF19" s="1">
        <f>IF(AD19=0,"",IF(AND(F19&lt;&gt;"",ISNA(MATCH(F19,PauschLand,0))),"Land nicht in der Liste; ","")&amp;IF(AND(T19=0,W19=0,Z19=0),"Beginn fehlt; ","")&amp;IF(AND(V19=0,U19=0,AA19=0),"Ende fehlt; ","")&amp;IF(AND(X19=1,U19=1,V19=0,N(D19)&lt;N(C19)),"Ende vor Beginn (über Mitternacht: Ende in die Zeile des Folgetags); ",""))</f>
      </c>
      <c r="AG19" s="1">
        <f>IF(AD19=0,0,IFERROR(VLOOKUP(IF(F19="","Deutschland",F19),PauschTab,2,FALSE),0))</f>
      </c>
      <c r="AH19" s="1">
        <f>IF(AD19=0,0,IFERROR(VLOOKUP(IF(F19="","Deutschland",F19),PauschTab,3,FALSE),0))</f>
      </c>
      <c r="AI19" s="1">
        <f>IF(AD19=0,0,IFERROR(VLOOKUP(IF(F19="","Deutschland",F19),PauschTab,4,FALSE),0))</f>
      </c>
      <c r="AJ19" s="1">
        <f>IF(OR(AD19=0,AF19&lt;&gt;""),0,IF(AND(W19=1,V19&gt;0),IF(OR(T19=1,U19=1),AH19,AG19),IF(OR(W19=1,V19&gt;0),AH19,IF(AA19=1,IF(AND(AE19+AQ19&gt;480,AE19&gt;=AQ19),AH19,0),IF(Z19=1,IF(AND(AR19+AE19&gt;480,AE19&gt;AR19),AH19,0),IF(AE19&gt;480,AH19,0))))))</f>
      </c>
      <c r="AK19" s="1">
        <f>MIN(AJ19,AM19)</f>
      </c>
      <c r="AL19" s="1">
        <f>IF(OR(AD19=0,AF19&lt;&gt;""),"",IF(AND(W19=0,V19=0,AA19=0,Z19=0,AE19&lt;=480),"nicht mehr als 8 Std.; ","")&amp;IF(AA19=1,IF(AJ19&gt;0,"über Mitternacht, zusammen "&amp;TEXT((AE19+AQ19)/1440,"[h]:mm")&amp;" Std.; ",IF(AE19+AQ19&gt;480,"über Mitternacht: Pauschale am Folgetag; ","über Mitternacht, zusammen nicht mehr als 8 Std.; ")),"")&amp;IF(Z19=1,IF(AJ19&gt;0,"über Mitternacht, zusammen "&amp;TEXT((AR19+AE19)/1440,"[h]:mm")&amp;" Std.; ",IF(AR19+AE19&gt;480,"über Mitternacht: Pauschale am Vortag; ","über Mitternacht, zusammen nicht mehr als 8 Std.; ")),"")&amp;IF(AND(W19=1,V19&gt;0,OR(T19=1,U19=1)),"zwischendurch zu Hause: An- und Abreisetag; ","")&amp;IF(AND(W19=1,V19=0,T19=1),"Beginn leer lassen: unterwegs seit dem Vortag; ","")&amp;IF(AND(W19=0,V19&gt;0,U19=1),"Ende leer lassen: Übernachtung; ","")&amp;IF(AND(AJ19&gt;0,AM19&gt;AJ19),"Kürzung auf die Pauschale begrenzt; ",""))</f>
      </c>
      <c r="AM19" s="1">
        <f>ROUND(AG19*(IF(H19&lt;&gt;"",0.2,0)+IF(I19&lt;&gt;"",0.4,0)+IF(J19&lt;&gt;"",0.4,0)),2)</f>
      </c>
      <c r="AN19" s="1">
        <f>IF($A20="",0,T20)</f>
      </c>
      <c r="AO19" s="1">
        <f>IF($A20="",0,U20)</f>
      </c>
      <c r="AP19" s="1">
        <f>IF($A20="",0,V20)</f>
      </c>
      <c r="AQ19" s="1">
        <f>IF($A20="",0,AE20)</f>
      </c>
      <c r="AR19" s="1">
        <f>AE18</f>
      </c>
      <c r="AS19" s="1">
        <f>X18</f>
      </c>
      <c r="AT19" s="1">
        <f>U18</f>
      </c>
      <c r="AU19" s="1">
        <f>V18</f>
      </c>
    </row>
    <row r="20" spans="1:47" x14ac:dyDescent="0.25">
      <c r="A20" s="17">
        <f>IF(MONTH(DATE(Jahr,12,16))=12,DATE(Jahr,12,16),"")</f>
      </c>
      <c r="B20" s="13">
        <f>IF(A20="","",CHOOSE(WEEKDAY(A20,2),"Mo","Di","Mi","Do","Fr","Sa","So"))</f>
      </c>
      <c r="C20" s="18"/>
      <c r="D20" s="18"/>
      <c r="E20" s="7"/>
      <c r="F20" s="7"/>
      <c r="G20" s="7"/>
      <c r="H20" s="19"/>
      <c r="I20" s="19"/>
      <c r="J20" s="19"/>
      <c r="K20" s="9"/>
      <c r="L20" s="20">
        <f>IF(OR(AD20=0,AF20&lt;&gt;"",AND(W20=1,V20&gt;0,OR(T20=1,U20=1))),"",AE20/1440)</f>
      </c>
      <c r="M20" s="21">
        <f>IF(OR(AD20=0,AF20&lt;&gt;""),"",AJ20)</f>
      </c>
      <c r="N20" s="21">
        <f>IF(AK20=0,"",AK20)</f>
      </c>
      <c r="O20" s="21">
        <f>IF(OR(AD20=0,AF20&lt;&gt;""),"",AJ20-AK20)</f>
      </c>
      <c r="P20" s="21">
        <f>IF(AND(AD20=1,AF20="",V20=2),AI20,"")</f>
      </c>
      <c r="Q20" s="21">
        <f>IF(OR($A20="",N(K20)=0),"",ROUND(K20*KmSatz,2))</f>
      </c>
      <c r="R20" s="22">
        <f>IF(AF20&amp;AL20="","",LEFT(AF20&amp;AL20,LEN(AF20&amp;AL20)-2))</f>
      </c>
      <c r="S20" s="1"/>
      <c r="T20" s="1">
        <f>IF(AND($A20&lt;&gt;"",ISNUMBER(C20)),1,0)</f>
      </c>
      <c r="U20" s="1">
        <f>IF(AND($A20&lt;&gt;"",ISNUMBER(D20)),1,0)</f>
      </c>
      <c r="V20" s="1">
        <f>IF($A20="",0,IF(E20="ja",1,IF(E20="Pauschale",2,0)))</f>
      </c>
      <c r="W20" s="1">
        <f>IF($A20="",0,IF(AU20&gt;0,1,0))</f>
      </c>
      <c r="X20" s="1">
        <f>IF(AND(T20=1,W20=0),1,0)</f>
      </c>
      <c r="Y20" s="1">
        <f>IF(AND(AS20=1,AT20=0,AU20=0),1,0)</f>
      </c>
      <c r="Z20" s="1">
        <f>IF(AND(Y20=1,T20=0,U20=1,V20=0),1,0)</f>
      </c>
      <c r="AA20" s="1">
        <f>IF(AND(X20=1,U20=0,V20=0,AN20=0,AO20=1,AP20=0),1,0)</f>
      </c>
      <c r="AB20" s="1">
        <f>IF(OR(W20=1,Z20=1),0,IF(T20=1,C20,0))</f>
      </c>
      <c r="AC20" s="1">
        <f>IF(OR(V20&gt;0,AA20=1),1,IF(U20=1,D20,1))</f>
      </c>
      <c r="AD20" s="1">
        <f>IF($A20="",0,IF(OR(T20=1,U20=1,V20&gt;0,W20=1),1,0))</f>
      </c>
      <c r="AE20" s="1">
        <f>IF(AD20=0,0,ROUND((AC20-AB20)*1440,0))</f>
      </c>
      <c r="AF20" s="1">
        <f>IF(AD20=0,"",IF(AND(F20&lt;&gt;"",ISNA(MATCH(F20,PauschLand,0))),"Land nicht in der Liste; ","")&amp;IF(AND(T20=0,W20=0,Z20=0),"Beginn fehlt; ","")&amp;IF(AND(V20=0,U20=0,AA20=0),"Ende fehlt; ","")&amp;IF(AND(X20=1,U20=1,V20=0,N(D20)&lt;N(C20)),"Ende vor Beginn (über Mitternacht: Ende in die Zeile des Folgetags); ",""))</f>
      </c>
      <c r="AG20" s="1">
        <f>IF(AD20=0,0,IFERROR(VLOOKUP(IF(F20="","Deutschland",F20),PauschTab,2,FALSE),0))</f>
      </c>
      <c r="AH20" s="1">
        <f>IF(AD20=0,0,IFERROR(VLOOKUP(IF(F20="","Deutschland",F20),PauschTab,3,FALSE),0))</f>
      </c>
      <c r="AI20" s="1">
        <f>IF(AD20=0,0,IFERROR(VLOOKUP(IF(F20="","Deutschland",F20),PauschTab,4,FALSE),0))</f>
      </c>
      <c r="AJ20" s="1">
        <f>IF(OR(AD20=0,AF20&lt;&gt;""),0,IF(AND(W20=1,V20&gt;0),IF(OR(T20=1,U20=1),AH20,AG20),IF(OR(W20=1,V20&gt;0),AH20,IF(AA20=1,IF(AND(AE20+AQ20&gt;480,AE20&gt;=AQ20),AH20,0),IF(Z20=1,IF(AND(AR20+AE20&gt;480,AE20&gt;AR20),AH20,0),IF(AE20&gt;480,AH20,0))))))</f>
      </c>
      <c r="AK20" s="1">
        <f>MIN(AJ20,AM20)</f>
      </c>
      <c r="AL20" s="1">
        <f>IF(OR(AD20=0,AF20&lt;&gt;""),"",IF(AND(W20=0,V20=0,AA20=0,Z20=0,AE20&lt;=480),"nicht mehr als 8 Std.; ","")&amp;IF(AA20=1,IF(AJ20&gt;0,"über Mitternacht, zusammen "&amp;TEXT((AE20+AQ20)/1440,"[h]:mm")&amp;" Std.; ",IF(AE20+AQ20&gt;480,"über Mitternacht: Pauschale am Folgetag; ","über Mitternacht, zusammen nicht mehr als 8 Std.; ")),"")&amp;IF(Z20=1,IF(AJ20&gt;0,"über Mitternacht, zusammen "&amp;TEXT((AR20+AE20)/1440,"[h]:mm")&amp;" Std.; ",IF(AR20+AE20&gt;480,"über Mitternacht: Pauschale am Vortag; ","über Mitternacht, zusammen nicht mehr als 8 Std.; ")),"")&amp;IF(AND(W20=1,V20&gt;0,OR(T20=1,U20=1)),"zwischendurch zu Hause: An- und Abreisetag; ","")&amp;IF(AND(W20=1,V20=0,T20=1),"Beginn leer lassen: unterwegs seit dem Vortag; ","")&amp;IF(AND(W20=0,V20&gt;0,U20=1),"Ende leer lassen: Übernachtung; ","")&amp;IF(AND(AJ20&gt;0,AM20&gt;AJ20),"Kürzung auf die Pauschale begrenzt; ",""))</f>
      </c>
      <c r="AM20" s="1">
        <f>ROUND(AG20*(IF(H20&lt;&gt;"",0.2,0)+IF(I20&lt;&gt;"",0.4,0)+IF(J20&lt;&gt;"",0.4,0)),2)</f>
      </c>
      <c r="AN20" s="1">
        <f>IF($A21="",0,T21)</f>
      </c>
      <c r="AO20" s="1">
        <f>IF($A21="",0,U21)</f>
      </c>
      <c r="AP20" s="1">
        <f>IF($A21="",0,V21)</f>
      </c>
      <c r="AQ20" s="1">
        <f>IF($A21="",0,AE21)</f>
      </c>
      <c r="AR20" s="1">
        <f>AE19</f>
      </c>
      <c r="AS20" s="1">
        <f>X19</f>
      </c>
      <c r="AT20" s="1">
        <f>U19</f>
      </c>
      <c r="AU20" s="1">
        <f>V19</f>
      </c>
    </row>
    <row r="21" spans="1:47" x14ac:dyDescent="0.25">
      <c r="A21" s="17">
        <f>IF(MONTH(DATE(Jahr,12,17))=12,DATE(Jahr,12,17),"")</f>
      </c>
      <c r="B21" s="13">
        <f>IF(A21="","",CHOOSE(WEEKDAY(A21,2),"Mo","Di","Mi","Do","Fr","Sa","So"))</f>
      </c>
      <c r="C21" s="18"/>
      <c r="D21" s="18"/>
      <c r="E21" s="7"/>
      <c r="F21" s="7"/>
      <c r="G21" s="7"/>
      <c r="H21" s="19"/>
      <c r="I21" s="19"/>
      <c r="J21" s="19"/>
      <c r="K21" s="9"/>
      <c r="L21" s="20">
        <f>IF(OR(AD21=0,AF21&lt;&gt;"",AND(W21=1,V21&gt;0,OR(T21=1,U21=1))),"",AE21/1440)</f>
      </c>
      <c r="M21" s="21">
        <f>IF(OR(AD21=0,AF21&lt;&gt;""),"",AJ21)</f>
      </c>
      <c r="N21" s="21">
        <f>IF(AK21=0,"",AK21)</f>
      </c>
      <c r="O21" s="21">
        <f>IF(OR(AD21=0,AF21&lt;&gt;""),"",AJ21-AK21)</f>
      </c>
      <c r="P21" s="21">
        <f>IF(AND(AD21=1,AF21="",V21=2),AI21,"")</f>
      </c>
      <c r="Q21" s="21">
        <f>IF(OR($A21="",N(K21)=0),"",ROUND(K21*KmSatz,2))</f>
      </c>
      <c r="R21" s="22">
        <f>IF(AF21&amp;AL21="","",LEFT(AF21&amp;AL21,LEN(AF21&amp;AL21)-2))</f>
      </c>
      <c r="S21" s="1"/>
      <c r="T21" s="1">
        <f>IF(AND($A21&lt;&gt;"",ISNUMBER(C21)),1,0)</f>
      </c>
      <c r="U21" s="1">
        <f>IF(AND($A21&lt;&gt;"",ISNUMBER(D21)),1,0)</f>
      </c>
      <c r="V21" s="1">
        <f>IF($A21="",0,IF(E21="ja",1,IF(E21="Pauschale",2,0)))</f>
      </c>
      <c r="W21" s="1">
        <f>IF($A21="",0,IF(AU21&gt;0,1,0))</f>
      </c>
      <c r="X21" s="1">
        <f>IF(AND(T21=1,W21=0),1,0)</f>
      </c>
      <c r="Y21" s="1">
        <f>IF(AND(AS21=1,AT21=0,AU21=0),1,0)</f>
      </c>
      <c r="Z21" s="1">
        <f>IF(AND(Y21=1,T21=0,U21=1,V21=0),1,0)</f>
      </c>
      <c r="AA21" s="1">
        <f>IF(AND(X21=1,U21=0,V21=0,AN21=0,AO21=1,AP21=0),1,0)</f>
      </c>
      <c r="AB21" s="1">
        <f>IF(OR(W21=1,Z21=1),0,IF(T21=1,C21,0))</f>
      </c>
      <c r="AC21" s="1">
        <f>IF(OR(V21&gt;0,AA21=1),1,IF(U21=1,D21,1))</f>
      </c>
      <c r="AD21" s="1">
        <f>IF($A21="",0,IF(OR(T21=1,U21=1,V21&gt;0,W21=1),1,0))</f>
      </c>
      <c r="AE21" s="1">
        <f>IF(AD21=0,0,ROUND((AC21-AB21)*1440,0))</f>
      </c>
      <c r="AF21" s="1">
        <f>IF(AD21=0,"",IF(AND(F21&lt;&gt;"",ISNA(MATCH(F21,PauschLand,0))),"Land nicht in der Liste; ","")&amp;IF(AND(T21=0,W21=0,Z21=0),"Beginn fehlt; ","")&amp;IF(AND(V21=0,U21=0,AA21=0),"Ende fehlt; ","")&amp;IF(AND(X21=1,U21=1,V21=0,N(D21)&lt;N(C21)),"Ende vor Beginn (über Mitternacht: Ende in die Zeile des Folgetags); ",""))</f>
      </c>
      <c r="AG21" s="1">
        <f>IF(AD21=0,0,IFERROR(VLOOKUP(IF(F21="","Deutschland",F21),PauschTab,2,FALSE),0))</f>
      </c>
      <c r="AH21" s="1">
        <f>IF(AD21=0,0,IFERROR(VLOOKUP(IF(F21="","Deutschland",F21),PauschTab,3,FALSE),0))</f>
      </c>
      <c r="AI21" s="1">
        <f>IF(AD21=0,0,IFERROR(VLOOKUP(IF(F21="","Deutschland",F21),PauschTab,4,FALSE),0))</f>
      </c>
      <c r="AJ21" s="1">
        <f>IF(OR(AD21=0,AF21&lt;&gt;""),0,IF(AND(W21=1,V21&gt;0),IF(OR(T21=1,U21=1),AH21,AG21),IF(OR(W21=1,V21&gt;0),AH21,IF(AA21=1,IF(AND(AE21+AQ21&gt;480,AE21&gt;=AQ21),AH21,0),IF(Z21=1,IF(AND(AR21+AE21&gt;480,AE21&gt;AR21),AH21,0),IF(AE21&gt;480,AH21,0))))))</f>
      </c>
      <c r="AK21" s="1">
        <f>MIN(AJ21,AM21)</f>
      </c>
      <c r="AL21" s="1">
        <f>IF(OR(AD21=0,AF21&lt;&gt;""),"",IF(AND(W21=0,V21=0,AA21=0,Z21=0,AE21&lt;=480),"nicht mehr als 8 Std.; ","")&amp;IF(AA21=1,IF(AJ21&gt;0,"über Mitternacht, zusammen "&amp;TEXT((AE21+AQ21)/1440,"[h]:mm")&amp;" Std.; ",IF(AE21+AQ21&gt;480,"über Mitternacht: Pauschale am Folgetag; ","über Mitternacht, zusammen nicht mehr als 8 Std.; ")),"")&amp;IF(Z21=1,IF(AJ21&gt;0,"über Mitternacht, zusammen "&amp;TEXT((AR21+AE21)/1440,"[h]:mm")&amp;" Std.; ",IF(AR21+AE21&gt;480,"über Mitternacht: Pauschale am Vortag; ","über Mitternacht, zusammen nicht mehr als 8 Std.; ")),"")&amp;IF(AND(W21=1,V21&gt;0,OR(T21=1,U21=1)),"zwischendurch zu Hause: An- und Abreisetag; ","")&amp;IF(AND(W21=1,V21=0,T21=1),"Beginn leer lassen: unterwegs seit dem Vortag; ","")&amp;IF(AND(W21=0,V21&gt;0,U21=1),"Ende leer lassen: Übernachtung; ","")&amp;IF(AND(AJ21&gt;0,AM21&gt;AJ21),"Kürzung auf die Pauschale begrenzt; ",""))</f>
      </c>
      <c r="AM21" s="1">
        <f>ROUND(AG21*(IF(H21&lt;&gt;"",0.2,0)+IF(I21&lt;&gt;"",0.4,0)+IF(J21&lt;&gt;"",0.4,0)),2)</f>
      </c>
      <c r="AN21" s="1">
        <f>IF($A22="",0,T22)</f>
      </c>
      <c r="AO21" s="1">
        <f>IF($A22="",0,U22)</f>
      </c>
      <c r="AP21" s="1">
        <f>IF($A22="",0,V22)</f>
      </c>
      <c r="AQ21" s="1">
        <f>IF($A22="",0,AE22)</f>
      </c>
      <c r="AR21" s="1">
        <f>AE20</f>
      </c>
      <c r="AS21" s="1">
        <f>X20</f>
      </c>
      <c r="AT21" s="1">
        <f>U20</f>
      </c>
      <c r="AU21" s="1">
        <f>V20</f>
      </c>
    </row>
    <row r="22" spans="1:47" x14ac:dyDescent="0.25">
      <c r="A22" s="17">
        <f>IF(MONTH(DATE(Jahr,12,18))=12,DATE(Jahr,12,18),"")</f>
      </c>
      <c r="B22" s="13">
        <f>IF(A22="","",CHOOSE(WEEKDAY(A22,2),"Mo","Di","Mi","Do","Fr","Sa","So"))</f>
      </c>
      <c r="C22" s="18"/>
      <c r="D22" s="18"/>
      <c r="E22" s="7"/>
      <c r="F22" s="7"/>
      <c r="G22" s="7"/>
      <c r="H22" s="19"/>
      <c r="I22" s="19"/>
      <c r="J22" s="19"/>
      <c r="K22" s="9"/>
      <c r="L22" s="20">
        <f>IF(OR(AD22=0,AF22&lt;&gt;"",AND(W22=1,V22&gt;0,OR(T22=1,U22=1))),"",AE22/1440)</f>
      </c>
      <c r="M22" s="21">
        <f>IF(OR(AD22=0,AF22&lt;&gt;""),"",AJ22)</f>
      </c>
      <c r="N22" s="21">
        <f>IF(AK22=0,"",AK22)</f>
      </c>
      <c r="O22" s="21">
        <f>IF(OR(AD22=0,AF22&lt;&gt;""),"",AJ22-AK22)</f>
      </c>
      <c r="P22" s="21">
        <f>IF(AND(AD22=1,AF22="",V22=2),AI22,"")</f>
      </c>
      <c r="Q22" s="21">
        <f>IF(OR($A22="",N(K22)=0),"",ROUND(K22*KmSatz,2))</f>
      </c>
      <c r="R22" s="22">
        <f>IF(AF22&amp;AL22="","",LEFT(AF22&amp;AL22,LEN(AF22&amp;AL22)-2))</f>
      </c>
      <c r="S22" s="1"/>
      <c r="T22" s="1">
        <f>IF(AND($A22&lt;&gt;"",ISNUMBER(C22)),1,0)</f>
      </c>
      <c r="U22" s="1">
        <f>IF(AND($A22&lt;&gt;"",ISNUMBER(D22)),1,0)</f>
      </c>
      <c r="V22" s="1">
        <f>IF($A22="",0,IF(E22="ja",1,IF(E22="Pauschale",2,0)))</f>
      </c>
      <c r="W22" s="1">
        <f>IF($A22="",0,IF(AU22&gt;0,1,0))</f>
      </c>
      <c r="X22" s="1">
        <f>IF(AND(T22=1,W22=0),1,0)</f>
      </c>
      <c r="Y22" s="1">
        <f>IF(AND(AS22=1,AT22=0,AU22=0),1,0)</f>
      </c>
      <c r="Z22" s="1">
        <f>IF(AND(Y22=1,T22=0,U22=1,V22=0),1,0)</f>
      </c>
      <c r="AA22" s="1">
        <f>IF(AND(X22=1,U22=0,V22=0,AN22=0,AO22=1,AP22=0),1,0)</f>
      </c>
      <c r="AB22" s="1">
        <f>IF(OR(W22=1,Z22=1),0,IF(T22=1,C22,0))</f>
      </c>
      <c r="AC22" s="1">
        <f>IF(OR(V22&gt;0,AA22=1),1,IF(U22=1,D22,1))</f>
      </c>
      <c r="AD22" s="1">
        <f>IF($A22="",0,IF(OR(T22=1,U22=1,V22&gt;0,W22=1),1,0))</f>
      </c>
      <c r="AE22" s="1">
        <f>IF(AD22=0,0,ROUND((AC22-AB22)*1440,0))</f>
      </c>
      <c r="AF22" s="1">
        <f>IF(AD22=0,"",IF(AND(F22&lt;&gt;"",ISNA(MATCH(F22,PauschLand,0))),"Land nicht in der Liste; ","")&amp;IF(AND(T22=0,W22=0,Z22=0),"Beginn fehlt; ","")&amp;IF(AND(V22=0,U22=0,AA22=0),"Ende fehlt; ","")&amp;IF(AND(X22=1,U22=1,V22=0,N(D22)&lt;N(C22)),"Ende vor Beginn (über Mitternacht: Ende in die Zeile des Folgetags); ",""))</f>
      </c>
      <c r="AG22" s="1">
        <f>IF(AD22=0,0,IFERROR(VLOOKUP(IF(F22="","Deutschland",F22),PauschTab,2,FALSE),0))</f>
      </c>
      <c r="AH22" s="1">
        <f>IF(AD22=0,0,IFERROR(VLOOKUP(IF(F22="","Deutschland",F22),PauschTab,3,FALSE),0))</f>
      </c>
      <c r="AI22" s="1">
        <f>IF(AD22=0,0,IFERROR(VLOOKUP(IF(F22="","Deutschland",F22),PauschTab,4,FALSE),0))</f>
      </c>
      <c r="AJ22" s="1">
        <f>IF(OR(AD22=0,AF22&lt;&gt;""),0,IF(AND(W22=1,V22&gt;0),IF(OR(T22=1,U22=1),AH22,AG22),IF(OR(W22=1,V22&gt;0),AH22,IF(AA22=1,IF(AND(AE22+AQ22&gt;480,AE22&gt;=AQ22),AH22,0),IF(Z22=1,IF(AND(AR22+AE22&gt;480,AE22&gt;AR22),AH22,0),IF(AE22&gt;480,AH22,0))))))</f>
      </c>
      <c r="AK22" s="1">
        <f>MIN(AJ22,AM22)</f>
      </c>
      <c r="AL22" s="1">
        <f>IF(OR(AD22=0,AF22&lt;&gt;""),"",IF(AND(W22=0,V22=0,AA22=0,Z22=0,AE22&lt;=480),"nicht mehr als 8 Std.; ","")&amp;IF(AA22=1,IF(AJ22&gt;0,"über Mitternacht, zusammen "&amp;TEXT((AE22+AQ22)/1440,"[h]:mm")&amp;" Std.; ",IF(AE22+AQ22&gt;480,"über Mitternacht: Pauschale am Folgetag; ","über Mitternacht, zusammen nicht mehr als 8 Std.; ")),"")&amp;IF(Z22=1,IF(AJ22&gt;0,"über Mitternacht, zusammen "&amp;TEXT((AR22+AE22)/1440,"[h]:mm")&amp;" Std.; ",IF(AR22+AE22&gt;480,"über Mitternacht: Pauschale am Vortag; ","über Mitternacht, zusammen nicht mehr als 8 Std.; ")),"")&amp;IF(AND(W22=1,V22&gt;0,OR(T22=1,U22=1)),"zwischendurch zu Hause: An- und Abreisetag; ","")&amp;IF(AND(W22=1,V22=0,T22=1),"Beginn leer lassen: unterwegs seit dem Vortag; ","")&amp;IF(AND(W22=0,V22&gt;0,U22=1),"Ende leer lassen: Übernachtung; ","")&amp;IF(AND(AJ22&gt;0,AM22&gt;AJ22),"Kürzung auf die Pauschale begrenzt; ",""))</f>
      </c>
      <c r="AM22" s="1">
        <f>ROUND(AG22*(IF(H22&lt;&gt;"",0.2,0)+IF(I22&lt;&gt;"",0.4,0)+IF(J22&lt;&gt;"",0.4,0)),2)</f>
      </c>
      <c r="AN22" s="1">
        <f>IF($A23="",0,T23)</f>
      </c>
      <c r="AO22" s="1">
        <f>IF($A23="",0,U23)</f>
      </c>
      <c r="AP22" s="1">
        <f>IF($A23="",0,V23)</f>
      </c>
      <c r="AQ22" s="1">
        <f>IF($A23="",0,AE23)</f>
      </c>
      <c r="AR22" s="1">
        <f>AE21</f>
      </c>
      <c r="AS22" s="1">
        <f>X21</f>
      </c>
      <c r="AT22" s="1">
        <f>U21</f>
      </c>
      <c r="AU22" s="1">
        <f>V21</f>
      </c>
    </row>
    <row r="23" spans="1:47" x14ac:dyDescent="0.25">
      <c r="A23" s="17">
        <f>IF(MONTH(DATE(Jahr,12,19))=12,DATE(Jahr,12,19),"")</f>
      </c>
      <c r="B23" s="13">
        <f>IF(A23="","",CHOOSE(WEEKDAY(A23,2),"Mo","Di","Mi","Do","Fr","Sa","So"))</f>
      </c>
      <c r="C23" s="18"/>
      <c r="D23" s="18"/>
      <c r="E23" s="7"/>
      <c r="F23" s="7"/>
      <c r="G23" s="7"/>
      <c r="H23" s="19"/>
      <c r="I23" s="19"/>
      <c r="J23" s="19"/>
      <c r="K23" s="9"/>
      <c r="L23" s="20">
        <f>IF(OR(AD23=0,AF23&lt;&gt;"",AND(W23=1,V23&gt;0,OR(T23=1,U23=1))),"",AE23/1440)</f>
      </c>
      <c r="M23" s="21">
        <f>IF(OR(AD23=0,AF23&lt;&gt;""),"",AJ23)</f>
      </c>
      <c r="N23" s="21">
        <f>IF(AK23=0,"",AK23)</f>
      </c>
      <c r="O23" s="21">
        <f>IF(OR(AD23=0,AF23&lt;&gt;""),"",AJ23-AK23)</f>
      </c>
      <c r="P23" s="21">
        <f>IF(AND(AD23=1,AF23="",V23=2),AI23,"")</f>
      </c>
      <c r="Q23" s="21">
        <f>IF(OR($A23="",N(K23)=0),"",ROUND(K23*KmSatz,2))</f>
      </c>
      <c r="R23" s="22">
        <f>IF(AF23&amp;AL23="","",LEFT(AF23&amp;AL23,LEN(AF23&amp;AL23)-2))</f>
      </c>
      <c r="S23" s="1"/>
      <c r="T23" s="1">
        <f>IF(AND($A23&lt;&gt;"",ISNUMBER(C23)),1,0)</f>
      </c>
      <c r="U23" s="1">
        <f>IF(AND($A23&lt;&gt;"",ISNUMBER(D23)),1,0)</f>
      </c>
      <c r="V23" s="1">
        <f>IF($A23="",0,IF(E23="ja",1,IF(E23="Pauschale",2,0)))</f>
      </c>
      <c r="W23" s="1">
        <f>IF($A23="",0,IF(AU23&gt;0,1,0))</f>
      </c>
      <c r="X23" s="1">
        <f>IF(AND(T23=1,W23=0),1,0)</f>
      </c>
      <c r="Y23" s="1">
        <f>IF(AND(AS23=1,AT23=0,AU23=0),1,0)</f>
      </c>
      <c r="Z23" s="1">
        <f>IF(AND(Y23=1,T23=0,U23=1,V23=0),1,0)</f>
      </c>
      <c r="AA23" s="1">
        <f>IF(AND(X23=1,U23=0,V23=0,AN23=0,AO23=1,AP23=0),1,0)</f>
      </c>
      <c r="AB23" s="1">
        <f>IF(OR(W23=1,Z23=1),0,IF(T23=1,C23,0))</f>
      </c>
      <c r="AC23" s="1">
        <f>IF(OR(V23&gt;0,AA23=1),1,IF(U23=1,D23,1))</f>
      </c>
      <c r="AD23" s="1">
        <f>IF($A23="",0,IF(OR(T23=1,U23=1,V23&gt;0,W23=1),1,0))</f>
      </c>
      <c r="AE23" s="1">
        <f>IF(AD23=0,0,ROUND((AC23-AB23)*1440,0))</f>
      </c>
      <c r="AF23" s="1">
        <f>IF(AD23=0,"",IF(AND(F23&lt;&gt;"",ISNA(MATCH(F23,PauschLand,0))),"Land nicht in der Liste; ","")&amp;IF(AND(T23=0,W23=0,Z23=0),"Beginn fehlt; ","")&amp;IF(AND(V23=0,U23=0,AA23=0),"Ende fehlt; ","")&amp;IF(AND(X23=1,U23=1,V23=0,N(D23)&lt;N(C23)),"Ende vor Beginn (über Mitternacht: Ende in die Zeile des Folgetags); ",""))</f>
      </c>
      <c r="AG23" s="1">
        <f>IF(AD23=0,0,IFERROR(VLOOKUP(IF(F23="","Deutschland",F23),PauschTab,2,FALSE),0))</f>
      </c>
      <c r="AH23" s="1">
        <f>IF(AD23=0,0,IFERROR(VLOOKUP(IF(F23="","Deutschland",F23),PauschTab,3,FALSE),0))</f>
      </c>
      <c r="AI23" s="1">
        <f>IF(AD23=0,0,IFERROR(VLOOKUP(IF(F23="","Deutschland",F23),PauschTab,4,FALSE),0))</f>
      </c>
      <c r="AJ23" s="1">
        <f>IF(OR(AD23=0,AF23&lt;&gt;""),0,IF(AND(W23=1,V23&gt;0),IF(OR(T23=1,U23=1),AH23,AG23),IF(OR(W23=1,V23&gt;0),AH23,IF(AA23=1,IF(AND(AE23+AQ23&gt;480,AE23&gt;=AQ23),AH23,0),IF(Z23=1,IF(AND(AR23+AE23&gt;480,AE23&gt;AR23),AH23,0),IF(AE23&gt;480,AH23,0))))))</f>
      </c>
      <c r="AK23" s="1">
        <f>MIN(AJ23,AM23)</f>
      </c>
      <c r="AL23" s="1">
        <f>IF(OR(AD23=0,AF23&lt;&gt;""),"",IF(AND(W23=0,V23=0,AA23=0,Z23=0,AE23&lt;=480),"nicht mehr als 8 Std.; ","")&amp;IF(AA23=1,IF(AJ23&gt;0,"über Mitternacht, zusammen "&amp;TEXT((AE23+AQ23)/1440,"[h]:mm")&amp;" Std.; ",IF(AE23+AQ23&gt;480,"über Mitternacht: Pauschale am Folgetag; ","über Mitternacht, zusammen nicht mehr als 8 Std.; ")),"")&amp;IF(Z23=1,IF(AJ23&gt;0,"über Mitternacht, zusammen "&amp;TEXT((AR23+AE23)/1440,"[h]:mm")&amp;" Std.; ",IF(AR23+AE23&gt;480,"über Mitternacht: Pauschale am Vortag; ","über Mitternacht, zusammen nicht mehr als 8 Std.; ")),"")&amp;IF(AND(W23=1,V23&gt;0,OR(T23=1,U23=1)),"zwischendurch zu Hause: An- und Abreisetag; ","")&amp;IF(AND(W23=1,V23=0,T23=1),"Beginn leer lassen: unterwegs seit dem Vortag; ","")&amp;IF(AND(W23=0,V23&gt;0,U23=1),"Ende leer lassen: Übernachtung; ","")&amp;IF(AND(AJ23&gt;0,AM23&gt;AJ23),"Kürzung auf die Pauschale begrenzt; ",""))</f>
      </c>
      <c r="AM23" s="1">
        <f>ROUND(AG23*(IF(H23&lt;&gt;"",0.2,0)+IF(I23&lt;&gt;"",0.4,0)+IF(J23&lt;&gt;"",0.4,0)),2)</f>
      </c>
      <c r="AN23" s="1">
        <f>IF($A24="",0,T24)</f>
      </c>
      <c r="AO23" s="1">
        <f>IF($A24="",0,U24)</f>
      </c>
      <c r="AP23" s="1">
        <f>IF($A24="",0,V24)</f>
      </c>
      <c r="AQ23" s="1">
        <f>IF($A24="",0,AE24)</f>
      </c>
      <c r="AR23" s="1">
        <f>AE22</f>
      </c>
      <c r="AS23" s="1">
        <f>X22</f>
      </c>
      <c r="AT23" s="1">
        <f>U22</f>
      </c>
      <c r="AU23" s="1">
        <f>V22</f>
      </c>
    </row>
    <row r="24" spans="1:47" x14ac:dyDescent="0.25">
      <c r="A24" s="17">
        <f>IF(MONTH(DATE(Jahr,12,20))=12,DATE(Jahr,12,20),"")</f>
      </c>
      <c r="B24" s="13">
        <f>IF(A24="","",CHOOSE(WEEKDAY(A24,2),"Mo","Di","Mi","Do","Fr","Sa","So"))</f>
      </c>
      <c r="C24" s="18"/>
      <c r="D24" s="18"/>
      <c r="E24" s="7"/>
      <c r="F24" s="7"/>
      <c r="G24" s="7"/>
      <c r="H24" s="19"/>
      <c r="I24" s="19"/>
      <c r="J24" s="19"/>
      <c r="K24" s="9"/>
      <c r="L24" s="20">
        <f>IF(OR(AD24=0,AF24&lt;&gt;"",AND(W24=1,V24&gt;0,OR(T24=1,U24=1))),"",AE24/1440)</f>
      </c>
      <c r="M24" s="21">
        <f>IF(OR(AD24=0,AF24&lt;&gt;""),"",AJ24)</f>
      </c>
      <c r="N24" s="21">
        <f>IF(AK24=0,"",AK24)</f>
      </c>
      <c r="O24" s="21">
        <f>IF(OR(AD24=0,AF24&lt;&gt;""),"",AJ24-AK24)</f>
      </c>
      <c r="P24" s="21">
        <f>IF(AND(AD24=1,AF24="",V24=2),AI24,"")</f>
      </c>
      <c r="Q24" s="21">
        <f>IF(OR($A24="",N(K24)=0),"",ROUND(K24*KmSatz,2))</f>
      </c>
      <c r="R24" s="22">
        <f>IF(AF24&amp;AL24="","",LEFT(AF24&amp;AL24,LEN(AF24&amp;AL24)-2))</f>
      </c>
      <c r="S24" s="1"/>
      <c r="T24" s="1">
        <f>IF(AND($A24&lt;&gt;"",ISNUMBER(C24)),1,0)</f>
      </c>
      <c r="U24" s="1">
        <f>IF(AND($A24&lt;&gt;"",ISNUMBER(D24)),1,0)</f>
      </c>
      <c r="V24" s="1">
        <f>IF($A24="",0,IF(E24="ja",1,IF(E24="Pauschale",2,0)))</f>
      </c>
      <c r="W24" s="1">
        <f>IF($A24="",0,IF(AU24&gt;0,1,0))</f>
      </c>
      <c r="X24" s="1">
        <f>IF(AND(T24=1,W24=0),1,0)</f>
      </c>
      <c r="Y24" s="1">
        <f>IF(AND(AS24=1,AT24=0,AU24=0),1,0)</f>
      </c>
      <c r="Z24" s="1">
        <f>IF(AND(Y24=1,T24=0,U24=1,V24=0),1,0)</f>
      </c>
      <c r="AA24" s="1">
        <f>IF(AND(X24=1,U24=0,V24=0,AN24=0,AO24=1,AP24=0),1,0)</f>
      </c>
      <c r="AB24" s="1">
        <f>IF(OR(W24=1,Z24=1),0,IF(T24=1,C24,0))</f>
      </c>
      <c r="AC24" s="1">
        <f>IF(OR(V24&gt;0,AA24=1),1,IF(U24=1,D24,1))</f>
      </c>
      <c r="AD24" s="1">
        <f>IF($A24="",0,IF(OR(T24=1,U24=1,V24&gt;0,W24=1),1,0))</f>
      </c>
      <c r="AE24" s="1">
        <f>IF(AD24=0,0,ROUND((AC24-AB24)*1440,0))</f>
      </c>
      <c r="AF24" s="1">
        <f>IF(AD24=0,"",IF(AND(F24&lt;&gt;"",ISNA(MATCH(F24,PauschLand,0))),"Land nicht in der Liste; ","")&amp;IF(AND(T24=0,W24=0,Z24=0),"Beginn fehlt; ","")&amp;IF(AND(V24=0,U24=0,AA24=0),"Ende fehlt; ","")&amp;IF(AND(X24=1,U24=1,V24=0,N(D24)&lt;N(C24)),"Ende vor Beginn (über Mitternacht: Ende in die Zeile des Folgetags); ",""))</f>
      </c>
      <c r="AG24" s="1">
        <f>IF(AD24=0,0,IFERROR(VLOOKUP(IF(F24="","Deutschland",F24),PauschTab,2,FALSE),0))</f>
      </c>
      <c r="AH24" s="1">
        <f>IF(AD24=0,0,IFERROR(VLOOKUP(IF(F24="","Deutschland",F24),PauschTab,3,FALSE),0))</f>
      </c>
      <c r="AI24" s="1">
        <f>IF(AD24=0,0,IFERROR(VLOOKUP(IF(F24="","Deutschland",F24),PauschTab,4,FALSE),0))</f>
      </c>
      <c r="AJ24" s="1">
        <f>IF(OR(AD24=0,AF24&lt;&gt;""),0,IF(AND(W24=1,V24&gt;0),IF(OR(T24=1,U24=1),AH24,AG24),IF(OR(W24=1,V24&gt;0),AH24,IF(AA24=1,IF(AND(AE24+AQ24&gt;480,AE24&gt;=AQ24),AH24,0),IF(Z24=1,IF(AND(AR24+AE24&gt;480,AE24&gt;AR24),AH24,0),IF(AE24&gt;480,AH24,0))))))</f>
      </c>
      <c r="AK24" s="1">
        <f>MIN(AJ24,AM24)</f>
      </c>
      <c r="AL24" s="1">
        <f>IF(OR(AD24=0,AF24&lt;&gt;""),"",IF(AND(W24=0,V24=0,AA24=0,Z24=0,AE24&lt;=480),"nicht mehr als 8 Std.; ","")&amp;IF(AA24=1,IF(AJ24&gt;0,"über Mitternacht, zusammen "&amp;TEXT((AE24+AQ24)/1440,"[h]:mm")&amp;" Std.; ",IF(AE24+AQ24&gt;480,"über Mitternacht: Pauschale am Folgetag; ","über Mitternacht, zusammen nicht mehr als 8 Std.; ")),"")&amp;IF(Z24=1,IF(AJ24&gt;0,"über Mitternacht, zusammen "&amp;TEXT((AR24+AE24)/1440,"[h]:mm")&amp;" Std.; ",IF(AR24+AE24&gt;480,"über Mitternacht: Pauschale am Vortag; ","über Mitternacht, zusammen nicht mehr als 8 Std.; ")),"")&amp;IF(AND(W24=1,V24&gt;0,OR(T24=1,U24=1)),"zwischendurch zu Hause: An- und Abreisetag; ","")&amp;IF(AND(W24=1,V24=0,T24=1),"Beginn leer lassen: unterwegs seit dem Vortag; ","")&amp;IF(AND(W24=0,V24&gt;0,U24=1),"Ende leer lassen: Übernachtung; ","")&amp;IF(AND(AJ24&gt;0,AM24&gt;AJ24),"Kürzung auf die Pauschale begrenzt; ",""))</f>
      </c>
      <c r="AM24" s="1">
        <f>ROUND(AG24*(IF(H24&lt;&gt;"",0.2,0)+IF(I24&lt;&gt;"",0.4,0)+IF(J24&lt;&gt;"",0.4,0)),2)</f>
      </c>
      <c r="AN24" s="1">
        <f>IF($A25="",0,T25)</f>
      </c>
      <c r="AO24" s="1">
        <f>IF($A25="",0,U25)</f>
      </c>
      <c r="AP24" s="1">
        <f>IF($A25="",0,V25)</f>
      </c>
      <c r="AQ24" s="1">
        <f>IF($A25="",0,AE25)</f>
      </c>
      <c r="AR24" s="1">
        <f>AE23</f>
      </c>
      <c r="AS24" s="1">
        <f>X23</f>
      </c>
      <c r="AT24" s="1">
        <f>U23</f>
      </c>
      <c r="AU24" s="1">
        <f>V23</f>
      </c>
    </row>
    <row r="25" spans="1:47" x14ac:dyDescent="0.25">
      <c r="A25" s="17">
        <f>IF(MONTH(DATE(Jahr,12,21))=12,DATE(Jahr,12,21),"")</f>
      </c>
      <c r="B25" s="13">
        <f>IF(A25="","",CHOOSE(WEEKDAY(A25,2),"Mo","Di","Mi","Do","Fr","Sa","So"))</f>
      </c>
      <c r="C25" s="18"/>
      <c r="D25" s="18"/>
      <c r="E25" s="7"/>
      <c r="F25" s="7"/>
      <c r="G25" s="7"/>
      <c r="H25" s="19"/>
      <c r="I25" s="19"/>
      <c r="J25" s="19"/>
      <c r="K25" s="9"/>
      <c r="L25" s="20">
        <f>IF(OR(AD25=0,AF25&lt;&gt;"",AND(W25=1,V25&gt;0,OR(T25=1,U25=1))),"",AE25/1440)</f>
      </c>
      <c r="M25" s="21">
        <f>IF(OR(AD25=0,AF25&lt;&gt;""),"",AJ25)</f>
      </c>
      <c r="N25" s="21">
        <f>IF(AK25=0,"",AK25)</f>
      </c>
      <c r="O25" s="21">
        <f>IF(OR(AD25=0,AF25&lt;&gt;""),"",AJ25-AK25)</f>
      </c>
      <c r="P25" s="21">
        <f>IF(AND(AD25=1,AF25="",V25=2),AI25,"")</f>
      </c>
      <c r="Q25" s="21">
        <f>IF(OR($A25="",N(K25)=0),"",ROUND(K25*KmSatz,2))</f>
      </c>
      <c r="R25" s="22">
        <f>IF(AF25&amp;AL25="","",LEFT(AF25&amp;AL25,LEN(AF25&amp;AL25)-2))</f>
      </c>
      <c r="S25" s="1"/>
      <c r="T25" s="1">
        <f>IF(AND($A25&lt;&gt;"",ISNUMBER(C25)),1,0)</f>
      </c>
      <c r="U25" s="1">
        <f>IF(AND($A25&lt;&gt;"",ISNUMBER(D25)),1,0)</f>
      </c>
      <c r="V25" s="1">
        <f>IF($A25="",0,IF(E25="ja",1,IF(E25="Pauschale",2,0)))</f>
      </c>
      <c r="W25" s="1">
        <f>IF($A25="",0,IF(AU25&gt;0,1,0))</f>
      </c>
      <c r="X25" s="1">
        <f>IF(AND(T25=1,W25=0),1,0)</f>
      </c>
      <c r="Y25" s="1">
        <f>IF(AND(AS25=1,AT25=0,AU25=0),1,0)</f>
      </c>
      <c r="Z25" s="1">
        <f>IF(AND(Y25=1,T25=0,U25=1,V25=0),1,0)</f>
      </c>
      <c r="AA25" s="1">
        <f>IF(AND(X25=1,U25=0,V25=0,AN25=0,AO25=1,AP25=0),1,0)</f>
      </c>
      <c r="AB25" s="1">
        <f>IF(OR(W25=1,Z25=1),0,IF(T25=1,C25,0))</f>
      </c>
      <c r="AC25" s="1">
        <f>IF(OR(V25&gt;0,AA25=1),1,IF(U25=1,D25,1))</f>
      </c>
      <c r="AD25" s="1">
        <f>IF($A25="",0,IF(OR(T25=1,U25=1,V25&gt;0,W25=1),1,0))</f>
      </c>
      <c r="AE25" s="1">
        <f>IF(AD25=0,0,ROUND((AC25-AB25)*1440,0))</f>
      </c>
      <c r="AF25" s="1">
        <f>IF(AD25=0,"",IF(AND(F25&lt;&gt;"",ISNA(MATCH(F25,PauschLand,0))),"Land nicht in der Liste; ","")&amp;IF(AND(T25=0,W25=0,Z25=0),"Beginn fehlt; ","")&amp;IF(AND(V25=0,U25=0,AA25=0),"Ende fehlt; ","")&amp;IF(AND(X25=1,U25=1,V25=0,N(D25)&lt;N(C25)),"Ende vor Beginn (über Mitternacht: Ende in die Zeile des Folgetags); ",""))</f>
      </c>
      <c r="AG25" s="1">
        <f>IF(AD25=0,0,IFERROR(VLOOKUP(IF(F25="","Deutschland",F25),PauschTab,2,FALSE),0))</f>
      </c>
      <c r="AH25" s="1">
        <f>IF(AD25=0,0,IFERROR(VLOOKUP(IF(F25="","Deutschland",F25),PauschTab,3,FALSE),0))</f>
      </c>
      <c r="AI25" s="1">
        <f>IF(AD25=0,0,IFERROR(VLOOKUP(IF(F25="","Deutschland",F25),PauschTab,4,FALSE),0))</f>
      </c>
      <c r="AJ25" s="1">
        <f>IF(OR(AD25=0,AF25&lt;&gt;""),0,IF(AND(W25=1,V25&gt;0),IF(OR(T25=1,U25=1),AH25,AG25),IF(OR(W25=1,V25&gt;0),AH25,IF(AA25=1,IF(AND(AE25+AQ25&gt;480,AE25&gt;=AQ25),AH25,0),IF(Z25=1,IF(AND(AR25+AE25&gt;480,AE25&gt;AR25),AH25,0),IF(AE25&gt;480,AH25,0))))))</f>
      </c>
      <c r="AK25" s="1">
        <f>MIN(AJ25,AM25)</f>
      </c>
      <c r="AL25" s="1">
        <f>IF(OR(AD25=0,AF25&lt;&gt;""),"",IF(AND(W25=0,V25=0,AA25=0,Z25=0,AE25&lt;=480),"nicht mehr als 8 Std.; ","")&amp;IF(AA25=1,IF(AJ25&gt;0,"über Mitternacht, zusammen "&amp;TEXT((AE25+AQ25)/1440,"[h]:mm")&amp;" Std.; ",IF(AE25+AQ25&gt;480,"über Mitternacht: Pauschale am Folgetag; ","über Mitternacht, zusammen nicht mehr als 8 Std.; ")),"")&amp;IF(Z25=1,IF(AJ25&gt;0,"über Mitternacht, zusammen "&amp;TEXT((AR25+AE25)/1440,"[h]:mm")&amp;" Std.; ",IF(AR25+AE25&gt;480,"über Mitternacht: Pauschale am Vortag; ","über Mitternacht, zusammen nicht mehr als 8 Std.; ")),"")&amp;IF(AND(W25=1,V25&gt;0,OR(T25=1,U25=1)),"zwischendurch zu Hause: An- und Abreisetag; ","")&amp;IF(AND(W25=1,V25=0,T25=1),"Beginn leer lassen: unterwegs seit dem Vortag; ","")&amp;IF(AND(W25=0,V25&gt;0,U25=1),"Ende leer lassen: Übernachtung; ","")&amp;IF(AND(AJ25&gt;0,AM25&gt;AJ25),"Kürzung auf die Pauschale begrenzt; ",""))</f>
      </c>
      <c r="AM25" s="1">
        <f>ROUND(AG25*(IF(H25&lt;&gt;"",0.2,0)+IF(I25&lt;&gt;"",0.4,0)+IF(J25&lt;&gt;"",0.4,0)),2)</f>
      </c>
      <c r="AN25" s="1">
        <f>IF($A26="",0,T26)</f>
      </c>
      <c r="AO25" s="1">
        <f>IF($A26="",0,U26)</f>
      </c>
      <c r="AP25" s="1">
        <f>IF($A26="",0,V26)</f>
      </c>
      <c r="AQ25" s="1">
        <f>IF($A26="",0,AE26)</f>
      </c>
      <c r="AR25" s="1">
        <f>AE24</f>
      </c>
      <c r="AS25" s="1">
        <f>X24</f>
      </c>
      <c r="AT25" s="1">
        <f>U24</f>
      </c>
      <c r="AU25" s="1">
        <f>V24</f>
      </c>
    </row>
    <row r="26" spans="1:47" x14ac:dyDescent="0.25">
      <c r="A26" s="17">
        <f>IF(MONTH(DATE(Jahr,12,22))=12,DATE(Jahr,12,22),"")</f>
      </c>
      <c r="B26" s="13">
        <f>IF(A26="","",CHOOSE(WEEKDAY(A26,2),"Mo","Di","Mi","Do","Fr","Sa","So"))</f>
      </c>
      <c r="C26" s="18"/>
      <c r="D26" s="18"/>
      <c r="E26" s="7"/>
      <c r="F26" s="7"/>
      <c r="G26" s="7"/>
      <c r="H26" s="19"/>
      <c r="I26" s="19"/>
      <c r="J26" s="19"/>
      <c r="K26" s="9"/>
      <c r="L26" s="20">
        <f>IF(OR(AD26=0,AF26&lt;&gt;"",AND(W26=1,V26&gt;0,OR(T26=1,U26=1))),"",AE26/1440)</f>
      </c>
      <c r="M26" s="21">
        <f>IF(OR(AD26=0,AF26&lt;&gt;""),"",AJ26)</f>
      </c>
      <c r="N26" s="21">
        <f>IF(AK26=0,"",AK26)</f>
      </c>
      <c r="O26" s="21">
        <f>IF(OR(AD26=0,AF26&lt;&gt;""),"",AJ26-AK26)</f>
      </c>
      <c r="P26" s="21">
        <f>IF(AND(AD26=1,AF26="",V26=2),AI26,"")</f>
      </c>
      <c r="Q26" s="21">
        <f>IF(OR($A26="",N(K26)=0),"",ROUND(K26*KmSatz,2))</f>
      </c>
      <c r="R26" s="22">
        <f>IF(AF26&amp;AL26="","",LEFT(AF26&amp;AL26,LEN(AF26&amp;AL26)-2))</f>
      </c>
      <c r="S26" s="1"/>
      <c r="T26" s="1">
        <f>IF(AND($A26&lt;&gt;"",ISNUMBER(C26)),1,0)</f>
      </c>
      <c r="U26" s="1">
        <f>IF(AND($A26&lt;&gt;"",ISNUMBER(D26)),1,0)</f>
      </c>
      <c r="V26" s="1">
        <f>IF($A26="",0,IF(E26="ja",1,IF(E26="Pauschale",2,0)))</f>
      </c>
      <c r="W26" s="1">
        <f>IF($A26="",0,IF(AU26&gt;0,1,0))</f>
      </c>
      <c r="X26" s="1">
        <f>IF(AND(T26=1,W26=0),1,0)</f>
      </c>
      <c r="Y26" s="1">
        <f>IF(AND(AS26=1,AT26=0,AU26=0),1,0)</f>
      </c>
      <c r="Z26" s="1">
        <f>IF(AND(Y26=1,T26=0,U26=1,V26=0),1,0)</f>
      </c>
      <c r="AA26" s="1">
        <f>IF(AND(X26=1,U26=0,V26=0,AN26=0,AO26=1,AP26=0),1,0)</f>
      </c>
      <c r="AB26" s="1">
        <f>IF(OR(W26=1,Z26=1),0,IF(T26=1,C26,0))</f>
      </c>
      <c r="AC26" s="1">
        <f>IF(OR(V26&gt;0,AA26=1),1,IF(U26=1,D26,1))</f>
      </c>
      <c r="AD26" s="1">
        <f>IF($A26="",0,IF(OR(T26=1,U26=1,V26&gt;0,W26=1),1,0))</f>
      </c>
      <c r="AE26" s="1">
        <f>IF(AD26=0,0,ROUND((AC26-AB26)*1440,0))</f>
      </c>
      <c r="AF26" s="1">
        <f>IF(AD26=0,"",IF(AND(F26&lt;&gt;"",ISNA(MATCH(F26,PauschLand,0))),"Land nicht in der Liste; ","")&amp;IF(AND(T26=0,W26=0,Z26=0),"Beginn fehlt; ","")&amp;IF(AND(V26=0,U26=0,AA26=0),"Ende fehlt; ","")&amp;IF(AND(X26=1,U26=1,V26=0,N(D26)&lt;N(C26)),"Ende vor Beginn (über Mitternacht: Ende in die Zeile des Folgetags); ",""))</f>
      </c>
      <c r="AG26" s="1">
        <f>IF(AD26=0,0,IFERROR(VLOOKUP(IF(F26="","Deutschland",F26),PauschTab,2,FALSE),0))</f>
      </c>
      <c r="AH26" s="1">
        <f>IF(AD26=0,0,IFERROR(VLOOKUP(IF(F26="","Deutschland",F26),PauschTab,3,FALSE),0))</f>
      </c>
      <c r="AI26" s="1">
        <f>IF(AD26=0,0,IFERROR(VLOOKUP(IF(F26="","Deutschland",F26),PauschTab,4,FALSE),0))</f>
      </c>
      <c r="AJ26" s="1">
        <f>IF(OR(AD26=0,AF26&lt;&gt;""),0,IF(AND(W26=1,V26&gt;0),IF(OR(T26=1,U26=1),AH26,AG26),IF(OR(W26=1,V26&gt;0),AH26,IF(AA26=1,IF(AND(AE26+AQ26&gt;480,AE26&gt;=AQ26),AH26,0),IF(Z26=1,IF(AND(AR26+AE26&gt;480,AE26&gt;AR26),AH26,0),IF(AE26&gt;480,AH26,0))))))</f>
      </c>
      <c r="AK26" s="1">
        <f>MIN(AJ26,AM26)</f>
      </c>
      <c r="AL26" s="1">
        <f>IF(OR(AD26=0,AF26&lt;&gt;""),"",IF(AND(W26=0,V26=0,AA26=0,Z26=0,AE26&lt;=480),"nicht mehr als 8 Std.; ","")&amp;IF(AA26=1,IF(AJ26&gt;0,"über Mitternacht, zusammen "&amp;TEXT((AE26+AQ26)/1440,"[h]:mm")&amp;" Std.; ",IF(AE26+AQ26&gt;480,"über Mitternacht: Pauschale am Folgetag; ","über Mitternacht, zusammen nicht mehr als 8 Std.; ")),"")&amp;IF(Z26=1,IF(AJ26&gt;0,"über Mitternacht, zusammen "&amp;TEXT((AR26+AE26)/1440,"[h]:mm")&amp;" Std.; ",IF(AR26+AE26&gt;480,"über Mitternacht: Pauschale am Vortag; ","über Mitternacht, zusammen nicht mehr als 8 Std.; ")),"")&amp;IF(AND(W26=1,V26&gt;0,OR(T26=1,U26=1)),"zwischendurch zu Hause: An- und Abreisetag; ","")&amp;IF(AND(W26=1,V26=0,T26=1),"Beginn leer lassen: unterwegs seit dem Vortag; ","")&amp;IF(AND(W26=0,V26&gt;0,U26=1),"Ende leer lassen: Übernachtung; ","")&amp;IF(AND(AJ26&gt;0,AM26&gt;AJ26),"Kürzung auf die Pauschale begrenzt; ",""))</f>
      </c>
      <c r="AM26" s="1">
        <f>ROUND(AG26*(IF(H26&lt;&gt;"",0.2,0)+IF(I26&lt;&gt;"",0.4,0)+IF(J26&lt;&gt;"",0.4,0)),2)</f>
      </c>
      <c r="AN26" s="1">
        <f>IF($A27="",0,T27)</f>
      </c>
      <c r="AO26" s="1">
        <f>IF($A27="",0,U27)</f>
      </c>
      <c r="AP26" s="1">
        <f>IF($A27="",0,V27)</f>
      </c>
      <c r="AQ26" s="1">
        <f>IF($A27="",0,AE27)</f>
      </c>
      <c r="AR26" s="1">
        <f>AE25</f>
      </c>
      <c r="AS26" s="1">
        <f>X25</f>
      </c>
      <c r="AT26" s="1">
        <f>U25</f>
      </c>
      <c r="AU26" s="1">
        <f>V25</f>
      </c>
    </row>
    <row r="27" spans="1:47" x14ac:dyDescent="0.25">
      <c r="A27" s="17">
        <f>IF(MONTH(DATE(Jahr,12,23))=12,DATE(Jahr,12,23),"")</f>
      </c>
      <c r="B27" s="13">
        <f>IF(A27="","",CHOOSE(WEEKDAY(A27,2),"Mo","Di","Mi","Do","Fr","Sa","So"))</f>
      </c>
      <c r="C27" s="18"/>
      <c r="D27" s="18"/>
      <c r="E27" s="7"/>
      <c r="F27" s="7"/>
      <c r="G27" s="7"/>
      <c r="H27" s="19"/>
      <c r="I27" s="19"/>
      <c r="J27" s="19"/>
      <c r="K27" s="9"/>
      <c r="L27" s="20">
        <f>IF(OR(AD27=0,AF27&lt;&gt;"",AND(W27=1,V27&gt;0,OR(T27=1,U27=1))),"",AE27/1440)</f>
      </c>
      <c r="M27" s="21">
        <f>IF(OR(AD27=0,AF27&lt;&gt;""),"",AJ27)</f>
      </c>
      <c r="N27" s="21">
        <f>IF(AK27=0,"",AK27)</f>
      </c>
      <c r="O27" s="21">
        <f>IF(OR(AD27=0,AF27&lt;&gt;""),"",AJ27-AK27)</f>
      </c>
      <c r="P27" s="21">
        <f>IF(AND(AD27=1,AF27="",V27=2),AI27,"")</f>
      </c>
      <c r="Q27" s="21">
        <f>IF(OR($A27="",N(K27)=0),"",ROUND(K27*KmSatz,2))</f>
      </c>
      <c r="R27" s="22">
        <f>IF(AF27&amp;AL27="","",LEFT(AF27&amp;AL27,LEN(AF27&amp;AL27)-2))</f>
      </c>
      <c r="S27" s="1"/>
      <c r="T27" s="1">
        <f>IF(AND($A27&lt;&gt;"",ISNUMBER(C27)),1,0)</f>
      </c>
      <c r="U27" s="1">
        <f>IF(AND($A27&lt;&gt;"",ISNUMBER(D27)),1,0)</f>
      </c>
      <c r="V27" s="1">
        <f>IF($A27="",0,IF(E27="ja",1,IF(E27="Pauschale",2,0)))</f>
      </c>
      <c r="W27" s="1">
        <f>IF($A27="",0,IF(AU27&gt;0,1,0))</f>
      </c>
      <c r="X27" s="1">
        <f>IF(AND(T27=1,W27=0),1,0)</f>
      </c>
      <c r="Y27" s="1">
        <f>IF(AND(AS27=1,AT27=0,AU27=0),1,0)</f>
      </c>
      <c r="Z27" s="1">
        <f>IF(AND(Y27=1,T27=0,U27=1,V27=0),1,0)</f>
      </c>
      <c r="AA27" s="1">
        <f>IF(AND(X27=1,U27=0,V27=0,AN27=0,AO27=1,AP27=0),1,0)</f>
      </c>
      <c r="AB27" s="1">
        <f>IF(OR(W27=1,Z27=1),0,IF(T27=1,C27,0))</f>
      </c>
      <c r="AC27" s="1">
        <f>IF(OR(V27&gt;0,AA27=1),1,IF(U27=1,D27,1))</f>
      </c>
      <c r="AD27" s="1">
        <f>IF($A27="",0,IF(OR(T27=1,U27=1,V27&gt;0,W27=1),1,0))</f>
      </c>
      <c r="AE27" s="1">
        <f>IF(AD27=0,0,ROUND((AC27-AB27)*1440,0))</f>
      </c>
      <c r="AF27" s="1">
        <f>IF(AD27=0,"",IF(AND(F27&lt;&gt;"",ISNA(MATCH(F27,PauschLand,0))),"Land nicht in der Liste; ","")&amp;IF(AND(T27=0,W27=0,Z27=0),"Beginn fehlt; ","")&amp;IF(AND(V27=0,U27=0,AA27=0),"Ende fehlt; ","")&amp;IF(AND(X27=1,U27=1,V27=0,N(D27)&lt;N(C27)),"Ende vor Beginn (über Mitternacht: Ende in die Zeile des Folgetags); ",""))</f>
      </c>
      <c r="AG27" s="1">
        <f>IF(AD27=0,0,IFERROR(VLOOKUP(IF(F27="","Deutschland",F27),PauschTab,2,FALSE),0))</f>
      </c>
      <c r="AH27" s="1">
        <f>IF(AD27=0,0,IFERROR(VLOOKUP(IF(F27="","Deutschland",F27),PauschTab,3,FALSE),0))</f>
      </c>
      <c r="AI27" s="1">
        <f>IF(AD27=0,0,IFERROR(VLOOKUP(IF(F27="","Deutschland",F27),PauschTab,4,FALSE),0))</f>
      </c>
      <c r="AJ27" s="1">
        <f>IF(OR(AD27=0,AF27&lt;&gt;""),0,IF(AND(W27=1,V27&gt;0),IF(OR(T27=1,U27=1),AH27,AG27),IF(OR(W27=1,V27&gt;0),AH27,IF(AA27=1,IF(AND(AE27+AQ27&gt;480,AE27&gt;=AQ27),AH27,0),IF(Z27=1,IF(AND(AR27+AE27&gt;480,AE27&gt;AR27),AH27,0),IF(AE27&gt;480,AH27,0))))))</f>
      </c>
      <c r="AK27" s="1">
        <f>MIN(AJ27,AM27)</f>
      </c>
      <c r="AL27" s="1">
        <f>IF(OR(AD27=0,AF27&lt;&gt;""),"",IF(AND(W27=0,V27=0,AA27=0,Z27=0,AE27&lt;=480),"nicht mehr als 8 Std.; ","")&amp;IF(AA27=1,IF(AJ27&gt;0,"über Mitternacht, zusammen "&amp;TEXT((AE27+AQ27)/1440,"[h]:mm")&amp;" Std.; ",IF(AE27+AQ27&gt;480,"über Mitternacht: Pauschale am Folgetag; ","über Mitternacht, zusammen nicht mehr als 8 Std.; ")),"")&amp;IF(Z27=1,IF(AJ27&gt;0,"über Mitternacht, zusammen "&amp;TEXT((AR27+AE27)/1440,"[h]:mm")&amp;" Std.; ",IF(AR27+AE27&gt;480,"über Mitternacht: Pauschale am Vortag; ","über Mitternacht, zusammen nicht mehr als 8 Std.; ")),"")&amp;IF(AND(W27=1,V27&gt;0,OR(T27=1,U27=1)),"zwischendurch zu Hause: An- und Abreisetag; ","")&amp;IF(AND(W27=1,V27=0,T27=1),"Beginn leer lassen: unterwegs seit dem Vortag; ","")&amp;IF(AND(W27=0,V27&gt;0,U27=1),"Ende leer lassen: Übernachtung; ","")&amp;IF(AND(AJ27&gt;0,AM27&gt;AJ27),"Kürzung auf die Pauschale begrenzt; ",""))</f>
      </c>
      <c r="AM27" s="1">
        <f>ROUND(AG27*(IF(H27&lt;&gt;"",0.2,0)+IF(I27&lt;&gt;"",0.4,0)+IF(J27&lt;&gt;"",0.4,0)),2)</f>
      </c>
      <c r="AN27" s="1">
        <f>IF($A28="",0,T28)</f>
      </c>
      <c r="AO27" s="1">
        <f>IF($A28="",0,U28)</f>
      </c>
      <c r="AP27" s="1">
        <f>IF($A28="",0,V28)</f>
      </c>
      <c r="AQ27" s="1">
        <f>IF($A28="",0,AE28)</f>
      </c>
      <c r="AR27" s="1">
        <f>AE26</f>
      </c>
      <c r="AS27" s="1">
        <f>X26</f>
      </c>
      <c r="AT27" s="1">
        <f>U26</f>
      </c>
      <c r="AU27" s="1">
        <f>V26</f>
      </c>
    </row>
    <row r="28" spans="1:47" x14ac:dyDescent="0.25">
      <c r="A28" s="17">
        <f>IF(MONTH(DATE(Jahr,12,24))=12,DATE(Jahr,12,24),"")</f>
      </c>
      <c r="B28" s="13">
        <f>IF(A28="","",CHOOSE(WEEKDAY(A28,2),"Mo","Di","Mi","Do","Fr","Sa","So"))</f>
      </c>
      <c r="C28" s="18"/>
      <c r="D28" s="18"/>
      <c r="E28" s="7"/>
      <c r="F28" s="7"/>
      <c r="G28" s="7"/>
      <c r="H28" s="19"/>
      <c r="I28" s="19"/>
      <c r="J28" s="19"/>
      <c r="K28" s="9"/>
      <c r="L28" s="20">
        <f>IF(OR(AD28=0,AF28&lt;&gt;"",AND(W28=1,V28&gt;0,OR(T28=1,U28=1))),"",AE28/1440)</f>
      </c>
      <c r="M28" s="21">
        <f>IF(OR(AD28=0,AF28&lt;&gt;""),"",AJ28)</f>
      </c>
      <c r="N28" s="21">
        <f>IF(AK28=0,"",AK28)</f>
      </c>
      <c r="O28" s="21">
        <f>IF(OR(AD28=0,AF28&lt;&gt;""),"",AJ28-AK28)</f>
      </c>
      <c r="P28" s="21">
        <f>IF(AND(AD28=1,AF28="",V28=2),AI28,"")</f>
      </c>
      <c r="Q28" s="21">
        <f>IF(OR($A28="",N(K28)=0),"",ROUND(K28*KmSatz,2))</f>
      </c>
      <c r="R28" s="22">
        <f>IF(AF28&amp;AL28="","",LEFT(AF28&amp;AL28,LEN(AF28&amp;AL28)-2))</f>
      </c>
      <c r="S28" s="1"/>
      <c r="T28" s="1">
        <f>IF(AND($A28&lt;&gt;"",ISNUMBER(C28)),1,0)</f>
      </c>
      <c r="U28" s="1">
        <f>IF(AND($A28&lt;&gt;"",ISNUMBER(D28)),1,0)</f>
      </c>
      <c r="V28" s="1">
        <f>IF($A28="",0,IF(E28="ja",1,IF(E28="Pauschale",2,0)))</f>
      </c>
      <c r="W28" s="1">
        <f>IF($A28="",0,IF(AU28&gt;0,1,0))</f>
      </c>
      <c r="X28" s="1">
        <f>IF(AND(T28=1,W28=0),1,0)</f>
      </c>
      <c r="Y28" s="1">
        <f>IF(AND(AS28=1,AT28=0,AU28=0),1,0)</f>
      </c>
      <c r="Z28" s="1">
        <f>IF(AND(Y28=1,T28=0,U28=1,V28=0),1,0)</f>
      </c>
      <c r="AA28" s="1">
        <f>IF(AND(X28=1,U28=0,V28=0,AN28=0,AO28=1,AP28=0),1,0)</f>
      </c>
      <c r="AB28" s="1">
        <f>IF(OR(W28=1,Z28=1),0,IF(T28=1,C28,0))</f>
      </c>
      <c r="AC28" s="1">
        <f>IF(OR(V28&gt;0,AA28=1),1,IF(U28=1,D28,1))</f>
      </c>
      <c r="AD28" s="1">
        <f>IF($A28="",0,IF(OR(T28=1,U28=1,V28&gt;0,W28=1),1,0))</f>
      </c>
      <c r="AE28" s="1">
        <f>IF(AD28=0,0,ROUND((AC28-AB28)*1440,0))</f>
      </c>
      <c r="AF28" s="1">
        <f>IF(AD28=0,"",IF(AND(F28&lt;&gt;"",ISNA(MATCH(F28,PauschLand,0))),"Land nicht in der Liste; ","")&amp;IF(AND(T28=0,W28=0,Z28=0),"Beginn fehlt; ","")&amp;IF(AND(V28=0,U28=0,AA28=0),"Ende fehlt; ","")&amp;IF(AND(X28=1,U28=1,V28=0,N(D28)&lt;N(C28)),"Ende vor Beginn (über Mitternacht: Ende in die Zeile des Folgetags); ",""))</f>
      </c>
      <c r="AG28" s="1">
        <f>IF(AD28=0,0,IFERROR(VLOOKUP(IF(F28="","Deutschland",F28),PauschTab,2,FALSE),0))</f>
      </c>
      <c r="AH28" s="1">
        <f>IF(AD28=0,0,IFERROR(VLOOKUP(IF(F28="","Deutschland",F28),PauschTab,3,FALSE),0))</f>
      </c>
      <c r="AI28" s="1">
        <f>IF(AD28=0,0,IFERROR(VLOOKUP(IF(F28="","Deutschland",F28),PauschTab,4,FALSE),0))</f>
      </c>
      <c r="AJ28" s="1">
        <f>IF(OR(AD28=0,AF28&lt;&gt;""),0,IF(AND(W28=1,V28&gt;0),IF(OR(T28=1,U28=1),AH28,AG28),IF(OR(W28=1,V28&gt;0),AH28,IF(AA28=1,IF(AND(AE28+AQ28&gt;480,AE28&gt;=AQ28),AH28,0),IF(Z28=1,IF(AND(AR28+AE28&gt;480,AE28&gt;AR28),AH28,0),IF(AE28&gt;480,AH28,0))))))</f>
      </c>
      <c r="AK28" s="1">
        <f>MIN(AJ28,AM28)</f>
      </c>
      <c r="AL28" s="1">
        <f>IF(OR(AD28=0,AF28&lt;&gt;""),"",IF(AND(W28=0,V28=0,AA28=0,Z28=0,AE28&lt;=480),"nicht mehr als 8 Std.; ","")&amp;IF(AA28=1,IF(AJ28&gt;0,"über Mitternacht, zusammen "&amp;TEXT((AE28+AQ28)/1440,"[h]:mm")&amp;" Std.; ",IF(AE28+AQ28&gt;480,"über Mitternacht: Pauschale am Folgetag; ","über Mitternacht, zusammen nicht mehr als 8 Std.; ")),"")&amp;IF(Z28=1,IF(AJ28&gt;0,"über Mitternacht, zusammen "&amp;TEXT((AR28+AE28)/1440,"[h]:mm")&amp;" Std.; ",IF(AR28+AE28&gt;480,"über Mitternacht: Pauschale am Vortag; ","über Mitternacht, zusammen nicht mehr als 8 Std.; ")),"")&amp;IF(AND(W28=1,V28&gt;0,OR(T28=1,U28=1)),"zwischendurch zu Hause: An- und Abreisetag; ","")&amp;IF(AND(W28=1,V28=0,T28=1),"Beginn leer lassen: unterwegs seit dem Vortag; ","")&amp;IF(AND(W28=0,V28&gt;0,U28=1),"Ende leer lassen: Übernachtung; ","")&amp;IF(AND(AJ28&gt;0,AM28&gt;AJ28),"Kürzung auf die Pauschale begrenzt; ",""))</f>
      </c>
      <c r="AM28" s="1">
        <f>ROUND(AG28*(IF(H28&lt;&gt;"",0.2,0)+IF(I28&lt;&gt;"",0.4,0)+IF(J28&lt;&gt;"",0.4,0)),2)</f>
      </c>
      <c r="AN28" s="1">
        <f>IF($A29="",0,T29)</f>
      </c>
      <c r="AO28" s="1">
        <f>IF($A29="",0,U29)</f>
      </c>
      <c r="AP28" s="1">
        <f>IF($A29="",0,V29)</f>
      </c>
      <c r="AQ28" s="1">
        <f>IF($A29="",0,AE29)</f>
      </c>
      <c r="AR28" s="1">
        <f>AE27</f>
      </c>
      <c r="AS28" s="1">
        <f>X27</f>
      </c>
      <c r="AT28" s="1">
        <f>U27</f>
      </c>
      <c r="AU28" s="1">
        <f>V27</f>
      </c>
    </row>
    <row r="29" spans="1:47" x14ac:dyDescent="0.25">
      <c r="A29" s="17">
        <f>IF(MONTH(DATE(Jahr,12,25))=12,DATE(Jahr,12,25),"")</f>
      </c>
      <c r="B29" s="13">
        <f>IF(A29="","",CHOOSE(WEEKDAY(A29,2),"Mo","Di","Mi","Do","Fr","Sa","So"))</f>
      </c>
      <c r="C29" s="18"/>
      <c r="D29" s="18"/>
      <c r="E29" s="7"/>
      <c r="F29" s="7"/>
      <c r="G29" s="7"/>
      <c r="H29" s="19"/>
      <c r="I29" s="19"/>
      <c r="J29" s="19"/>
      <c r="K29" s="9"/>
      <c r="L29" s="20">
        <f>IF(OR(AD29=0,AF29&lt;&gt;"",AND(W29=1,V29&gt;0,OR(T29=1,U29=1))),"",AE29/1440)</f>
      </c>
      <c r="M29" s="21">
        <f>IF(OR(AD29=0,AF29&lt;&gt;""),"",AJ29)</f>
      </c>
      <c r="N29" s="21">
        <f>IF(AK29=0,"",AK29)</f>
      </c>
      <c r="O29" s="21">
        <f>IF(OR(AD29=0,AF29&lt;&gt;""),"",AJ29-AK29)</f>
      </c>
      <c r="P29" s="21">
        <f>IF(AND(AD29=1,AF29="",V29=2),AI29,"")</f>
      </c>
      <c r="Q29" s="21">
        <f>IF(OR($A29="",N(K29)=0),"",ROUND(K29*KmSatz,2))</f>
      </c>
      <c r="R29" s="22">
        <f>IF(AF29&amp;AL29="","",LEFT(AF29&amp;AL29,LEN(AF29&amp;AL29)-2))</f>
      </c>
      <c r="S29" s="1"/>
      <c r="T29" s="1">
        <f>IF(AND($A29&lt;&gt;"",ISNUMBER(C29)),1,0)</f>
      </c>
      <c r="U29" s="1">
        <f>IF(AND($A29&lt;&gt;"",ISNUMBER(D29)),1,0)</f>
      </c>
      <c r="V29" s="1">
        <f>IF($A29="",0,IF(E29="ja",1,IF(E29="Pauschale",2,0)))</f>
      </c>
      <c r="W29" s="1">
        <f>IF($A29="",0,IF(AU29&gt;0,1,0))</f>
      </c>
      <c r="X29" s="1">
        <f>IF(AND(T29=1,W29=0),1,0)</f>
      </c>
      <c r="Y29" s="1">
        <f>IF(AND(AS29=1,AT29=0,AU29=0),1,0)</f>
      </c>
      <c r="Z29" s="1">
        <f>IF(AND(Y29=1,T29=0,U29=1,V29=0),1,0)</f>
      </c>
      <c r="AA29" s="1">
        <f>IF(AND(X29=1,U29=0,V29=0,AN29=0,AO29=1,AP29=0),1,0)</f>
      </c>
      <c r="AB29" s="1">
        <f>IF(OR(W29=1,Z29=1),0,IF(T29=1,C29,0))</f>
      </c>
      <c r="AC29" s="1">
        <f>IF(OR(V29&gt;0,AA29=1),1,IF(U29=1,D29,1))</f>
      </c>
      <c r="AD29" s="1">
        <f>IF($A29="",0,IF(OR(T29=1,U29=1,V29&gt;0,W29=1),1,0))</f>
      </c>
      <c r="AE29" s="1">
        <f>IF(AD29=0,0,ROUND((AC29-AB29)*1440,0))</f>
      </c>
      <c r="AF29" s="1">
        <f>IF(AD29=0,"",IF(AND(F29&lt;&gt;"",ISNA(MATCH(F29,PauschLand,0))),"Land nicht in der Liste; ","")&amp;IF(AND(T29=0,W29=0,Z29=0),"Beginn fehlt; ","")&amp;IF(AND(V29=0,U29=0,AA29=0),"Ende fehlt; ","")&amp;IF(AND(X29=1,U29=1,V29=0,N(D29)&lt;N(C29)),"Ende vor Beginn (über Mitternacht: Ende in die Zeile des Folgetags); ",""))</f>
      </c>
      <c r="AG29" s="1">
        <f>IF(AD29=0,0,IFERROR(VLOOKUP(IF(F29="","Deutschland",F29),PauschTab,2,FALSE),0))</f>
      </c>
      <c r="AH29" s="1">
        <f>IF(AD29=0,0,IFERROR(VLOOKUP(IF(F29="","Deutschland",F29),PauschTab,3,FALSE),0))</f>
      </c>
      <c r="AI29" s="1">
        <f>IF(AD29=0,0,IFERROR(VLOOKUP(IF(F29="","Deutschland",F29),PauschTab,4,FALSE),0))</f>
      </c>
      <c r="AJ29" s="1">
        <f>IF(OR(AD29=0,AF29&lt;&gt;""),0,IF(AND(W29=1,V29&gt;0),IF(OR(T29=1,U29=1),AH29,AG29),IF(OR(W29=1,V29&gt;0),AH29,IF(AA29=1,IF(AND(AE29+AQ29&gt;480,AE29&gt;=AQ29),AH29,0),IF(Z29=1,IF(AND(AR29+AE29&gt;480,AE29&gt;AR29),AH29,0),IF(AE29&gt;480,AH29,0))))))</f>
      </c>
      <c r="AK29" s="1">
        <f>MIN(AJ29,AM29)</f>
      </c>
      <c r="AL29" s="1">
        <f>IF(OR(AD29=0,AF29&lt;&gt;""),"",IF(AND(W29=0,V29=0,AA29=0,Z29=0,AE29&lt;=480),"nicht mehr als 8 Std.; ","")&amp;IF(AA29=1,IF(AJ29&gt;0,"über Mitternacht, zusammen "&amp;TEXT((AE29+AQ29)/1440,"[h]:mm")&amp;" Std.; ",IF(AE29+AQ29&gt;480,"über Mitternacht: Pauschale am Folgetag; ","über Mitternacht, zusammen nicht mehr als 8 Std.; ")),"")&amp;IF(Z29=1,IF(AJ29&gt;0,"über Mitternacht, zusammen "&amp;TEXT((AR29+AE29)/1440,"[h]:mm")&amp;" Std.; ",IF(AR29+AE29&gt;480,"über Mitternacht: Pauschale am Vortag; ","über Mitternacht, zusammen nicht mehr als 8 Std.; ")),"")&amp;IF(AND(W29=1,V29&gt;0,OR(T29=1,U29=1)),"zwischendurch zu Hause: An- und Abreisetag; ","")&amp;IF(AND(W29=1,V29=0,T29=1),"Beginn leer lassen: unterwegs seit dem Vortag; ","")&amp;IF(AND(W29=0,V29&gt;0,U29=1),"Ende leer lassen: Übernachtung; ","")&amp;IF(AND(AJ29&gt;0,AM29&gt;AJ29),"Kürzung auf die Pauschale begrenzt; ",""))</f>
      </c>
      <c r="AM29" s="1">
        <f>ROUND(AG29*(IF(H29&lt;&gt;"",0.2,0)+IF(I29&lt;&gt;"",0.4,0)+IF(J29&lt;&gt;"",0.4,0)),2)</f>
      </c>
      <c r="AN29" s="1">
        <f>IF($A30="",0,T30)</f>
      </c>
      <c r="AO29" s="1">
        <f>IF($A30="",0,U30)</f>
      </c>
      <c r="AP29" s="1">
        <f>IF($A30="",0,V30)</f>
      </c>
      <c r="AQ29" s="1">
        <f>IF($A30="",0,AE30)</f>
      </c>
      <c r="AR29" s="1">
        <f>AE28</f>
      </c>
      <c r="AS29" s="1">
        <f>X28</f>
      </c>
      <c r="AT29" s="1">
        <f>U28</f>
      </c>
      <c r="AU29" s="1">
        <f>V28</f>
      </c>
    </row>
    <row r="30" spans="1:47" x14ac:dyDescent="0.25">
      <c r="A30" s="17">
        <f>IF(MONTH(DATE(Jahr,12,26))=12,DATE(Jahr,12,26),"")</f>
      </c>
      <c r="B30" s="13">
        <f>IF(A30="","",CHOOSE(WEEKDAY(A30,2),"Mo","Di","Mi","Do","Fr","Sa","So"))</f>
      </c>
      <c r="C30" s="18"/>
      <c r="D30" s="18"/>
      <c r="E30" s="7"/>
      <c r="F30" s="7"/>
      <c r="G30" s="7"/>
      <c r="H30" s="19"/>
      <c r="I30" s="19"/>
      <c r="J30" s="19"/>
      <c r="K30" s="9"/>
      <c r="L30" s="20">
        <f>IF(OR(AD30=0,AF30&lt;&gt;"",AND(W30=1,V30&gt;0,OR(T30=1,U30=1))),"",AE30/1440)</f>
      </c>
      <c r="M30" s="21">
        <f>IF(OR(AD30=0,AF30&lt;&gt;""),"",AJ30)</f>
      </c>
      <c r="N30" s="21">
        <f>IF(AK30=0,"",AK30)</f>
      </c>
      <c r="O30" s="21">
        <f>IF(OR(AD30=0,AF30&lt;&gt;""),"",AJ30-AK30)</f>
      </c>
      <c r="P30" s="21">
        <f>IF(AND(AD30=1,AF30="",V30=2),AI30,"")</f>
      </c>
      <c r="Q30" s="21">
        <f>IF(OR($A30="",N(K30)=0),"",ROUND(K30*KmSatz,2))</f>
      </c>
      <c r="R30" s="22">
        <f>IF(AF30&amp;AL30="","",LEFT(AF30&amp;AL30,LEN(AF30&amp;AL30)-2))</f>
      </c>
      <c r="S30" s="1"/>
      <c r="T30" s="1">
        <f>IF(AND($A30&lt;&gt;"",ISNUMBER(C30)),1,0)</f>
      </c>
      <c r="U30" s="1">
        <f>IF(AND($A30&lt;&gt;"",ISNUMBER(D30)),1,0)</f>
      </c>
      <c r="V30" s="1">
        <f>IF($A30="",0,IF(E30="ja",1,IF(E30="Pauschale",2,0)))</f>
      </c>
      <c r="W30" s="1">
        <f>IF($A30="",0,IF(AU30&gt;0,1,0))</f>
      </c>
      <c r="X30" s="1">
        <f>IF(AND(T30=1,W30=0),1,0)</f>
      </c>
      <c r="Y30" s="1">
        <f>IF(AND(AS30=1,AT30=0,AU30=0),1,0)</f>
      </c>
      <c r="Z30" s="1">
        <f>IF(AND(Y30=1,T30=0,U30=1,V30=0),1,0)</f>
      </c>
      <c r="AA30" s="1">
        <f>IF(AND(X30=1,U30=0,V30=0,AN30=0,AO30=1,AP30=0),1,0)</f>
      </c>
      <c r="AB30" s="1">
        <f>IF(OR(W30=1,Z30=1),0,IF(T30=1,C30,0))</f>
      </c>
      <c r="AC30" s="1">
        <f>IF(OR(V30&gt;0,AA30=1),1,IF(U30=1,D30,1))</f>
      </c>
      <c r="AD30" s="1">
        <f>IF($A30="",0,IF(OR(T30=1,U30=1,V30&gt;0,W30=1),1,0))</f>
      </c>
      <c r="AE30" s="1">
        <f>IF(AD30=0,0,ROUND((AC30-AB30)*1440,0))</f>
      </c>
      <c r="AF30" s="1">
        <f>IF(AD30=0,"",IF(AND(F30&lt;&gt;"",ISNA(MATCH(F30,PauschLand,0))),"Land nicht in der Liste; ","")&amp;IF(AND(T30=0,W30=0,Z30=0),"Beginn fehlt; ","")&amp;IF(AND(V30=0,U30=0,AA30=0),"Ende fehlt; ","")&amp;IF(AND(X30=1,U30=1,V30=0,N(D30)&lt;N(C30)),"Ende vor Beginn (über Mitternacht: Ende in die Zeile des Folgetags); ",""))</f>
      </c>
      <c r="AG30" s="1">
        <f>IF(AD30=0,0,IFERROR(VLOOKUP(IF(F30="","Deutschland",F30),PauschTab,2,FALSE),0))</f>
      </c>
      <c r="AH30" s="1">
        <f>IF(AD30=0,0,IFERROR(VLOOKUP(IF(F30="","Deutschland",F30),PauschTab,3,FALSE),0))</f>
      </c>
      <c r="AI30" s="1">
        <f>IF(AD30=0,0,IFERROR(VLOOKUP(IF(F30="","Deutschland",F30),PauschTab,4,FALSE),0))</f>
      </c>
      <c r="AJ30" s="1">
        <f>IF(OR(AD30=0,AF30&lt;&gt;""),0,IF(AND(W30=1,V30&gt;0),IF(OR(T30=1,U30=1),AH30,AG30),IF(OR(W30=1,V30&gt;0),AH30,IF(AA30=1,IF(AND(AE30+AQ30&gt;480,AE30&gt;=AQ30),AH30,0),IF(Z30=1,IF(AND(AR30+AE30&gt;480,AE30&gt;AR30),AH30,0),IF(AE30&gt;480,AH30,0))))))</f>
      </c>
      <c r="AK30" s="1">
        <f>MIN(AJ30,AM30)</f>
      </c>
      <c r="AL30" s="1">
        <f>IF(OR(AD30=0,AF30&lt;&gt;""),"",IF(AND(W30=0,V30=0,AA30=0,Z30=0,AE30&lt;=480),"nicht mehr als 8 Std.; ","")&amp;IF(AA30=1,IF(AJ30&gt;0,"über Mitternacht, zusammen "&amp;TEXT((AE30+AQ30)/1440,"[h]:mm")&amp;" Std.; ",IF(AE30+AQ30&gt;480,"über Mitternacht: Pauschale am Folgetag; ","über Mitternacht, zusammen nicht mehr als 8 Std.; ")),"")&amp;IF(Z30=1,IF(AJ30&gt;0,"über Mitternacht, zusammen "&amp;TEXT((AR30+AE30)/1440,"[h]:mm")&amp;" Std.; ",IF(AR30+AE30&gt;480,"über Mitternacht: Pauschale am Vortag; ","über Mitternacht, zusammen nicht mehr als 8 Std.; ")),"")&amp;IF(AND(W30=1,V30&gt;0,OR(T30=1,U30=1)),"zwischendurch zu Hause: An- und Abreisetag; ","")&amp;IF(AND(W30=1,V30=0,T30=1),"Beginn leer lassen: unterwegs seit dem Vortag; ","")&amp;IF(AND(W30=0,V30&gt;0,U30=1),"Ende leer lassen: Übernachtung; ","")&amp;IF(AND(AJ30&gt;0,AM30&gt;AJ30),"Kürzung auf die Pauschale begrenzt; ",""))</f>
      </c>
      <c r="AM30" s="1">
        <f>ROUND(AG30*(IF(H30&lt;&gt;"",0.2,0)+IF(I30&lt;&gt;"",0.4,0)+IF(J30&lt;&gt;"",0.4,0)),2)</f>
      </c>
      <c r="AN30" s="1">
        <f>IF($A31="",0,T31)</f>
      </c>
      <c r="AO30" s="1">
        <f>IF($A31="",0,U31)</f>
      </c>
      <c r="AP30" s="1">
        <f>IF($A31="",0,V31)</f>
      </c>
      <c r="AQ30" s="1">
        <f>IF($A31="",0,AE31)</f>
      </c>
      <c r="AR30" s="1">
        <f>AE29</f>
      </c>
      <c r="AS30" s="1">
        <f>X29</f>
      </c>
      <c r="AT30" s="1">
        <f>U29</f>
      </c>
      <c r="AU30" s="1">
        <f>V29</f>
      </c>
    </row>
    <row r="31" spans="1:47" x14ac:dyDescent="0.25">
      <c r="A31" s="17">
        <f>IF(MONTH(DATE(Jahr,12,27))=12,DATE(Jahr,12,27),"")</f>
      </c>
      <c r="B31" s="13">
        <f>IF(A31="","",CHOOSE(WEEKDAY(A31,2),"Mo","Di","Mi","Do","Fr","Sa","So"))</f>
      </c>
      <c r="C31" s="18"/>
      <c r="D31" s="18"/>
      <c r="E31" s="7"/>
      <c r="F31" s="7"/>
      <c r="G31" s="7"/>
      <c r="H31" s="19"/>
      <c r="I31" s="19"/>
      <c r="J31" s="19"/>
      <c r="K31" s="9"/>
      <c r="L31" s="20">
        <f>IF(OR(AD31=0,AF31&lt;&gt;"",AND(W31=1,V31&gt;0,OR(T31=1,U31=1))),"",AE31/1440)</f>
      </c>
      <c r="M31" s="21">
        <f>IF(OR(AD31=0,AF31&lt;&gt;""),"",AJ31)</f>
      </c>
      <c r="N31" s="21">
        <f>IF(AK31=0,"",AK31)</f>
      </c>
      <c r="O31" s="21">
        <f>IF(OR(AD31=0,AF31&lt;&gt;""),"",AJ31-AK31)</f>
      </c>
      <c r="P31" s="21">
        <f>IF(AND(AD31=1,AF31="",V31=2),AI31,"")</f>
      </c>
      <c r="Q31" s="21">
        <f>IF(OR($A31="",N(K31)=0),"",ROUND(K31*KmSatz,2))</f>
      </c>
      <c r="R31" s="22">
        <f>IF(AF31&amp;AL31="","",LEFT(AF31&amp;AL31,LEN(AF31&amp;AL31)-2))</f>
      </c>
      <c r="S31" s="1"/>
      <c r="T31" s="1">
        <f>IF(AND($A31&lt;&gt;"",ISNUMBER(C31)),1,0)</f>
      </c>
      <c r="U31" s="1">
        <f>IF(AND($A31&lt;&gt;"",ISNUMBER(D31)),1,0)</f>
      </c>
      <c r="V31" s="1">
        <f>IF($A31="",0,IF(E31="ja",1,IF(E31="Pauschale",2,0)))</f>
      </c>
      <c r="W31" s="1">
        <f>IF($A31="",0,IF(AU31&gt;0,1,0))</f>
      </c>
      <c r="X31" s="1">
        <f>IF(AND(T31=1,W31=0),1,0)</f>
      </c>
      <c r="Y31" s="1">
        <f>IF(AND(AS31=1,AT31=0,AU31=0),1,0)</f>
      </c>
      <c r="Z31" s="1">
        <f>IF(AND(Y31=1,T31=0,U31=1,V31=0),1,0)</f>
      </c>
      <c r="AA31" s="1">
        <f>IF(AND(X31=1,U31=0,V31=0,AN31=0,AO31=1,AP31=0),1,0)</f>
      </c>
      <c r="AB31" s="1">
        <f>IF(OR(W31=1,Z31=1),0,IF(T31=1,C31,0))</f>
      </c>
      <c r="AC31" s="1">
        <f>IF(OR(V31&gt;0,AA31=1),1,IF(U31=1,D31,1))</f>
      </c>
      <c r="AD31" s="1">
        <f>IF($A31="",0,IF(OR(T31=1,U31=1,V31&gt;0,W31=1),1,0))</f>
      </c>
      <c r="AE31" s="1">
        <f>IF(AD31=0,0,ROUND((AC31-AB31)*1440,0))</f>
      </c>
      <c r="AF31" s="1">
        <f>IF(AD31=0,"",IF(AND(F31&lt;&gt;"",ISNA(MATCH(F31,PauschLand,0))),"Land nicht in der Liste; ","")&amp;IF(AND(T31=0,W31=0,Z31=0),"Beginn fehlt; ","")&amp;IF(AND(V31=0,U31=0,AA31=0),"Ende fehlt; ","")&amp;IF(AND(X31=1,U31=1,V31=0,N(D31)&lt;N(C31)),"Ende vor Beginn (über Mitternacht: Ende in die Zeile des Folgetags); ",""))</f>
      </c>
      <c r="AG31" s="1">
        <f>IF(AD31=0,0,IFERROR(VLOOKUP(IF(F31="","Deutschland",F31),PauschTab,2,FALSE),0))</f>
      </c>
      <c r="AH31" s="1">
        <f>IF(AD31=0,0,IFERROR(VLOOKUP(IF(F31="","Deutschland",F31),PauschTab,3,FALSE),0))</f>
      </c>
      <c r="AI31" s="1">
        <f>IF(AD31=0,0,IFERROR(VLOOKUP(IF(F31="","Deutschland",F31),PauschTab,4,FALSE),0))</f>
      </c>
      <c r="AJ31" s="1">
        <f>IF(OR(AD31=0,AF31&lt;&gt;""),0,IF(AND(W31=1,V31&gt;0),IF(OR(T31=1,U31=1),AH31,AG31),IF(OR(W31=1,V31&gt;0),AH31,IF(AA31=1,IF(AND(AE31+AQ31&gt;480,AE31&gt;=AQ31),AH31,0),IF(Z31=1,IF(AND(AR31+AE31&gt;480,AE31&gt;AR31),AH31,0),IF(AE31&gt;480,AH31,0))))))</f>
      </c>
      <c r="AK31" s="1">
        <f>MIN(AJ31,AM31)</f>
      </c>
      <c r="AL31" s="1">
        <f>IF(OR(AD31=0,AF31&lt;&gt;""),"",IF(AND(W31=0,V31=0,AA31=0,Z31=0,AE31&lt;=480),"nicht mehr als 8 Std.; ","")&amp;IF(AA31=1,IF(AJ31&gt;0,"über Mitternacht, zusammen "&amp;TEXT((AE31+AQ31)/1440,"[h]:mm")&amp;" Std.; ",IF(AE31+AQ31&gt;480,"über Mitternacht: Pauschale am Folgetag; ","über Mitternacht, zusammen nicht mehr als 8 Std.; ")),"")&amp;IF(Z31=1,IF(AJ31&gt;0,"über Mitternacht, zusammen "&amp;TEXT((AR31+AE31)/1440,"[h]:mm")&amp;" Std.; ",IF(AR31+AE31&gt;480,"über Mitternacht: Pauschale am Vortag; ","über Mitternacht, zusammen nicht mehr als 8 Std.; ")),"")&amp;IF(AND(W31=1,V31&gt;0,OR(T31=1,U31=1)),"zwischendurch zu Hause: An- und Abreisetag; ","")&amp;IF(AND(W31=1,V31=0,T31=1),"Beginn leer lassen: unterwegs seit dem Vortag; ","")&amp;IF(AND(W31=0,V31&gt;0,U31=1),"Ende leer lassen: Übernachtung; ","")&amp;IF(AND(AJ31&gt;0,AM31&gt;AJ31),"Kürzung auf die Pauschale begrenzt; ",""))</f>
      </c>
      <c r="AM31" s="1">
        <f>ROUND(AG31*(IF(H31&lt;&gt;"",0.2,0)+IF(I31&lt;&gt;"",0.4,0)+IF(J31&lt;&gt;"",0.4,0)),2)</f>
      </c>
      <c r="AN31" s="1">
        <f>IF($A32="",0,T32)</f>
      </c>
      <c r="AO31" s="1">
        <f>IF($A32="",0,U32)</f>
      </c>
      <c r="AP31" s="1">
        <f>IF($A32="",0,V32)</f>
      </c>
      <c r="AQ31" s="1">
        <f>IF($A32="",0,AE32)</f>
      </c>
      <c r="AR31" s="1">
        <f>AE30</f>
      </c>
      <c r="AS31" s="1">
        <f>X30</f>
      </c>
      <c r="AT31" s="1">
        <f>U30</f>
      </c>
      <c r="AU31" s="1">
        <f>V30</f>
      </c>
    </row>
    <row r="32" spans="1:47" x14ac:dyDescent="0.25">
      <c r="A32" s="17">
        <f>IF(MONTH(DATE(Jahr,12,28))=12,DATE(Jahr,12,28),"")</f>
      </c>
      <c r="B32" s="13">
        <f>IF(A32="","",CHOOSE(WEEKDAY(A32,2),"Mo","Di","Mi","Do","Fr","Sa","So"))</f>
      </c>
      <c r="C32" s="18"/>
      <c r="D32" s="18"/>
      <c r="E32" s="7"/>
      <c r="F32" s="7"/>
      <c r="G32" s="7"/>
      <c r="H32" s="19"/>
      <c r="I32" s="19"/>
      <c r="J32" s="19"/>
      <c r="K32" s="9"/>
      <c r="L32" s="20">
        <f>IF(OR(AD32=0,AF32&lt;&gt;"",AND(W32=1,V32&gt;0,OR(T32=1,U32=1))),"",AE32/1440)</f>
      </c>
      <c r="M32" s="21">
        <f>IF(OR(AD32=0,AF32&lt;&gt;""),"",AJ32)</f>
      </c>
      <c r="N32" s="21">
        <f>IF(AK32=0,"",AK32)</f>
      </c>
      <c r="O32" s="21">
        <f>IF(OR(AD32=0,AF32&lt;&gt;""),"",AJ32-AK32)</f>
      </c>
      <c r="P32" s="21">
        <f>IF(AND(AD32=1,AF32="",V32=2),AI32,"")</f>
      </c>
      <c r="Q32" s="21">
        <f>IF(OR($A32="",N(K32)=0),"",ROUND(K32*KmSatz,2))</f>
      </c>
      <c r="R32" s="22">
        <f>IF(AF32&amp;AL32="","",LEFT(AF32&amp;AL32,LEN(AF32&amp;AL32)-2))</f>
      </c>
      <c r="S32" s="1"/>
      <c r="T32" s="1">
        <f>IF(AND($A32&lt;&gt;"",ISNUMBER(C32)),1,0)</f>
      </c>
      <c r="U32" s="1">
        <f>IF(AND($A32&lt;&gt;"",ISNUMBER(D32)),1,0)</f>
      </c>
      <c r="V32" s="1">
        <f>IF($A32="",0,IF(E32="ja",1,IF(E32="Pauschale",2,0)))</f>
      </c>
      <c r="W32" s="1">
        <f>IF($A32="",0,IF(AU32&gt;0,1,0))</f>
      </c>
      <c r="X32" s="1">
        <f>IF(AND(T32=1,W32=0),1,0)</f>
      </c>
      <c r="Y32" s="1">
        <f>IF(AND(AS32=1,AT32=0,AU32=0),1,0)</f>
      </c>
      <c r="Z32" s="1">
        <f>IF(AND(Y32=1,T32=0,U32=1,V32=0),1,0)</f>
      </c>
      <c r="AA32" s="1">
        <f>IF(AND(X32=1,U32=0,V32=0,AN32=0,AO32=1,AP32=0),1,0)</f>
      </c>
      <c r="AB32" s="1">
        <f>IF(OR(W32=1,Z32=1),0,IF(T32=1,C32,0))</f>
      </c>
      <c r="AC32" s="1">
        <f>IF(OR(V32&gt;0,AA32=1),1,IF(U32=1,D32,1))</f>
      </c>
      <c r="AD32" s="1">
        <f>IF($A32="",0,IF(OR(T32=1,U32=1,V32&gt;0,W32=1),1,0))</f>
      </c>
      <c r="AE32" s="1">
        <f>IF(AD32=0,0,ROUND((AC32-AB32)*1440,0))</f>
      </c>
      <c r="AF32" s="1">
        <f>IF(AD32=0,"",IF(AND(F32&lt;&gt;"",ISNA(MATCH(F32,PauschLand,0))),"Land nicht in der Liste; ","")&amp;IF(AND(T32=0,W32=0,Z32=0),"Beginn fehlt; ","")&amp;IF(AND(V32=0,U32=0,AA32=0),"Ende fehlt; ","")&amp;IF(AND(X32=1,U32=1,V32=0,N(D32)&lt;N(C32)),"Ende vor Beginn (über Mitternacht: Ende in die Zeile des Folgetags); ",""))</f>
      </c>
      <c r="AG32" s="1">
        <f>IF(AD32=0,0,IFERROR(VLOOKUP(IF(F32="","Deutschland",F32),PauschTab,2,FALSE),0))</f>
      </c>
      <c r="AH32" s="1">
        <f>IF(AD32=0,0,IFERROR(VLOOKUP(IF(F32="","Deutschland",F32),PauschTab,3,FALSE),0))</f>
      </c>
      <c r="AI32" s="1">
        <f>IF(AD32=0,0,IFERROR(VLOOKUP(IF(F32="","Deutschland",F32),PauschTab,4,FALSE),0))</f>
      </c>
      <c r="AJ32" s="1">
        <f>IF(OR(AD32=0,AF32&lt;&gt;""),0,IF(AND(W32=1,V32&gt;0),IF(OR(T32=1,U32=1),AH32,AG32),IF(OR(W32=1,V32&gt;0),AH32,IF(AA32=1,IF(AND(AE32+AQ32&gt;480,AE32&gt;=AQ32),AH32,0),IF(Z32=1,IF(AND(AR32+AE32&gt;480,AE32&gt;AR32),AH32,0),IF(AE32&gt;480,AH32,0))))))</f>
      </c>
      <c r="AK32" s="1">
        <f>MIN(AJ32,AM32)</f>
      </c>
      <c r="AL32" s="1">
        <f>IF(OR(AD32=0,AF32&lt;&gt;""),"",IF(AND(W32=0,V32=0,AA32=0,Z32=0,AE32&lt;=480),"nicht mehr als 8 Std.; ","")&amp;IF(AA32=1,IF(AJ32&gt;0,"über Mitternacht, zusammen "&amp;TEXT((AE32+AQ32)/1440,"[h]:mm")&amp;" Std.; ",IF(AE32+AQ32&gt;480,"über Mitternacht: Pauschale am Folgetag; ","über Mitternacht, zusammen nicht mehr als 8 Std.; ")),"")&amp;IF(Z32=1,IF(AJ32&gt;0,"über Mitternacht, zusammen "&amp;TEXT((AR32+AE32)/1440,"[h]:mm")&amp;" Std.; ",IF(AR32+AE32&gt;480,"über Mitternacht: Pauschale am Vortag; ","über Mitternacht, zusammen nicht mehr als 8 Std.; ")),"")&amp;IF(AND(W32=1,V32&gt;0,OR(T32=1,U32=1)),"zwischendurch zu Hause: An- und Abreisetag; ","")&amp;IF(AND(W32=1,V32=0,T32=1),"Beginn leer lassen: unterwegs seit dem Vortag; ","")&amp;IF(AND(W32=0,V32&gt;0,U32=1),"Ende leer lassen: Übernachtung; ","")&amp;IF(AND(AJ32&gt;0,AM32&gt;AJ32),"Kürzung auf die Pauschale begrenzt; ",""))</f>
      </c>
      <c r="AM32" s="1">
        <f>ROUND(AG32*(IF(H32&lt;&gt;"",0.2,0)+IF(I32&lt;&gt;"",0.4,0)+IF(J32&lt;&gt;"",0.4,0)),2)</f>
      </c>
      <c r="AN32" s="1">
        <f>IF($A33="",0,T33)</f>
      </c>
      <c r="AO32" s="1">
        <f>IF($A33="",0,U33)</f>
      </c>
      <c r="AP32" s="1">
        <f>IF($A33="",0,V33)</f>
      </c>
      <c r="AQ32" s="1">
        <f>IF($A33="",0,AE33)</f>
      </c>
      <c r="AR32" s="1">
        <f>AE31</f>
      </c>
      <c r="AS32" s="1">
        <f>X31</f>
      </c>
      <c r="AT32" s="1">
        <f>U31</f>
      </c>
      <c r="AU32" s="1">
        <f>V31</f>
      </c>
    </row>
    <row r="33" spans="1:47" x14ac:dyDescent="0.25">
      <c r="A33" s="17">
        <f>IF(MONTH(DATE(Jahr,12,29))=12,DATE(Jahr,12,29),"")</f>
      </c>
      <c r="B33" s="13">
        <f>IF(A33="","",CHOOSE(WEEKDAY(A33,2),"Mo","Di","Mi","Do","Fr","Sa","So"))</f>
      </c>
      <c r="C33" s="18"/>
      <c r="D33" s="18"/>
      <c r="E33" s="7"/>
      <c r="F33" s="7"/>
      <c r="G33" s="7"/>
      <c r="H33" s="19"/>
      <c r="I33" s="19"/>
      <c r="J33" s="19"/>
      <c r="K33" s="9"/>
      <c r="L33" s="20">
        <f>IF(OR(AD33=0,AF33&lt;&gt;"",AND(W33=1,V33&gt;0,OR(T33=1,U33=1))),"",AE33/1440)</f>
      </c>
      <c r="M33" s="21">
        <f>IF(OR(AD33=0,AF33&lt;&gt;""),"",AJ33)</f>
      </c>
      <c r="N33" s="21">
        <f>IF(AK33=0,"",AK33)</f>
      </c>
      <c r="O33" s="21">
        <f>IF(OR(AD33=0,AF33&lt;&gt;""),"",AJ33-AK33)</f>
      </c>
      <c r="P33" s="21">
        <f>IF(AND(AD33=1,AF33="",V33=2),AI33,"")</f>
      </c>
      <c r="Q33" s="21">
        <f>IF(OR($A33="",N(K33)=0),"",ROUND(K33*KmSatz,2))</f>
      </c>
      <c r="R33" s="22">
        <f>IF(AF33&amp;AL33="","",LEFT(AF33&amp;AL33,LEN(AF33&amp;AL33)-2))</f>
      </c>
      <c r="S33" s="1"/>
      <c r="T33" s="1">
        <f>IF(AND($A33&lt;&gt;"",ISNUMBER(C33)),1,0)</f>
      </c>
      <c r="U33" s="1">
        <f>IF(AND($A33&lt;&gt;"",ISNUMBER(D33)),1,0)</f>
      </c>
      <c r="V33" s="1">
        <f>IF($A33="",0,IF(E33="ja",1,IF(E33="Pauschale",2,0)))</f>
      </c>
      <c r="W33" s="1">
        <f>IF($A33="",0,IF(AU33&gt;0,1,0))</f>
      </c>
      <c r="X33" s="1">
        <f>IF(AND(T33=1,W33=0),1,0)</f>
      </c>
      <c r="Y33" s="1">
        <f>IF(AND(AS33=1,AT33=0,AU33=0),1,0)</f>
      </c>
      <c r="Z33" s="1">
        <f>IF(AND(Y33=1,T33=0,U33=1,V33=0),1,0)</f>
      </c>
      <c r="AA33" s="1">
        <f>IF(AND(X33=1,U33=0,V33=0,AN33=0,AO33=1,AP33=0),1,0)</f>
      </c>
      <c r="AB33" s="1">
        <f>IF(OR(W33=1,Z33=1),0,IF(T33=1,C33,0))</f>
      </c>
      <c r="AC33" s="1">
        <f>IF(OR(V33&gt;0,AA33=1),1,IF(U33=1,D33,1))</f>
      </c>
      <c r="AD33" s="1">
        <f>IF($A33="",0,IF(OR(T33=1,U33=1,V33&gt;0,W33=1),1,0))</f>
      </c>
      <c r="AE33" s="1">
        <f>IF(AD33=0,0,ROUND((AC33-AB33)*1440,0))</f>
      </c>
      <c r="AF33" s="1">
        <f>IF(AD33=0,"",IF(AND(F33&lt;&gt;"",ISNA(MATCH(F33,PauschLand,0))),"Land nicht in der Liste; ","")&amp;IF(AND(T33=0,W33=0,Z33=0),"Beginn fehlt; ","")&amp;IF(AND(V33=0,U33=0,AA33=0),"Ende fehlt; ","")&amp;IF(AND(X33=1,U33=1,V33=0,N(D33)&lt;N(C33)),"Ende vor Beginn (über Mitternacht: Ende in die Zeile des Folgetags); ",""))</f>
      </c>
      <c r="AG33" s="1">
        <f>IF(AD33=0,0,IFERROR(VLOOKUP(IF(F33="","Deutschland",F33),PauschTab,2,FALSE),0))</f>
      </c>
      <c r="AH33" s="1">
        <f>IF(AD33=0,0,IFERROR(VLOOKUP(IF(F33="","Deutschland",F33),PauschTab,3,FALSE),0))</f>
      </c>
      <c r="AI33" s="1">
        <f>IF(AD33=0,0,IFERROR(VLOOKUP(IF(F33="","Deutschland",F33),PauschTab,4,FALSE),0))</f>
      </c>
      <c r="AJ33" s="1">
        <f>IF(OR(AD33=0,AF33&lt;&gt;""),0,IF(AND(W33=1,V33&gt;0),IF(OR(T33=1,U33=1),AH33,AG33),IF(OR(W33=1,V33&gt;0),AH33,IF(AA33=1,IF(AND(AE33+AQ33&gt;480,AE33&gt;=AQ33),AH33,0),IF(Z33=1,IF(AND(AR33+AE33&gt;480,AE33&gt;AR33),AH33,0),IF(AE33&gt;480,AH33,0))))))</f>
      </c>
      <c r="AK33" s="1">
        <f>MIN(AJ33,AM33)</f>
      </c>
      <c r="AL33" s="1">
        <f>IF(OR(AD33=0,AF33&lt;&gt;""),"",IF(AND(W33=0,V33=0,AA33=0,Z33=0,AE33&lt;=480),"nicht mehr als 8 Std.; ","")&amp;IF(AA33=1,IF(AJ33&gt;0,"über Mitternacht, zusammen "&amp;TEXT((AE33+AQ33)/1440,"[h]:mm")&amp;" Std.; ",IF(AE33+AQ33&gt;480,"über Mitternacht: Pauschale am Folgetag; ","über Mitternacht, zusammen nicht mehr als 8 Std.; ")),"")&amp;IF(Z33=1,IF(AJ33&gt;0,"über Mitternacht, zusammen "&amp;TEXT((AR33+AE33)/1440,"[h]:mm")&amp;" Std.; ",IF(AR33+AE33&gt;480,"über Mitternacht: Pauschale am Vortag; ","über Mitternacht, zusammen nicht mehr als 8 Std.; ")),"")&amp;IF(AND(W33=1,V33&gt;0,OR(T33=1,U33=1)),"zwischendurch zu Hause: An- und Abreisetag; ","")&amp;IF(AND(W33=1,V33=0,T33=1),"Beginn leer lassen: unterwegs seit dem Vortag; ","")&amp;IF(AND(W33=0,V33&gt;0,U33=1),"Ende leer lassen: Übernachtung; ","")&amp;IF(AND(AJ33&gt;0,AM33&gt;AJ33),"Kürzung auf die Pauschale begrenzt; ",""))</f>
      </c>
      <c r="AM33" s="1">
        <f>ROUND(AG33*(IF(H33&lt;&gt;"",0.2,0)+IF(I33&lt;&gt;"",0.4,0)+IF(J33&lt;&gt;"",0.4,0)),2)</f>
      </c>
      <c r="AN33" s="1">
        <f>IF($A34="",0,T34)</f>
      </c>
      <c r="AO33" s="1">
        <f>IF($A34="",0,U34)</f>
      </c>
      <c r="AP33" s="1">
        <f>IF($A34="",0,V34)</f>
      </c>
      <c r="AQ33" s="1">
        <f>IF($A34="",0,AE34)</f>
      </c>
      <c r="AR33" s="1">
        <f>AE32</f>
      </c>
      <c r="AS33" s="1">
        <f>X32</f>
      </c>
      <c r="AT33" s="1">
        <f>U32</f>
      </c>
      <c r="AU33" s="1">
        <f>V32</f>
      </c>
    </row>
    <row r="34" spans="1:47" x14ac:dyDescent="0.25">
      <c r="A34" s="17">
        <f>IF(MONTH(DATE(Jahr,12,30))=12,DATE(Jahr,12,30),"")</f>
      </c>
      <c r="B34" s="13">
        <f>IF(A34="","",CHOOSE(WEEKDAY(A34,2),"Mo","Di","Mi","Do","Fr","Sa","So"))</f>
      </c>
      <c r="C34" s="18"/>
      <c r="D34" s="18"/>
      <c r="E34" s="7"/>
      <c r="F34" s="7"/>
      <c r="G34" s="7"/>
      <c r="H34" s="19"/>
      <c r="I34" s="19"/>
      <c r="J34" s="19"/>
      <c r="K34" s="9"/>
      <c r="L34" s="20">
        <f>IF(OR(AD34=0,AF34&lt;&gt;"",AND(W34=1,V34&gt;0,OR(T34=1,U34=1))),"",AE34/1440)</f>
      </c>
      <c r="M34" s="21">
        <f>IF(OR(AD34=0,AF34&lt;&gt;""),"",AJ34)</f>
      </c>
      <c r="N34" s="21">
        <f>IF(AK34=0,"",AK34)</f>
      </c>
      <c r="O34" s="21">
        <f>IF(OR(AD34=0,AF34&lt;&gt;""),"",AJ34-AK34)</f>
      </c>
      <c r="P34" s="21">
        <f>IF(AND(AD34=1,AF34="",V34=2),AI34,"")</f>
      </c>
      <c r="Q34" s="21">
        <f>IF(OR($A34="",N(K34)=0),"",ROUND(K34*KmSatz,2))</f>
      </c>
      <c r="R34" s="22">
        <f>IF(AF34&amp;AL34="","",LEFT(AF34&amp;AL34,LEN(AF34&amp;AL34)-2))</f>
      </c>
      <c r="S34" s="1"/>
      <c r="T34" s="1">
        <f>IF(AND($A34&lt;&gt;"",ISNUMBER(C34)),1,0)</f>
      </c>
      <c r="U34" s="1">
        <f>IF(AND($A34&lt;&gt;"",ISNUMBER(D34)),1,0)</f>
      </c>
      <c r="V34" s="1">
        <f>IF($A34="",0,IF(E34="ja",1,IF(E34="Pauschale",2,0)))</f>
      </c>
      <c r="W34" s="1">
        <f>IF($A34="",0,IF(AU34&gt;0,1,0))</f>
      </c>
      <c r="X34" s="1">
        <f>IF(AND(T34=1,W34=0),1,0)</f>
      </c>
      <c r="Y34" s="1">
        <f>IF(AND(AS34=1,AT34=0,AU34=0),1,0)</f>
      </c>
      <c r="Z34" s="1">
        <f>IF(AND(Y34=1,T34=0,U34=1,V34=0),1,0)</f>
      </c>
      <c r="AA34" s="1">
        <f>IF(AND(X34=1,U34=0,V34=0,AN34=0,AO34=1,AP34=0),1,0)</f>
      </c>
      <c r="AB34" s="1">
        <f>IF(OR(W34=1,Z34=1),0,IF(T34=1,C34,0))</f>
      </c>
      <c r="AC34" s="1">
        <f>IF(OR(V34&gt;0,AA34=1),1,IF(U34=1,D34,1))</f>
      </c>
      <c r="AD34" s="1">
        <f>IF($A34="",0,IF(OR(T34=1,U34=1,V34&gt;0,W34=1),1,0))</f>
      </c>
      <c r="AE34" s="1">
        <f>IF(AD34=0,0,ROUND((AC34-AB34)*1440,0))</f>
      </c>
      <c r="AF34" s="1">
        <f>IF(AD34=0,"",IF(AND(F34&lt;&gt;"",ISNA(MATCH(F34,PauschLand,0))),"Land nicht in der Liste; ","")&amp;IF(AND(T34=0,W34=0,Z34=0),"Beginn fehlt; ","")&amp;IF(AND(V34=0,U34=0,AA34=0),"Ende fehlt; ","")&amp;IF(AND(X34=1,U34=1,V34=0,N(D34)&lt;N(C34)),"Ende vor Beginn (über Mitternacht: Ende in die Zeile des Folgetags); ",""))</f>
      </c>
      <c r="AG34" s="1">
        <f>IF(AD34=0,0,IFERROR(VLOOKUP(IF(F34="","Deutschland",F34),PauschTab,2,FALSE),0))</f>
      </c>
      <c r="AH34" s="1">
        <f>IF(AD34=0,0,IFERROR(VLOOKUP(IF(F34="","Deutschland",F34),PauschTab,3,FALSE),0))</f>
      </c>
      <c r="AI34" s="1">
        <f>IF(AD34=0,0,IFERROR(VLOOKUP(IF(F34="","Deutschland",F34),PauschTab,4,FALSE),0))</f>
      </c>
      <c r="AJ34" s="1">
        <f>IF(OR(AD34=0,AF34&lt;&gt;""),0,IF(AND(W34=1,V34&gt;0),IF(OR(T34=1,U34=1),AH34,AG34),IF(OR(W34=1,V34&gt;0),AH34,IF(AA34=1,IF(AND(AE34+AQ34&gt;480,AE34&gt;=AQ34),AH34,0),IF(Z34=1,IF(AND(AR34+AE34&gt;480,AE34&gt;AR34),AH34,0),IF(AE34&gt;480,AH34,0))))))</f>
      </c>
      <c r="AK34" s="1">
        <f>MIN(AJ34,AM34)</f>
      </c>
      <c r="AL34" s="1">
        <f>IF(OR(AD34=0,AF34&lt;&gt;""),"",IF(AND(W34=0,V34=0,AA34=0,Z34=0,AE34&lt;=480),"nicht mehr als 8 Std.; ","")&amp;IF(AA34=1,IF(AJ34&gt;0,"über Mitternacht, zusammen "&amp;TEXT((AE34+AQ34)/1440,"[h]:mm")&amp;" Std.; ",IF(AE34+AQ34&gt;480,"über Mitternacht: Pauschale am Folgetag; ","über Mitternacht, zusammen nicht mehr als 8 Std.; ")),"")&amp;IF(Z34=1,IF(AJ34&gt;0,"über Mitternacht, zusammen "&amp;TEXT((AR34+AE34)/1440,"[h]:mm")&amp;" Std.; ",IF(AR34+AE34&gt;480,"über Mitternacht: Pauschale am Vortag; ","über Mitternacht, zusammen nicht mehr als 8 Std.; ")),"")&amp;IF(AND(W34=1,V34&gt;0,OR(T34=1,U34=1)),"zwischendurch zu Hause: An- und Abreisetag; ","")&amp;IF(AND(W34=1,V34=0,T34=1),"Beginn leer lassen: unterwegs seit dem Vortag; ","")&amp;IF(AND(W34=0,V34&gt;0,U34=1),"Ende leer lassen: Übernachtung; ","")&amp;IF(AND(AJ34&gt;0,AM34&gt;AJ34),"Kürzung auf die Pauschale begrenzt; ",""))</f>
      </c>
      <c r="AM34" s="1">
        <f>ROUND(AG34*(IF(H34&lt;&gt;"",0.2,0)+IF(I34&lt;&gt;"",0.4,0)+IF(J34&lt;&gt;"",0.4,0)),2)</f>
      </c>
      <c r="AN34" s="1">
        <f>IF($A35="",0,T35)</f>
      </c>
      <c r="AO34" s="1">
        <f>IF($A35="",0,U35)</f>
      </c>
      <c r="AP34" s="1">
        <f>IF($A35="",0,V35)</f>
      </c>
      <c r="AQ34" s="1">
        <f>IF($A35="",0,AE35)</f>
      </c>
      <c r="AR34" s="1">
        <f>AE33</f>
      </c>
      <c r="AS34" s="1">
        <f>X33</f>
      </c>
      <c r="AT34" s="1">
        <f>U33</f>
      </c>
      <c r="AU34" s="1">
        <f>V33</f>
      </c>
    </row>
    <row r="35" spans="1:47" x14ac:dyDescent="0.25">
      <c r="A35" s="17">
        <f>IF(MONTH(DATE(Jahr,12,31))=12,DATE(Jahr,12,31),"")</f>
      </c>
      <c r="B35" s="13">
        <f>IF(A35="","",CHOOSE(WEEKDAY(A35,2),"Mo","Di","Mi","Do","Fr","Sa","So"))</f>
      </c>
      <c r="C35" s="18"/>
      <c r="D35" s="18"/>
      <c r="E35" s="7"/>
      <c r="F35" s="7"/>
      <c r="G35" s="7"/>
      <c r="H35" s="19"/>
      <c r="I35" s="19"/>
      <c r="J35" s="19"/>
      <c r="K35" s="9"/>
      <c r="L35" s="20">
        <f>IF(OR(AD35=0,AF35&lt;&gt;"",AND(W35=1,V35&gt;0,OR(T35=1,U35=1))),"",AE35/1440)</f>
      </c>
      <c r="M35" s="21">
        <f>IF(OR(AD35=0,AF35&lt;&gt;""),"",AJ35)</f>
      </c>
      <c r="N35" s="21">
        <f>IF(AK35=0,"",AK35)</f>
      </c>
      <c r="O35" s="21">
        <f>IF(OR(AD35=0,AF35&lt;&gt;""),"",AJ35-AK35)</f>
      </c>
      <c r="P35" s="21">
        <f>IF(AND(AD35=1,AF35="",V35=2),AI35,"")</f>
      </c>
      <c r="Q35" s="21">
        <f>IF(OR($A35="",N(K35)=0),"",ROUND(K35*KmSatz,2))</f>
      </c>
      <c r="R35" s="22">
        <f>IF(AF35&amp;AL35="","",LEFT(AF35&amp;AL35,LEN(AF35&amp;AL35)-2))</f>
      </c>
      <c r="S35" s="1"/>
      <c r="T35" s="1">
        <f>IF(AND($A35&lt;&gt;"",ISNUMBER(C35)),1,0)</f>
      </c>
      <c r="U35" s="1">
        <f>IF(AND($A35&lt;&gt;"",ISNUMBER(D35)),1,0)</f>
      </c>
      <c r="V35" s="1">
        <f>IF($A35="",0,IF(E35="ja",1,IF(E35="Pauschale",2,0)))</f>
      </c>
      <c r="W35" s="1">
        <f>IF($A35="",0,IF(AU35&gt;0,1,0))</f>
      </c>
      <c r="X35" s="1">
        <f>IF(AND(T35=1,W35=0),1,0)</f>
      </c>
      <c r="Y35" s="1">
        <f>IF(AND(AS35=1,AT35=0,AU35=0),1,0)</f>
      </c>
      <c r="Z35" s="1">
        <f>IF(AND(Y35=1,T35=0,U35=1,V35=0),1,0)</f>
      </c>
      <c r="AA35" s="1">
        <f>IF(AND(X35=1,U35=0,V35=0,AN35=0,AO35=1,AP35=0),1,0)</f>
      </c>
      <c r="AB35" s="1">
        <f>IF(OR(W35=1,Z35=1),0,IF(T35=1,C35,0))</f>
      </c>
      <c r="AC35" s="1">
        <f>IF(OR(V35&gt;0,AA35=1),1,IF(U35=1,D35,1))</f>
      </c>
      <c r="AD35" s="1">
        <f>IF($A35="",0,IF(OR(T35=1,U35=1,V35&gt;0,W35=1),1,0))</f>
      </c>
      <c r="AE35" s="1">
        <f>IF(AD35=0,0,ROUND((AC35-AB35)*1440,0))</f>
      </c>
      <c r="AF35" s="1">
        <f>IF(AD35=0,"",IF(AND(F35&lt;&gt;"",ISNA(MATCH(F35,PauschLand,0))),"Land nicht in der Liste; ","")&amp;IF(AND(T35=0,W35=0,Z35=0),"Beginn fehlt; ","")&amp;IF(AND(V35=0,U35=0,AA35=0),"Ende fehlt; ","")&amp;IF(AND(X35=1,U35=1,V35=0,N(D35)&lt;N(C35)),"Ende vor Beginn (über Mitternacht: Ende in die Zeile des Folgetags); ",""))</f>
      </c>
      <c r="AG35" s="1">
        <f>IF(AD35=0,0,IFERROR(VLOOKUP(IF(F35="","Deutschland",F35),PauschTab,2,FALSE),0))</f>
      </c>
      <c r="AH35" s="1">
        <f>IF(AD35=0,0,IFERROR(VLOOKUP(IF(F35="","Deutschland",F35),PauschTab,3,FALSE),0))</f>
      </c>
      <c r="AI35" s="1">
        <f>IF(AD35=0,0,IFERROR(VLOOKUP(IF(F35="","Deutschland",F35),PauschTab,4,FALSE),0))</f>
      </c>
      <c r="AJ35" s="1">
        <f>IF(OR(AD35=0,AF35&lt;&gt;""),0,IF(AND(W35=1,V35&gt;0),IF(OR(T35=1,U35=1),AH35,AG35),IF(OR(W35=1,V35&gt;0),AH35,IF(AA35=1,IF(AND(AE35+AQ35&gt;480,AE35&gt;=AQ35),AH35,0),IF(Z35=1,IF(AND(AR35+AE35&gt;480,AE35&gt;AR35),AH35,0),IF(AE35&gt;480,AH35,0))))))</f>
      </c>
      <c r="AK35" s="1">
        <f>MIN(AJ35,AM35)</f>
      </c>
      <c r="AL35" s="1">
        <f>IF(OR(AD35=0,AF35&lt;&gt;""),"",IF(AND(W35=0,V35=0,AA35=0,Z35=0,AE35&lt;=480),"nicht mehr als 8 Std.; ","")&amp;IF(AA35=1,IF(AJ35&gt;0,"über Mitternacht, zusammen "&amp;TEXT((AE35+AQ35)/1440,"[h]:mm")&amp;" Std.; ",IF(AE35+AQ35&gt;480,"über Mitternacht: Pauschale am Folgetag; ","über Mitternacht, zusammen nicht mehr als 8 Std.; ")),"")&amp;IF(Z35=1,IF(AJ35&gt;0,"über Mitternacht, zusammen "&amp;TEXT((AR35+AE35)/1440,"[h]:mm")&amp;" Std.; ",IF(AR35+AE35&gt;480,"über Mitternacht: Pauschale am Vortag; ","über Mitternacht, zusammen nicht mehr als 8 Std.; ")),"")&amp;IF(AND(W35=1,V35&gt;0,OR(T35=1,U35=1)),"zwischendurch zu Hause: An- und Abreisetag; ","")&amp;IF(AND(W35=1,V35=0,T35=1),"Beginn leer lassen: unterwegs seit dem Vortag; ","")&amp;IF(AND(W35=0,V35&gt;0,U35=1),"Ende leer lassen: Übernachtung; ","")&amp;IF(AND(AJ35&gt;0,AM35&gt;AJ35),"Kürzung auf die Pauschale begrenzt; ",""))</f>
      </c>
      <c r="AM35" s="1">
        <f>ROUND(AG35*(IF(H35&lt;&gt;"",0.2,0)+IF(I35&lt;&gt;"",0.4,0)+IF(J35&lt;&gt;"",0.4,0)),2)</f>
      </c>
      <c r="AN35" s="1">
        <f>0</f>
      </c>
      <c r="AO35" s="1">
        <f>0</f>
      </c>
      <c r="AP35" s="1">
        <f>0</f>
      </c>
      <c r="AQ35" s="1">
        <f>0</f>
      </c>
      <c r="AR35" s="1">
        <f>AE34</f>
      </c>
      <c r="AS35" s="1">
        <f>X34</f>
      </c>
      <c r="AT35" s="1">
        <f>U34</f>
      </c>
      <c r="AU35" s="1">
        <f>V34</f>
      </c>
    </row>
    <row r="37" spans="1:21" x14ac:dyDescent="0.25">
      <c r="A37" s="23">
        <f>"Abrechnung Dezember "&amp;Jahr</f>
      </c>
      <c r="B37" s="1"/>
      <c r="C37" s="1"/>
      <c r="D37" s="1"/>
      <c r="E37" s="1"/>
      <c r="F37" s="1"/>
      <c r="G37" s="1"/>
      <c r="H37" s="1"/>
      <c r="I37" s="1"/>
      <c r="J37" s="1"/>
      <c r="K37" s="23">
        <f>"Buchung ("&amp;Kontenrahmen&amp;IF(Vorsteuerabzug="nein",", ohne Vorsteuer","")&amp;")"</f>
      </c>
      <c r="L37" s="1"/>
      <c r="M37" s="1"/>
      <c r="N37" s="1"/>
      <c r="O37" s="1"/>
      <c r="P37" s="1"/>
      <c r="Q37" s="1"/>
      <c r="R37" s="1"/>
      <c r="S37" s="1"/>
      <c r="T37" s="1">
        <f>COUNTIF(AD5:AD35,1)</f>
      </c>
      <c r="U37" s="1">
        <f>SUM(K5:K35)</f>
      </c>
    </row>
    <row r="38" spans="1:19" x14ac:dyDescent="0.25">
      <c r="A38" s="6" t="s">
        <v>49</v>
      </c>
      <c r="B38" s="6"/>
      <c r="C38" s="6"/>
      <c r="D38" s="6"/>
      <c r="E38" s="6"/>
      <c r="F38" s="6"/>
      <c r="G38" s="24">
        <f>SUM(O5:O35)</f>
      </c>
      <c r="H38" s="1"/>
      <c r="I38" s="1"/>
      <c r="J38" s="1"/>
      <c r="K38" s="25">
        <f>KtoVerpflegung</f>
      </c>
      <c r="L38" s="1" t="s">
        <v>49</v>
      </c>
      <c r="M38" s="1"/>
      <c r="N38" s="1"/>
      <c r="O38" s="1"/>
      <c r="P38" s="1"/>
      <c r="Q38" s="1"/>
      <c r="R38" s="26">
        <f>S38</f>
      </c>
      <c r="S38" s="1">
        <f>G38</f>
      </c>
    </row>
    <row r="39" spans="1:19" x14ac:dyDescent="0.25">
      <c r="A39" s="6" t="s">
        <v>75</v>
      </c>
      <c r="B39" s="6"/>
      <c r="C39" s="6"/>
      <c r="D39" s="6"/>
      <c r="E39" s="6"/>
      <c r="F39" s="6"/>
      <c r="G39" s="24">
        <f>SUMIFS(Belege!$O$5:$O$304,Belege!$L$5:$L$304,12,Belege!$C$5:$C$304,"Übernachtung")+SUM(P5:P35)</f>
      </c>
      <c r="H39" s="1"/>
      <c r="I39" s="1"/>
      <c r="J39" s="1"/>
      <c r="K39" s="25">
        <f>KtoUebernachtung</f>
      </c>
      <c r="L39" s="1" t="s">
        <v>50</v>
      </c>
      <c r="M39" s="1"/>
      <c r="N39" s="1"/>
      <c r="O39" s="1"/>
      <c r="P39" s="1"/>
      <c r="Q39" s="1"/>
      <c r="R39" s="26">
        <f>S39</f>
      </c>
      <c r="S39" s="1">
        <f>IF(Vorsteuerabzug="nein",SUMIFS(Belege!$O$5:$O$304,Belege!$L$5:$L$304,12,Belege!$C$5:$C$304,"Übernachtung"),SUMIFS(Belege!$P$5:$P$304,Belege!$L$5:$L$304,12,Belege!$C$5:$C$304,"Übernachtung"))+SUM(P5:P35)</f>
      </c>
    </row>
    <row r="40" spans="1:19" x14ac:dyDescent="0.25">
      <c r="A40" s="6" t="s">
        <v>76</v>
      </c>
      <c r="B40" s="6"/>
      <c r="C40" s="6"/>
      <c r="D40" s="6"/>
      <c r="E40" s="6"/>
      <c r="F40" s="6"/>
      <c r="G40" s="24">
        <f>SUMIFS(Belege!$O$5:$O$304,Belege!$L$5:$L$304,12,Belege!$C$5:$C$304,"Fahrtkosten")</f>
      </c>
      <c r="H40" s="1"/>
      <c r="I40" s="1"/>
      <c r="J40" s="1"/>
      <c r="K40" s="25">
        <f>KtoFahrtkosten</f>
      </c>
      <c r="L40" s="1" t="s">
        <v>51</v>
      </c>
      <c r="M40" s="1"/>
      <c r="N40" s="1"/>
      <c r="O40" s="1"/>
      <c r="P40" s="1"/>
      <c r="Q40" s="1"/>
      <c r="R40" s="26">
        <f>S40</f>
      </c>
      <c r="S40" s="1">
        <f>IF(Vorsteuerabzug="nein",SUMIFS(Belege!$O$5:$O$304,Belege!$L$5:$L$304,12,Belege!$C$5:$C$304,"Fahrtkosten"),SUMIFS(Belege!$P$5:$P$304,Belege!$L$5:$L$304,12,Belege!$C$5:$C$304,"Fahrtkosten"))</f>
      </c>
    </row>
    <row r="41" spans="1:19" x14ac:dyDescent="0.25">
      <c r="A41" s="6">
        <f>"Kilometergeld ("&amp;SUM(K5:K35)&amp;" km zu "&amp;IF(KmSatz=0.2,"0,20","0,30")&amp;" €)"</f>
      </c>
      <c r="B41" s="6"/>
      <c r="C41" s="6"/>
      <c r="D41" s="6"/>
      <c r="E41" s="6"/>
      <c r="F41" s="6"/>
      <c r="G41" s="24">
        <f>SUM(Q5:Q35)</f>
      </c>
      <c r="H41" s="1"/>
      <c r="I41" s="1"/>
      <c r="J41" s="1"/>
      <c r="K41" s="25">
        <f>KtoKilometergeld</f>
      </c>
      <c r="L41" s="1" t="s">
        <v>52</v>
      </c>
      <c r="M41" s="1"/>
      <c r="N41" s="1"/>
      <c r="O41" s="1"/>
      <c r="P41" s="1"/>
      <c r="Q41" s="1"/>
      <c r="R41" s="26">
        <f>S41</f>
      </c>
      <c r="S41" s="1">
        <f>G41</f>
      </c>
    </row>
    <row r="42" spans="1:19" x14ac:dyDescent="0.25">
      <c r="A42" s="6" t="s">
        <v>77</v>
      </c>
      <c r="B42" s="6"/>
      <c r="C42" s="6"/>
      <c r="D42" s="6"/>
      <c r="E42" s="6"/>
      <c r="F42" s="6"/>
      <c r="G42" s="24">
        <f>SUMIFS(Belege!$O$5:$O$304,Belege!$L$5:$L$304,12,Belege!$C$5:$C$304,"Nebenkosten")</f>
      </c>
      <c r="H42" s="1"/>
      <c r="I42" s="1"/>
      <c r="J42" s="1"/>
      <c r="K42" s="25">
        <f>KtoNebenkosten</f>
      </c>
      <c r="L42" s="1" t="s">
        <v>53</v>
      </c>
      <c r="M42" s="1"/>
      <c r="N42" s="1"/>
      <c r="O42" s="1"/>
      <c r="P42" s="1"/>
      <c r="Q42" s="1"/>
      <c r="R42" s="26">
        <f>S42</f>
      </c>
      <c r="S42" s="1">
        <f>IF(Vorsteuerabzug="nein",SUMIFS(Belege!$O$5:$O$304,Belege!$L$5:$L$304,12,Belege!$C$5:$C$304,"Nebenkosten"),SUMIFS(Belege!$P$5:$P$304,Belege!$L$5:$L$304,12,Belege!$C$5:$C$304,"Nebenkosten"))</f>
      </c>
    </row>
    <row r="43" spans="1:19" x14ac:dyDescent="0.25">
      <c r="A43" s="11" t="s">
        <v>78</v>
      </c>
      <c r="B43" s="11"/>
      <c r="C43" s="11"/>
      <c r="D43" s="11"/>
      <c r="E43" s="11"/>
      <c r="F43" s="11"/>
      <c r="G43" s="27">
        <f>SUM(G38:G42)</f>
      </c>
      <c r="H43" s="1"/>
      <c r="I43" s="1"/>
      <c r="J43" s="1"/>
      <c r="K43" s="25">
        <f>KtoVSt7</f>
      </c>
      <c r="L43" s="1" t="s">
        <v>54</v>
      </c>
      <c r="M43" s="1"/>
      <c r="N43" s="1"/>
      <c r="O43" s="1"/>
      <c r="P43" s="1"/>
      <c r="Q43" s="1"/>
      <c r="R43" s="26">
        <f>IF(Vorsteuerabzug="nein","",S43)</f>
      </c>
      <c r="S43" s="1">
        <f>IF(Vorsteuerabzug="nein",0,SUMIFS(Belege!$Q$5:$Q$304,Belege!$L$5:$L$304,12,Belege!$M$5:$M$304,0.07))</f>
      </c>
    </row>
    <row r="44" spans="1:19" x14ac:dyDescent="0.25">
      <c r="A44" s="6" t="s">
        <v>79</v>
      </c>
      <c r="B44" s="6"/>
      <c r="C44" s="6"/>
      <c r="D44" s="6"/>
      <c r="E44" s="6"/>
      <c r="F44" s="6"/>
      <c r="G44" s="28"/>
      <c r="H44" s="1"/>
      <c r="I44" s="1"/>
      <c r="J44" s="1"/>
      <c r="K44" s="25">
        <f>KtoVSt19</f>
      </c>
      <c r="L44" s="1" t="s">
        <v>55</v>
      </c>
      <c r="M44" s="1"/>
      <c r="N44" s="1"/>
      <c r="O44" s="1"/>
      <c r="P44" s="1"/>
      <c r="Q44" s="1"/>
      <c r="R44" s="26">
        <f>IF(Vorsteuerabzug="nein","",S44)</f>
      </c>
      <c r="S44" s="1">
        <f>IF(Vorsteuerabzug="nein",0,SUMIFS(Belege!$Q$5:$Q$304,Belege!$L$5:$L$304,12,Belege!$M$5:$M$304,0.19))</f>
      </c>
    </row>
    <row r="45" spans="1:18" x14ac:dyDescent="0.25">
      <c r="A45" s="11" t="s">
        <v>80</v>
      </c>
      <c r="B45" s="11"/>
      <c r="C45" s="11"/>
      <c r="D45" s="11"/>
      <c r="E45" s="11"/>
      <c r="F45" s="11"/>
      <c r="G45" s="27">
        <f>G43-N(G44)</f>
      </c>
      <c r="H45" s="1"/>
      <c r="I45" s="1"/>
      <c r="J45" s="1"/>
      <c r="K45" s="11" t="s">
        <v>81</v>
      </c>
      <c r="L45" s="11"/>
      <c r="M45" s="11"/>
      <c r="N45" s="11"/>
      <c r="O45" s="11"/>
      <c r="P45" s="11"/>
      <c r="Q45" s="11"/>
      <c r="R45" s="27">
        <f>SUM(S38:S44)</f>
      </c>
    </row>
    <row r="46" spans="1:7" x14ac:dyDescent="0.25">
      <c r="A46" s="29" t="s">
        <v>82</v>
      </c>
      <c r="B46" s="29"/>
      <c r="C46" s="29"/>
      <c r="D46" s="29"/>
      <c r="E46" s="29"/>
      <c r="F46" s="29"/>
      <c r="G46" s="30">
        <f>SUMIFS(Belege!$E$5:$E$304,Belege!$L$5:$L$304,12,Belege!$N$5:$N$304,0)</f>
      </c>
    </row>
    <row r="49" spans="1:18" x14ac:dyDescent="0.25">
      <c r="A49" s="31"/>
      <c r="B49" s="31"/>
      <c r="C49" s="31"/>
      <c r="D49" s="31"/>
      <c r="E49" s="31"/>
      <c r="F49" s="31"/>
      <c r="G49" s="31"/>
      <c r="H49" s="31"/>
      <c r="I49" s="31"/>
      <c r="J49" s="31"/>
      <c r="K49" s="31"/>
      <c r="M49" s="31"/>
      <c r="N49" s="31"/>
      <c r="O49" s="31"/>
      <c r="P49" s="31"/>
      <c r="Q49" s="31"/>
      <c r="R49" s="31"/>
    </row>
    <row r="50" spans="1:13" x14ac:dyDescent="0.25">
      <c r="A50" s="32" t="s">
        <v>83</v>
      </c>
      <c r="B50" s="1"/>
      <c r="C50" s="1"/>
      <c r="D50" s="1"/>
      <c r="E50" s="1"/>
      <c r="F50" s="1"/>
      <c r="G50" s="32" t="s">
        <v>84</v>
      </c>
      <c r="H50" s="1"/>
      <c r="I50" s="1"/>
      <c r="J50" s="1"/>
      <c r="K50" s="1"/>
      <c r="L50" s="1"/>
      <c r="M50" s="32" t="s">
        <v>85</v>
      </c>
    </row>
  </sheetData>
  <sheetProtection sheet="1" formatCells="0" formatColumns="0" formatRows="0"/>
  <mergeCells count="17">
    <mergeCell ref="A38:F38"/>
    <mergeCell ref="L38:Q38"/>
    <mergeCell ref="A39:F39"/>
    <mergeCell ref="L39:Q39"/>
    <mergeCell ref="A40:F40"/>
    <mergeCell ref="L40:Q40"/>
    <mergeCell ref="A41:F41"/>
    <mergeCell ref="L41:Q41"/>
    <mergeCell ref="A42:F42"/>
    <mergeCell ref="L42:Q42"/>
    <mergeCell ref="A43:F43"/>
    <mergeCell ref="L43:Q43"/>
    <mergeCell ref="A44:F44"/>
    <mergeCell ref="L44:Q44"/>
    <mergeCell ref="A45:F45"/>
    <mergeCell ref="K45:Q45"/>
    <mergeCell ref="A46:F46"/>
  </mergeCells>
  <conditionalFormatting sqref="A5:Q35">
    <cfRule type="expression" dxfId="66" priority="1">
      <formula>$A5=""</formula>
    </cfRule>
    <cfRule type="expression" dxfId="67" priority="2">
      <formula>WEEKDAY($A5,2)&gt;5</formula>
    </cfRule>
  </conditionalFormatting>
  <conditionalFormatting sqref="R5:R35">
    <cfRule type="expression" dxfId="68" priority="3">
      <formula>$A5=""</formula>
    </cfRule>
    <cfRule type="expression" dxfId="69" priority="4">
      <formula>AND($AF5&lt;&gt;"",WEEKDAY($A5,2)&gt;5)</formula>
    </cfRule>
    <cfRule type="expression" dxfId="70" priority="5">
      <formula>$AF5&lt;&gt;""</formula>
    </cfRule>
    <cfRule type="expression" dxfId="71" priority="6">
      <formula>WEEKDAY($A5,2)&gt;5</formula>
    </cfRule>
  </conditionalFormatting>
  <dataValidations count="11">
    <dataValidation type="decimal" allowBlank="1" showErrorMessage="1" errorTitle="Uhrzeit" error="Bitte als Uhrzeit hh:mm eingeben, z. B. 7:30 oder 16:45." sqref="C10:D35">
      <formula1>0</formula1>
      <formula2>0.99999</formula2>
    </dataValidation>
    <dataValidation type="decimal" allowBlank="1" showErrorMessage="1" errorTitle="Uhrzeit" error="Bitte als Uhrzeit hh:mm eingeben, z. B. 7:30 oder 16:45." sqref="C5:D35">
      <formula1>0</formula1>
      <formula2>0.99999</formula2>
    </dataValidation>
    <dataValidation type="list" allowBlank="1" showErrorMessage="1" errorTitle="Übernachtung" error="Bitte aus der Liste wählen." sqref="E10:E35">
      <formula1>"ja,Pauschale"</formula1>
    </dataValidation>
    <dataValidation type="list" allowBlank="1" showErrorMessage="1" errorTitle="Übernachtung" error="Bitte aus der Liste wählen." sqref="E5:E35">
      <formula1>"ja,Pauschale"</formula1>
    </dataValidation>
    <dataValidation type="list" allowBlank="1" showErrorMessage="1" errorTitle="Land / Ort" error="Bitte aus der Liste wählen; nicht aufgeführte Länder: Luxemburg." sqref="F10:F35">
      <formula1>Pauschalen!$A$4:$A$218</formula1>
    </dataValidation>
    <dataValidation type="list" allowBlank="1" showErrorMessage="1" errorTitle="Land / Ort" error="Bitte aus der Liste wählen; nicht aufgeführte Länder: Luxemburg." sqref="F5:F35">
      <formula1>Pauschalen!$A$4:$A$218</formula1>
    </dataValidation>
    <dataValidation type="decimal" allowBlank="1" showErrorMessage="1" errorTitle="Vorschuss" error="Bitte einen Betrag in Euro eintragen." sqref="G44">
      <formula1>0</formula1>
      <formula2>99999</formula2>
    </dataValidation>
    <dataValidation type="list" allowBlank="1" showErrorMessage="1" errorTitle="Mahlzeit" error="Bitte aus der Liste wählen." sqref="H10:J35">
      <formula1>"x"</formula1>
    </dataValidation>
    <dataValidation type="list" allowBlank="1" showErrorMessage="1" errorTitle="Mahlzeit" error="Bitte aus der Liste wählen." sqref="H5:J35">
      <formula1>"x"</formula1>
    </dataValidation>
    <dataValidation type="whole" allowBlank="1" showErrorMessage="1" errorTitle="Kilometer" error="Bitte die gefahrenen Kilometer als ganze Zahl eintragen." sqref="K10:K35">
      <formula1>0</formula1>
      <formula2>5000</formula2>
    </dataValidation>
    <dataValidation type="whole" allowBlank="1" showErrorMessage="1" errorTitle="Kilometer" error="Bitte die gefahrenen Kilometer als ganze Zahl eintragen." sqref="K5:K35">
      <formula1>0</formula1>
      <formula2>5000</formula2>
    </dataValidation>
  </dataValidations>
  <pageMargins left="0.4" right="0.4" top="0.5" bottom="0.5" header="0.2" footer="0.2"/>
  <pageSetup paperSize="9" orientation="landscape"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04"/>
  <sheetViews>
    <sheetView workbookViewId="0" showGridLines="0">
      <pane ySplit="4" topLeftCell="A5" activePane="bottomLeft" state="frozen"/>
      <selection pane="bottomLeft"/>
    </sheetView>
  </sheetViews>
  <sheetFormatPr defaultRowHeight="15" outlineLevelRow="0" outlineLevelCol="0" x14ac:dyDescent="55"/>
  <cols>
    <col min="1" max="1" width="11" customWidth="1"/>
    <col min="3" max="3" width="14" customWidth="1"/>
    <col min="4" max="4" width="36" customWidth="1"/>
    <col min="5" max="5" width="12" customWidth="1"/>
    <col min="7" max="7" width="13" customWidth="1"/>
    <col min="8" max="9" width="11" customWidth="1"/>
    <col min="10" max="10" width="40" customWidth="1"/>
    <col min="12" max="12" width="9" hidden="1" customWidth="1"/>
    <col min="13" max="13" width="9" hidden="1" customWidth="1"/>
    <col min="14" max="14" width="9" hidden="1" customWidth="1"/>
    <col min="15" max="15" width="9" hidden="1" customWidth="1"/>
    <col min="16" max="16" width="9" hidden="1" customWidth="1"/>
    <col min="17" max="17" width="9" hidden="1" customWidth="1"/>
    <col min="18" max="18" width="9" hidden="1" customWidth="1"/>
  </cols>
  <sheetData>
    <row r="1" spans="1:1" x14ac:dyDescent="0.25">
      <c r="A1" s="5">
        <f>"Belege "&amp;Jahr&amp;IF(MitarbeiterName="",""," · "&amp;MitarbeiterName)</f>
      </c>
    </row>
    <row r="2" spans="1:1" x14ac:dyDescent="0.25">
      <c r="A2" s="8" t="s">
        <v>86</v>
      </c>
    </row>
    <row r="4" ht="30" customHeight="1" spans="1:10" x14ac:dyDescent="0.25">
      <c r="A4" s="12" t="s">
        <v>57</v>
      </c>
      <c r="B4" s="12" t="s">
        <v>87</v>
      </c>
      <c r="C4" s="12" t="s">
        <v>88</v>
      </c>
      <c r="D4" s="12" t="s">
        <v>89</v>
      </c>
      <c r="E4" s="12" t="s">
        <v>90</v>
      </c>
      <c r="F4" s="12" t="s">
        <v>91</v>
      </c>
      <c r="G4" s="12" t="s">
        <v>92</v>
      </c>
      <c r="H4" s="12" t="s">
        <v>93</v>
      </c>
      <c r="I4" s="12" t="s">
        <v>94</v>
      </c>
      <c r="J4" s="12" t="s">
        <v>74</v>
      </c>
    </row>
    <row r="5" spans="1:18" x14ac:dyDescent="0.25">
      <c r="A5" s="33"/>
      <c r="B5" s="7"/>
      <c r="C5" s="7"/>
      <c r="D5" s="7"/>
      <c r="E5" s="34"/>
      <c r="F5" s="7"/>
      <c r="G5" s="7"/>
      <c r="H5" s="35">
        <f>IF(L5=0,"",ROUND(E5/(1+M5),2))</f>
      </c>
      <c r="I5" s="35">
        <f>IF(L5=0,"",E5-H5)</f>
      </c>
      <c r="J5" s="36">
        <f>IF(R5="","",LEFT(R5,LEN(R5)-2))</f>
      </c>
      <c r="K5" s="1"/>
      <c r="L5" s="1">
        <f>IF(OR(R5&lt;&gt;"",NOT(ISNUMBER(A5))),0,MONTH(A5))</f>
      </c>
      <c r="M5" s="1">
        <f>IF(F5="19 %",0.19,IF(F5="7 %",0.07,0))</f>
      </c>
      <c r="N5" s="1">
        <f>IF(G5="Firma",0,1)</f>
      </c>
      <c r="O5" s="1">
        <f>IF(L5=0,0,N5*E5)</f>
      </c>
      <c r="P5" s="1">
        <f>IF(L5=0,0,N5*ROUND(E5/(1+M5),2))</f>
      </c>
      <c r="Q5" s="1">
        <f>O5-P5</f>
      </c>
      <c r="R5" s="1">
        <f>IF(AND(A5="",E5="",C5="",D5=""),"",IF(NOT(ISNUMBER(A5)),"Datum fehlt; ",IF(YEAR(A5)&lt;&gt;Jahr,"Datum nicht in "&amp;Jahr&amp;"; ",""))&amp;IF(N(E5)=0,"Betrag fehlt; ","")&amp;IF(C5="","Kostenart fehlt; ","")&amp;IF(AND(N(E5)&lt;&gt;0,F5=""),"USt-Satz fehlt; ",""))</f>
      </c>
    </row>
    <row r="6" spans="1:18" x14ac:dyDescent="0.25">
      <c r="A6" s="33"/>
      <c r="B6" s="7"/>
      <c r="C6" s="7"/>
      <c r="D6" s="7"/>
      <c r="E6" s="34"/>
      <c r="F6" s="7"/>
      <c r="G6" s="7"/>
      <c r="H6" s="35">
        <f>IF(L6=0,"",ROUND(E6/(1+M6),2))</f>
      </c>
      <c r="I6" s="35">
        <f>IF(L6=0,"",E6-H6)</f>
      </c>
      <c r="J6" s="36">
        <f>IF(R6="","",LEFT(R6,LEN(R6)-2))</f>
      </c>
      <c r="K6" s="1"/>
      <c r="L6" s="1">
        <f>IF(OR(R6&lt;&gt;"",NOT(ISNUMBER(A6))),0,MONTH(A6))</f>
      </c>
      <c r="M6" s="1">
        <f>IF(F6="19 %",0.19,IF(F6="7 %",0.07,0))</f>
      </c>
      <c r="N6" s="1">
        <f>IF(G6="Firma",0,1)</f>
      </c>
      <c r="O6" s="1">
        <f>IF(L6=0,0,N6*E6)</f>
      </c>
      <c r="P6" s="1">
        <f>IF(L6=0,0,N6*ROUND(E6/(1+M6),2))</f>
      </c>
      <c r="Q6" s="1">
        <f>O6-P6</f>
      </c>
      <c r="R6" s="1">
        <f>IF(AND(A6="",E6="",C6="",D6=""),"",IF(NOT(ISNUMBER(A6)),"Datum fehlt; ",IF(YEAR(A6)&lt;&gt;Jahr,"Datum nicht in "&amp;Jahr&amp;"; ",""))&amp;IF(N(E6)=0,"Betrag fehlt; ","")&amp;IF(C6="","Kostenart fehlt; ","")&amp;IF(AND(N(E6)&lt;&gt;0,F6=""),"USt-Satz fehlt; ",""))</f>
      </c>
    </row>
    <row r="7" spans="1:18" x14ac:dyDescent="0.25">
      <c r="A7" s="33"/>
      <c r="B7" s="7"/>
      <c r="C7" s="7"/>
      <c r="D7" s="7"/>
      <c r="E7" s="34"/>
      <c r="F7" s="7"/>
      <c r="G7" s="7"/>
      <c r="H7" s="35">
        <f>IF(L7=0,"",ROUND(E7/(1+M7),2))</f>
      </c>
      <c r="I7" s="35">
        <f>IF(L7=0,"",E7-H7)</f>
      </c>
      <c r="J7" s="36">
        <f>IF(R7="","",LEFT(R7,LEN(R7)-2))</f>
      </c>
      <c r="K7" s="1"/>
      <c r="L7" s="1">
        <f>IF(OR(R7&lt;&gt;"",NOT(ISNUMBER(A7))),0,MONTH(A7))</f>
      </c>
      <c r="M7" s="1">
        <f>IF(F7="19 %",0.19,IF(F7="7 %",0.07,0))</f>
      </c>
      <c r="N7" s="1">
        <f>IF(G7="Firma",0,1)</f>
      </c>
      <c r="O7" s="1">
        <f>IF(L7=0,0,N7*E7)</f>
      </c>
      <c r="P7" s="1">
        <f>IF(L7=0,0,N7*ROUND(E7/(1+M7),2))</f>
      </c>
      <c r="Q7" s="1">
        <f>O7-P7</f>
      </c>
      <c r="R7" s="1">
        <f>IF(AND(A7="",E7="",C7="",D7=""),"",IF(NOT(ISNUMBER(A7)),"Datum fehlt; ",IF(YEAR(A7)&lt;&gt;Jahr,"Datum nicht in "&amp;Jahr&amp;"; ",""))&amp;IF(N(E7)=0,"Betrag fehlt; ","")&amp;IF(C7="","Kostenart fehlt; ","")&amp;IF(AND(N(E7)&lt;&gt;0,F7=""),"USt-Satz fehlt; ",""))</f>
      </c>
    </row>
    <row r="8" spans="1:18" x14ac:dyDescent="0.25">
      <c r="A8" s="33"/>
      <c r="B8" s="7"/>
      <c r="C8" s="7"/>
      <c r="D8" s="7"/>
      <c r="E8" s="34"/>
      <c r="F8" s="7"/>
      <c r="G8" s="7"/>
      <c r="H8" s="35">
        <f>IF(L8=0,"",ROUND(E8/(1+M8),2))</f>
      </c>
      <c r="I8" s="35">
        <f>IF(L8=0,"",E8-H8)</f>
      </c>
      <c r="J8" s="36">
        <f>IF(R8="","",LEFT(R8,LEN(R8)-2))</f>
      </c>
      <c r="K8" s="1"/>
      <c r="L8" s="1">
        <f>IF(OR(R8&lt;&gt;"",NOT(ISNUMBER(A8))),0,MONTH(A8))</f>
      </c>
      <c r="M8" s="1">
        <f>IF(F8="19 %",0.19,IF(F8="7 %",0.07,0))</f>
      </c>
      <c r="N8" s="1">
        <f>IF(G8="Firma",0,1)</f>
      </c>
      <c r="O8" s="1">
        <f>IF(L8=0,0,N8*E8)</f>
      </c>
      <c r="P8" s="1">
        <f>IF(L8=0,0,N8*ROUND(E8/(1+M8),2))</f>
      </c>
      <c r="Q8" s="1">
        <f>O8-P8</f>
      </c>
      <c r="R8" s="1">
        <f>IF(AND(A8="",E8="",C8="",D8=""),"",IF(NOT(ISNUMBER(A8)),"Datum fehlt; ",IF(YEAR(A8)&lt;&gt;Jahr,"Datum nicht in "&amp;Jahr&amp;"; ",""))&amp;IF(N(E8)=0,"Betrag fehlt; ","")&amp;IF(C8="","Kostenart fehlt; ","")&amp;IF(AND(N(E8)&lt;&gt;0,F8=""),"USt-Satz fehlt; ",""))</f>
      </c>
    </row>
    <row r="9" spans="1:18" x14ac:dyDescent="0.25">
      <c r="A9" s="33"/>
      <c r="B9" s="7"/>
      <c r="C9" s="7"/>
      <c r="D9" s="7"/>
      <c r="E9" s="34"/>
      <c r="F9" s="7"/>
      <c r="G9" s="7"/>
      <c r="H9" s="35">
        <f>IF(L9=0,"",ROUND(E9/(1+M9),2))</f>
      </c>
      <c r="I9" s="35">
        <f>IF(L9=0,"",E9-H9)</f>
      </c>
      <c r="J9" s="36">
        <f>IF(R9="","",LEFT(R9,LEN(R9)-2))</f>
      </c>
      <c r="K9" s="1"/>
      <c r="L9" s="1">
        <f>IF(OR(R9&lt;&gt;"",NOT(ISNUMBER(A9))),0,MONTH(A9))</f>
      </c>
      <c r="M9" s="1">
        <f>IF(F9="19 %",0.19,IF(F9="7 %",0.07,0))</f>
      </c>
      <c r="N9" s="1">
        <f>IF(G9="Firma",0,1)</f>
      </c>
      <c r="O9" s="1">
        <f>IF(L9=0,0,N9*E9)</f>
      </c>
      <c r="P9" s="1">
        <f>IF(L9=0,0,N9*ROUND(E9/(1+M9),2))</f>
      </c>
      <c r="Q9" s="1">
        <f>O9-P9</f>
      </c>
      <c r="R9" s="1">
        <f>IF(AND(A9="",E9="",C9="",D9=""),"",IF(NOT(ISNUMBER(A9)),"Datum fehlt; ",IF(YEAR(A9)&lt;&gt;Jahr,"Datum nicht in "&amp;Jahr&amp;"; ",""))&amp;IF(N(E9)=0,"Betrag fehlt; ","")&amp;IF(C9="","Kostenart fehlt; ","")&amp;IF(AND(N(E9)&lt;&gt;0,F9=""),"USt-Satz fehlt; ",""))</f>
      </c>
    </row>
    <row r="10" spans="1:18" x14ac:dyDescent="0.25">
      <c r="A10" s="33"/>
      <c r="B10" s="7"/>
      <c r="C10" s="7"/>
      <c r="D10" s="7"/>
      <c r="E10" s="34"/>
      <c r="F10" s="7"/>
      <c r="G10" s="7"/>
      <c r="H10" s="35">
        <f>IF(L10=0,"",ROUND(E10/(1+M10),2))</f>
      </c>
      <c r="I10" s="35">
        <f>IF(L10=0,"",E10-H10)</f>
      </c>
      <c r="J10" s="36">
        <f>IF(R10="","",LEFT(R10,LEN(R10)-2))</f>
      </c>
      <c r="K10" s="1"/>
      <c r="L10" s="1">
        <f>IF(OR(R10&lt;&gt;"",NOT(ISNUMBER(A10))),0,MONTH(A10))</f>
      </c>
      <c r="M10" s="1">
        <f>IF(F10="19 %",0.19,IF(F10="7 %",0.07,0))</f>
      </c>
      <c r="N10" s="1">
        <f>IF(G10="Firma",0,1)</f>
      </c>
      <c r="O10" s="1">
        <f>IF(L10=0,0,N10*E10)</f>
      </c>
      <c r="P10" s="1">
        <f>IF(L10=0,0,N10*ROUND(E10/(1+M10),2))</f>
      </c>
      <c r="Q10" s="1">
        <f>O10-P10</f>
      </c>
      <c r="R10" s="1">
        <f>IF(AND(A10="",E10="",C10="",D10=""),"",IF(NOT(ISNUMBER(A10)),"Datum fehlt; ",IF(YEAR(A10)&lt;&gt;Jahr,"Datum nicht in "&amp;Jahr&amp;"; ",""))&amp;IF(N(E10)=0,"Betrag fehlt; ","")&amp;IF(C10="","Kostenart fehlt; ","")&amp;IF(AND(N(E10)&lt;&gt;0,F10=""),"USt-Satz fehlt; ",""))</f>
      </c>
    </row>
    <row r="11" spans="1:18" x14ac:dyDescent="0.25">
      <c r="A11" s="33"/>
      <c r="B11" s="7"/>
      <c r="C11" s="7"/>
      <c r="D11" s="7"/>
      <c r="E11" s="34"/>
      <c r="F11" s="7"/>
      <c r="G11" s="7"/>
      <c r="H11" s="35">
        <f>IF(L11=0,"",ROUND(E11/(1+M11),2))</f>
      </c>
      <c r="I11" s="35">
        <f>IF(L11=0,"",E11-H11)</f>
      </c>
      <c r="J11" s="36">
        <f>IF(R11="","",LEFT(R11,LEN(R11)-2))</f>
      </c>
      <c r="K11" s="1"/>
      <c r="L11" s="1">
        <f>IF(OR(R11&lt;&gt;"",NOT(ISNUMBER(A11))),0,MONTH(A11))</f>
      </c>
      <c r="M11" s="1">
        <f>IF(F11="19 %",0.19,IF(F11="7 %",0.07,0))</f>
      </c>
      <c r="N11" s="1">
        <f>IF(G11="Firma",0,1)</f>
      </c>
      <c r="O11" s="1">
        <f>IF(L11=0,0,N11*E11)</f>
      </c>
      <c r="P11" s="1">
        <f>IF(L11=0,0,N11*ROUND(E11/(1+M11),2))</f>
      </c>
      <c r="Q11" s="1">
        <f>O11-P11</f>
      </c>
      <c r="R11" s="1">
        <f>IF(AND(A11="",E11="",C11="",D11=""),"",IF(NOT(ISNUMBER(A11)),"Datum fehlt; ",IF(YEAR(A11)&lt;&gt;Jahr,"Datum nicht in "&amp;Jahr&amp;"; ",""))&amp;IF(N(E11)=0,"Betrag fehlt; ","")&amp;IF(C11="","Kostenart fehlt; ","")&amp;IF(AND(N(E11)&lt;&gt;0,F11=""),"USt-Satz fehlt; ",""))</f>
      </c>
    </row>
    <row r="12" spans="1:18" x14ac:dyDescent="0.25">
      <c r="A12" s="33"/>
      <c r="B12" s="7"/>
      <c r="C12" s="7"/>
      <c r="D12" s="7"/>
      <c r="E12" s="34"/>
      <c r="F12" s="7"/>
      <c r="G12" s="7"/>
      <c r="H12" s="35">
        <f>IF(L12=0,"",ROUND(E12/(1+M12),2))</f>
      </c>
      <c r="I12" s="35">
        <f>IF(L12=0,"",E12-H12)</f>
      </c>
      <c r="J12" s="36">
        <f>IF(R12="","",LEFT(R12,LEN(R12)-2))</f>
      </c>
      <c r="K12" s="1"/>
      <c r="L12" s="1">
        <f>IF(OR(R12&lt;&gt;"",NOT(ISNUMBER(A12))),0,MONTH(A12))</f>
      </c>
      <c r="M12" s="1">
        <f>IF(F12="19 %",0.19,IF(F12="7 %",0.07,0))</f>
      </c>
      <c r="N12" s="1">
        <f>IF(G12="Firma",0,1)</f>
      </c>
      <c r="O12" s="1">
        <f>IF(L12=0,0,N12*E12)</f>
      </c>
      <c r="P12" s="1">
        <f>IF(L12=0,0,N12*ROUND(E12/(1+M12),2))</f>
      </c>
      <c r="Q12" s="1">
        <f>O12-P12</f>
      </c>
      <c r="R12" s="1">
        <f>IF(AND(A12="",E12="",C12="",D12=""),"",IF(NOT(ISNUMBER(A12)),"Datum fehlt; ",IF(YEAR(A12)&lt;&gt;Jahr,"Datum nicht in "&amp;Jahr&amp;"; ",""))&amp;IF(N(E12)=0,"Betrag fehlt; ","")&amp;IF(C12="","Kostenart fehlt; ","")&amp;IF(AND(N(E12)&lt;&gt;0,F12=""),"USt-Satz fehlt; ",""))</f>
      </c>
    </row>
    <row r="13" spans="1:18" x14ac:dyDescent="0.25">
      <c r="A13" s="33"/>
      <c r="B13" s="7"/>
      <c r="C13" s="7"/>
      <c r="D13" s="7"/>
      <c r="E13" s="34"/>
      <c r="F13" s="7"/>
      <c r="G13" s="7"/>
      <c r="H13" s="35">
        <f>IF(L13=0,"",ROUND(E13/(1+M13),2))</f>
      </c>
      <c r="I13" s="35">
        <f>IF(L13=0,"",E13-H13)</f>
      </c>
      <c r="J13" s="36">
        <f>IF(R13="","",LEFT(R13,LEN(R13)-2))</f>
      </c>
      <c r="K13" s="1"/>
      <c r="L13" s="1">
        <f>IF(OR(R13&lt;&gt;"",NOT(ISNUMBER(A13))),0,MONTH(A13))</f>
      </c>
      <c r="M13" s="1">
        <f>IF(F13="19 %",0.19,IF(F13="7 %",0.07,0))</f>
      </c>
      <c r="N13" s="1">
        <f>IF(G13="Firma",0,1)</f>
      </c>
      <c r="O13" s="1">
        <f>IF(L13=0,0,N13*E13)</f>
      </c>
      <c r="P13" s="1">
        <f>IF(L13=0,0,N13*ROUND(E13/(1+M13),2))</f>
      </c>
      <c r="Q13" s="1">
        <f>O13-P13</f>
      </c>
      <c r="R13" s="1">
        <f>IF(AND(A13="",E13="",C13="",D13=""),"",IF(NOT(ISNUMBER(A13)),"Datum fehlt; ",IF(YEAR(A13)&lt;&gt;Jahr,"Datum nicht in "&amp;Jahr&amp;"; ",""))&amp;IF(N(E13)=0,"Betrag fehlt; ","")&amp;IF(C13="","Kostenart fehlt; ","")&amp;IF(AND(N(E13)&lt;&gt;0,F13=""),"USt-Satz fehlt; ",""))</f>
      </c>
    </row>
    <row r="14" spans="1:18" x14ac:dyDescent="0.25">
      <c r="A14" s="33"/>
      <c r="B14" s="7"/>
      <c r="C14" s="7"/>
      <c r="D14" s="7"/>
      <c r="E14" s="34"/>
      <c r="F14" s="7"/>
      <c r="G14" s="7"/>
      <c r="H14" s="35">
        <f>IF(L14=0,"",ROUND(E14/(1+M14),2))</f>
      </c>
      <c r="I14" s="35">
        <f>IF(L14=0,"",E14-H14)</f>
      </c>
      <c r="J14" s="36">
        <f>IF(R14="","",LEFT(R14,LEN(R14)-2))</f>
      </c>
      <c r="K14" s="1"/>
      <c r="L14" s="1">
        <f>IF(OR(R14&lt;&gt;"",NOT(ISNUMBER(A14))),0,MONTH(A14))</f>
      </c>
      <c r="M14" s="1">
        <f>IF(F14="19 %",0.19,IF(F14="7 %",0.07,0))</f>
      </c>
      <c r="N14" s="1">
        <f>IF(G14="Firma",0,1)</f>
      </c>
      <c r="O14" s="1">
        <f>IF(L14=0,0,N14*E14)</f>
      </c>
      <c r="P14" s="1">
        <f>IF(L14=0,0,N14*ROUND(E14/(1+M14),2))</f>
      </c>
      <c r="Q14" s="1">
        <f>O14-P14</f>
      </c>
      <c r="R14" s="1">
        <f>IF(AND(A14="",E14="",C14="",D14=""),"",IF(NOT(ISNUMBER(A14)),"Datum fehlt; ",IF(YEAR(A14)&lt;&gt;Jahr,"Datum nicht in "&amp;Jahr&amp;"; ",""))&amp;IF(N(E14)=0,"Betrag fehlt; ","")&amp;IF(C14="","Kostenart fehlt; ","")&amp;IF(AND(N(E14)&lt;&gt;0,F14=""),"USt-Satz fehlt; ",""))</f>
      </c>
    </row>
    <row r="15" spans="1:18" x14ac:dyDescent="0.25">
      <c r="A15" s="33"/>
      <c r="B15" s="7"/>
      <c r="C15" s="7"/>
      <c r="D15" s="7"/>
      <c r="E15" s="34"/>
      <c r="F15" s="7"/>
      <c r="G15" s="7"/>
      <c r="H15" s="35">
        <f>IF(L15=0,"",ROUND(E15/(1+M15),2))</f>
      </c>
      <c r="I15" s="35">
        <f>IF(L15=0,"",E15-H15)</f>
      </c>
      <c r="J15" s="36">
        <f>IF(R15="","",LEFT(R15,LEN(R15)-2))</f>
      </c>
      <c r="K15" s="1"/>
      <c r="L15" s="1">
        <f>IF(OR(R15&lt;&gt;"",NOT(ISNUMBER(A15))),0,MONTH(A15))</f>
      </c>
      <c r="M15" s="1">
        <f>IF(F15="19 %",0.19,IF(F15="7 %",0.07,0))</f>
      </c>
      <c r="N15" s="1">
        <f>IF(G15="Firma",0,1)</f>
      </c>
      <c r="O15" s="1">
        <f>IF(L15=0,0,N15*E15)</f>
      </c>
      <c r="P15" s="1">
        <f>IF(L15=0,0,N15*ROUND(E15/(1+M15),2))</f>
      </c>
      <c r="Q15" s="1">
        <f>O15-P15</f>
      </c>
      <c r="R15" s="1">
        <f>IF(AND(A15="",E15="",C15="",D15=""),"",IF(NOT(ISNUMBER(A15)),"Datum fehlt; ",IF(YEAR(A15)&lt;&gt;Jahr,"Datum nicht in "&amp;Jahr&amp;"; ",""))&amp;IF(N(E15)=0,"Betrag fehlt; ","")&amp;IF(C15="","Kostenart fehlt; ","")&amp;IF(AND(N(E15)&lt;&gt;0,F15=""),"USt-Satz fehlt; ",""))</f>
      </c>
    </row>
    <row r="16" spans="1:18" x14ac:dyDescent="0.25">
      <c r="A16" s="33"/>
      <c r="B16" s="7"/>
      <c r="C16" s="7"/>
      <c r="D16" s="7"/>
      <c r="E16" s="34"/>
      <c r="F16" s="7"/>
      <c r="G16" s="7"/>
      <c r="H16" s="35">
        <f>IF(L16=0,"",ROUND(E16/(1+M16),2))</f>
      </c>
      <c r="I16" s="35">
        <f>IF(L16=0,"",E16-H16)</f>
      </c>
      <c r="J16" s="36">
        <f>IF(R16="","",LEFT(R16,LEN(R16)-2))</f>
      </c>
      <c r="K16" s="1"/>
      <c r="L16" s="1">
        <f>IF(OR(R16&lt;&gt;"",NOT(ISNUMBER(A16))),0,MONTH(A16))</f>
      </c>
      <c r="M16" s="1">
        <f>IF(F16="19 %",0.19,IF(F16="7 %",0.07,0))</f>
      </c>
      <c r="N16" s="1">
        <f>IF(G16="Firma",0,1)</f>
      </c>
      <c r="O16" s="1">
        <f>IF(L16=0,0,N16*E16)</f>
      </c>
      <c r="P16" s="1">
        <f>IF(L16=0,0,N16*ROUND(E16/(1+M16),2))</f>
      </c>
      <c r="Q16" s="1">
        <f>O16-P16</f>
      </c>
      <c r="R16" s="1">
        <f>IF(AND(A16="",E16="",C16="",D16=""),"",IF(NOT(ISNUMBER(A16)),"Datum fehlt; ",IF(YEAR(A16)&lt;&gt;Jahr,"Datum nicht in "&amp;Jahr&amp;"; ",""))&amp;IF(N(E16)=0,"Betrag fehlt; ","")&amp;IF(C16="","Kostenart fehlt; ","")&amp;IF(AND(N(E16)&lt;&gt;0,F16=""),"USt-Satz fehlt; ",""))</f>
      </c>
    </row>
    <row r="17" spans="1:18" x14ac:dyDescent="0.25">
      <c r="A17" s="33"/>
      <c r="B17" s="7"/>
      <c r="C17" s="7"/>
      <c r="D17" s="7"/>
      <c r="E17" s="34"/>
      <c r="F17" s="7"/>
      <c r="G17" s="7"/>
      <c r="H17" s="35">
        <f>IF(L17=0,"",ROUND(E17/(1+M17),2))</f>
      </c>
      <c r="I17" s="35">
        <f>IF(L17=0,"",E17-H17)</f>
      </c>
      <c r="J17" s="36">
        <f>IF(R17="","",LEFT(R17,LEN(R17)-2))</f>
      </c>
      <c r="K17" s="1"/>
      <c r="L17" s="1">
        <f>IF(OR(R17&lt;&gt;"",NOT(ISNUMBER(A17))),0,MONTH(A17))</f>
      </c>
      <c r="M17" s="1">
        <f>IF(F17="19 %",0.19,IF(F17="7 %",0.07,0))</f>
      </c>
      <c r="N17" s="1">
        <f>IF(G17="Firma",0,1)</f>
      </c>
      <c r="O17" s="1">
        <f>IF(L17=0,0,N17*E17)</f>
      </c>
      <c r="P17" s="1">
        <f>IF(L17=0,0,N17*ROUND(E17/(1+M17),2))</f>
      </c>
      <c r="Q17" s="1">
        <f>O17-P17</f>
      </c>
      <c r="R17" s="1">
        <f>IF(AND(A17="",E17="",C17="",D17=""),"",IF(NOT(ISNUMBER(A17)),"Datum fehlt; ",IF(YEAR(A17)&lt;&gt;Jahr,"Datum nicht in "&amp;Jahr&amp;"; ",""))&amp;IF(N(E17)=0,"Betrag fehlt; ","")&amp;IF(C17="","Kostenart fehlt; ","")&amp;IF(AND(N(E17)&lt;&gt;0,F17=""),"USt-Satz fehlt; ",""))</f>
      </c>
    </row>
    <row r="18" spans="1:18" x14ac:dyDescent="0.25">
      <c r="A18" s="33"/>
      <c r="B18" s="7"/>
      <c r="C18" s="7"/>
      <c r="D18" s="7"/>
      <c r="E18" s="34"/>
      <c r="F18" s="7"/>
      <c r="G18" s="7"/>
      <c r="H18" s="35">
        <f>IF(L18=0,"",ROUND(E18/(1+M18),2))</f>
      </c>
      <c r="I18" s="35">
        <f>IF(L18=0,"",E18-H18)</f>
      </c>
      <c r="J18" s="36">
        <f>IF(R18="","",LEFT(R18,LEN(R18)-2))</f>
      </c>
      <c r="K18" s="1"/>
      <c r="L18" s="1">
        <f>IF(OR(R18&lt;&gt;"",NOT(ISNUMBER(A18))),0,MONTH(A18))</f>
      </c>
      <c r="M18" s="1">
        <f>IF(F18="19 %",0.19,IF(F18="7 %",0.07,0))</f>
      </c>
      <c r="N18" s="1">
        <f>IF(G18="Firma",0,1)</f>
      </c>
      <c r="O18" s="1">
        <f>IF(L18=0,0,N18*E18)</f>
      </c>
      <c r="P18" s="1">
        <f>IF(L18=0,0,N18*ROUND(E18/(1+M18),2))</f>
      </c>
      <c r="Q18" s="1">
        <f>O18-P18</f>
      </c>
      <c r="R18" s="1">
        <f>IF(AND(A18="",E18="",C18="",D18=""),"",IF(NOT(ISNUMBER(A18)),"Datum fehlt; ",IF(YEAR(A18)&lt;&gt;Jahr,"Datum nicht in "&amp;Jahr&amp;"; ",""))&amp;IF(N(E18)=0,"Betrag fehlt; ","")&amp;IF(C18="","Kostenart fehlt; ","")&amp;IF(AND(N(E18)&lt;&gt;0,F18=""),"USt-Satz fehlt; ",""))</f>
      </c>
    </row>
    <row r="19" spans="1:18" x14ac:dyDescent="0.25">
      <c r="A19" s="33"/>
      <c r="B19" s="7"/>
      <c r="C19" s="7"/>
      <c r="D19" s="7"/>
      <c r="E19" s="34"/>
      <c r="F19" s="7"/>
      <c r="G19" s="7"/>
      <c r="H19" s="35">
        <f>IF(L19=0,"",ROUND(E19/(1+M19),2))</f>
      </c>
      <c r="I19" s="35">
        <f>IF(L19=0,"",E19-H19)</f>
      </c>
      <c r="J19" s="36">
        <f>IF(R19="","",LEFT(R19,LEN(R19)-2))</f>
      </c>
      <c r="K19" s="1"/>
      <c r="L19" s="1">
        <f>IF(OR(R19&lt;&gt;"",NOT(ISNUMBER(A19))),0,MONTH(A19))</f>
      </c>
      <c r="M19" s="1">
        <f>IF(F19="19 %",0.19,IF(F19="7 %",0.07,0))</f>
      </c>
      <c r="N19" s="1">
        <f>IF(G19="Firma",0,1)</f>
      </c>
      <c r="O19" s="1">
        <f>IF(L19=0,0,N19*E19)</f>
      </c>
      <c r="P19" s="1">
        <f>IF(L19=0,0,N19*ROUND(E19/(1+M19),2))</f>
      </c>
      <c r="Q19" s="1">
        <f>O19-P19</f>
      </c>
      <c r="R19" s="1">
        <f>IF(AND(A19="",E19="",C19="",D19=""),"",IF(NOT(ISNUMBER(A19)),"Datum fehlt; ",IF(YEAR(A19)&lt;&gt;Jahr,"Datum nicht in "&amp;Jahr&amp;"; ",""))&amp;IF(N(E19)=0,"Betrag fehlt; ","")&amp;IF(C19="","Kostenart fehlt; ","")&amp;IF(AND(N(E19)&lt;&gt;0,F19=""),"USt-Satz fehlt; ",""))</f>
      </c>
    </row>
    <row r="20" spans="1:18" x14ac:dyDescent="0.25">
      <c r="A20" s="33"/>
      <c r="B20" s="7"/>
      <c r="C20" s="7"/>
      <c r="D20" s="7"/>
      <c r="E20" s="34"/>
      <c r="F20" s="7"/>
      <c r="G20" s="7"/>
      <c r="H20" s="35">
        <f>IF(L20=0,"",ROUND(E20/(1+M20),2))</f>
      </c>
      <c r="I20" s="35">
        <f>IF(L20=0,"",E20-H20)</f>
      </c>
      <c r="J20" s="36">
        <f>IF(R20="","",LEFT(R20,LEN(R20)-2))</f>
      </c>
      <c r="K20" s="1"/>
      <c r="L20" s="1">
        <f>IF(OR(R20&lt;&gt;"",NOT(ISNUMBER(A20))),0,MONTH(A20))</f>
      </c>
      <c r="M20" s="1">
        <f>IF(F20="19 %",0.19,IF(F20="7 %",0.07,0))</f>
      </c>
      <c r="N20" s="1">
        <f>IF(G20="Firma",0,1)</f>
      </c>
      <c r="O20" s="1">
        <f>IF(L20=0,0,N20*E20)</f>
      </c>
      <c r="P20" s="1">
        <f>IF(L20=0,0,N20*ROUND(E20/(1+M20),2))</f>
      </c>
      <c r="Q20" s="1">
        <f>O20-P20</f>
      </c>
      <c r="R20" s="1">
        <f>IF(AND(A20="",E20="",C20="",D20=""),"",IF(NOT(ISNUMBER(A20)),"Datum fehlt; ",IF(YEAR(A20)&lt;&gt;Jahr,"Datum nicht in "&amp;Jahr&amp;"; ",""))&amp;IF(N(E20)=0,"Betrag fehlt; ","")&amp;IF(C20="","Kostenart fehlt; ","")&amp;IF(AND(N(E20)&lt;&gt;0,F20=""),"USt-Satz fehlt; ",""))</f>
      </c>
    </row>
    <row r="21" spans="1:18" x14ac:dyDescent="0.25">
      <c r="A21" s="33"/>
      <c r="B21" s="7"/>
      <c r="C21" s="7"/>
      <c r="D21" s="7"/>
      <c r="E21" s="34"/>
      <c r="F21" s="7"/>
      <c r="G21" s="7"/>
      <c r="H21" s="35">
        <f>IF(L21=0,"",ROUND(E21/(1+M21),2))</f>
      </c>
      <c r="I21" s="35">
        <f>IF(L21=0,"",E21-H21)</f>
      </c>
      <c r="J21" s="36">
        <f>IF(R21="","",LEFT(R21,LEN(R21)-2))</f>
      </c>
      <c r="K21" s="1"/>
      <c r="L21" s="1">
        <f>IF(OR(R21&lt;&gt;"",NOT(ISNUMBER(A21))),0,MONTH(A21))</f>
      </c>
      <c r="M21" s="1">
        <f>IF(F21="19 %",0.19,IF(F21="7 %",0.07,0))</f>
      </c>
      <c r="N21" s="1">
        <f>IF(G21="Firma",0,1)</f>
      </c>
      <c r="O21" s="1">
        <f>IF(L21=0,0,N21*E21)</f>
      </c>
      <c r="P21" s="1">
        <f>IF(L21=0,0,N21*ROUND(E21/(1+M21),2))</f>
      </c>
      <c r="Q21" s="1">
        <f>O21-P21</f>
      </c>
      <c r="R21" s="1">
        <f>IF(AND(A21="",E21="",C21="",D21=""),"",IF(NOT(ISNUMBER(A21)),"Datum fehlt; ",IF(YEAR(A21)&lt;&gt;Jahr,"Datum nicht in "&amp;Jahr&amp;"; ",""))&amp;IF(N(E21)=0,"Betrag fehlt; ","")&amp;IF(C21="","Kostenart fehlt; ","")&amp;IF(AND(N(E21)&lt;&gt;0,F21=""),"USt-Satz fehlt; ",""))</f>
      </c>
    </row>
    <row r="22" spans="1:18" x14ac:dyDescent="0.25">
      <c r="A22" s="33"/>
      <c r="B22" s="7"/>
      <c r="C22" s="7"/>
      <c r="D22" s="7"/>
      <c r="E22" s="34"/>
      <c r="F22" s="7"/>
      <c r="G22" s="7"/>
      <c r="H22" s="35">
        <f>IF(L22=0,"",ROUND(E22/(1+M22),2))</f>
      </c>
      <c r="I22" s="35">
        <f>IF(L22=0,"",E22-H22)</f>
      </c>
      <c r="J22" s="36">
        <f>IF(R22="","",LEFT(R22,LEN(R22)-2))</f>
      </c>
      <c r="K22" s="1"/>
      <c r="L22" s="1">
        <f>IF(OR(R22&lt;&gt;"",NOT(ISNUMBER(A22))),0,MONTH(A22))</f>
      </c>
      <c r="M22" s="1">
        <f>IF(F22="19 %",0.19,IF(F22="7 %",0.07,0))</f>
      </c>
      <c r="N22" s="1">
        <f>IF(G22="Firma",0,1)</f>
      </c>
      <c r="O22" s="1">
        <f>IF(L22=0,0,N22*E22)</f>
      </c>
      <c r="P22" s="1">
        <f>IF(L22=0,0,N22*ROUND(E22/(1+M22),2))</f>
      </c>
      <c r="Q22" s="1">
        <f>O22-P22</f>
      </c>
      <c r="R22" s="1">
        <f>IF(AND(A22="",E22="",C22="",D22=""),"",IF(NOT(ISNUMBER(A22)),"Datum fehlt; ",IF(YEAR(A22)&lt;&gt;Jahr,"Datum nicht in "&amp;Jahr&amp;"; ",""))&amp;IF(N(E22)=0,"Betrag fehlt; ","")&amp;IF(C22="","Kostenart fehlt; ","")&amp;IF(AND(N(E22)&lt;&gt;0,F22=""),"USt-Satz fehlt; ",""))</f>
      </c>
    </row>
    <row r="23" spans="1:18" x14ac:dyDescent="0.25">
      <c r="A23" s="33"/>
      <c r="B23" s="7"/>
      <c r="C23" s="7"/>
      <c r="D23" s="7"/>
      <c r="E23" s="34"/>
      <c r="F23" s="7"/>
      <c r="G23" s="7"/>
      <c r="H23" s="35">
        <f>IF(L23=0,"",ROUND(E23/(1+M23),2))</f>
      </c>
      <c r="I23" s="35">
        <f>IF(L23=0,"",E23-H23)</f>
      </c>
      <c r="J23" s="36">
        <f>IF(R23="","",LEFT(R23,LEN(R23)-2))</f>
      </c>
      <c r="K23" s="1"/>
      <c r="L23" s="1">
        <f>IF(OR(R23&lt;&gt;"",NOT(ISNUMBER(A23))),0,MONTH(A23))</f>
      </c>
      <c r="M23" s="1">
        <f>IF(F23="19 %",0.19,IF(F23="7 %",0.07,0))</f>
      </c>
      <c r="N23" s="1">
        <f>IF(G23="Firma",0,1)</f>
      </c>
      <c r="O23" s="1">
        <f>IF(L23=0,0,N23*E23)</f>
      </c>
      <c r="P23" s="1">
        <f>IF(L23=0,0,N23*ROUND(E23/(1+M23),2))</f>
      </c>
      <c r="Q23" s="1">
        <f>O23-P23</f>
      </c>
      <c r="R23" s="1">
        <f>IF(AND(A23="",E23="",C23="",D23=""),"",IF(NOT(ISNUMBER(A23)),"Datum fehlt; ",IF(YEAR(A23)&lt;&gt;Jahr,"Datum nicht in "&amp;Jahr&amp;"; ",""))&amp;IF(N(E23)=0,"Betrag fehlt; ","")&amp;IF(C23="","Kostenart fehlt; ","")&amp;IF(AND(N(E23)&lt;&gt;0,F23=""),"USt-Satz fehlt; ",""))</f>
      </c>
    </row>
    <row r="24" spans="1:18" x14ac:dyDescent="0.25">
      <c r="A24" s="33"/>
      <c r="B24" s="7"/>
      <c r="C24" s="7"/>
      <c r="D24" s="7"/>
      <c r="E24" s="34"/>
      <c r="F24" s="7"/>
      <c r="G24" s="7"/>
      <c r="H24" s="35">
        <f>IF(L24=0,"",ROUND(E24/(1+M24),2))</f>
      </c>
      <c r="I24" s="35">
        <f>IF(L24=0,"",E24-H24)</f>
      </c>
      <c r="J24" s="36">
        <f>IF(R24="","",LEFT(R24,LEN(R24)-2))</f>
      </c>
      <c r="K24" s="1"/>
      <c r="L24" s="1">
        <f>IF(OR(R24&lt;&gt;"",NOT(ISNUMBER(A24))),0,MONTH(A24))</f>
      </c>
      <c r="M24" s="1">
        <f>IF(F24="19 %",0.19,IF(F24="7 %",0.07,0))</f>
      </c>
      <c r="N24" s="1">
        <f>IF(G24="Firma",0,1)</f>
      </c>
      <c r="O24" s="1">
        <f>IF(L24=0,0,N24*E24)</f>
      </c>
      <c r="P24" s="1">
        <f>IF(L24=0,0,N24*ROUND(E24/(1+M24),2))</f>
      </c>
      <c r="Q24" s="1">
        <f>O24-P24</f>
      </c>
      <c r="R24" s="1">
        <f>IF(AND(A24="",E24="",C24="",D24=""),"",IF(NOT(ISNUMBER(A24)),"Datum fehlt; ",IF(YEAR(A24)&lt;&gt;Jahr,"Datum nicht in "&amp;Jahr&amp;"; ",""))&amp;IF(N(E24)=0,"Betrag fehlt; ","")&amp;IF(C24="","Kostenart fehlt; ","")&amp;IF(AND(N(E24)&lt;&gt;0,F24=""),"USt-Satz fehlt; ",""))</f>
      </c>
    </row>
    <row r="25" spans="1:18" x14ac:dyDescent="0.25">
      <c r="A25" s="33"/>
      <c r="B25" s="7"/>
      <c r="C25" s="7"/>
      <c r="D25" s="7"/>
      <c r="E25" s="34"/>
      <c r="F25" s="7"/>
      <c r="G25" s="7"/>
      <c r="H25" s="35">
        <f>IF(L25=0,"",ROUND(E25/(1+M25),2))</f>
      </c>
      <c r="I25" s="35">
        <f>IF(L25=0,"",E25-H25)</f>
      </c>
      <c r="J25" s="36">
        <f>IF(R25="","",LEFT(R25,LEN(R25)-2))</f>
      </c>
      <c r="K25" s="1"/>
      <c r="L25" s="1">
        <f>IF(OR(R25&lt;&gt;"",NOT(ISNUMBER(A25))),0,MONTH(A25))</f>
      </c>
      <c r="M25" s="1">
        <f>IF(F25="19 %",0.19,IF(F25="7 %",0.07,0))</f>
      </c>
      <c r="N25" s="1">
        <f>IF(G25="Firma",0,1)</f>
      </c>
      <c r="O25" s="1">
        <f>IF(L25=0,0,N25*E25)</f>
      </c>
      <c r="P25" s="1">
        <f>IF(L25=0,0,N25*ROUND(E25/(1+M25),2))</f>
      </c>
      <c r="Q25" s="1">
        <f>O25-P25</f>
      </c>
      <c r="R25" s="1">
        <f>IF(AND(A25="",E25="",C25="",D25=""),"",IF(NOT(ISNUMBER(A25)),"Datum fehlt; ",IF(YEAR(A25)&lt;&gt;Jahr,"Datum nicht in "&amp;Jahr&amp;"; ",""))&amp;IF(N(E25)=0,"Betrag fehlt; ","")&amp;IF(C25="","Kostenart fehlt; ","")&amp;IF(AND(N(E25)&lt;&gt;0,F25=""),"USt-Satz fehlt; ",""))</f>
      </c>
    </row>
    <row r="26" spans="1:18" x14ac:dyDescent="0.25">
      <c r="A26" s="33"/>
      <c r="B26" s="7"/>
      <c r="C26" s="7"/>
      <c r="D26" s="7"/>
      <c r="E26" s="34"/>
      <c r="F26" s="7"/>
      <c r="G26" s="7"/>
      <c r="H26" s="35">
        <f>IF(L26=0,"",ROUND(E26/(1+M26),2))</f>
      </c>
      <c r="I26" s="35">
        <f>IF(L26=0,"",E26-H26)</f>
      </c>
      <c r="J26" s="36">
        <f>IF(R26="","",LEFT(R26,LEN(R26)-2))</f>
      </c>
      <c r="K26" s="1"/>
      <c r="L26" s="1">
        <f>IF(OR(R26&lt;&gt;"",NOT(ISNUMBER(A26))),0,MONTH(A26))</f>
      </c>
      <c r="M26" s="1">
        <f>IF(F26="19 %",0.19,IF(F26="7 %",0.07,0))</f>
      </c>
      <c r="N26" s="1">
        <f>IF(G26="Firma",0,1)</f>
      </c>
      <c r="O26" s="1">
        <f>IF(L26=0,0,N26*E26)</f>
      </c>
      <c r="P26" s="1">
        <f>IF(L26=0,0,N26*ROUND(E26/(1+M26),2))</f>
      </c>
      <c r="Q26" s="1">
        <f>O26-P26</f>
      </c>
      <c r="R26" s="1">
        <f>IF(AND(A26="",E26="",C26="",D26=""),"",IF(NOT(ISNUMBER(A26)),"Datum fehlt; ",IF(YEAR(A26)&lt;&gt;Jahr,"Datum nicht in "&amp;Jahr&amp;"; ",""))&amp;IF(N(E26)=0,"Betrag fehlt; ","")&amp;IF(C26="","Kostenart fehlt; ","")&amp;IF(AND(N(E26)&lt;&gt;0,F26=""),"USt-Satz fehlt; ",""))</f>
      </c>
    </row>
    <row r="27" spans="1:18" x14ac:dyDescent="0.25">
      <c r="A27" s="33"/>
      <c r="B27" s="7"/>
      <c r="C27" s="7"/>
      <c r="D27" s="7"/>
      <c r="E27" s="34"/>
      <c r="F27" s="7"/>
      <c r="G27" s="7"/>
      <c r="H27" s="35">
        <f>IF(L27=0,"",ROUND(E27/(1+M27),2))</f>
      </c>
      <c r="I27" s="35">
        <f>IF(L27=0,"",E27-H27)</f>
      </c>
      <c r="J27" s="36">
        <f>IF(R27="","",LEFT(R27,LEN(R27)-2))</f>
      </c>
      <c r="K27" s="1"/>
      <c r="L27" s="1">
        <f>IF(OR(R27&lt;&gt;"",NOT(ISNUMBER(A27))),0,MONTH(A27))</f>
      </c>
      <c r="M27" s="1">
        <f>IF(F27="19 %",0.19,IF(F27="7 %",0.07,0))</f>
      </c>
      <c r="N27" s="1">
        <f>IF(G27="Firma",0,1)</f>
      </c>
      <c r="O27" s="1">
        <f>IF(L27=0,0,N27*E27)</f>
      </c>
      <c r="P27" s="1">
        <f>IF(L27=0,0,N27*ROUND(E27/(1+M27),2))</f>
      </c>
      <c r="Q27" s="1">
        <f>O27-P27</f>
      </c>
      <c r="R27" s="1">
        <f>IF(AND(A27="",E27="",C27="",D27=""),"",IF(NOT(ISNUMBER(A27)),"Datum fehlt; ",IF(YEAR(A27)&lt;&gt;Jahr,"Datum nicht in "&amp;Jahr&amp;"; ",""))&amp;IF(N(E27)=0,"Betrag fehlt; ","")&amp;IF(C27="","Kostenart fehlt; ","")&amp;IF(AND(N(E27)&lt;&gt;0,F27=""),"USt-Satz fehlt; ",""))</f>
      </c>
    </row>
    <row r="28" spans="1:18" x14ac:dyDescent="0.25">
      <c r="A28" s="33"/>
      <c r="B28" s="7"/>
      <c r="C28" s="7"/>
      <c r="D28" s="7"/>
      <c r="E28" s="34"/>
      <c r="F28" s="7"/>
      <c r="G28" s="7"/>
      <c r="H28" s="35">
        <f>IF(L28=0,"",ROUND(E28/(1+M28),2))</f>
      </c>
      <c r="I28" s="35">
        <f>IF(L28=0,"",E28-H28)</f>
      </c>
      <c r="J28" s="36">
        <f>IF(R28="","",LEFT(R28,LEN(R28)-2))</f>
      </c>
      <c r="K28" s="1"/>
      <c r="L28" s="1">
        <f>IF(OR(R28&lt;&gt;"",NOT(ISNUMBER(A28))),0,MONTH(A28))</f>
      </c>
      <c r="M28" s="1">
        <f>IF(F28="19 %",0.19,IF(F28="7 %",0.07,0))</f>
      </c>
      <c r="N28" s="1">
        <f>IF(G28="Firma",0,1)</f>
      </c>
      <c r="O28" s="1">
        <f>IF(L28=0,0,N28*E28)</f>
      </c>
      <c r="P28" s="1">
        <f>IF(L28=0,0,N28*ROUND(E28/(1+M28),2))</f>
      </c>
      <c r="Q28" s="1">
        <f>O28-P28</f>
      </c>
      <c r="R28" s="1">
        <f>IF(AND(A28="",E28="",C28="",D28=""),"",IF(NOT(ISNUMBER(A28)),"Datum fehlt; ",IF(YEAR(A28)&lt;&gt;Jahr,"Datum nicht in "&amp;Jahr&amp;"; ",""))&amp;IF(N(E28)=0,"Betrag fehlt; ","")&amp;IF(C28="","Kostenart fehlt; ","")&amp;IF(AND(N(E28)&lt;&gt;0,F28=""),"USt-Satz fehlt; ",""))</f>
      </c>
    </row>
    <row r="29" spans="1:18" x14ac:dyDescent="0.25">
      <c r="A29" s="33"/>
      <c r="B29" s="7"/>
      <c r="C29" s="7"/>
      <c r="D29" s="7"/>
      <c r="E29" s="34"/>
      <c r="F29" s="7"/>
      <c r="G29" s="7"/>
      <c r="H29" s="35">
        <f>IF(L29=0,"",ROUND(E29/(1+M29),2))</f>
      </c>
      <c r="I29" s="35">
        <f>IF(L29=0,"",E29-H29)</f>
      </c>
      <c r="J29" s="36">
        <f>IF(R29="","",LEFT(R29,LEN(R29)-2))</f>
      </c>
      <c r="K29" s="1"/>
      <c r="L29" s="1">
        <f>IF(OR(R29&lt;&gt;"",NOT(ISNUMBER(A29))),0,MONTH(A29))</f>
      </c>
      <c r="M29" s="1">
        <f>IF(F29="19 %",0.19,IF(F29="7 %",0.07,0))</f>
      </c>
      <c r="N29" s="1">
        <f>IF(G29="Firma",0,1)</f>
      </c>
      <c r="O29" s="1">
        <f>IF(L29=0,0,N29*E29)</f>
      </c>
      <c r="P29" s="1">
        <f>IF(L29=0,0,N29*ROUND(E29/(1+M29),2))</f>
      </c>
      <c r="Q29" s="1">
        <f>O29-P29</f>
      </c>
      <c r="R29" s="1">
        <f>IF(AND(A29="",E29="",C29="",D29=""),"",IF(NOT(ISNUMBER(A29)),"Datum fehlt; ",IF(YEAR(A29)&lt;&gt;Jahr,"Datum nicht in "&amp;Jahr&amp;"; ",""))&amp;IF(N(E29)=0,"Betrag fehlt; ","")&amp;IF(C29="","Kostenart fehlt; ","")&amp;IF(AND(N(E29)&lt;&gt;0,F29=""),"USt-Satz fehlt; ",""))</f>
      </c>
    </row>
    <row r="30" spans="1:18" x14ac:dyDescent="0.25">
      <c r="A30" s="33"/>
      <c r="B30" s="7"/>
      <c r="C30" s="7"/>
      <c r="D30" s="7"/>
      <c r="E30" s="34"/>
      <c r="F30" s="7"/>
      <c r="G30" s="7"/>
      <c r="H30" s="35">
        <f>IF(L30=0,"",ROUND(E30/(1+M30),2))</f>
      </c>
      <c r="I30" s="35">
        <f>IF(L30=0,"",E30-H30)</f>
      </c>
      <c r="J30" s="36">
        <f>IF(R30="","",LEFT(R30,LEN(R30)-2))</f>
      </c>
      <c r="K30" s="1"/>
      <c r="L30" s="1">
        <f>IF(OR(R30&lt;&gt;"",NOT(ISNUMBER(A30))),0,MONTH(A30))</f>
      </c>
      <c r="M30" s="1">
        <f>IF(F30="19 %",0.19,IF(F30="7 %",0.07,0))</f>
      </c>
      <c r="N30" s="1">
        <f>IF(G30="Firma",0,1)</f>
      </c>
      <c r="O30" s="1">
        <f>IF(L30=0,0,N30*E30)</f>
      </c>
      <c r="P30" s="1">
        <f>IF(L30=0,0,N30*ROUND(E30/(1+M30),2))</f>
      </c>
      <c r="Q30" s="1">
        <f>O30-P30</f>
      </c>
      <c r="R30" s="1">
        <f>IF(AND(A30="",E30="",C30="",D30=""),"",IF(NOT(ISNUMBER(A30)),"Datum fehlt; ",IF(YEAR(A30)&lt;&gt;Jahr,"Datum nicht in "&amp;Jahr&amp;"; ",""))&amp;IF(N(E30)=0,"Betrag fehlt; ","")&amp;IF(C30="","Kostenart fehlt; ","")&amp;IF(AND(N(E30)&lt;&gt;0,F30=""),"USt-Satz fehlt; ",""))</f>
      </c>
    </row>
    <row r="31" spans="1:18" x14ac:dyDescent="0.25">
      <c r="A31" s="33"/>
      <c r="B31" s="7"/>
      <c r="C31" s="7"/>
      <c r="D31" s="7"/>
      <c r="E31" s="34"/>
      <c r="F31" s="7"/>
      <c r="G31" s="7"/>
      <c r="H31" s="35">
        <f>IF(L31=0,"",ROUND(E31/(1+M31),2))</f>
      </c>
      <c r="I31" s="35">
        <f>IF(L31=0,"",E31-H31)</f>
      </c>
      <c r="J31" s="36">
        <f>IF(R31="","",LEFT(R31,LEN(R31)-2))</f>
      </c>
      <c r="K31" s="1"/>
      <c r="L31" s="1">
        <f>IF(OR(R31&lt;&gt;"",NOT(ISNUMBER(A31))),0,MONTH(A31))</f>
      </c>
      <c r="M31" s="1">
        <f>IF(F31="19 %",0.19,IF(F31="7 %",0.07,0))</f>
      </c>
      <c r="N31" s="1">
        <f>IF(G31="Firma",0,1)</f>
      </c>
      <c r="O31" s="1">
        <f>IF(L31=0,0,N31*E31)</f>
      </c>
      <c r="P31" s="1">
        <f>IF(L31=0,0,N31*ROUND(E31/(1+M31),2))</f>
      </c>
      <c r="Q31" s="1">
        <f>O31-P31</f>
      </c>
      <c r="R31" s="1">
        <f>IF(AND(A31="",E31="",C31="",D31=""),"",IF(NOT(ISNUMBER(A31)),"Datum fehlt; ",IF(YEAR(A31)&lt;&gt;Jahr,"Datum nicht in "&amp;Jahr&amp;"; ",""))&amp;IF(N(E31)=0,"Betrag fehlt; ","")&amp;IF(C31="","Kostenart fehlt; ","")&amp;IF(AND(N(E31)&lt;&gt;0,F31=""),"USt-Satz fehlt; ",""))</f>
      </c>
    </row>
    <row r="32" spans="1:18" x14ac:dyDescent="0.25">
      <c r="A32" s="33"/>
      <c r="B32" s="7"/>
      <c r="C32" s="7"/>
      <c r="D32" s="7"/>
      <c r="E32" s="34"/>
      <c r="F32" s="7"/>
      <c r="G32" s="7"/>
      <c r="H32" s="35">
        <f>IF(L32=0,"",ROUND(E32/(1+M32),2))</f>
      </c>
      <c r="I32" s="35">
        <f>IF(L32=0,"",E32-H32)</f>
      </c>
      <c r="J32" s="36">
        <f>IF(R32="","",LEFT(R32,LEN(R32)-2))</f>
      </c>
      <c r="K32" s="1"/>
      <c r="L32" s="1">
        <f>IF(OR(R32&lt;&gt;"",NOT(ISNUMBER(A32))),0,MONTH(A32))</f>
      </c>
      <c r="M32" s="1">
        <f>IF(F32="19 %",0.19,IF(F32="7 %",0.07,0))</f>
      </c>
      <c r="N32" s="1">
        <f>IF(G32="Firma",0,1)</f>
      </c>
      <c r="O32" s="1">
        <f>IF(L32=0,0,N32*E32)</f>
      </c>
      <c r="P32" s="1">
        <f>IF(L32=0,0,N32*ROUND(E32/(1+M32),2))</f>
      </c>
      <c r="Q32" s="1">
        <f>O32-P32</f>
      </c>
      <c r="R32" s="1">
        <f>IF(AND(A32="",E32="",C32="",D32=""),"",IF(NOT(ISNUMBER(A32)),"Datum fehlt; ",IF(YEAR(A32)&lt;&gt;Jahr,"Datum nicht in "&amp;Jahr&amp;"; ",""))&amp;IF(N(E32)=0,"Betrag fehlt; ","")&amp;IF(C32="","Kostenart fehlt; ","")&amp;IF(AND(N(E32)&lt;&gt;0,F32=""),"USt-Satz fehlt; ",""))</f>
      </c>
    </row>
    <row r="33" spans="1:18" x14ac:dyDescent="0.25">
      <c r="A33" s="33"/>
      <c r="B33" s="7"/>
      <c r="C33" s="7"/>
      <c r="D33" s="7"/>
      <c r="E33" s="34"/>
      <c r="F33" s="7"/>
      <c r="G33" s="7"/>
      <c r="H33" s="35">
        <f>IF(L33=0,"",ROUND(E33/(1+M33),2))</f>
      </c>
      <c r="I33" s="35">
        <f>IF(L33=0,"",E33-H33)</f>
      </c>
      <c r="J33" s="36">
        <f>IF(R33="","",LEFT(R33,LEN(R33)-2))</f>
      </c>
      <c r="K33" s="1"/>
      <c r="L33" s="1">
        <f>IF(OR(R33&lt;&gt;"",NOT(ISNUMBER(A33))),0,MONTH(A33))</f>
      </c>
      <c r="M33" s="1">
        <f>IF(F33="19 %",0.19,IF(F33="7 %",0.07,0))</f>
      </c>
      <c r="N33" s="1">
        <f>IF(G33="Firma",0,1)</f>
      </c>
      <c r="O33" s="1">
        <f>IF(L33=0,0,N33*E33)</f>
      </c>
      <c r="P33" s="1">
        <f>IF(L33=0,0,N33*ROUND(E33/(1+M33),2))</f>
      </c>
      <c r="Q33" s="1">
        <f>O33-P33</f>
      </c>
      <c r="R33" s="1">
        <f>IF(AND(A33="",E33="",C33="",D33=""),"",IF(NOT(ISNUMBER(A33)),"Datum fehlt; ",IF(YEAR(A33)&lt;&gt;Jahr,"Datum nicht in "&amp;Jahr&amp;"; ",""))&amp;IF(N(E33)=0,"Betrag fehlt; ","")&amp;IF(C33="","Kostenart fehlt; ","")&amp;IF(AND(N(E33)&lt;&gt;0,F33=""),"USt-Satz fehlt; ",""))</f>
      </c>
    </row>
    <row r="34" spans="1:18" x14ac:dyDescent="0.25">
      <c r="A34" s="33"/>
      <c r="B34" s="7"/>
      <c r="C34" s="7"/>
      <c r="D34" s="7"/>
      <c r="E34" s="34"/>
      <c r="F34" s="7"/>
      <c r="G34" s="7"/>
      <c r="H34" s="35">
        <f>IF(L34=0,"",ROUND(E34/(1+M34),2))</f>
      </c>
      <c r="I34" s="35">
        <f>IF(L34=0,"",E34-H34)</f>
      </c>
      <c r="J34" s="36">
        <f>IF(R34="","",LEFT(R34,LEN(R34)-2))</f>
      </c>
      <c r="K34" s="1"/>
      <c r="L34" s="1">
        <f>IF(OR(R34&lt;&gt;"",NOT(ISNUMBER(A34))),0,MONTH(A34))</f>
      </c>
      <c r="M34" s="1">
        <f>IF(F34="19 %",0.19,IF(F34="7 %",0.07,0))</f>
      </c>
      <c r="N34" s="1">
        <f>IF(G34="Firma",0,1)</f>
      </c>
      <c r="O34" s="1">
        <f>IF(L34=0,0,N34*E34)</f>
      </c>
      <c r="P34" s="1">
        <f>IF(L34=0,0,N34*ROUND(E34/(1+M34),2))</f>
      </c>
      <c r="Q34" s="1">
        <f>O34-P34</f>
      </c>
      <c r="R34" s="1">
        <f>IF(AND(A34="",E34="",C34="",D34=""),"",IF(NOT(ISNUMBER(A34)),"Datum fehlt; ",IF(YEAR(A34)&lt;&gt;Jahr,"Datum nicht in "&amp;Jahr&amp;"; ",""))&amp;IF(N(E34)=0,"Betrag fehlt; ","")&amp;IF(C34="","Kostenart fehlt; ","")&amp;IF(AND(N(E34)&lt;&gt;0,F34=""),"USt-Satz fehlt; ",""))</f>
      </c>
    </row>
    <row r="35" spans="1:18" x14ac:dyDescent="0.25">
      <c r="A35" s="33"/>
      <c r="B35" s="7"/>
      <c r="C35" s="7"/>
      <c r="D35" s="7"/>
      <c r="E35" s="34"/>
      <c r="F35" s="7"/>
      <c r="G35" s="7"/>
      <c r="H35" s="35">
        <f>IF(L35=0,"",ROUND(E35/(1+M35),2))</f>
      </c>
      <c r="I35" s="35">
        <f>IF(L35=0,"",E35-H35)</f>
      </c>
      <c r="J35" s="36">
        <f>IF(R35="","",LEFT(R35,LEN(R35)-2))</f>
      </c>
      <c r="K35" s="1"/>
      <c r="L35" s="1">
        <f>IF(OR(R35&lt;&gt;"",NOT(ISNUMBER(A35))),0,MONTH(A35))</f>
      </c>
      <c r="M35" s="1">
        <f>IF(F35="19 %",0.19,IF(F35="7 %",0.07,0))</f>
      </c>
      <c r="N35" s="1">
        <f>IF(G35="Firma",0,1)</f>
      </c>
      <c r="O35" s="1">
        <f>IF(L35=0,0,N35*E35)</f>
      </c>
      <c r="P35" s="1">
        <f>IF(L35=0,0,N35*ROUND(E35/(1+M35),2))</f>
      </c>
      <c r="Q35" s="1">
        <f>O35-P35</f>
      </c>
      <c r="R35" s="1">
        <f>IF(AND(A35="",E35="",C35="",D35=""),"",IF(NOT(ISNUMBER(A35)),"Datum fehlt; ",IF(YEAR(A35)&lt;&gt;Jahr,"Datum nicht in "&amp;Jahr&amp;"; ",""))&amp;IF(N(E35)=0,"Betrag fehlt; ","")&amp;IF(C35="","Kostenart fehlt; ","")&amp;IF(AND(N(E35)&lt;&gt;0,F35=""),"USt-Satz fehlt; ",""))</f>
      </c>
    </row>
    <row r="36" spans="1:18" x14ac:dyDescent="0.25">
      <c r="A36" s="33"/>
      <c r="B36" s="7"/>
      <c r="C36" s="7"/>
      <c r="D36" s="7"/>
      <c r="E36" s="34"/>
      <c r="F36" s="7"/>
      <c r="G36" s="7"/>
      <c r="H36" s="35">
        <f>IF(L36=0,"",ROUND(E36/(1+M36),2))</f>
      </c>
      <c r="I36" s="35">
        <f>IF(L36=0,"",E36-H36)</f>
      </c>
      <c r="J36" s="36">
        <f>IF(R36="","",LEFT(R36,LEN(R36)-2))</f>
      </c>
      <c r="K36" s="1"/>
      <c r="L36" s="1">
        <f>IF(OR(R36&lt;&gt;"",NOT(ISNUMBER(A36))),0,MONTH(A36))</f>
      </c>
      <c r="M36" s="1">
        <f>IF(F36="19 %",0.19,IF(F36="7 %",0.07,0))</f>
      </c>
      <c r="N36" s="1">
        <f>IF(G36="Firma",0,1)</f>
      </c>
      <c r="O36" s="1">
        <f>IF(L36=0,0,N36*E36)</f>
      </c>
      <c r="P36" s="1">
        <f>IF(L36=0,0,N36*ROUND(E36/(1+M36),2))</f>
      </c>
      <c r="Q36" s="1">
        <f>O36-P36</f>
      </c>
      <c r="R36" s="1">
        <f>IF(AND(A36="",E36="",C36="",D36=""),"",IF(NOT(ISNUMBER(A36)),"Datum fehlt; ",IF(YEAR(A36)&lt;&gt;Jahr,"Datum nicht in "&amp;Jahr&amp;"; ",""))&amp;IF(N(E36)=0,"Betrag fehlt; ","")&amp;IF(C36="","Kostenart fehlt; ","")&amp;IF(AND(N(E36)&lt;&gt;0,F36=""),"USt-Satz fehlt; ",""))</f>
      </c>
    </row>
    <row r="37" spans="1:18" x14ac:dyDescent="0.25">
      <c r="A37" s="33"/>
      <c r="B37" s="7"/>
      <c r="C37" s="7"/>
      <c r="D37" s="7"/>
      <c r="E37" s="34"/>
      <c r="F37" s="7"/>
      <c r="G37" s="7"/>
      <c r="H37" s="35">
        <f>IF(L37=0,"",ROUND(E37/(1+M37),2))</f>
      </c>
      <c r="I37" s="35">
        <f>IF(L37=0,"",E37-H37)</f>
      </c>
      <c r="J37" s="36">
        <f>IF(R37="","",LEFT(R37,LEN(R37)-2))</f>
      </c>
      <c r="K37" s="1"/>
      <c r="L37" s="1">
        <f>IF(OR(R37&lt;&gt;"",NOT(ISNUMBER(A37))),0,MONTH(A37))</f>
      </c>
      <c r="M37" s="1">
        <f>IF(F37="19 %",0.19,IF(F37="7 %",0.07,0))</f>
      </c>
      <c r="N37" s="1">
        <f>IF(G37="Firma",0,1)</f>
      </c>
      <c r="O37" s="1">
        <f>IF(L37=0,0,N37*E37)</f>
      </c>
      <c r="P37" s="1">
        <f>IF(L37=0,0,N37*ROUND(E37/(1+M37),2))</f>
      </c>
      <c r="Q37" s="1">
        <f>O37-P37</f>
      </c>
      <c r="R37" s="1">
        <f>IF(AND(A37="",E37="",C37="",D37=""),"",IF(NOT(ISNUMBER(A37)),"Datum fehlt; ",IF(YEAR(A37)&lt;&gt;Jahr,"Datum nicht in "&amp;Jahr&amp;"; ",""))&amp;IF(N(E37)=0,"Betrag fehlt; ","")&amp;IF(C37="","Kostenart fehlt; ","")&amp;IF(AND(N(E37)&lt;&gt;0,F37=""),"USt-Satz fehlt; ",""))</f>
      </c>
    </row>
    <row r="38" spans="1:18" x14ac:dyDescent="0.25">
      <c r="A38" s="33"/>
      <c r="B38" s="7"/>
      <c r="C38" s="7"/>
      <c r="D38" s="7"/>
      <c r="E38" s="34"/>
      <c r="F38" s="7"/>
      <c r="G38" s="7"/>
      <c r="H38" s="35">
        <f>IF(L38=0,"",ROUND(E38/(1+M38),2))</f>
      </c>
      <c r="I38" s="35">
        <f>IF(L38=0,"",E38-H38)</f>
      </c>
      <c r="J38" s="36">
        <f>IF(R38="","",LEFT(R38,LEN(R38)-2))</f>
      </c>
      <c r="K38" s="1"/>
      <c r="L38" s="1">
        <f>IF(OR(R38&lt;&gt;"",NOT(ISNUMBER(A38))),0,MONTH(A38))</f>
      </c>
      <c r="M38" s="1">
        <f>IF(F38="19 %",0.19,IF(F38="7 %",0.07,0))</f>
      </c>
      <c r="N38" s="1">
        <f>IF(G38="Firma",0,1)</f>
      </c>
      <c r="O38" s="1">
        <f>IF(L38=0,0,N38*E38)</f>
      </c>
      <c r="P38" s="1">
        <f>IF(L38=0,0,N38*ROUND(E38/(1+M38),2))</f>
      </c>
      <c r="Q38" s="1">
        <f>O38-P38</f>
      </c>
      <c r="R38" s="1">
        <f>IF(AND(A38="",E38="",C38="",D38=""),"",IF(NOT(ISNUMBER(A38)),"Datum fehlt; ",IF(YEAR(A38)&lt;&gt;Jahr,"Datum nicht in "&amp;Jahr&amp;"; ",""))&amp;IF(N(E38)=0,"Betrag fehlt; ","")&amp;IF(C38="","Kostenart fehlt; ","")&amp;IF(AND(N(E38)&lt;&gt;0,F38=""),"USt-Satz fehlt; ",""))</f>
      </c>
    </row>
    <row r="39" spans="1:18" x14ac:dyDescent="0.25">
      <c r="A39" s="33"/>
      <c r="B39" s="7"/>
      <c r="C39" s="7"/>
      <c r="D39" s="7"/>
      <c r="E39" s="34"/>
      <c r="F39" s="7"/>
      <c r="G39" s="7"/>
      <c r="H39" s="35">
        <f>IF(L39=0,"",ROUND(E39/(1+M39),2))</f>
      </c>
      <c r="I39" s="35">
        <f>IF(L39=0,"",E39-H39)</f>
      </c>
      <c r="J39" s="36">
        <f>IF(R39="","",LEFT(R39,LEN(R39)-2))</f>
      </c>
      <c r="K39" s="1"/>
      <c r="L39" s="1">
        <f>IF(OR(R39&lt;&gt;"",NOT(ISNUMBER(A39))),0,MONTH(A39))</f>
      </c>
      <c r="M39" s="1">
        <f>IF(F39="19 %",0.19,IF(F39="7 %",0.07,0))</f>
      </c>
      <c r="N39" s="1">
        <f>IF(G39="Firma",0,1)</f>
      </c>
      <c r="O39" s="1">
        <f>IF(L39=0,0,N39*E39)</f>
      </c>
      <c r="P39" s="1">
        <f>IF(L39=0,0,N39*ROUND(E39/(1+M39),2))</f>
      </c>
      <c r="Q39" s="1">
        <f>O39-P39</f>
      </c>
      <c r="R39" s="1">
        <f>IF(AND(A39="",E39="",C39="",D39=""),"",IF(NOT(ISNUMBER(A39)),"Datum fehlt; ",IF(YEAR(A39)&lt;&gt;Jahr,"Datum nicht in "&amp;Jahr&amp;"; ",""))&amp;IF(N(E39)=0,"Betrag fehlt; ","")&amp;IF(C39="","Kostenart fehlt; ","")&amp;IF(AND(N(E39)&lt;&gt;0,F39=""),"USt-Satz fehlt; ",""))</f>
      </c>
    </row>
    <row r="40" spans="1:18" x14ac:dyDescent="0.25">
      <c r="A40" s="33"/>
      <c r="B40" s="7"/>
      <c r="C40" s="7"/>
      <c r="D40" s="7"/>
      <c r="E40" s="34"/>
      <c r="F40" s="7"/>
      <c r="G40" s="7"/>
      <c r="H40" s="35">
        <f>IF(L40=0,"",ROUND(E40/(1+M40),2))</f>
      </c>
      <c r="I40" s="35">
        <f>IF(L40=0,"",E40-H40)</f>
      </c>
      <c r="J40" s="36">
        <f>IF(R40="","",LEFT(R40,LEN(R40)-2))</f>
      </c>
      <c r="K40" s="1"/>
      <c r="L40" s="1">
        <f>IF(OR(R40&lt;&gt;"",NOT(ISNUMBER(A40))),0,MONTH(A40))</f>
      </c>
      <c r="M40" s="1">
        <f>IF(F40="19 %",0.19,IF(F40="7 %",0.07,0))</f>
      </c>
      <c r="N40" s="1">
        <f>IF(G40="Firma",0,1)</f>
      </c>
      <c r="O40" s="1">
        <f>IF(L40=0,0,N40*E40)</f>
      </c>
      <c r="P40" s="1">
        <f>IF(L40=0,0,N40*ROUND(E40/(1+M40),2))</f>
      </c>
      <c r="Q40" s="1">
        <f>O40-P40</f>
      </c>
      <c r="R40" s="1">
        <f>IF(AND(A40="",E40="",C40="",D40=""),"",IF(NOT(ISNUMBER(A40)),"Datum fehlt; ",IF(YEAR(A40)&lt;&gt;Jahr,"Datum nicht in "&amp;Jahr&amp;"; ",""))&amp;IF(N(E40)=0,"Betrag fehlt; ","")&amp;IF(C40="","Kostenart fehlt; ","")&amp;IF(AND(N(E40)&lt;&gt;0,F40=""),"USt-Satz fehlt; ",""))</f>
      </c>
    </row>
    <row r="41" spans="1:18" x14ac:dyDescent="0.25">
      <c r="A41" s="33"/>
      <c r="B41" s="7"/>
      <c r="C41" s="7"/>
      <c r="D41" s="7"/>
      <c r="E41" s="34"/>
      <c r="F41" s="7"/>
      <c r="G41" s="7"/>
      <c r="H41" s="35">
        <f>IF(L41=0,"",ROUND(E41/(1+M41),2))</f>
      </c>
      <c r="I41" s="35">
        <f>IF(L41=0,"",E41-H41)</f>
      </c>
      <c r="J41" s="36">
        <f>IF(R41="","",LEFT(R41,LEN(R41)-2))</f>
      </c>
      <c r="K41" s="1"/>
      <c r="L41" s="1">
        <f>IF(OR(R41&lt;&gt;"",NOT(ISNUMBER(A41))),0,MONTH(A41))</f>
      </c>
      <c r="M41" s="1">
        <f>IF(F41="19 %",0.19,IF(F41="7 %",0.07,0))</f>
      </c>
      <c r="N41" s="1">
        <f>IF(G41="Firma",0,1)</f>
      </c>
      <c r="O41" s="1">
        <f>IF(L41=0,0,N41*E41)</f>
      </c>
      <c r="P41" s="1">
        <f>IF(L41=0,0,N41*ROUND(E41/(1+M41),2))</f>
      </c>
      <c r="Q41" s="1">
        <f>O41-P41</f>
      </c>
      <c r="R41" s="1">
        <f>IF(AND(A41="",E41="",C41="",D41=""),"",IF(NOT(ISNUMBER(A41)),"Datum fehlt; ",IF(YEAR(A41)&lt;&gt;Jahr,"Datum nicht in "&amp;Jahr&amp;"; ",""))&amp;IF(N(E41)=0,"Betrag fehlt; ","")&amp;IF(C41="","Kostenart fehlt; ","")&amp;IF(AND(N(E41)&lt;&gt;0,F41=""),"USt-Satz fehlt; ",""))</f>
      </c>
    </row>
    <row r="42" spans="1:18" x14ac:dyDescent="0.25">
      <c r="A42" s="33"/>
      <c r="B42" s="7"/>
      <c r="C42" s="7"/>
      <c r="D42" s="7"/>
      <c r="E42" s="34"/>
      <c r="F42" s="7"/>
      <c r="G42" s="7"/>
      <c r="H42" s="35">
        <f>IF(L42=0,"",ROUND(E42/(1+M42),2))</f>
      </c>
      <c r="I42" s="35">
        <f>IF(L42=0,"",E42-H42)</f>
      </c>
      <c r="J42" s="36">
        <f>IF(R42="","",LEFT(R42,LEN(R42)-2))</f>
      </c>
      <c r="K42" s="1"/>
      <c r="L42" s="1">
        <f>IF(OR(R42&lt;&gt;"",NOT(ISNUMBER(A42))),0,MONTH(A42))</f>
      </c>
      <c r="M42" s="1">
        <f>IF(F42="19 %",0.19,IF(F42="7 %",0.07,0))</f>
      </c>
      <c r="N42" s="1">
        <f>IF(G42="Firma",0,1)</f>
      </c>
      <c r="O42" s="1">
        <f>IF(L42=0,0,N42*E42)</f>
      </c>
      <c r="P42" s="1">
        <f>IF(L42=0,0,N42*ROUND(E42/(1+M42),2))</f>
      </c>
      <c r="Q42" s="1">
        <f>O42-P42</f>
      </c>
      <c r="R42" s="1">
        <f>IF(AND(A42="",E42="",C42="",D42=""),"",IF(NOT(ISNUMBER(A42)),"Datum fehlt; ",IF(YEAR(A42)&lt;&gt;Jahr,"Datum nicht in "&amp;Jahr&amp;"; ",""))&amp;IF(N(E42)=0,"Betrag fehlt; ","")&amp;IF(C42="","Kostenart fehlt; ","")&amp;IF(AND(N(E42)&lt;&gt;0,F42=""),"USt-Satz fehlt; ",""))</f>
      </c>
    </row>
    <row r="43" spans="1:18" x14ac:dyDescent="0.25">
      <c r="A43" s="33"/>
      <c r="B43" s="7"/>
      <c r="C43" s="7"/>
      <c r="D43" s="7"/>
      <c r="E43" s="34"/>
      <c r="F43" s="7"/>
      <c r="G43" s="7"/>
      <c r="H43" s="35">
        <f>IF(L43=0,"",ROUND(E43/(1+M43),2))</f>
      </c>
      <c r="I43" s="35">
        <f>IF(L43=0,"",E43-H43)</f>
      </c>
      <c r="J43" s="36">
        <f>IF(R43="","",LEFT(R43,LEN(R43)-2))</f>
      </c>
      <c r="K43" s="1"/>
      <c r="L43" s="1">
        <f>IF(OR(R43&lt;&gt;"",NOT(ISNUMBER(A43))),0,MONTH(A43))</f>
      </c>
      <c r="M43" s="1">
        <f>IF(F43="19 %",0.19,IF(F43="7 %",0.07,0))</f>
      </c>
      <c r="N43" s="1">
        <f>IF(G43="Firma",0,1)</f>
      </c>
      <c r="O43" s="1">
        <f>IF(L43=0,0,N43*E43)</f>
      </c>
      <c r="P43" s="1">
        <f>IF(L43=0,0,N43*ROUND(E43/(1+M43),2))</f>
      </c>
      <c r="Q43" s="1">
        <f>O43-P43</f>
      </c>
      <c r="R43" s="1">
        <f>IF(AND(A43="",E43="",C43="",D43=""),"",IF(NOT(ISNUMBER(A43)),"Datum fehlt; ",IF(YEAR(A43)&lt;&gt;Jahr,"Datum nicht in "&amp;Jahr&amp;"; ",""))&amp;IF(N(E43)=0,"Betrag fehlt; ","")&amp;IF(C43="","Kostenart fehlt; ","")&amp;IF(AND(N(E43)&lt;&gt;0,F43=""),"USt-Satz fehlt; ",""))</f>
      </c>
    </row>
    <row r="44" spans="1:18" x14ac:dyDescent="0.25">
      <c r="A44" s="33"/>
      <c r="B44" s="7"/>
      <c r="C44" s="7"/>
      <c r="D44" s="7"/>
      <c r="E44" s="34"/>
      <c r="F44" s="7"/>
      <c r="G44" s="7"/>
      <c r="H44" s="35">
        <f>IF(L44=0,"",ROUND(E44/(1+M44),2))</f>
      </c>
      <c r="I44" s="35">
        <f>IF(L44=0,"",E44-H44)</f>
      </c>
      <c r="J44" s="36">
        <f>IF(R44="","",LEFT(R44,LEN(R44)-2))</f>
      </c>
      <c r="K44" s="1"/>
      <c r="L44" s="1">
        <f>IF(OR(R44&lt;&gt;"",NOT(ISNUMBER(A44))),0,MONTH(A44))</f>
      </c>
      <c r="M44" s="1">
        <f>IF(F44="19 %",0.19,IF(F44="7 %",0.07,0))</f>
      </c>
      <c r="N44" s="1">
        <f>IF(G44="Firma",0,1)</f>
      </c>
      <c r="O44" s="1">
        <f>IF(L44=0,0,N44*E44)</f>
      </c>
      <c r="P44" s="1">
        <f>IF(L44=0,0,N44*ROUND(E44/(1+M44),2))</f>
      </c>
      <c r="Q44" s="1">
        <f>O44-P44</f>
      </c>
      <c r="R44" s="1">
        <f>IF(AND(A44="",E44="",C44="",D44=""),"",IF(NOT(ISNUMBER(A44)),"Datum fehlt; ",IF(YEAR(A44)&lt;&gt;Jahr,"Datum nicht in "&amp;Jahr&amp;"; ",""))&amp;IF(N(E44)=0,"Betrag fehlt; ","")&amp;IF(C44="","Kostenart fehlt; ","")&amp;IF(AND(N(E44)&lt;&gt;0,F44=""),"USt-Satz fehlt; ",""))</f>
      </c>
    </row>
    <row r="45" spans="1:18" x14ac:dyDescent="0.25">
      <c r="A45" s="33"/>
      <c r="B45" s="7"/>
      <c r="C45" s="7"/>
      <c r="D45" s="7"/>
      <c r="E45" s="34"/>
      <c r="F45" s="7"/>
      <c r="G45" s="7"/>
      <c r="H45" s="35">
        <f>IF(L45=0,"",ROUND(E45/(1+M45),2))</f>
      </c>
      <c r="I45" s="35">
        <f>IF(L45=0,"",E45-H45)</f>
      </c>
      <c r="J45" s="36">
        <f>IF(R45="","",LEFT(R45,LEN(R45)-2))</f>
      </c>
      <c r="K45" s="1"/>
      <c r="L45" s="1">
        <f>IF(OR(R45&lt;&gt;"",NOT(ISNUMBER(A45))),0,MONTH(A45))</f>
      </c>
      <c r="M45" s="1">
        <f>IF(F45="19 %",0.19,IF(F45="7 %",0.07,0))</f>
      </c>
      <c r="N45" s="1">
        <f>IF(G45="Firma",0,1)</f>
      </c>
      <c r="O45" s="1">
        <f>IF(L45=0,0,N45*E45)</f>
      </c>
      <c r="P45" s="1">
        <f>IF(L45=0,0,N45*ROUND(E45/(1+M45),2))</f>
      </c>
      <c r="Q45" s="1">
        <f>O45-P45</f>
      </c>
      <c r="R45" s="1">
        <f>IF(AND(A45="",E45="",C45="",D45=""),"",IF(NOT(ISNUMBER(A45)),"Datum fehlt; ",IF(YEAR(A45)&lt;&gt;Jahr,"Datum nicht in "&amp;Jahr&amp;"; ",""))&amp;IF(N(E45)=0,"Betrag fehlt; ","")&amp;IF(C45="","Kostenart fehlt; ","")&amp;IF(AND(N(E45)&lt;&gt;0,F45=""),"USt-Satz fehlt; ",""))</f>
      </c>
    </row>
    <row r="46" spans="1:18" x14ac:dyDescent="0.25">
      <c r="A46" s="33"/>
      <c r="B46" s="7"/>
      <c r="C46" s="7"/>
      <c r="D46" s="7"/>
      <c r="E46" s="34"/>
      <c r="F46" s="7"/>
      <c r="G46" s="7"/>
      <c r="H46" s="35">
        <f>IF(L46=0,"",ROUND(E46/(1+M46),2))</f>
      </c>
      <c r="I46" s="35">
        <f>IF(L46=0,"",E46-H46)</f>
      </c>
      <c r="J46" s="36">
        <f>IF(R46="","",LEFT(R46,LEN(R46)-2))</f>
      </c>
      <c r="K46" s="1"/>
      <c r="L46" s="1">
        <f>IF(OR(R46&lt;&gt;"",NOT(ISNUMBER(A46))),0,MONTH(A46))</f>
      </c>
      <c r="M46" s="1">
        <f>IF(F46="19 %",0.19,IF(F46="7 %",0.07,0))</f>
      </c>
      <c r="N46" s="1">
        <f>IF(G46="Firma",0,1)</f>
      </c>
      <c r="O46" s="1">
        <f>IF(L46=0,0,N46*E46)</f>
      </c>
      <c r="P46" s="1">
        <f>IF(L46=0,0,N46*ROUND(E46/(1+M46),2))</f>
      </c>
      <c r="Q46" s="1">
        <f>O46-P46</f>
      </c>
      <c r="R46" s="1">
        <f>IF(AND(A46="",E46="",C46="",D46=""),"",IF(NOT(ISNUMBER(A46)),"Datum fehlt; ",IF(YEAR(A46)&lt;&gt;Jahr,"Datum nicht in "&amp;Jahr&amp;"; ",""))&amp;IF(N(E46)=0,"Betrag fehlt; ","")&amp;IF(C46="","Kostenart fehlt; ","")&amp;IF(AND(N(E46)&lt;&gt;0,F46=""),"USt-Satz fehlt; ",""))</f>
      </c>
    </row>
    <row r="47" spans="1:18" x14ac:dyDescent="0.25">
      <c r="A47" s="33"/>
      <c r="B47" s="7"/>
      <c r="C47" s="7"/>
      <c r="D47" s="7"/>
      <c r="E47" s="34"/>
      <c r="F47" s="7"/>
      <c r="G47" s="7"/>
      <c r="H47" s="35">
        <f>IF(L47=0,"",ROUND(E47/(1+M47),2))</f>
      </c>
      <c r="I47" s="35">
        <f>IF(L47=0,"",E47-H47)</f>
      </c>
      <c r="J47" s="36">
        <f>IF(R47="","",LEFT(R47,LEN(R47)-2))</f>
      </c>
      <c r="K47" s="1"/>
      <c r="L47" s="1">
        <f>IF(OR(R47&lt;&gt;"",NOT(ISNUMBER(A47))),0,MONTH(A47))</f>
      </c>
      <c r="M47" s="1">
        <f>IF(F47="19 %",0.19,IF(F47="7 %",0.07,0))</f>
      </c>
      <c r="N47" s="1">
        <f>IF(G47="Firma",0,1)</f>
      </c>
      <c r="O47" s="1">
        <f>IF(L47=0,0,N47*E47)</f>
      </c>
      <c r="P47" s="1">
        <f>IF(L47=0,0,N47*ROUND(E47/(1+M47),2))</f>
      </c>
      <c r="Q47" s="1">
        <f>O47-P47</f>
      </c>
      <c r="R47" s="1">
        <f>IF(AND(A47="",E47="",C47="",D47=""),"",IF(NOT(ISNUMBER(A47)),"Datum fehlt; ",IF(YEAR(A47)&lt;&gt;Jahr,"Datum nicht in "&amp;Jahr&amp;"; ",""))&amp;IF(N(E47)=0,"Betrag fehlt; ","")&amp;IF(C47="","Kostenart fehlt; ","")&amp;IF(AND(N(E47)&lt;&gt;0,F47=""),"USt-Satz fehlt; ",""))</f>
      </c>
    </row>
    <row r="48" spans="1:18" x14ac:dyDescent="0.25">
      <c r="A48" s="33"/>
      <c r="B48" s="7"/>
      <c r="C48" s="7"/>
      <c r="D48" s="7"/>
      <c r="E48" s="34"/>
      <c r="F48" s="7"/>
      <c r="G48" s="7"/>
      <c r="H48" s="35">
        <f>IF(L48=0,"",ROUND(E48/(1+M48),2))</f>
      </c>
      <c r="I48" s="35">
        <f>IF(L48=0,"",E48-H48)</f>
      </c>
      <c r="J48" s="36">
        <f>IF(R48="","",LEFT(R48,LEN(R48)-2))</f>
      </c>
      <c r="K48" s="1"/>
      <c r="L48" s="1">
        <f>IF(OR(R48&lt;&gt;"",NOT(ISNUMBER(A48))),0,MONTH(A48))</f>
      </c>
      <c r="M48" s="1">
        <f>IF(F48="19 %",0.19,IF(F48="7 %",0.07,0))</f>
      </c>
      <c r="N48" s="1">
        <f>IF(G48="Firma",0,1)</f>
      </c>
      <c r="O48" s="1">
        <f>IF(L48=0,0,N48*E48)</f>
      </c>
      <c r="P48" s="1">
        <f>IF(L48=0,0,N48*ROUND(E48/(1+M48),2))</f>
      </c>
      <c r="Q48" s="1">
        <f>O48-P48</f>
      </c>
      <c r="R48" s="1">
        <f>IF(AND(A48="",E48="",C48="",D48=""),"",IF(NOT(ISNUMBER(A48)),"Datum fehlt; ",IF(YEAR(A48)&lt;&gt;Jahr,"Datum nicht in "&amp;Jahr&amp;"; ",""))&amp;IF(N(E48)=0,"Betrag fehlt; ","")&amp;IF(C48="","Kostenart fehlt; ","")&amp;IF(AND(N(E48)&lt;&gt;0,F48=""),"USt-Satz fehlt; ",""))</f>
      </c>
    </row>
    <row r="49" spans="1:18" x14ac:dyDescent="0.25">
      <c r="A49" s="33"/>
      <c r="B49" s="7"/>
      <c r="C49" s="7"/>
      <c r="D49" s="7"/>
      <c r="E49" s="34"/>
      <c r="F49" s="7"/>
      <c r="G49" s="7"/>
      <c r="H49" s="35">
        <f>IF(L49=0,"",ROUND(E49/(1+M49),2))</f>
      </c>
      <c r="I49" s="35">
        <f>IF(L49=0,"",E49-H49)</f>
      </c>
      <c r="J49" s="36">
        <f>IF(R49="","",LEFT(R49,LEN(R49)-2))</f>
      </c>
      <c r="K49" s="1"/>
      <c r="L49" s="1">
        <f>IF(OR(R49&lt;&gt;"",NOT(ISNUMBER(A49))),0,MONTH(A49))</f>
      </c>
      <c r="M49" s="1">
        <f>IF(F49="19 %",0.19,IF(F49="7 %",0.07,0))</f>
      </c>
      <c r="N49" s="1">
        <f>IF(G49="Firma",0,1)</f>
      </c>
      <c r="O49" s="1">
        <f>IF(L49=0,0,N49*E49)</f>
      </c>
      <c r="P49" s="1">
        <f>IF(L49=0,0,N49*ROUND(E49/(1+M49),2))</f>
      </c>
      <c r="Q49" s="1">
        <f>O49-P49</f>
      </c>
      <c r="R49" s="1">
        <f>IF(AND(A49="",E49="",C49="",D49=""),"",IF(NOT(ISNUMBER(A49)),"Datum fehlt; ",IF(YEAR(A49)&lt;&gt;Jahr,"Datum nicht in "&amp;Jahr&amp;"; ",""))&amp;IF(N(E49)=0,"Betrag fehlt; ","")&amp;IF(C49="","Kostenart fehlt; ","")&amp;IF(AND(N(E49)&lt;&gt;0,F49=""),"USt-Satz fehlt; ",""))</f>
      </c>
    </row>
    <row r="50" spans="1:18" x14ac:dyDescent="0.25">
      <c r="A50" s="33"/>
      <c r="B50" s="7"/>
      <c r="C50" s="7"/>
      <c r="D50" s="7"/>
      <c r="E50" s="34"/>
      <c r="F50" s="7"/>
      <c r="G50" s="7"/>
      <c r="H50" s="35">
        <f>IF(L50=0,"",ROUND(E50/(1+M50),2))</f>
      </c>
      <c r="I50" s="35">
        <f>IF(L50=0,"",E50-H50)</f>
      </c>
      <c r="J50" s="36">
        <f>IF(R50="","",LEFT(R50,LEN(R50)-2))</f>
      </c>
      <c r="K50" s="1"/>
      <c r="L50" s="1">
        <f>IF(OR(R50&lt;&gt;"",NOT(ISNUMBER(A50))),0,MONTH(A50))</f>
      </c>
      <c r="M50" s="1">
        <f>IF(F50="19 %",0.19,IF(F50="7 %",0.07,0))</f>
      </c>
      <c r="N50" s="1">
        <f>IF(G50="Firma",0,1)</f>
      </c>
      <c r="O50" s="1">
        <f>IF(L50=0,0,N50*E50)</f>
      </c>
      <c r="P50" s="1">
        <f>IF(L50=0,0,N50*ROUND(E50/(1+M50),2))</f>
      </c>
      <c r="Q50" s="1">
        <f>O50-P50</f>
      </c>
      <c r="R50" s="1">
        <f>IF(AND(A50="",E50="",C50="",D50=""),"",IF(NOT(ISNUMBER(A50)),"Datum fehlt; ",IF(YEAR(A50)&lt;&gt;Jahr,"Datum nicht in "&amp;Jahr&amp;"; ",""))&amp;IF(N(E50)=0,"Betrag fehlt; ","")&amp;IF(C50="","Kostenart fehlt; ","")&amp;IF(AND(N(E50)&lt;&gt;0,F50=""),"USt-Satz fehlt; ",""))</f>
      </c>
    </row>
    <row r="51" spans="1:18" x14ac:dyDescent="0.25">
      <c r="A51" s="33"/>
      <c r="B51" s="7"/>
      <c r="C51" s="7"/>
      <c r="D51" s="7"/>
      <c r="E51" s="34"/>
      <c r="F51" s="7"/>
      <c r="G51" s="7"/>
      <c r="H51" s="35">
        <f>IF(L51=0,"",ROUND(E51/(1+M51),2))</f>
      </c>
      <c r="I51" s="35">
        <f>IF(L51=0,"",E51-H51)</f>
      </c>
      <c r="J51" s="36">
        <f>IF(R51="","",LEFT(R51,LEN(R51)-2))</f>
      </c>
      <c r="K51" s="1"/>
      <c r="L51" s="1">
        <f>IF(OR(R51&lt;&gt;"",NOT(ISNUMBER(A51))),0,MONTH(A51))</f>
      </c>
      <c r="M51" s="1">
        <f>IF(F51="19 %",0.19,IF(F51="7 %",0.07,0))</f>
      </c>
      <c r="N51" s="1">
        <f>IF(G51="Firma",0,1)</f>
      </c>
      <c r="O51" s="1">
        <f>IF(L51=0,0,N51*E51)</f>
      </c>
      <c r="P51" s="1">
        <f>IF(L51=0,0,N51*ROUND(E51/(1+M51),2))</f>
      </c>
      <c r="Q51" s="1">
        <f>O51-P51</f>
      </c>
      <c r="R51" s="1">
        <f>IF(AND(A51="",E51="",C51="",D51=""),"",IF(NOT(ISNUMBER(A51)),"Datum fehlt; ",IF(YEAR(A51)&lt;&gt;Jahr,"Datum nicht in "&amp;Jahr&amp;"; ",""))&amp;IF(N(E51)=0,"Betrag fehlt; ","")&amp;IF(C51="","Kostenart fehlt; ","")&amp;IF(AND(N(E51)&lt;&gt;0,F51=""),"USt-Satz fehlt; ",""))</f>
      </c>
    </row>
    <row r="52" spans="1:18" x14ac:dyDescent="0.25">
      <c r="A52" s="33"/>
      <c r="B52" s="7"/>
      <c r="C52" s="7"/>
      <c r="D52" s="7"/>
      <c r="E52" s="34"/>
      <c r="F52" s="7"/>
      <c r="G52" s="7"/>
      <c r="H52" s="35">
        <f>IF(L52=0,"",ROUND(E52/(1+M52),2))</f>
      </c>
      <c r="I52" s="35">
        <f>IF(L52=0,"",E52-H52)</f>
      </c>
      <c r="J52" s="36">
        <f>IF(R52="","",LEFT(R52,LEN(R52)-2))</f>
      </c>
      <c r="K52" s="1"/>
      <c r="L52" s="1">
        <f>IF(OR(R52&lt;&gt;"",NOT(ISNUMBER(A52))),0,MONTH(A52))</f>
      </c>
      <c r="M52" s="1">
        <f>IF(F52="19 %",0.19,IF(F52="7 %",0.07,0))</f>
      </c>
      <c r="N52" s="1">
        <f>IF(G52="Firma",0,1)</f>
      </c>
      <c r="O52" s="1">
        <f>IF(L52=0,0,N52*E52)</f>
      </c>
      <c r="P52" s="1">
        <f>IF(L52=0,0,N52*ROUND(E52/(1+M52),2))</f>
      </c>
      <c r="Q52" s="1">
        <f>O52-P52</f>
      </c>
      <c r="R52" s="1">
        <f>IF(AND(A52="",E52="",C52="",D52=""),"",IF(NOT(ISNUMBER(A52)),"Datum fehlt; ",IF(YEAR(A52)&lt;&gt;Jahr,"Datum nicht in "&amp;Jahr&amp;"; ",""))&amp;IF(N(E52)=0,"Betrag fehlt; ","")&amp;IF(C52="","Kostenart fehlt; ","")&amp;IF(AND(N(E52)&lt;&gt;0,F52=""),"USt-Satz fehlt; ",""))</f>
      </c>
    </row>
    <row r="53" spans="1:18" x14ac:dyDescent="0.25">
      <c r="A53" s="33"/>
      <c r="B53" s="7"/>
      <c r="C53" s="7"/>
      <c r="D53" s="7"/>
      <c r="E53" s="34"/>
      <c r="F53" s="7"/>
      <c r="G53" s="7"/>
      <c r="H53" s="35">
        <f>IF(L53=0,"",ROUND(E53/(1+M53),2))</f>
      </c>
      <c r="I53" s="35">
        <f>IF(L53=0,"",E53-H53)</f>
      </c>
      <c r="J53" s="36">
        <f>IF(R53="","",LEFT(R53,LEN(R53)-2))</f>
      </c>
      <c r="K53" s="1"/>
      <c r="L53" s="1">
        <f>IF(OR(R53&lt;&gt;"",NOT(ISNUMBER(A53))),0,MONTH(A53))</f>
      </c>
      <c r="M53" s="1">
        <f>IF(F53="19 %",0.19,IF(F53="7 %",0.07,0))</f>
      </c>
      <c r="N53" s="1">
        <f>IF(G53="Firma",0,1)</f>
      </c>
      <c r="O53" s="1">
        <f>IF(L53=0,0,N53*E53)</f>
      </c>
      <c r="P53" s="1">
        <f>IF(L53=0,0,N53*ROUND(E53/(1+M53),2))</f>
      </c>
      <c r="Q53" s="1">
        <f>O53-P53</f>
      </c>
      <c r="R53" s="1">
        <f>IF(AND(A53="",E53="",C53="",D53=""),"",IF(NOT(ISNUMBER(A53)),"Datum fehlt; ",IF(YEAR(A53)&lt;&gt;Jahr,"Datum nicht in "&amp;Jahr&amp;"; ",""))&amp;IF(N(E53)=0,"Betrag fehlt; ","")&amp;IF(C53="","Kostenart fehlt; ","")&amp;IF(AND(N(E53)&lt;&gt;0,F53=""),"USt-Satz fehlt; ",""))</f>
      </c>
    </row>
    <row r="54" spans="1:18" x14ac:dyDescent="0.25">
      <c r="A54" s="33"/>
      <c r="B54" s="7"/>
      <c r="C54" s="7"/>
      <c r="D54" s="7"/>
      <c r="E54" s="34"/>
      <c r="F54" s="7"/>
      <c r="G54" s="7"/>
      <c r="H54" s="35">
        <f>IF(L54=0,"",ROUND(E54/(1+M54),2))</f>
      </c>
      <c r="I54" s="35">
        <f>IF(L54=0,"",E54-H54)</f>
      </c>
      <c r="J54" s="36">
        <f>IF(R54="","",LEFT(R54,LEN(R54)-2))</f>
      </c>
      <c r="K54" s="1"/>
      <c r="L54" s="1">
        <f>IF(OR(R54&lt;&gt;"",NOT(ISNUMBER(A54))),0,MONTH(A54))</f>
      </c>
      <c r="M54" s="1">
        <f>IF(F54="19 %",0.19,IF(F54="7 %",0.07,0))</f>
      </c>
      <c r="N54" s="1">
        <f>IF(G54="Firma",0,1)</f>
      </c>
      <c r="O54" s="1">
        <f>IF(L54=0,0,N54*E54)</f>
      </c>
      <c r="P54" s="1">
        <f>IF(L54=0,0,N54*ROUND(E54/(1+M54),2))</f>
      </c>
      <c r="Q54" s="1">
        <f>O54-P54</f>
      </c>
      <c r="R54" s="1">
        <f>IF(AND(A54="",E54="",C54="",D54=""),"",IF(NOT(ISNUMBER(A54)),"Datum fehlt; ",IF(YEAR(A54)&lt;&gt;Jahr,"Datum nicht in "&amp;Jahr&amp;"; ",""))&amp;IF(N(E54)=0,"Betrag fehlt; ","")&amp;IF(C54="","Kostenart fehlt; ","")&amp;IF(AND(N(E54)&lt;&gt;0,F54=""),"USt-Satz fehlt; ",""))</f>
      </c>
    </row>
    <row r="55" spans="1:18" x14ac:dyDescent="0.25">
      <c r="A55" s="33"/>
      <c r="B55" s="7"/>
      <c r="C55" s="7"/>
      <c r="D55" s="7"/>
      <c r="E55" s="34"/>
      <c r="F55" s="7"/>
      <c r="G55" s="7"/>
      <c r="H55" s="35">
        <f>IF(L55=0,"",ROUND(E55/(1+M55),2))</f>
      </c>
      <c r="I55" s="35">
        <f>IF(L55=0,"",E55-H55)</f>
      </c>
      <c r="J55" s="36">
        <f>IF(R55="","",LEFT(R55,LEN(R55)-2))</f>
      </c>
      <c r="K55" s="1"/>
      <c r="L55" s="1">
        <f>IF(OR(R55&lt;&gt;"",NOT(ISNUMBER(A55))),0,MONTH(A55))</f>
      </c>
      <c r="M55" s="1">
        <f>IF(F55="19 %",0.19,IF(F55="7 %",0.07,0))</f>
      </c>
      <c r="N55" s="1">
        <f>IF(G55="Firma",0,1)</f>
      </c>
      <c r="O55" s="1">
        <f>IF(L55=0,0,N55*E55)</f>
      </c>
      <c r="P55" s="1">
        <f>IF(L55=0,0,N55*ROUND(E55/(1+M55),2))</f>
      </c>
      <c r="Q55" s="1">
        <f>O55-P55</f>
      </c>
      <c r="R55" s="1">
        <f>IF(AND(A55="",E55="",C55="",D55=""),"",IF(NOT(ISNUMBER(A55)),"Datum fehlt; ",IF(YEAR(A55)&lt;&gt;Jahr,"Datum nicht in "&amp;Jahr&amp;"; ",""))&amp;IF(N(E55)=0,"Betrag fehlt; ","")&amp;IF(C55="","Kostenart fehlt; ","")&amp;IF(AND(N(E55)&lt;&gt;0,F55=""),"USt-Satz fehlt; ",""))</f>
      </c>
    </row>
    <row r="56" spans="1:18" x14ac:dyDescent="0.25">
      <c r="A56" s="33"/>
      <c r="B56" s="7"/>
      <c r="C56" s="7"/>
      <c r="D56" s="7"/>
      <c r="E56" s="34"/>
      <c r="F56" s="7"/>
      <c r="G56" s="7"/>
      <c r="H56" s="35">
        <f>IF(L56=0,"",ROUND(E56/(1+M56),2))</f>
      </c>
      <c r="I56" s="35">
        <f>IF(L56=0,"",E56-H56)</f>
      </c>
      <c r="J56" s="36">
        <f>IF(R56="","",LEFT(R56,LEN(R56)-2))</f>
      </c>
      <c r="K56" s="1"/>
      <c r="L56" s="1">
        <f>IF(OR(R56&lt;&gt;"",NOT(ISNUMBER(A56))),0,MONTH(A56))</f>
      </c>
      <c r="M56" s="1">
        <f>IF(F56="19 %",0.19,IF(F56="7 %",0.07,0))</f>
      </c>
      <c r="N56" s="1">
        <f>IF(G56="Firma",0,1)</f>
      </c>
      <c r="O56" s="1">
        <f>IF(L56=0,0,N56*E56)</f>
      </c>
      <c r="P56" s="1">
        <f>IF(L56=0,0,N56*ROUND(E56/(1+M56),2))</f>
      </c>
      <c r="Q56" s="1">
        <f>O56-P56</f>
      </c>
      <c r="R56" s="1">
        <f>IF(AND(A56="",E56="",C56="",D56=""),"",IF(NOT(ISNUMBER(A56)),"Datum fehlt; ",IF(YEAR(A56)&lt;&gt;Jahr,"Datum nicht in "&amp;Jahr&amp;"; ",""))&amp;IF(N(E56)=0,"Betrag fehlt; ","")&amp;IF(C56="","Kostenart fehlt; ","")&amp;IF(AND(N(E56)&lt;&gt;0,F56=""),"USt-Satz fehlt; ",""))</f>
      </c>
    </row>
    <row r="57" spans="1:18" x14ac:dyDescent="0.25">
      <c r="A57" s="33"/>
      <c r="B57" s="7"/>
      <c r="C57" s="7"/>
      <c r="D57" s="7"/>
      <c r="E57" s="34"/>
      <c r="F57" s="7"/>
      <c r="G57" s="7"/>
      <c r="H57" s="35">
        <f>IF(L57=0,"",ROUND(E57/(1+M57),2))</f>
      </c>
      <c r="I57" s="35">
        <f>IF(L57=0,"",E57-H57)</f>
      </c>
      <c r="J57" s="36">
        <f>IF(R57="","",LEFT(R57,LEN(R57)-2))</f>
      </c>
      <c r="K57" s="1"/>
      <c r="L57" s="1">
        <f>IF(OR(R57&lt;&gt;"",NOT(ISNUMBER(A57))),0,MONTH(A57))</f>
      </c>
      <c r="M57" s="1">
        <f>IF(F57="19 %",0.19,IF(F57="7 %",0.07,0))</f>
      </c>
      <c r="N57" s="1">
        <f>IF(G57="Firma",0,1)</f>
      </c>
      <c r="O57" s="1">
        <f>IF(L57=0,0,N57*E57)</f>
      </c>
      <c r="P57" s="1">
        <f>IF(L57=0,0,N57*ROUND(E57/(1+M57),2))</f>
      </c>
      <c r="Q57" s="1">
        <f>O57-P57</f>
      </c>
      <c r="R57" s="1">
        <f>IF(AND(A57="",E57="",C57="",D57=""),"",IF(NOT(ISNUMBER(A57)),"Datum fehlt; ",IF(YEAR(A57)&lt;&gt;Jahr,"Datum nicht in "&amp;Jahr&amp;"; ",""))&amp;IF(N(E57)=0,"Betrag fehlt; ","")&amp;IF(C57="","Kostenart fehlt; ","")&amp;IF(AND(N(E57)&lt;&gt;0,F57=""),"USt-Satz fehlt; ",""))</f>
      </c>
    </row>
    <row r="58" spans="1:18" x14ac:dyDescent="0.25">
      <c r="A58" s="33"/>
      <c r="B58" s="7"/>
      <c r="C58" s="7"/>
      <c r="D58" s="7"/>
      <c r="E58" s="34"/>
      <c r="F58" s="7"/>
      <c r="G58" s="7"/>
      <c r="H58" s="35">
        <f>IF(L58=0,"",ROUND(E58/(1+M58),2))</f>
      </c>
      <c r="I58" s="35">
        <f>IF(L58=0,"",E58-H58)</f>
      </c>
      <c r="J58" s="36">
        <f>IF(R58="","",LEFT(R58,LEN(R58)-2))</f>
      </c>
      <c r="K58" s="1"/>
      <c r="L58" s="1">
        <f>IF(OR(R58&lt;&gt;"",NOT(ISNUMBER(A58))),0,MONTH(A58))</f>
      </c>
      <c r="M58" s="1">
        <f>IF(F58="19 %",0.19,IF(F58="7 %",0.07,0))</f>
      </c>
      <c r="N58" s="1">
        <f>IF(G58="Firma",0,1)</f>
      </c>
      <c r="O58" s="1">
        <f>IF(L58=0,0,N58*E58)</f>
      </c>
      <c r="P58" s="1">
        <f>IF(L58=0,0,N58*ROUND(E58/(1+M58),2))</f>
      </c>
      <c r="Q58" s="1">
        <f>O58-P58</f>
      </c>
      <c r="R58" s="1">
        <f>IF(AND(A58="",E58="",C58="",D58=""),"",IF(NOT(ISNUMBER(A58)),"Datum fehlt; ",IF(YEAR(A58)&lt;&gt;Jahr,"Datum nicht in "&amp;Jahr&amp;"; ",""))&amp;IF(N(E58)=0,"Betrag fehlt; ","")&amp;IF(C58="","Kostenart fehlt; ","")&amp;IF(AND(N(E58)&lt;&gt;0,F58=""),"USt-Satz fehlt; ",""))</f>
      </c>
    </row>
    <row r="59" spans="1:18" x14ac:dyDescent="0.25">
      <c r="A59" s="33"/>
      <c r="B59" s="7"/>
      <c r="C59" s="7"/>
      <c r="D59" s="7"/>
      <c r="E59" s="34"/>
      <c r="F59" s="7"/>
      <c r="G59" s="7"/>
      <c r="H59" s="35">
        <f>IF(L59=0,"",ROUND(E59/(1+M59),2))</f>
      </c>
      <c r="I59" s="35">
        <f>IF(L59=0,"",E59-H59)</f>
      </c>
      <c r="J59" s="36">
        <f>IF(R59="","",LEFT(R59,LEN(R59)-2))</f>
      </c>
      <c r="K59" s="1"/>
      <c r="L59" s="1">
        <f>IF(OR(R59&lt;&gt;"",NOT(ISNUMBER(A59))),0,MONTH(A59))</f>
      </c>
      <c r="M59" s="1">
        <f>IF(F59="19 %",0.19,IF(F59="7 %",0.07,0))</f>
      </c>
      <c r="N59" s="1">
        <f>IF(G59="Firma",0,1)</f>
      </c>
      <c r="O59" s="1">
        <f>IF(L59=0,0,N59*E59)</f>
      </c>
      <c r="P59" s="1">
        <f>IF(L59=0,0,N59*ROUND(E59/(1+M59),2))</f>
      </c>
      <c r="Q59" s="1">
        <f>O59-P59</f>
      </c>
      <c r="R59" s="1">
        <f>IF(AND(A59="",E59="",C59="",D59=""),"",IF(NOT(ISNUMBER(A59)),"Datum fehlt; ",IF(YEAR(A59)&lt;&gt;Jahr,"Datum nicht in "&amp;Jahr&amp;"; ",""))&amp;IF(N(E59)=0,"Betrag fehlt; ","")&amp;IF(C59="","Kostenart fehlt; ","")&amp;IF(AND(N(E59)&lt;&gt;0,F59=""),"USt-Satz fehlt; ",""))</f>
      </c>
    </row>
    <row r="60" spans="1:18" x14ac:dyDescent="0.25">
      <c r="A60" s="33"/>
      <c r="B60" s="7"/>
      <c r="C60" s="7"/>
      <c r="D60" s="7"/>
      <c r="E60" s="34"/>
      <c r="F60" s="7"/>
      <c r="G60" s="7"/>
      <c r="H60" s="35">
        <f>IF(L60=0,"",ROUND(E60/(1+M60),2))</f>
      </c>
      <c r="I60" s="35">
        <f>IF(L60=0,"",E60-H60)</f>
      </c>
      <c r="J60" s="36">
        <f>IF(R60="","",LEFT(R60,LEN(R60)-2))</f>
      </c>
      <c r="K60" s="1"/>
      <c r="L60" s="1">
        <f>IF(OR(R60&lt;&gt;"",NOT(ISNUMBER(A60))),0,MONTH(A60))</f>
      </c>
      <c r="M60" s="1">
        <f>IF(F60="19 %",0.19,IF(F60="7 %",0.07,0))</f>
      </c>
      <c r="N60" s="1">
        <f>IF(G60="Firma",0,1)</f>
      </c>
      <c r="O60" s="1">
        <f>IF(L60=0,0,N60*E60)</f>
      </c>
      <c r="P60" s="1">
        <f>IF(L60=0,0,N60*ROUND(E60/(1+M60),2))</f>
      </c>
      <c r="Q60" s="1">
        <f>O60-P60</f>
      </c>
      <c r="R60" s="1">
        <f>IF(AND(A60="",E60="",C60="",D60=""),"",IF(NOT(ISNUMBER(A60)),"Datum fehlt; ",IF(YEAR(A60)&lt;&gt;Jahr,"Datum nicht in "&amp;Jahr&amp;"; ",""))&amp;IF(N(E60)=0,"Betrag fehlt; ","")&amp;IF(C60="","Kostenart fehlt; ","")&amp;IF(AND(N(E60)&lt;&gt;0,F60=""),"USt-Satz fehlt; ",""))</f>
      </c>
    </row>
    <row r="61" spans="1:18" x14ac:dyDescent="0.25">
      <c r="A61" s="33"/>
      <c r="B61" s="7"/>
      <c r="C61" s="7"/>
      <c r="D61" s="7"/>
      <c r="E61" s="34"/>
      <c r="F61" s="7"/>
      <c r="G61" s="7"/>
      <c r="H61" s="35">
        <f>IF(L61=0,"",ROUND(E61/(1+M61),2))</f>
      </c>
      <c r="I61" s="35">
        <f>IF(L61=0,"",E61-H61)</f>
      </c>
      <c r="J61" s="36">
        <f>IF(R61="","",LEFT(R61,LEN(R61)-2))</f>
      </c>
      <c r="K61" s="1"/>
      <c r="L61" s="1">
        <f>IF(OR(R61&lt;&gt;"",NOT(ISNUMBER(A61))),0,MONTH(A61))</f>
      </c>
      <c r="M61" s="1">
        <f>IF(F61="19 %",0.19,IF(F61="7 %",0.07,0))</f>
      </c>
      <c r="N61" s="1">
        <f>IF(G61="Firma",0,1)</f>
      </c>
      <c r="O61" s="1">
        <f>IF(L61=0,0,N61*E61)</f>
      </c>
      <c r="P61" s="1">
        <f>IF(L61=0,0,N61*ROUND(E61/(1+M61),2))</f>
      </c>
      <c r="Q61" s="1">
        <f>O61-P61</f>
      </c>
      <c r="R61" s="1">
        <f>IF(AND(A61="",E61="",C61="",D61=""),"",IF(NOT(ISNUMBER(A61)),"Datum fehlt; ",IF(YEAR(A61)&lt;&gt;Jahr,"Datum nicht in "&amp;Jahr&amp;"; ",""))&amp;IF(N(E61)=0,"Betrag fehlt; ","")&amp;IF(C61="","Kostenart fehlt; ","")&amp;IF(AND(N(E61)&lt;&gt;0,F61=""),"USt-Satz fehlt; ",""))</f>
      </c>
    </row>
    <row r="62" spans="1:18" x14ac:dyDescent="0.25">
      <c r="A62" s="33"/>
      <c r="B62" s="7"/>
      <c r="C62" s="7"/>
      <c r="D62" s="7"/>
      <c r="E62" s="34"/>
      <c r="F62" s="7"/>
      <c r="G62" s="7"/>
      <c r="H62" s="35">
        <f>IF(L62=0,"",ROUND(E62/(1+M62),2))</f>
      </c>
      <c r="I62" s="35">
        <f>IF(L62=0,"",E62-H62)</f>
      </c>
      <c r="J62" s="36">
        <f>IF(R62="","",LEFT(R62,LEN(R62)-2))</f>
      </c>
      <c r="K62" s="1"/>
      <c r="L62" s="1">
        <f>IF(OR(R62&lt;&gt;"",NOT(ISNUMBER(A62))),0,MONTH(A62))</f>
      </c>
      <c r="M62" s="1">
        <f>IF(F62="19 %",0.19,IF(F62="7 %",0.07,0))</f>
      </c>
      <c r="N62" s="1">
        <f>IF(G62="Firma",0,1)</f>
      </c>
      <c r="O62" s="1">
        <f>IF(L62=0,0,N62*E62)</f>
      </c>
      <c r="P62" s="1">
        <f>IF(L62=0,0,N62*ROUND(E62/(1+M62),2))</f>
      </c>
      <c r="Q62" s="1">
        <f>O62-P62</f>
      </c>
      <c r="R62" s="1">
        <f>IF(AND(A62="",E62="",C62="",D62=""),"",IF(NOT(ISNUMBER(A62)),"Datum fehlt; ",IF(YEAR(A62)&lt;&gt;Jahr,"Datum nicht in "&amp;Jahr&amp;"; ",""))&amp;IF(N(E62)=0,"Betrag fehlt; ","")&amp;IF(C62="","Kostenart fehlt; ","")&amp;IF(AND(N(E62)&lt;&gt;0,F62=""),"USt-Satz fehlt; ",""))</f>
      </c>
    </row>
    <row r="63" spans="1:18" x14ac:dyDescent="0.25">
      <c r="A63" s="33"/>
      <c r="B63" s="7"/>
      <c r="C63" s="7"/>
      <c r="D63" s="7"/>
      <c r="E63" s="34"/>
      <c r="F63" s="7"/>
      <c r="G63" s="7"/>
      <c r="H63" s="35">
        <f>IF(L63=0,"",ROUND(E63/(1+M63),2))</f>
      </c>
      <c r="I63" s="35">
        <f>IF(L63=0,"",E63-H63)</f>
      </c>
      <c r="J63" s="36">
        <f>IF(R63="","",LEFT(R63,LEN(R63)-2))</f>
      </c>
      <c r="K63" s="1"/>
      <c r="L63" s="1">
        <f>IF(OR(R63&lt;&gt;"",NOT(ISNUMBER(A63))),0,MONTH(A63))</f>
      </c>
      <c r="M63" s="1">
        <f>IF(F63="19 %",0.19,IF(F63="7 %",0.07,0))</f>
      </c>
      <c r="N63" s="1">
        <f>IF(G63="Firma",0,1)</f>
      </c>
      <c r="O63" s="1">
        <f>IF(L63=0,0,N63*E63)</f>
      </c>
      <c r="P63" s="1">
        <f>IF(L63=0,0,N63*ROUND(E63/(1+M63),2))</f>
      </c>
      <c r="Q63" s="1">
        <f>O63-P63</f>
      </c>
      <c r="R63" s="1">
        <f>IF(AND(A63="",E63="",C63="",D63=""),"",IF(NOT(ISNUMBER(A63)),"Datum fehlt; ",IF(YEAR(A63)&lt;&gt;Jahr,"Datum nicht in "&amp;Jahr&amp;"; ",""))&amp;IF(N(E63)=0,"Betrag fehlt; ","")&amp;IF(C63="","Kostenart fehlt; ","")&amp;IF(AND(N(E63)&lt;&gt;0,F63=""),"USt-Satz fehlt; ",""))</f>
      </c>
    </row>
    <row r="64" spans="1:18" x14ac:dyDescent="0.25">
      <c r="A64" s="33"/>
      <c r="B64" s="7"/>
      <c r="C64" s="7"/>
      <c r="D64" s="7"/>
      <c r="E64" s="34"/>
      <c r="F64" s="7"/>
      <c r="G64" s="7"/>
      <c r="H64" s="35">
        <f>IF(L64=0,"",ROUND(E64/(1+M64),2))</f>
      </c>
      <c r="I64" s="35">
        <f>IF(L64=0,"",E64-H64)</f>
      </c>
      <c r="J64" s="36">
        <f>IF(R64="","",LEFT(R64,LEN(R64)-2))</f>
      </c>
      <c r="K64" s="1"/>
      <c r="L64" s="1">
        <f>IF(OR(R64&lt;&gt;"",NOT(ISNUMBER(A64))),0,MONTH(A64))</f>
      </c>
      <c r="M64" s="1">
        <f>IF(F64="19 %",0.19,IF(F64="7 %",0.07,0))</f>
      </c>
      <c r="N64" s="1">
        <f>IF(G64="Firma",0,1)</f>
      </c>
      <c r="O64" s="1">
        <f>IF(L64=0,0,N64*E64)</f>
      </c>
      <c r="P64" s="1">
        <f>IF(L64=0,0,N64*ROUND(E64/(1+M64),2))</f>
      </c>
      <c r="Q64" s="1">
        <f>O64-P64</f>
      </c>
      <c r="R64" s="1">
        <f>IF(AND(A64="",E64="",C64="",D64=""),"",IF(NOT(ISNUMBER(A64)),"Datum fehlt; ",IF(YEAR(A64)&lt;&gt;Jahr,"Datum nicht in "&amp;Jahr&amp;"; ",""))&amp;IF(N(E64)=0,"Betrag fehlt; ","")&amp;IF(C64="","Kostenart fehlt; ","")&amp;IF(AND(N(E64)&lt;&gt;0,F64=""),"USt-Satz fehlt; ",""))</f>
      </c>
    </row>
    <row r="65" spans="1:18" x14ac:dyDescent="0.25">
      <c r="A65" s="33"/>
      <c r="B65" s="7"/>
      <c r="C65" s="7"/>
      <c r="D65" s="7"/>
      <c r="E65" s="34"/>
      <c r="F65" s="7"/>
      <c r="G65" s="7"/>
      <c r="H65" s="35">
        <f>IF(L65=0,"",ROUND(E65/(1+M65),2))</f>
      </c>
      <c r="I65" s="35">
        <f>IF(L65=0,"",E65-H65)</f>
      </c>
      <c r="J65" s="36">
        <f>IF(R65="","",LEFT(R65,LEN(R65)-2))</f>
      </c>
      <c r="K65" s="1"/>
      <c r="L65" s="1">
        <f>IF(OR(R65&lt;&gt;"",NOT(ISNUMBER(A65))),0,MONTH(A65))</f>
      </c>
      <c r="M65" s="1">
        <f>IF(F65="19 %",0.19,IF(F65="7 %",0.07,0))</f>
      </c>
      <c r="N65" s="1">
        <f>IF(G65="Firma",0,1)</f>
      </c>
      <c r="O65" s="1">
        <f>IF(L65=0,0,N65*E65)</f>
      </c>
      <c r="P65" s="1">
        <f>IF(L65=0,0,N65*ROUND(E65/(1+M65),2))</f>
      </c>
      <c r="Q65" s="1">
        <f>O65-P65</f>
      </c>
      <c r="R65" s="1">
        <f>IF(AND(A65="",E65="",C65="",D65=""),"",IF(NOT(ISNUMBER(A65)),"Datum fehlt; ",IF(YEAR(A65)&lt;&gt;Jahr,"Datum nicht in "&amp;Jahr&amp;"; ",""))&amp;IF(N(E65)=0,"Betrag fehlt; ","")&amp;IF(C65="","Kostenart fehlt; ","")&amp;IF(AND(N(E65)&lt;&gt;0,F65=""),"USt-Satz fehlt; ",""))</f>
      </c>
    </row>
    <row r="66" spans="1:18" x14ac:dyDescent="0.25">
      <c r="A66" s="33"/>
      <c r="B66" s="7"/>
      <c r="C66" s="7"/>
      <c r="D66" s="7"/>
      <c r="E66" s="34"/>
      <c r="F66" s="7"/>
      <c r="G66" s="7"/>
      <c r="H66" s="35">
        <f>IF(L66=0,"",ROUND(E66/(1+M66),2))</f>
      </c>
      <c r="I66" s="35">
        <f>IF(L66=0,"",E66-H66)</f>
      </c>
      <c r="J66" s="36">
        <f>IF(R66="","",LEFT(R66,LEN(R66)-2))</f>
      </c>
      <c r="K66" s="1"/>
      <c r="L66" s="1">
        <f>IF(OR(R66&lt;&gt;"",NOT(ISNUMBER(A66))),0,MONTH(A66))</f>
      </c>
      <c r="M66" s="1">
        <f>IF(F66="19 %",0.19,IF(F66="7 %",0.07,0))</f>
      </c>
      <c r="N66" s="1">
        <f>IF(G66="Firma",0,1)</f>
      </c>
      <c r="O66" s="1">
        <f>IF(L66=0,0,N66*E66)</f>
      </c>
      <c r="P66" s="1">
        <f>IF(L66=0,0,N66*ROUND(E66/(1+M66),2))</f>
      </c>
      <c r="Q66" s="1">
        <f>O66-P66</f>
      </c>
      <c r="R66" s="1">
        <f>IF(AND(A66="",E66="",C66="",D66=""),"",IF(NOT(ISNUMBER(A66)),"Datum fehlt; ",IF(YEAR(A66)&lt;&gt;Jahr,"Datum nicht in "&amp;Jahr&amp;"; ",""))&amp;IF(N(E66)=0,"Betrag fehlt; ","")&amp;IF(C66="","Kostenart fehlt; ","")&amp;IF(AND(N(E66)&lt;&gt;0,F66=""),"USt-Satz fehlt; ",""))</f>
      </c>
    </row>
    <row r="67" spans="1:18" x14ac:dyDescent="0.25">
      <c r="A67" s="33"/>
      <c r="B67" s="7"/>
      <c r="C67" s="7"/>
      <c r="D67" s="7"/>
      <c r="E67" s="34"/>
      <c r="F67" s="7"/>
      <c r="G67" s="7"/>
      <c r="H67" s="35">
        <f>IF(L67=0,"",ROUND(E67/(1+M67),2))</f>
      </c>
      <c r="I67" s="35">
        <f>IF(L67=0,"",E67-H67)</f>
      </c>
      <c r="J67" s="36">
        <f>IF(R67="","",LEFT(R67,LEN(R67)-2))</f>
      </c>
      <c r="K67" s="1"/>
      <c r="L67" s="1">
        <f>IF(OR(R67&lt;&gt;"",NOT(ISNUMBER(A67))),0,MONTH(A67))</f>
      </c>
      <c r="M67" s="1">
        <f>IF(F67="19 %",0.19,IF(F67="7 %",0.07,0))</f>
      </c>
      <c r="N67" s="1">
        <f>IF(G67="Firma",0,1)</f>
      </c>
      <c r="O67" s="1">
        <f>IF(L67=0,0,N67*E67)</f>
      </c>
      <c r="P67" s="1">
        <f>IF(L67=0,0,N67*ROUND(E67/(1+M67),2))</f>
      </c>
      <c r="Q67" s="1">
        <f>O67-P67</f>
      </c>
      <c r="R67" s="1">
        <f>IF(AND(A67="",E67="",C67="",D67=""),"",IF(NOT(ISNUMBER(A67)),"Datum fehlt; ",IF(YEAR(A67)&lt;&gt;Jahr,"Datum nicht in "&amp;Jahr&amp;"; ",""))&amp;IF(N(E67)=0,"Betrag fehlt; ","")&amp;IF(C67="","Kostenart fehlt; ","")&amp;IF(AND(N(E67)&lt;&gt;0,F67=""),"USt-Satz fehlt; ",""))</f>
      </c>
    </row>
    <row r="68" spans="1:18" x14ac:dyDescent="0.25">
      <c r="A68" s="33"/>
      <c r="B68" s="7"/>
      <c r="C68" s="7"/>
      <c r="D68" s="7"/>
      <c r="E68" s="34"/>
      <c r="F68" s="7"/>
      <c r="G68" s="7"/>
      <c r="H68" s="35">
        <f>IF(L68=0,"",ROUND(E68/(1+M68),2))</f>
      </c>
      <c r="I68" s="35">
        <f>IF(L68=0,"",E68-H68)</f>
      </c>
      <c r="J68" s="36">
        <f>IF(R68="","",LEFT(R68,LEN(R68)-2))</f>
      </c>
      <c r="K68" s="1"/>
      <c r="L68" s="1">
        <f>IF(OR(R68&lt;&gt;"",NOT(ISNUMBER(A68))),0,MONTH(A68))</f>
      </c>
      <c r="M68" s="1">
        <f>IF(F68="19 %",0.19,IF(F68="7 %",0.07,0))</f>
      </c>
      <c r="N68" s="1">
        <f>IF(G68="Firma",0,1)</f>
      </c>
      <c r="O68" s="1">
        <f>IF(L68=0,0,N68*E68)</f>
      </c>
      <c r="P68" s="1">
        <f>IF(L68=0,0,N68*ROUND(E68/(1+M68),2))</f>
      </c>
      <c r="Q68" s="1">
        <f>O68-P68</f>
      </c>
      <c r="R68" s="1">
        <f>IF(AND(A68="",E68="",C68="",D68=""),"",IF(NOT(ISNUMBER(A68)),"Datum fehlt; ",IF(YEAR(A68)&lt;&gt;Jahr,"Datum nicht in "&amp;Jahr&amp;"; ",""))&amp;IF(N(E68)=0,"Betrag fehlt; ","")&amp;IF(C68="","Kostenart fehlt; ","")&amp;IF(AND(N(E68)&lt;&gt;0,F68=""),"USt-Satz fehlt; ",""))</f>
      </c>
    </row>
    <row r="69" spans="1:18" x14ac:dyDescent="0.25">
      <c r="A69" s="33"/>
      <c r="B69" s="7"/>
      <c r="C69" s="7"/>
      <c r="D69" s="7"/>
      <c r="E69" s="34"/>
      <c r="F69" s="7"/>
      <c r="G69" s="7"/>
      <c r="H69" s="35">
        <f>IF(L69=0,"",ROUND(E69/(1+M69),2))</f>
      </c>
      <c r="I69" s="35">
        <f>IF(L69=0,"",E69-H69)</f>
      </c>
      <c r="J69" s="36">
        <f>IF(R69="","",LEFT(R69,LEN(R69)-2))</f>
      </c>
      <c r="K69" s="1"/>
      <c r="L69" s="1">
        <f>IF(OR(R69&lt;&gt;"",NOT(ISNUMBER(A69))),0,MONTH(A69))</f>
      </c>
      <c r="M69" s="1">
        <f>IF(F69="19 %",0.19,IF(F69="7 %",0.07,0))</f>
      </c>
      <c r="N69" s="1">
        <f>IF(G69="Firma",0,1)</f>
      </c>
      <c r="O69" s="1">
        <f>IF(L69=0,0,N69*E69)</f>
      </c>
      <c r="P69" s="1">
        <f>IF(L69=0,0,N69*ROUND(E69/(1+M69),2))</f>
      </c>
      <c r="Q69" s="1">
        <f>O69-P69</f>
      </c>
      <c r="R69" s="1">
        <f>IF(AND(A69="",E69="",C69="",D69=""),"",IF(NOT(ISNUMBER(A69)),"Datum fehlt; ",IF(YEAR(A69)&lt;&gt;Jahr,"Datum nicht in "&amp;Jahr&amp;"; ",""))&amp;IF(N(E69)=0,"Betrag fehlt; ","")&amp;IF(C69="","Kostenart fehlt; ","")&amp;IF(AND(N(E69)&lt;&gt;0,F69=""),"USt-Satz fehlt; ",""))</f>
      </c>
    </row>
    <row r="70" spans="1:18" x14ac:dyDescent="0.25">
      <c r="A70" s="33"/>
      <c r="B70" s="7"/>
      <c r="C70" s="7"/>
      <c r="D70" s="7"/>
      <c r="E70" s="34"/>
      <c r="F70" s="7"/>
      <c r="G70" s="7"/>
      <c r="H70" s="35">
        <f>IF(L70=0,"",ROUND(E70/(1+M70),2))</f>
      </c>
      <c r="I70" s="35">
        <f>IF(L70=0,"",E70-H70)</f>
      </c>
      <c r="J70" s="36">
        <f>IF(R70="","",LEFT(R70,LEN(R70)-2))</f>
      </c>
      <c r="K70" s="1"/>
      <c r="L70" s="1">
        <f>IF(OR(R70&lt;&gt;"",NOT(ISNUMBER(A70))),0,MONTH(A70))</f>
      </c>
      <c r="M70" s="1">
        <f>IF(F70="19 %",0.19,IF(F70="7 %",0.07,0))</f>
      </c>
      <c r="N70" s="1">
        <f>IF(G70="Firma",0,1)</f>
      </c>
      <c r="O70" s="1">
        <f>IF(L70=0,0,N70*E70)</f>
      </c>
      <c r="P70" s="1">
        <f>IF(L70=0,0,N70*ROUND(E70/(1+M70),2))</f>
      </c>
      <c r="Q70" s="1">
        <f>O70-P70</f>
      </c>
      <c r="R70" s="1">
        <f>IF(AND(A70="",E70="",C70="",D70=""),"",IF(NOT(ISNUMBER(A70)),"Datum fehlt; ",IF(YEAR(A70)&lt;&gt;Jahr,"Datum nicht in "&amp;Jahr&amp;"; ",""))&amp;IF(N(E70)=0,"Betrag fehlt; ","")&amp;IF(C70="","Kostenart fehlt; ","")&amp;IF(AND(N(E70)&lt;&gt;0,F70=""),"USt-Satz fehlt; ",""))</f>
      </c>
    </row>
    <row r="71" spans="1:18" x14ac:dyDescent="0.25">
      <c r="A71" s="33"/>
      <c r="B71" s="7"/>
      <c r="C71" s="7"/>
      <c r="D71" s="7"/>
      <c r="E71" s="34"/>
      <c r="F71" s="7"/>
      <c r="G71" s="7"/>
      <c r="H71" s="35">
        <f>IF(L71=0,"",ROUND(E71/(1+M71),2))</f>
      </c>
      <c r="I71" s="35">
        <f>IF(L71=0,"",E71-H71)</f>
      </c>
      <c r="J71" s="36">
        <f>IF(R71="","",LEFT(R71,LEN(R71)-2))</f>
      </c>
      <c r="K71" s="1"/>
      <c r="L71" s="1">
        <f>IF(OR(R71&lt;&gt;"",NOT(ISNUMBER(A71))),0,MONTH(A71))</f>
      </c>
      <c r="M71" s="1">
        <f>IF(F71="19 %",0.19,IF(F71="7 %",0.07,0))</f>
      </c>
      <c r="N71" s="1">
        <f>IF(G71="Firma",0,1)</f>
      </c>
      <c r="O71" s="1">
        <f>IF(L71=0,0,N71*E71)</f>
      </c>
      <c r="P71" s="1">
        <f>IF(L71=0,0,N71*ROUND(E71/(1+M71),2))</f>
      </c>
      <c r="Q71" s="1">
        <f>O71-P71</f>
      </c>
      <c r="R71" s="1">
        <f>IF(AND(A71="",E71="",C71="",D71=""),"",IF(NOT(ISNUMBER(A71)),"Datum fehlt; ",IF(YEAR(A71)&lt;&gt;Jahr,"Datum nicht in "&amp;Jahr&amp;"; ",""))&amp;IF(N(E71)=0,"Betrag fehlt; ","")&amp;IF(C71="","Kostenart fehlt; ","")&amp;IF(AND(N(E71)&lt;&gt;0,F71=""),"USt-Satz fehlt; ",""))</f>
      </c>
    </row>
    <row r="72" spans="1:18" x14ac:dyDescent="0.25">
      <c r="A72" s="33"/>
      <c r="B72" s="7"/>
      <c r="C72" s="7"/>
      <c r="D72" s="7"/>
      <c r="E72" s="34"/>
      <c r="F72" s="7"/>
      <c r="G72" s="7"/>
      <c r="H72" s="35">
        <f>IF(L72=0,"",ROUND(E72/(1+M72),2))</f>
      </c>
      <c r="I72" s="35">
        <f>IF(L72=0,"",E72-H72)</f>
      </c>
      <c r="J72" s="36">
        <f>IF(R72="","",LEFT(R72,LEN(R72)-2))</f>
      </c>
      <c r="K72" s="1"/>
      <c r="L72" s="1">
        <f>IF(OR(R72&lt;&gt;"",NOT(ISNUMBER(A72))),0,MONTH(A72))</f>
      </c>
      <c r="M72" s="1">
        <f>IF(F72="19 %",0.19,IF(F72="7 %",0.07,0))</f>
      </c>
      <c r="N72" s="1">
        <f>IF(G72="Firma",0,1)</f>
      </c>
      <c r="O72" s="1">
        <f>IF(L72=0,0,N72*E72)</f>
      </c>
      <c r="P72" s="1">
        <f>IF(L72=0,0,N72*ROUND(E72/(1+M72),2))</f>
      </c>
      <c r="Q72" s="1">
        <f>O72-P72</f>
      </c>
      <c r="R72" s="1">
        <f>IF(AND(A72="",E72="",C72="",D72=""),"",IF(NOT(ISNUMBER(A72)),"Datum fehlt; ",IF(YEAR(A72)&lt;&gt;Jahr,"Datum nicht in "&amp;Jahr&amp;"; ",""))&amp;IF(N(E72)=0,"Betrag fehlt; ","")&amp;IF(C72="","Kostenart fehlt; ","")&amp;IF(AND(N(E72)&lt;&gt;0,F72=""),"USt-Satz fehlt; ",""))</f>
      </c>
    </row>
    <row r="73" spans="1:18" x14ac:dyDescent="0.25">
      <c r="A73" s="33"/>
      <c r="B73" s="7"/>
      <c r="C73" s="7"/>
      <c r="D73" s="7"/>
      <c r="E73" s="34"/>
      <c r="F73" s="7"/>
      <c r="G73" s="7"/>
      <c r="H73" s="35">
        <f>IF(L73=0,"",ROUND(E73/(1+M73),2))</f>
      </c>
      <c r="I73" s="35">
        <f>IF(L73=0,"",E73-H73)</f>
      </c>
      <c r="J73" s="36">
        <f>IF(R73="","",LEFT(R73,LEN(R73)-2))</f>
      </c>
      <c r="K73" s="1"/>
      <c r="L73" s="1">
        <f>IF(OR(R73&lt;&gt;"",NOT(ISNUMBER(A73))),0,MONTH(A73))</f>
      </c>
      <c r="M73" s="1">
        <f>IF(F73="19 %",0.19,IF(F73="7 %",0.07,0))</f>
      </c>
      <c r="N73" s="1">
        <f>IF(G73="Firma",0,1)</f>
      </c>
      <c r="O73" s="1">
        <f>IF(L73=0,0,N73*E73)</f>
      </c>
      <c r="P73" s="1">
        <f>IF(L73=0,0,N73*ROUND(E73/(1+M73),2))</f>
      </c>
      <c r="Q73" s="1">
        <f>O73-P73</f>
      </c>
      <c r="R73" s="1">
        <f>IF(AND(A73="",E73="",C73="",D73=""),"",IF(NOT(ISNUMBER(A73)),"Datum fehlt; ",IF(YEAR(A73)&lt;&gt;Jahr,"Datum nicht in "&amp;Jahr&amp;"; ",""))&amp;IF(N(E73)=0,"Betrag fehlt; ","")&amp;IF(C73="","Kostenart fehlt; ","")&amp;IF(AND(N(E73)&lt;&gt;0,F73=""),"USt-Satz fehlt; ",""))</f>
      </c>
    </row>
    <row r="74" spans="1:18" x14ac:dyDescent="0.25">
      <c r="A74" s="33"/>
      <c r="B74" s="7"/>
      <c r="C74" s="7"/>
      <c r="D74" s="7"/>
      <c r="E74" s="34"/>
      <c r="F74" s="7"/>
      <c r="G74" s="7"/>
      <c r="H74" s="35">
        <f>IF(L74=0,"",ROUND(E74/(1+M74),2))</f>
      </c>
      <c r="I74" s="35">
        <f>IF(L74=0,"",E74-H74)</f>
      </c>
      <c r="J74" s="36">
        <f>IF(R74="","",LEFT(R74,LEN(R74)-2))</f>
      </c>
      <c r="K74" s="1"/>
      <c r="L74" s="1">
        <f>IF(OR(R74&lt;&gt;"",NOT(ISNUMBER(A74))),0,MONTH(A74))</f>
      </c>
      <c r="M74" s="1">
        <f>IF(F74="19 %",0.19,IF(F74="7 %",0.07,0))</f>
      </c>
      <c r="N74" s="1">
        <f>IF(G74="Firma",0,1)</f>
      </c>
      <c r="O74" s="1">
        <f>IF(L74=0,0,N74*E74)</f>
      </c>
      <c r="P74" s="1">
        <f>IF(L74=0,0,N74*ROUND(E74/(1+M74),2))</f>
      </c>
      <c r="Q74" s="1">
        <f>O74-P74</f>
      </c>
      <c r="R74" s="1">
        <f>IF(AND(A74="",E74="",C74="",D74=""),"",IF(NOT(ISNUMBER(A74)),"Datum fehlt; ",IF(YEAR(A74)&lt;&gt;Jahr,"Datum nicht in "&amp;Jahr&amp;"; ",""))&amp;IF(N(E74)=0,"Betrag fehlt; ","")&amp;IF(C74="","Kostenart fehlt; ","")&amp;IF(AND(N(E74)&lt;&gt;0,F74=""),"USt-Satz fehlt; ",""))</f>
      </c>
    </row>
    <row r="75" spans="1:18" x14ac:dyDescent="0.25">
      <c r="A75" s="33"/>
      <c r="B75" s="7"/>
      <c r="C75" s="7"/>
      <c r="D75" s="7"/>
      <c r="E75" s="34"/>
      <c r="F75" s="7"/>
      <c r="G75" s="7"/>
      <c r="H75" s="35">
        <f>IF(L75=0,"",ROUND(E75/(1+M75),2))</f>
      </c>
      <c r="I75" s="35">
        <f>IF(L75=0,"",E75-H75)</f>
      </c>
      <c r="J75" s="36">
        <f>IF(R75="","",LEFT(R75,LEN(R75)-2))</f>
      </c>
      <c r="K75" s="1"/>
      <c r="L75" s="1">
        <f>IF(OR(R75&lt;&gt;"",NOT(ISNUMBER(A75))),0,MONTH(A75))</f>
      </c>
      <c r="M75" s="1">
        <f>IF(F75="19 %",0.19,IF(F75="7 %",0.07,0))</f>
      </c>
      <c r="N75" s="1">
        <f>IF(G75="Firma",0,1)</f>
      </c>
      <c r="O75" s="1">
        <f>IF(L75=0,0,N75*E75)</f>
      </c>
      <c r="P75" s="1">
        <f>IF(L75=0,0,N75*ROUND(E75/(1+M75),2))</f>
      </c>
      <c r="Q75" s="1">
        <f>O75-P75</f>
      </c>
      <c r="R75" s="1">
        <f>IF(AND(A75="",E75="",C75="",D75=""),"",IF(NOT(ISNUMBER(A75)),"Datum fehlt; ",IF(YEAR(A75)&lt;&gt;Jahr,"Datum nicht in "&amp;Jahr&amp;"; ",""))&amp;IF(N(E75)=0,"Betrag fehlt; ","")&amp;IF(C75="","Kostenart fehlt; ","")&amp;IF(AND(N(E75)&lt;&gt;0,F75=""),"USt-Satz fehlt; ",""))</f>
      </c>
    </row>
    <row r="76" spans="1:18" x14ac:dyDescent="0.25">
      <c r="A76" s="33"/>
      <c r="B76" s="7"/>
      <c r="C76" s="7"/>
      <c r="D76" s="7"/>
      <c r="E76" s="34"/>
      <c r="F76" s="7"/>
      <c r="G76" s="7"/>
      <c r="H76" s="35">
        <f>IF(L76=0,"",ROUND(E76/(1+M76),2))</f>
      </c>
      <c r="I76" s="35">
        <f>IF(L76=0,"",E76-H76)</f>
      </c>
      <c r="J76" s="36">
        <f>IF(R76="","",LEFT(R76,LEN(R76)-2))</f>
      </c>
      <c r="K76" s="1"/>
      <c r="L76" s="1">
        <f>IF(OR(R76&lt;&gt;"",NOT(ISNUMBER(A76))),0,MONTH(A76))</f>
      </c>
      <c r="M76" s="1">
        <f>IF(F76="19 %",0.19,IF(F76="7 %",0.07,0))</f>
      </c>
      <c r="N76" s="1">
        <f>IF(G76="Firma",0,1)</f>
      </c>
      <c r="O76" s="1">
        <f>IF(L76=0,0,N76*E76)</f>
      </c>
      <c r="P76" s="1">
        <f>IF(L76=0,0,N76*ROUND(E76/(1+M76),2))</f>
      </c>
      <c r="Q76" s="1">
        <f>O76-P76</f>
      </c>
      <c r="R76" s="1">
        <f>IF(AND(A76="",E76="",C76="",D76=""),"",IF(NOT(ISNUMBER(A76)),"Datum fehlt; ",IF(YEAR(A76)&lt;&gt;Jahr,"Datum nicht in "&amp;Jahr&amp;"; ",""))&amp;IF(N(E76)=0,"Betrag fehlt; ","")&amp;IF(C76="","Kostenart fehlt; ","")&amp;IF(AND(N(E76)&lt;&gt;0,F76=""),"USt-Satz fehlt; ",""))</f>
      </c>
    </row>
    <row r="77" spans="1:18" x14ac:dyDescent="0.25">
      <c r="A77" s="33"/>
      <c r="B77" s="7"/>
      <c r="C77" s="7"/>
      <c r="D77" s="7"/>
      <c r="E77" s="34"/>
      <c r="F77" s="7"/>
      <c r="G77" s="7"/>
      <c r="H77" s="35">
        <f>IF(L77=0,"",ROUND(E77/(1+M77),2))</f>
      </c>
      <c r="I77" s="35">
        <f>IF(L77=0,"",E77-H77)</f>
      </c>
      <c r="J77" s="36">
        <f>IF(R77="","",LEFT(R77,LEN(R77)-2))</f>
      </c>
      <c r="K77" s="1"/>
      <c r="L77" s="1">
        <f>IF(OR(R77&lt;&gt;"",NOT(ISNUMBER(A77))),0,MONTH(A77))</f>
      </c>
      <c r="M77" s="1">
        <f>IF(F77="19 %",0.19,IF(F77="7 %",0.07,0))</f>
      </c>
      <c r="N77" s="1">
        <f>IF(G77="Firma",0,1)</f>
      </c>
      <c r="O77" s="1">
        <f>IF(L77=0,0,N77*E77)</f>
      </c>
      <c r="P77" s="1">
        <f>IF(L77=0,0,N77*ROUND(E77/(1+M77),2))</f>
      </c>
      <c r="Q77" s="1">
        <f>O77-P77</f>
      </c>
      <c r="R77" s="1">
        <f>IF(AND(A77="",E77="",C77="",D77=""),"",IF(NOT(ISNUMBER(A77)),"Datum fehlt; ",IF(YEAR(A77)&lt;&gt;Jahr,"Datum nicht in "&amp;Jahr&amp;"; ",""))&amp;IF(N(E77)=0,"Betrag fehlt; ","")&amp;IF(C77="","Kostenart fehlt; ","")&amp;IF(AND(N(E77)&lt;&gt;0,F77=""),"USt-Satz fehlt; ",""))</f>
      </c>
    </row>
    <row r="78" spans="1:18" x14ac:dyDescent="0.25">
      <c r="A78" s="33"/>
      <c r="B78" s="7"/>
      <c r="C78" s="7"/>
      <c r="D78" s="7"/>
      <c r="E78" s="34"/>
      <c r="F78" s="7"/>
      <c r="G78" s="7"/>
      <c r="H78" s="35">
        <f>IF(L78=0,"",ROUND(E78/(1+M78),2))</f>
      </c>
      <c r="I78" s="35">
        <f>IF(L78=0,"",E78-H78)</f>
      </c>
      <c r="J78" s="36">
        <f>IF(R78="","",LEFT(R78,LEN(R78)-2))</f>
      </c>
      <c r="K78" s="1"/>
      <c r="L78" s="1">
        <f>IF(OR(R78&lt;&gt;"",NOT(ISNUMBER(A78))),0,MONTH(A78))</f>
      </c>
      <c r="M78" s="1">
        <f>IF(F78="19 %",0.19,IF(F78="7 %",0.07,0))</f>
      </c>
      <c r="N78" s="1">
        <f>IF(G78="Firma",0,1)</f>
      </c>
      <c r="O78" s="1">
        <f>IF(L78=0,0,N78*E78)</f>
      </c>
      <c r="P78" s="1">
        <f>IF(L78=0,0,N78*ROUND(E78/(1+M78),2))</f>
      </c>
      <c r="Q78" s="1">
        <f>O78-P78</f>
      </c>
      <c r="R78" s="1">
        <f>IF(AND(A78="",E78="",C78="",D78=""),"",IF(NOT(ISNUMBER(A78)),"Datum fehlt; ",IF(YEAR(A78)&lt;&gt;Jahr,"Datum nicht in "&amp;Jahr&amp;"; ",""))&amp;IF(N(E78)=0,"Betrag fehlt; ","")&amp;IF(C78="","Kostenart fehlt; ","")&amp;IF(AND(N(E78)&lt;&gt;0,F78=""),"USt-Satz fehlt; ",""))</f>
      </c>
    </row>
    <row r="79" spans="1:18" x14ac:dyDescent="0.25">
      <c r="A79" s="33"/>
      <c r="B79" s="7"/>
      <c r="C79" s="7"/>
      <c r="D79" s="7"/>
      <c r="E79" s="34"/>
      <c r="F79" s="7"/>
      <c r="G79" s="7"/>
      <c r="H79" s="35">
        <f>IF(L79=0,"",ROUND(E79/(1+M79),2))</f>
      </c>
      <c r="I79" s="35">
        <f>IF(L79=0,"",E79-H79)</f>
      </c>
      <c r="J79" s="36">
        <f>IF(R79="","",LEFT(R79,LEN(R79)-2))</f>
      </c>
      <c r="K79" s="1"/>
      <c r="L79" s="1">
        <f>IF(OR(R79&lt;&gt;"",NOT(ISNUMBER(A79))),0,MONTH(A79))</f>
      </c>
      <c r="M79" s="1">
        <f>IF(F79="19 %",0.19,IF(F79="7 %",0.07,0))</f>
      </c>
      <c r="N79" s="1">
        <f>IF(G79="Firma",0,1)</f>
      </c>
      <c r="O79" s="1">
        <f>IF(L79=0,0,N79*E79)</f>
      </c>
      <c r="P79" s="1">
        <f>IF(L79=0,0,N79*ROUND(E79/(1+M79),2))</f>
      </c>
      <c r="Q79" s="1">
        <f>O79-P79</f>
      </c>
      <c r="R79" s="1">
        <f>IF(AND(A79="",E79="",C79="",D79=""),"",IF(NOT(ISNUMBER(A79)),"Datum fehlt; ",IF(YEAR(A79)&lt;&gt;Jahr,"Datum nicht in "&amp;Jahr&amp;"; ",""))&amp;IF(N(E79)=0,"Betrag fehlt; ","")&amp;IF(C79="","Kostenart fehlt; ","")&amp;IF(AND(N(E79)&lt;&gt;0,F79=""),"USt-Satz fehlt; ",""))</f>
      </c>
    </row>
    <row r="80" spans="1:18" x14ac:dyDescent="0.25">
      <c r="A80" s="33"/>
      <c r="B80" s="7"/>
      <c r="C80" s="7"/>
      <c r="D80" s="7"/>
      <c r="E80" s="34"/>
      <c r="F80" s="7"/>
      <c r="G80" s="7"/>
      <c r="H80" s="35">
        <f>IF(L80=0,"",ROUND(E80/(1+M80),2))</f>
      </c>
      <c r="I80" s="35">
        <f>IF(L80=0,"",E80-H80)</f>
      </c>
      <c r="J80" s="36">
        <f>IF(R80="","",LEFT(R80,LEN(R80)-2))</f>
      </c>
      <c r="K80" s="1"/>
      <c r="L80" s="1">
        <f>IF(OR(R80&lt;&gt;"",NOT(ISNUMBER(A80))),0,MONTH(A80))</f>
      </c>
      <c r="M80" s="1">
        <f>IF(F80="19 %",0.19,IF(F80="7 %",0.07,0))</f>
      </c>
      <c r="N80" s="1">
        <f>IF(G80="Firma",0,1)</f>
      </c>
      <c r="O80" s="1">
        <f>IF(L80=0,0,N80*E80)</f>
      </c>
      <c r="P80" s="1">
        <f>IF(L80=0,0,N80*ROUND(E80/(1+M80),2))</f>
      </c>
      <c r="Q80" s="1">
        <f>O80-P80</f>
      </c>
      <c r="R80" s="1">
        <f>IF(AND(A80="",E80="",C80="",D80=""),"",IF(NOT(ISNUMBER(A80)),"Datum fehlt; ",IF(YEAR(A80)&lt;&gt;Jahr,"Datum nicht in "&amp;Jahr&amp;"; ",""))&amp;IF(N(E80)=0,"Betrag fehlt; ","")&amp;IF(C80="","Kostenart fehlt; ","")&amp;IF(AND(N(E80)&lt;&gt;0,F80=""),"USt-Satz fehlt; ",""))</f>
      </c>
    </row>
    <row r="81" spans="1:18" x14ac:dyDescent="0.25">
      <c r="A81" s="33"/>
      <c r="B81" s="7"/>
      <c r="C81" s="7"/>
      <c r="D81" s="7"/>
      <c r="E81" s="34"/>
      <c r="F81" s="7"/>
      <c r="G81" s="7"/>
      <c r="H81" s="35">
        <f>IF(L81=0,"",ROUND(E81/(1+M81),2))</f>
      </c>
      <c r="I81" s="35">
        <f>IF(L81=0,"",E81-H81)</f>
      </c>
      <c r="J81" s="36">
        <f>IF(R81="","",LEFT(R81,LEN(R81)-2))</f>
      </c>
      <c r="K81" s="1"/>
      <c r="L81" s="1">
        <f>IF(OR(R81&lt;&gt;"",NOT(ISNUMBER(A81))),0,MONTH(A81))</f>
      </c>
      <c r="M81" s="1">
        <f>IF(F81="19 %",0.19,IF(F81="7 %",0.07,0))</f>
      </c>
      <c r="N81" s="1">
        <f>IF(G81="Firma",0,1)</f>
      </c>
      <c r="O81" s="1">
        <f>IF(L81=0,0,N81*E81)</f>
      </c>
      <c r="P81" s="1">
        <f>IF(L81=0,0,N81*ROUND(E81/(1+M81),2))</f>
      </c>
      <c r="Q81" s="1">
        <f>O81-P81</f>
      </c>
      <c r="R81" s="1">
        <f>IF(AND(A81="",E81="",C81="",D81=""),"",IF(NOT(ISNUMBER(A81)),"Datum fehlt; ",IF(YEAR(A81)&lt;&gt;Jahr,"Datum nicht in "&amp;Jahr&amp;"; ",""))&amp;IF(N(E81)=0,"Betrag fehlt; ","")&amp;IF(C81="","Kostenart fehlt; ","")&amp;IF(AND(N(E81)&lt;&gt;0,F81=""),"USt-Satz fehlt; ",""))</f>
      </c>
    </row>
    <row r="82" spans="1:18" x14ac:dyDescent="0.25">
      <c r="A82" s="33"/>
      <c r="B82" s="7"/>
      <c r="C82" s="7"/>
      <c r="D82" s="7"/>
      <c r="E82" s="34"/>
      <c r="F82" s="7"/>
      <c r="G82" s="7"/>
      <c r="H82" s="35">
        <f>IF(L82=0,"",ROUND(E82/(1+M82),2))</f>
      </c>
      <c r="I82" s="35">
        <f>IF(L82=0,"",E82-H82)</f>
      </c>
      <c r="J82" s="36">
        <f>IF(R82="","",LEFT(R82,LEN(R82)-2))</f>
      </c>
      <c r="K82" s="1"/>
      <c r="L82" s="1">
        <f>IF(OR(R82&lt;&gt;"",NOT(ISNUMBER(A82))),0,MONTH(A82))</f>
      </c>
      <c r="M82" s="1">
        <f>IF(F82="19 %",0.19,IF(F82="7 %",0.07,0))</f>
      </c>
      <c r="N82" s="1">
        <f>IF(G82="Firma",0,1)</f>
      </c>
      <c r="O82" s="1">
        <f>IF(L82=0,0,N82*E82)</f>
      </c>
      <c r="P82" s="1">
        <f>IF(L82=0,0,N82*ROUND(E82/(1+M82),2))</f>
      </c>
      <c r="Q82" s="1">
        <f>O82-P82</f>
      </c>
      <c r="R82" s="1">
        <f>IF(AND(A82="",E82="",C82="",D82=""),"",IF(NOT(ISNUMBER(A82)),"Datum fehlt; ",IF(YEAR(A82)&lt;&gt;Jahr,"Datum nicht in "&amp;Jahr&amp;"; ",""))&amp;IF(N(E82)=0,"Betrag fehlt; ","")&amp;IF(C82="","Kostenart fehlt; ","")&amp;IF(AND(N(E82)&lt;&gt;0,F82=""),"USt-Satz fehlt; ",""))</f>
      </c>
    </row>
    <row r="83" spans="1:18" x14ac:dyDescent="0.25">
      <c r="A83" s="33"/>
      <c r="B83" s="7"/>
      <c r="C83" s="7"/>
      <c r="D83" s="7"/>
      <c r="E83" s="34"/>
      <c r="F83" s="7"/>
      <c r="G83" s="7"/>
      <c r="H83" s="35">
        <f>IF(L83=0,"",ROUND(E83/(1+M83),2))</f>
      </c>
      <c r="I83" s="35">
        <f>IF(L83=0,"",E83-H83)</f>
      </c>
      <c r="J83" s="36">
        <f>IF(R83="","",LEFT(R83,LEN(R83)-2))</f>
      </c>
      <c r="K83" s="1"/>
      <c r="L83" s="1">
        <f>IF(OR(R83&lt;&gt;"",NOT(ISNUMBER(A83))),0,MONTH(A83))</f>
      </c>
      <c r="M83" s="1">
        <f>IF(F83="19 %",0.19,IF(F83="7 %",0.07,0))</f>
      </c>
      <c r="N83" s="1">
        <f>IF(G83="Firma",0,1)</f>
      </c>
      <c r="O83" s="1">
        <f>IF(L83=0,0,N83*E83)</f>
      </c>
      <c r="P83" s="1">
        <f>IF(L83=0,0,N83*ROUND(E83/(1+M83),2))</f>
      </c>
      <c r="Q83" s="1">
        <f>O83-P83</f>
      </c>
      <c r="R83" s="1">
        <f>IF(AND(A83="",E83="",C83="",D83=""),"",IF(NOT(ISNUMBER(A83)),"Datum fehlt; ",IF(YEAR(A83)&lt;&gt;Jahr,"Datum nicht in "&amp;Jahr&amp;"; ",""))&amp;IF(N(E83)=0,"Betrag fehlt; ","")&amp;IF(C83="","Kostenart fehlt; ","")&amp;IF(AND(N(E83)&lt;&gt;0,F83=""),"USt-Satz fehlt; ",""))</f>
      </c>
    </row>
    <row r="84" spans="1:18" x14ac:dyDescent="0.25">
      <c r="A84" s="33"/>
      <c r="B84" s="7"/>
      <c r="C84" s="7"/>
      <c r="D84" s="7"/>
      <c r="E84" s="34"/>
      <c r="F84" s="7"/>
      <c r="G84" s="7"/>
      <c r="H84" s="35">
        <f>IF(L84=0,"",ROUND(E84/(1+M84),2))</f>
      </c>
      <c r="I84" s="35">
        <f>IF(L84=0,"",E84-H84)</f>
      </c>
      <c r="J84" s="36">
        <f>IF(R84="","",LEFT(R84,LEN(R84)-2))</f>
      </c>
      <c r="K84" s="1"/>
      <c r="L84" s="1">
        <f>IF(OR(R84&lt;&gt;"",NOT(ISNUMBER(A84))),0,MONTH(A84))</f>
      </c>
      <c r="M84" s="1">
        <f>IF(F84="19 %",0.19,IF(F84="7 %",0.07,0))</f>
      </c>
      <c r="N84" s="1">
        <f>IF(G84="Firma",0,1)</f>
      </c>
      <c r="O84" s="1">
        <f>IF(L84=0,0,N84*E84)</f>
      </c>
      <c r="P84" s="1">
        <f>IF(L84=0,0,N84*ROUND(E84/(1+M84),2))</f>
      </c>
      <c r="Q84" s="1">
        <f>O84-P84</f>
      </c>
      <c r="R84" s="1">
        <f>IF(AND(A84="",E84="",C84="",D84=""),"",IF(NOT(ISNUMBER(A84)),"Datum fehlt; ",IF(YEAR(A84)&lt;&gt;Jahr,"Datum nicht in "&amp;Jahr&amp;"; ",""))&amp;IF(N(E84)=0,"Betrag fehlt; ","")&amp;IF(C84="","Kostenart fehlt; ","")&amp;IF(AND(N(E84)&lt;&gt;0,F84=""),"USt-Satz fehlt; ",""))</f>
      </c>
    </row>
    <row r="85" spans="1:18" x14ac:dyDescent="0.25">
      <c r="A85" s="33"/>
      <c r="B85" s="7"/>
      <c r="C85" s="7"/>
      <c r="D85" s="7"/>
      <c r="E85" s="34"/>
      <c r="F85" s="7"/>
      <c r="G85" s="7"/>
      <c r="H85" s="35">
        <f>IF(L85=0,"",ROUND(E85/(1+M85),2))</f>
      </c>
      <c r="I85" s="35">
        <f>IF(L85=0,"",E85-H85)</f>
      </c>
      <c r="J85" s="36">
        <f>IF(R85="","",LEFT(R85,LEN(R85)-2))</f>
      </c>
      <c r="K85" s="1"/>
      <c r="L85" s="1">
        <f>IF(OR(R85&lt;&gt;"",NOT(ISNUMBER(A85))),0,MONTH(A85))</f>
      </c>
      <c r="M85" s="1">
        <f>IF(F85="19 %",0.19,IF(F85="7 %",0.07,0))</f>
      </c>
      <c r="N85" s="1">
        <f>IF(G85="Firma",0,1)</f>
      </c>
      <c r="O85" s="1">
        <f>IF(L85=0,0,N85*E85)</f>
      </c>
      <c r="P85" s="1">
        <f>IF(L85=0,0,N85*ROUND(E85/(1+M85),2))</f>
      </c>
      <c r="Q85" s="1">
        <f>O85-P85</f>
      </c>
      <c r="R85" s="1">
        <f>IF(AND(A85="",E85="",C85="",D85=""),"",IF(NOT(ISNUMBER(A85)),"Datum fehlt; ",IF(YEAR(A85)&lt;&gt;Jahr,"Datum nicht in "&amp;Jahr&amp;"; ",""))&amp;IF(N(E85)=0,"Betrag fehlt; ","")&amp;IF(C85="","Kostenart fehlt; ","")&amp;IF(AND(N(E85)&lt;&gt;0,F85=""),"USt-Satz fehlt; ",""))</f>
      </c>
    </row>
    <row r="86" spans="1:18" x14ac:dyDescent="0.25">
      <c r="A86" s="33"/>
      <c r="B86" s="7"/>
      <c r="C86" s="7"/>
      <c r="D86" s="7"/>
      <c r="E86" s="34"/>
      <c r="F86" s="7"/>
      <c r="G86" s="7"/>
      <c r="H86" s="35">
        <f>IF(L86=0,"",ROUND(E86/(1+M86),2))</f>
      </c>
      <c r="I86" s="35">
        <f>IF(L86=0,"",E86-H86)</f>
      </c>
      <c r="J86" s="36">
        <f>IF(R86="","",LEFT(R86,LEN(R86)-2))</f>
      </c>
      <c r="K86" s="1"/>
      <c r="L86" s="1">
        <f>IF(OR(R86&lt;&gt;"",NOT(ISNUMBER(A86))),0,MONTH(A86))</f>
      </c>
      <c r="M86" s="1">
        <f>IF(F86="19 %",0.19,IF(F86="7 %",0.07,0))</f>
      </c>
      <c r="N86" s="1">
        <f>IF(G86="Firma",0,1)</f>
      </c>
      <c r="O86" s="1">
        <f>IF(L86=0,0,N86*E86)</f>
      </c>
      <c r="P86" s="1">
        <f>IF(L86=0,0,N86*ROUND(E86/(1+M86),2))</f>
      </c>
      <c r="Q86" s="1">
        <f>O86-P86</f>
      </c>
      <c r="R86" s="1">
        <f>IF(AND(A86="",E86="",C86="",D86=""),"",IF(NOT(ISNUMBER(A86)),"Datum fehlt; ",IF(YEAR(A86)&lt;&gt;Jahr,"Datum nicht in "&amp;Jahr&amp;"; ",""))&amp;IF(N(E86)=0,"Betrag fehlt; ","")&amp;IF(C86="","Kostenart fehlt; ","")&amp;IF(AND(N(E86)&lt;&gt;0,F86=""),"USt-Satz fehlt; ",""))</f>
      </c>
    </row>
    <row r="87" spans="1:18" x14ac:dyDescent="0.25">
      <c r="A87" s="33"/>
      <c r="B87" s="7"/>
      <c r="C87" s="7"/>
      <c r="D87" s="7"/>
      <c r="E87" s="34"/>
      <c r="F87" s="7"/>
      <c r="G87" s="7"/>
      <c r="H87" s="35">
        <f>IF(L87=0,"",ROUND(E87/(1+M87),2))</f>
      </c>
      <c r="I87" s="35">
        <f>IF(L87=0,"",E87-H87)</f>
      </c>
      <c r="J87" s="36">
        <f>IF(R87="","",LEFT(R87,LEN(R87)-2))</f>
      </c>
      <c r="K87" s="1"/>
      <c r="L87" s="1">
        <f>IF(OR(R87&lt;&gt;"",NOT(ISNUMBER(A87))),0,MONTH(A87))</f>
      </c>
      <c r="M87" s="1">
        <f>IF(F87="19 %",0.19,IF(F87="7 %",0.07,0))</f>
      </c>
      <c r="N87" s="1">
        <f>IF(G87="Firma",0,1)</f>
      </c>
      <c r="O87" s="1">
        <f>IF(L87=0,0,N87*E87)</f>
      </c>
      <c r="P87" s="1">
        <f>IF(L87=0,0,N87*ROUND(E87/(1+M87),2))</f>
      </c>
      <c r="Q87" s="1">
        <f>O87-P87</f>
      </c>
      <c r="R87" s="1">
        <f>IF(AND(A87="",E87="",C87="",D87=""),"",IF(NOT(ISNUMBER(A87)),"Datum fehlt; ",IF(YEAR(A87)&lt;&gt;Jahr,"Datum nicht in "&amp;Jahr&amp;"; ",""))&amp;IF(N(E87)=0,"Betrag fehlt; ","")&amp;IF(C87="","Kostenart fehlt; ","")&amp;IF(AND(N(E87)&lt;&gt;0,F87=""),"USt-Satz fehlt; ",""))</f>
      </c>
    </row>
    <row r="88" spans="1:18" x14ac:dyDescent="0.25">
      <c r="A88" s="33"/>
      <c r="B88" s="7"/>
      <c r="C88" s="7"/>
      <c r="D88" s="7"/>
      <c r="E88" s="34"/>
      <c r="F88" s="7"/>
      <c r="G88" s="7"/>
      <c r="H88" s="35">
        <f>IF(L88=0,"",ROUND(E88/(1+M88),2))</f>
      </c>
      <c r="I88" s="35">
        <f>IF(L88=0,"",E88-H88)</f>
      </c>
      <c r="J88" s="36">
        <f>IF(R88="","",LEFT(R88,LEN(R88)-2))</f>
      </c>
      <c r="K88" s="1"/>
      <c r="L88" s="1">
        <f>IF(OR(R88&lt;&gt;"",NOT(ISNUMBER(A88))),0,MONTH(A88))</f>
      </c>
      <c r="M88" s="1">
        <f>IF(F88="19 %",0.19,IF(F88="7 %",0.07,0))</f>
      </c>
      <c r="N88" s="1">
        <f>IF(G88="Firma",0,1)</f>
      </c>
      <c r="O88" s="1">
        <f>IF(L88=0,0,N88*E88)</f>
      </c>
      <c r="P88" s="1">
        <f>IF(L88=0,0,N88*ROUND(E88/(1+M88),2))</f>
      </c>
      <c r="Q88" s="1">
        <f>O88-P88</f>
      </c>
      <c r="R88" s="1">
        <f>IF(AND(A88="",E88="",C88="",D88=""),"",IF(NOT(ISNUMBER(A88)),"Datum fehlt; ",IF(YEAR(A88)&lt;&gt;Jahr,"Datum nicht in "&amp;Jahr&amp;"; ",""))&amp;IF(N(E88)=0,"Betrag fehlt; ","")&amp;IF(C88="","Kostenart fehlt; ","")&amp;IF(AND(N(E88)&lt;&gt;0,F88=""),"USt-Satz fehlt; ",""))</f>
      </c>
    </row>
    <row r="89" spans="1:18" x14ac:dyDescent="0.25">
      <c r="A89" s="33"/>
      <c r="B89" s="7"/>
      <c r="C89" s="7"/>
      <c r="D89" s="7"/>
      <c r="E89" s="34"/>
      <c r="F89" s="7"/>
      <c r="G89" s="7"/>
      <c r="H89" s="35">
        <f>IF(L89=0,"",ROUND(E89/(1+M89),2))</f>
      </c>
      <c r="I89" s="35">
        <f>IF(L89=0,"",E89-H89)</f>
      </c>
      <c r="J89" s="36">
        <f>IF(R89="","",LEFT(R89,LEN(R89)-2))</f>
      </c>
      <c r="K89" s="1"/>
      <c r="L89" s="1">
        <f>IF(OR(R89&lt;&gt;"",NOT(ISNUMBER(A89))),0,MONTH(A89))</f>
      </c>
      <c r="M89" s="1">
        <f>IF(F89="19 %",0.19,IF(F89="7 %",0.07,0))</f>
      </c>
      <c r="N89" s="1">
        <f>IF(G89="Firma",0,1)</f>
      </c>
      <c r="O89" s="1">
        <f>IF(L89=0,0,N89*E89)</f>
      </c>
      <c r="P89" s="1">
        <f>IF(L89=0,0,N89*ROUND(E89/(1+M89),2))</f>
      </c>
      <c r="Q89" s="1">
        <f>O89-P89</f>
      </c>
      <c r="R89" s="1">
        <f>IF(AND(A89="",E89="",C89="",D89=""),"",IF(NOT(ISNUMBER(A89)),"Datum fehlt; ",IF(YEAR(A89)&lt;&gt;Jahr,"Datum nicht in "&amp;Jahr&amp;"; ",""))&amp;IF(N(E89)=0,"Betrag fehlt; ","")&amp;IF(C89="","Kostenart fehlt; ","")&amp;IF(AND(N(E89)&lt;&gt;0,F89=""),"USt-Satz fehlt; ",""))</f>
      </c>
    </row>
    <row r="90" spans="1:18" x14ac:dyDescent="0.25">
      <c r="A90" s="33"/>
      <c r="B90" s="7"/>
      <c r="C90" s="7"/>
      <c r="D90" s="7"/>
      <c r="E90" s="34"/>
      <c r="F90" s="7"/>
      <c r="G90" s="7"/>
      <c r="H90" s="35">
        <f>IF(L90=0,"",ROUND(E90/(1+M90),2))</f>
      </c>
      <c r="I90" s="35">
        <f>IF(L90=0,"",E90-H90)</f>
      </c>
      <c r="J90" s="36">
        <f>IF(R90="","",LEFT(R90,LEN(R90)-2))</f>
      </c>
      <c r="K90" s="1"/>
      <c r="L90" s="1">
        <f>IF(OR(R90&lt;&gt;"",NOT(ISNUMBER(A90))),0,MONTH(A90))</f>
      </c>
      <c r="M90" s="1">
        <f>IF(F90="19 %",0.19,IF(F90="7 %",0.07,0))</f>
      </c>
      <c r="N90" s="1">
        <f>IF(G90="Firma",0,1)</f>
      </c>
      <c r="O90" s="1">
        <f>IF(L90=0,0,N90*E90)</f>
      </c>
      <c r="P90" s="1">
        <f>IF(L90=0,0,N90*ROUND(E90/(1+M90),2))</f>
      </c>
      <c r="Q90" s="1">
        <f>O90-P90</f>
      </c>
      <c r="R90" s="1">
        <f>IF(AND(A90="",E90="",C90="",D90=""),"",IF(NOT(ISNUMBER(A90)),"Datum fehlt; ",IF(YEAR(A90)&lt;&gt;Jahr,"Datum nicht in "&amp;Jahr&amp;"; ",""))&amp;IF(N(E90)=0,"Betrag fehlt; ","")&amp;IF(C90="","Kostenart fehlt; ","")&amp;IF(AND(N(E90)&lt;&gt;0,F90=""),"USt-Satz fehlt; ",""))</f>
      </c>
    </row>
    <row r="91" spans="1:18" x14ac:dyDescent="0.25">
      <c r="A91" s="33"/>
      <c r="B91" s="7"/>
      <c r="C91" s="7"/>
      <c r="D91" s="7"/>
      <c r="E91" s="34"/>
      <c r="F91" s="7"/>
      <c r="G91" s="7"/>
      <c r="H91" s="35">
        <f>IF(L91=0,"",ROUND(E91/(1+M91),2))</f>
      </c>
      <c r="I91" s="35">
        <f>IF(L91=0,"",E91-H91)</f>
      </c>
      <c r="J91" s="36">
        <f>IF(R91="","",LEFT(R91,LEN(R91)-2))</f>
      </c>
      <c r="K91" s="1"/>
      <c r="L91" s="1">
        <f>IF(OR(R91&lt;&gt;"",NOT(ISNUMBER(A91))),0,MONTH(A91))</f>
      </c>
      <c r="M91" s="1">
        <f>IF(F91="19 %",0.19,IF(F91="7 %",0.07,0))</f>
      </c>
      <c r="N91" s="1">
        <f>IF(G91="Firma",0,1)</f>
      </c>
      <c r="O91" s="1">
        <f>IF(L91=0,0,N91*E91)</f>
      </c>
      <c r="P91" s="1">
        <f>IF(L91=0,0,N91*ROUND(E91/(1+M91),2))</f>
      </c>
      <c r="Q91" s="1">
        <f>O91-P91</f>
      </c>
      <c r="R91" s="1">
        <f>IF(AND(A91="",E91="",C91="",D91=""),"",IF(NOT(ISNUMBER(A91)),"Datum fehlt; ",IF(YEAR(A91)&lt;&gt;Jahr,"Datum nicht in "&amp;Jahr&amp;"; ",""))&amp;IF(N(E91)=0,"Betrag fehlt; ","")&amp;IF(C91="","Kostenart fehlt; ","")&amp;IF(AND(N(E91)&lt;&gt;0,F91=""),"USt-Satz fehlt; ",""))</f>
      </c>
    </row>
    <row r="92" spans="1:18" x14ac:dyDescent="0.25">
      <c r="A92" s="33"/>
      <c r="B92" s="7"/>
      <c r="C92" s="7"/>
      <c r="D92" s="7"/>
      <c r="E92" s="34"/>
      <c r="F92" s="7"/>
      <c r="G92" s="7"/>
      <c r="H92" s="35">
        <f>IF(L92=0,"",ROUND(E92/(1+M92),2))</f>
      </c>
      <c r="I92" s="35">
        <f>IF(L92=0,"",E92-H92)</f>
      </c>
      <c r="J92" s="36">
        <f>IF(R92="","",LEFT(R92,LEN(R92)-2))</f>
      </c>
      <c r="K92" s="1"/>
      <c r="L92" s="1">
        <f>IF(OR(R92&lt;&gt;"",NOT(ISNUMBER(A92))),0,MONTH(A92))</f>
      </c>
      <c r="M92" s="1">
        <f>IF(F92="19 %",0.19,IF(F92="7 %",0.07,0))</f>
      </c>
      <c r="N92" s="1">
        <f>IF(G92="Firma",0,1)</f>
      </c>
      <c r="O92" s="1">
        <f>IF(L92=0,0,N92*E92)</f>
      </c>
      <c r="P92" s="1">
        <f>IF(L92=0,0,N92*ROUND(E92/(1+M92),2))</f>
      </c>
      <c r="Q92" s="1">
        <f>O92-P92</f>
      </c>
      <c r="R92" s="1">
        <f>IF(AND(A92="",E92="",C92="",D92=""),"",IF(NOT(ISNUMBER(A92)),"Datum fehlt; ",IF(YEAR(A92)&lt;&gt;Jahr,"Datum nicht in "&amp;Jahr&amp;"; ",""))&amp;IF(N(E92)=0,"Betrag fehlt; ","")&amp;IF(C92="","Kostenart fehlt; ","")&amp;IF(AND(N(E92)&lt;&gt;0,F92=""),"USt-Satz fehlt; ",""))</f>
      </c>
    </row>
    <row r="93" spans="1:18" x14ac:dyDescent="0.25">
      <c r="A93" s="33"/>
      <c r="B93" s="7"/>
      <c r="C93" s="7"/>
      <c r="D93" s="7"/>
      <c r="E93" s="34"/>
      <c r="F93" s="7"/>
      <c r="G93" s="7"/>
      <c r="H93" s="35">
        <f>IF(L93=0,"",ROUND(E93/(1+M93),2))</f>
      </c>
      <c r="I93" s="35">
        <f>IF(L93=0,"",E93-H93)</f>
      </c>
      <c r="J93" s="36">
        <f>IF(R93="","",LEFT(R93,LEN(R93)-2))</f>
      </c>
      <c r="K93" s="1"/>
      <c r="L93" s="1">
        <f>IF(OR(R93&lt;&gt;"",NOT(ISNUMBER(A93))),0,MONTH(A93))</f>
      </c>
      <c r="M93" s="1">
        <f>IF(F93="19 %",0.19,IF(F93="7 %",0.07,0))</f>
      </c>
      <c r="N93" s="1">
        <f>IF(G93="Firma",0,1)</f>
      </c>
      <c r="O93" s="1">
        <f>IF(L93=0,0,N93*E93)</f>
      </c>
      <c r="P93" s="1">
        <f>IF(L93=0,0,N93*ROUND(E93/(1+M93),2))</f>
      </c>
      <c r="Q93" s="1">
        <f>O93-P93</f>
      </c>
      <c r="R93" s="1">
        <f>IF(AND(A93="",E93="",C93="",D93=""),"",IF(NOT(ISNUMBER(A93)),"Datum fehlt; ",IF(YEAR(A93)&lt;&gt;Jahr,"Datum nicht in "&amp;Jahr&amp;"; ",""))&amp;IF(N(E93)=0,"Betrag fehlt; ","")&amp;IF(C93="","Kostenart fehlt; ","")&amp;IF(AND(N(E93)&lt;&gt;0,F93=""),"USt-Satz fehlt; ",""))</f>
      </c>
    </row>
    <row r="94" spans="1:18" x14ac:dyDescent="0.25">
      <c r="A94" s="33"/>
      <c r="B94" s="7"/>
      <c r="C94" s="7"/>
      <c r="D94" s="7"/>
      <c r="E94" s="34"/>
      <c r="F94" s="7"/>
      <c r="G94" s="7"/>
      <c r="H94" s="35">
        <f>IF(L94=0,"",ROUND(E94/(1+M94),2))</f>
      </c>
      <c r="I94" s="35">
        <f>IF(L94=0,"",E94-H94)</f>
      </c>
      <c r="J94" s="36">
        <f>IF(R94="","",LEFT(R94,LEN(R94)-2))</f>
      </c>
      <c r="K94" s="1"/>
      <c r="L94" s="1">
        <f>IF(OR(R94&lt;&gt;"",NOT(ISNUMBER(A94))),0,MONTH(A94))</f>
      </c>
      <c r="M94" s="1">
        <f>IF(F94="19 %",0.19,IF(F94="7 %",0.07,0))</f>
      </c>
      <c r="N94" s="1">
        <f>IF(G94="Firma",0,1)</f>
      </c>
      <c r="O94" s="1">
        <f>IF(L94=0,0,N94*E94)</f>
      </c>
      <c r="P94" s="1">
        <f>IF(L94=0,0,N94*ROUND(E94/(1+M94),2))</f>
      </c>
      <c r="Q94" s="1">
        <f>O94-P94</f>
      </c>
      <c r="R94" s="1">
        <f>IF(AND(A94="",E94="",C94="",D94=""),"",IF(NOT(ISNUMBER(A94)),"Datum fehlt; ",IF(YEAR(A94)&lt;&gt;Jahr,"Datum nicht in "&amp;Jahr&amp;"; ",""))&amp;IF(N(E94)=0,"Betrag fehlt; ","")&amp;IF(C94="","Kostenart fehlt; ","")&amp;IF(AND(N(E94)&lt;&gt;0,F94=""),"USt-Satz fehlt; ",""))</f>
      </c>
    </row>
    <row r="95" spans="1:18" x14ac:dyDescent="0.25">
      <c r="A95" s="33"/>
      <c r="B95" s="7"/>
      <c r="C95" s="7"/>
      <c r="D95" s="7"/>
      <c r="E95" s="34"/>
      <c r="F95" s="7"/>
      <c r="G95" s="7"/>
      <c r="H95" s="35">
        <f>IF(L95=0,"",ROUND(E95/(1+M95),2))</f>
      </c>
      <c r="I95" s="35">
        <f>IF(L95=0,"",E95-H95)</f>
      </c>
      <c r="J95" s="36">
        <f>IF(R95="","",LEFT(R95,LEN(R95)-2))</f>
      </c>
      <c r="K95" s="1"/>
      <c r="L95" s="1">
        <f>IF(OR(R95&lt;&gt;"",NOT(ISNUMBER(A95))),0,MONTH(A95))</f>
      </c>
      <c r="M95" s="1">
        <f>IF(F95="19 %",0.19,IF(F95="7 %",0.07,0))</f>
      </c>
      <c r="N95" s="1">
        <f>IF(G95="Firma",0,1)</f>
      </c>
      <c r="O95" s="1">
        <f>IF(L95=0,0,N95*E95)</f>
      </c>
      <c r="P95" s="1">
        <f>IF(L95=0,0,N95*ROUND(E95/(1+M95),2))</f>
      </c>
      <c r="Q95" s="1">
        <f>O95-P95</f>
      </c>
      <c r="R95" s="1">
        <f>IF(AND(A95="",E95="",C95="",D95=""),"",IF(NOT(ISNUMBER(A95)),"Datum fehlt; ",IF(YEAR(A95)&lt;&gt;Jahr,"Datum nicht in "&amp;Jahr&amp;"; ",""))&amp;IF(N(E95)=0,"Betrag fehlt; ","")&amp;IF(C95="","Kostenart fehlt; ","")&amp;IF(AND(N(E95)&lt;&gt;0,F95=""),"USt-Satz fehlt; ",""))</f>
      </c>
    </row>
    <row r="96" spans="1:18" x14ac:dyDescent="0.25">
      <c r="A96" s="33"/>
      <c r="B96" s="7"/>
      <c r="C96" s="7"/>
      <c r="D96" s="7"/>
      <c r="E96" s="34"/>
      <c r="F96" s="7"/>
      <c r="G96" s="7"/>
      <c r="H96" s="35">
        <f>IF(L96=0,"",ROUND(E96/(1+M96),2))</f>
      </c>
      <c r="I96" s="35">
        <f>IF(L96=0,"",E96-H96)</f>
      </c>
      <c r="J96" s="36">
        <f>IF(R96="","",LEFT(R96,LEN(R96)-2))</f>
      </c>
      <c r="K96" s="1"/>
      <c r="L96" s="1">
        <f>IF(OR(R96&lt;&gt;"",NOT(ISNUMBER(A96))),0,MONTH(A96))</f>
      </c>
      <c r="M96" s="1">
        <f>IF(F96="19 %",0.19,IF(F96="7 %",0.07,0))</f>
      </c>
      <c r="N96" s="1">
        <f>IF(G96="Firma",0,1)</f>
      </c>
      <c r="O96" s="1">
        <f>IF(L96=0,0,N96*E96)</f>
      </c>
      <c r="P96" s="1">
        <f>IF(L96=0,0,N96*ROUND(E96/(1+M96),2))</f>
      </c>
      <c r="Q96" s="1">
        <f>O96-P96</f>
      </c>
      <c r="R96" s="1">
        <f>IF(AND(A96="",E96="",C96="",D96=""),"",IF(NOT(ISNUMBER(A96)),"Datum fehlt; ",IF(YEAR(A96)&lt;&gt;Jahr,"Datum nicht in "&amp;Jahr&amp;"; ",""))&amp;IF(N(E96)=0,"Betrag fehlt; ","")&amp;IF(C96="","Kostenart fehlt; ","")&amp;IF(AND(N(E96)&lt;&gt;0,F96=""),"USt-Satz fehlt; ",""))</f>
      </c>
    </row>
    <row r="97" spans="1:18" x14ac:dyDescent="0.25">
      <c r="A97" s="33"/>
      <c r="B97" s="7"/>
      <c r="C97" s="7"/>
      <c r="D97" s="7"/>
      <c r="E97" s="34"/>
      <c r="F97" s="7"/>
      <c r="G97" s="7"/>
      <c r="H97" s="35">
        <f>IF(L97=0,"",ROUND(E97/(1+M97),2))</f>
      </c>
      <c r="I97" s="35">
        <f>IF(L97=0,"",E97-H97)</f>
      </c>
      <c r="J97" s="36">
        <f>IF(R97="","",LEFT(R97,LEN(R97)-2))</f>
      </c>
      <c r="K97" s="1"/>
      <c r="L97" s="1">
        <f>IF(OR(R97&lt;&gt;"",NOT(ISNUMBER(A97))),0,MONTH(A97))</f>
      </c>
      <c r="M97" s="1">
        <f>IF(F97="19 %",0.19,IF(F97="7 %",0.07,0))</f>
      </c>
      <c r="N97" s="1">
        <f>IF(G97="Firma",0,1)</f>
      </c>
      <c r="O97" s="1">
        <f>IF(L97=0,0,N97*E97)</f>
      </c>
      <c r="P97" s="1">
        <f>IF(L97=0,0,N97*ROUND(E97/(1+M97),2))</f>
      </c>
      <c r="Q97" s="1">
        <f>O97-P97</f>
      </c>
      <c r="R97" s="1">
        <f>IF(AND(A97="",E97="",C97="",D97=""),"",IF(NOT(ISNUMBER(A97)),"Datum fehlt; ",IF(YEAR(A97)&lt;&gt;Jahr,"Datum nicht in "&amp;Jahr&amp;"; ",""))&amp;IF(N(E97)=0,"Betrag fehlt; ","")&amp;IF(C97="","Kostenart fehlt; ","")&amp;IF(AND(N(E97)&lt;&gt;0,F97=""),"USt-Satz fehlt; ",""))</f>
      </c>
    </row>
    <row r="98" spans="1:18" x14ac:dyDescent="0.25">
      <c r="A98" s="33"/>
      <c r="B98" s="7"/>
      <c r="C98" s="7"/>
      <c r="D98" s="7"/>
      <c r="E98" s="34"/>
      <c r="F98" s="7"/>
      <c r="G98" s="7"/>
      <c r="H98" s="35">
        <f>IF(L98=0,"",ROUND(E98/(1+M98),2))</f>
      </c>
      <c r="I98" s="35">
        <f>IF(L98=0,"",E98-H98)</f>
      </c>
      <c r="J98" s="36">
        <f>IF(R98="","",LEFT(R98,LEN(R98)-2))</f>
      </c>
      <c r="K98" s="1"/>
      <c r="L98" s="1">
        <f>IF(OR(R98&lt;&gt;"",NOT(ISNUMBER(A98))),0,MONTH(A98))</f>
      </c>
      <c r="M98" s="1">
        <f>IF(F98="19 %",0.19,IF(F98="7 %",0.07,0))</f>
      </c>
      <c r="N98" s="1">
        <f>IF(G98="Firma",0,1)</f>
      </c>
      <c r="O98" s="1">
        <f>IF(L98=0,0,N98*E98)</f>
      </c>
      <c r="P98" s="1">
        <f>IF(L98=0,0,N98*ROUND(E98/(1+M98),2))</f>
      </c>
      <c r="Q98" s="1">
        <f>O98-P98</f>
      </c>
      <c r="R98" s="1">
        <f>IF(AND(A98="",E98="",C98="",D98=""),"",IF(NOT(ISNUMBER(A98)),"Datum fehlt; ",IF(YEAR(A98)&lt;&gt;Jahr,"Datum nicht in "&amp;Jahr&amp;"; ",""))&amp;IF(N(E98)=0,"Betrag fehlt; ","")&amp;IF(C98="","Kostenart fehlt; ","")&amp;IF(AND(N(E98)&lt;&gt;0,F98=""),"USt-Satz fehlt; ",""))</f>
      </c>
    </row>
    <row r="99" spans="1:18" x14ac:dyDescent="0.25">
      <c r="A99" s="33"/>
      <c r="B99" s="7"/>
      <c r="C99" s="7"/>
      <c r="D99" s="7"/>
      <c r="E99" s="34"/>
      <c r="F99" s="7"/>
      <c r="G99" s="7"/>
      <c r="H99" s="35">
        <f>IF(L99=0,"",ROUND(E99/(1+M99),2))</f>
      </c>
      <c r="I99" s="35">
        <f>IF(L99=0,"",E99-H99)</f>
      </c>
      <c r="J99" s="36">
        <f>IF(R99="","",LEFT(R99,LEN(R99)-2))</f>
      </c>
      <c r="K99" s="1"/>
      <c r="L99" s="1">
        <f>IF(OR(R99&lt;&gt;"",NOT(ISNUMBER(A99))),0,MONTH(A99))</f>
      </c>
      <c r="M99" s="1">
        <f>IF(F99="19 %",0.19,IF(F99="7 %",0.07,0))</f>
      </c>
      <c r="N99" s="1">
        <f>IF(G99="Firma",0,1)</f>
      </c>
      <c r="O99" s="1">
        <f>IF(L99=0,0,N99*E99)</f>
      </c>
      <c r="P99" s="1">
        <f>IF(L99=0,0,N99*ROUND(E99/(1+M99),2))</f>
      </c>
      <c r="Q99" s="1">
        <f>O99-P99</f>
      </c>
      <c r="R99" s="1">
        <f>IF(AND(A99="",E99="",C99="",D99=""),"",IF(NOT(ISNUMBER(A99)),"Datum fehlt; ",IF(YEAR(A99)&lt;&gt;Jahr,"Datum nicht in "&amp;Jahr&amp;"; ",""))&amp;IF(N(E99)=0,"Betrag fehlt; ","")&amp;IF(C99="","Kostenart fehlt; ","")&amp;IF(AND(N(E99)&lt;&gt;0,F99=""),"USt-Satz fehlt; ",""))</f>
      </c>
    </row>
    <row r="100" spans="1:18" x14ac:dyDescent="0.25">
      <c r="A100" s="33"/>
      <c r="B100" s="7"/>
      <c r="C100" s="7"/>
      <c r="D100" s="7"/>
      <c r="E100" s="34"/>
      <c r="F100" s="7"/>
      <c r="G100" s="7"/>
      <c r="H100" s="35">
        <f>IF(L100=0,"",ROUND(E100/(1+M100),2))</f>
      </c>
      <c r="I100" s="35">
        <f>IF(L100=0,"",E100-H100)</f>
      </c>
      <c r="J100" s="36">
        <f>IF(R100="","",LEFT(R100,LEN(R100)-2))</f>
      </c>
      <c r="K100" s="1"/>
      <c r="L100" s="1">
        <f>IF(OR(R100&lt;&gt;"",NOT(ISNUMBER(A100))),0,MONTH(A100))</f>
      </c>
      <c r="M100" s="1">
        <f>IF(F100="19 %",0.19,IF(F100="7 %",0.07,0))</f>
      </c>
      <c r="N100" s="1">
        <f>IF(G100="Firma",0,1)</f>
      </c>
      <c r="O100" s="1">
        <f>IF(L100=0,0,N100*E100)</f>
      </c>
      <c r="P100" s="1">
        <f>IF(L100=0,0,N100*ROUND(E100/(1+M100),2))</f>
      </c>
      <c r="Q100" s="1">
        <f>O100-P100</f>
      </c>
      <c r="R100" s="1">
        <f>IF(AND(A100="",E100="",C100="",D100=""),"",IF(NOT(ISNUMBER(A100)),"Datum fehlt; ",IF(YEAR(A100)&lt;&gt;Jahr,"Datum nicht in "&amp;Jahr&amp;"; ",""))&amp;IF(N(E100)=0,"Betrag fehlt; ","")&amp;IF(C100="","Kostenart fehlt; ","")&amp;IF(AND(N(E100)&lt;&gt;0,F100=""),"USt-Satz fehlt; ",""))</f>
      </c>
    </row>
    <row r="101" spans="1:18" x14ac:dyDescent="0.25">
      <c r="A101" s="33"/>
      <c r="B101" s="7"/>
      <c r="C101" s="7"/>
      <c r="D101" s="7"/>
      <c r="E101" s="34"/>
      <c r="F101" s="7"/>
      <c r="G101" s="7"/>
      <c r="H101" s="35">
        <f>IF(L101=0,"",ROUND(E101/(1+M101),2))</f>
      </c>
      <c r="I101" s="35">
        <f>IF(L101=0,"",E101-H101)</f>
      </c>
      <c r="J101" s="36">
        <f>IF(R101="","",LEFT(R101,LEN(R101)-2))</f>
      </c>
      <c r="K101" s="1"/>
      <c r="L101" s="1">
        <f>IF(OR(R101&lt;&gt;"",NOT(ISNUMBER(A101))),0,MONTH(A101))</f>
      </c>
      <c r="M101" s="1">
        <f>IF(F101="19 %",0.19,IF(F101="7 %",0.07,0))</f>
      </c>
      <c r="N101" s="1">
        <f>IF(G101="Firma",0,1)</f>
      </c>
      <c r="O101" s="1">
        <f>IF(L101=0,0,N101*E101)</f>
      </c>
      <c r="P101" s="1">
        <f>IF(L101=0,0,N101*ROUND(E101/(1+M101),2))</f>
      </c>
      <c r="Q101" s="1">
        <f>O101-P101</f>
      </c>
      <c r="R101" s="1">
        <f>IF(AND(A101="",E101="",C101="",D101=""),"",IF(NOT(ISNUMBER(A101)),"Datum fehlt; ",IF(YEAR(A101)&lt;&gt;Jahr,"Datum nicht in "&amp;Jahr&amp;"; ",""))&amp;IF(N(E101)=0,"Betrag fehlt; ","")&amp;IF(C101="","Kostenart fehlt; ","")&amp;IF(AND(N(E101)&lt;&gt;0,F101=""),"USt-Satz fehlt; ",""))</f>
      </c>
    </row>
    <row r="102" spans="1:18" x14ac:dyDescent="0.25">
      <c r="A102" s="33"/>
      <c r="B102" s="7"/>
      <c r="C102" s="7"/>
      <c r="D102" s="7"/>
      <c r="E102" s="34"/>
      <c r="F102" s="7"/>
      <c r="G102" s="7"/>
      <c r="H102" s="35">
        <f>IF(L102=0,"",ROUND(E102/(1+M102),2))</f>
      </c>
      <c r="I102" s="35">
        <f>IF(L102=0,"",E102-H102)</f>
      </c>
      <c r="J102" s="36">
        <f>IF(R102="","",LEFT(R102,LEN(R102)-2))</f>
      </c>
      <c r="K102" s="1"/>
      <c r="L102" s="1">
        <f>IF(OR(R102&lt;&gt;"",NOT(ISNUMBER(A102))),0,MONTH(A102))</f>
      </c>
      <c r="M102" s="1">
        <f>IF(F102="19 %",0.19,IF(F102="7 %",0.07,0))</f>
      </c>
      <c r="N102" s="1">
        <f>IF(G102="Firma",0,1)</f>
      </c>
      <c r="O102" s="1">
        <f>IF(L102=0,0,N102*E102)</f>
      </c>
      <c r="P102" s="1">
        <f>IF(L102=0,0,N102*ROUND(E102/(1+M102),2))</f>
      </c>
      <c r="Q102" s="1">
        <f>O102-P102</f>
      </c>
      <c r="R102" s="1">
        <f>IF(AND(A102="",E102="",C102="",D102=""),"",IF(NOT(ISNUMBER(A102)),"Datum fehlt; ",IF(YEAR(A102)&lt;&gt;Jahr,"Datum nicht in "&amp;Jahr&amp;"; ",""))&amp;IF(N(E102)=0,"Betrag fehlt; ","")&amp;IF(C102="","Kostenart fehlt; ","")&amp;IF(AND(N(E102)&lt;&gt;0,F102=""),"USt-Satz fehlt; ",""))</f>
      </c>
    </row>
    <row r="103" spans="1:18" x14ac:dyDescent="0.25">
      <c r="A103" s="33"/>
      <c r="B103" s="7"/>
      <c r="C103" s="7"/>
      <c r="D103" s="7"/>
      <c r="E103" s="34"/>
      <c r="F103" s="7"/>
      <c r="G103" s="7"/>
      <c r="H103" s="35">
        <f>IF(L103=0,"",ROUND(E103/(1+M103),2))</f>
      </c>
      <c r="I103" s="35">
        <f>IF(L103=0,"",E103-H103)</f>
      </c>
      <c r="J103" s="36">
        <f>IF(R103="","",LEFT(R103,LEN(R103)-2))</f>
      </c>
      <c r="K103" s="1"/>
      <c r="L103" s="1">
        <f>IF(OR(R103&lt;&gt;"",NOT(ISNUMBER(A103))),0,MONTH(A103))</f>
      </c>
      <c r="M103" s="1">
        <f>IF(F103="19 %",0.19,IF(F103="7 %",0.07,0))</f>
      </c>
      <c r="N103" s="1">
        <f>IF(G103="Firma",0,1)</f>
      </c>
      <c r="O103" s="1">
        <f>IF(L103=0,0,N103*E103)</f>
      </c>
      <c r="P103" s="1">
        <f>IF(L103=0,0,N103*ROUND(E103/(1+M103),2))</f>
      </c>
      <c r="Q103" s="1">
        <f>O103-P103</f>
      </c>
      <c r="R103" s="1">
        <f>IF(AND(A103="",E103="",C103="",D103=""),"",IF(NOT(ISNUMBER(A103)),"Datum fehlt; ",IF(YEAR(A103)&lt;&gt;Jahr,"Datum nicht in "&amp;Jahr&amp;"; ",""))&amp;IF(N(E103)=0,"Betrag fehlt; ","")&amp;IF(C103="","Kostenart fehlt; ","")&amp;IF(AND(N(E103)&lt;&gt;0,F103=""),"USt-Satz fehlt; ",""))</f>
      </c>
    </row>
    <row r="104" spans="1:18" x14ac:dyDescent="0.25">
      <c r="A104" s="33"/>
      <c r="B104" s="7"/>
      <c r="C104" s="7"/>
      <c r="D104" s="7"/>
      <c r="E104" s="34"/>
      <c r="F104" s="7"/>
      <c r="G104" s="7"/>
      <c r="H104" s="35">
        <f>IF(L104=0,"",ROUND(E104/(1+M104),2))</f>
      </c>
      <c r="I104" s="35">
        <f>IF(L104=0,"",E104-H104)</f>
      </c>
      <c r="J104" s="36">
        <f>IF(R104="","",LEFT(R104,LEN(R104)-2))</f>
      </c>
      <c r="K104" s="1"/>
      <c r="L104" s="1">
        <f>IF(OR(R104&lt;&gt;"",NOT(ISNUMBER(A104))),0,MONTH(A104))</f>
      </c>
      <c r="M104" s="1">
        <f>IF(F104="19 %",0.19,IF(F104="7 %",0.07,0))</f>
      </c>
      <c r="N104" s="1">
        <f>IF(G104="Firma",0,1)</f>
      </c>
      <c r="O104" s="1">
        <f>IF(L104=0,0,N104*E104)</f>
      </c>
      <c r="P104" s="1">
        <f>IF(L104=0,0,N104*ROUND(E104/(1+M104),2))</f>
      </c>
      <c r="Q104" s="1">
        <f>O104-P104</f>
      </c>
      <c r="R104" s="1">
        <f>IF(AND(A104="",E104="",C104="",D104=""),"",IF(NOT(ISNUMBER(A104)),"Datum fehlt; ",IF(YEAR(A104)&lt;&gt;Jahr,"Datum nicht in "&amp;Jahr&amp;"; ",""))&amp;IF(N(E104)=0,"Betrag fehlt; ","")&amp;IF(C104="","Kostenart fehlt; ","")&amp;IF(AND(N(E104)&lt;&gt;0,F104=""),"USt-Satz fehlt; ",""))</f>
      </c>
    </row>
    <row r="105" spans="1:18" x14ac:dyDescent="0.25">
      <c r="A105" s="33"/>
      <c r="B105" s="7"/>
      <c r="C105" s="7"/>
      <c r="D105" s="7"/>
      <c r="E105" s="34"/>
      <c r="F105" s="7"/>
      <c r="G105" s="7"/>
      <c r="H105" s="35">
        <f>IF(L105=0,"",ROUND(E105/(1+M105),2))</f>
      </c>
      <c r="I105" s="35">
        <f>IF(L105=0,"",E105-H105)</f>
      </c>
      <c r="J105" s="36">
        <f>IF(R105="","",LEFT(R105,LEN(R105)-2))</f>
      </c>
      <c r="K105" s="1"/>
      <c r="L105" s="1">
        <f>IF(OR(R105&lt;&gt;"",NOT(ISNUMBER(A105))),0,MONTH(A105))</f>
      </c>
      <c r="M105" s="1">
        <f>IF(F105="19 %",0.19,IF(F105="7 %",0.07,0))</f>
      </c>
      <c r="N105" s="1">
        <f>IF(G105="Firma",0,1)</f>
      </c>
      <c r="O105" s="1">
        <f>IF(L105=0,0,N105*E105)</f>
      </c>
      <c r="P105" s="1">
        <f>IF(L105=0,0,N105*ROUND(E105/(1+M105),2))</f>
      </c>
      <c r="Q105" s="1">
        <f>O105-P105</f>
      </c>
      <c r="R105" s="1">
        <f>IF(AND(A105="",E105="",C105="",D105=""),"",IF(NOT(ISNUMBER(A105)),"Datum fehlt; ",IF(YEAR(A105)&lt;&gt;Jahr,"Datum nicht in "&amp;Jahr&amp;"; ",""))&amp;IF(N(E105)=0,"Betrag fehlt; ","")&amp;IF(C105="","Kostenart fehlt; ","")&amp;IF(AND(N(E105)&lt;&gt;0,F105=""),"USt-Satz fehlt; ",""))</f>
      </c>
    </row>
    <row r="106" spans="1:18" x14ac:dyDescent="0.25">
      <c r="A106" s="33"/>
      <c r="B106" s="7"/>
      <c r="C106" s="7"/>
      <c r="D106" s="7"/>
      <c r="E106" s="34"/>
      <c r="F106" s="7"/>
      <c r="G106" s="7"/>
      <c r="H106" s="35">
        <f>IF(L106=0,"",ROUND(E106/(1+M106),2))</f>
      </c>
      <c r="I106" s="35">
        <f>IF(L106=0,"",E106-H106)</f>
      </c>
      <c r="J106" s="36">
        <f>IF(R106="","",LEFT(R106,LEN(R106)-2))</f>
      </c>
      <c r="K106" s="1"/>
      <c r="L106" s="1">
        <f>IF(OR(R106&lt;&gt;"",NOT(ISNUMBER(A106))),0,MONTH(A106))</f>
      </c>
      <c r="M106" s="1">
        <f>IF(F106="19 %",0.19,IF(F106="7 %",0.07,0))</f>
      </c>
      <c r="N106" s="1">
        <f>IF(G106="Firma",0,1)</f>
      </c>
      <c r="O106" s="1">
        <f>IF(L106=0,0,N106*E106)</f>
      </c>
      <c r="P106" s="1">
        <f>IF(L106=0,0,N106*ROUND(E106/(1+M106),2))</f>
      </c>
      <c r="Q106" s="1">
        <f>O106-P106</f>
      </c>
      <c r="R106" s="1">
        <f>IF(AND(A106="",E106="",C106="",D106=""),"",IF(NOT(ISNUMBER(A106)),"Datum fehlt; ",IF(YEAR(A106)&lt;&gt;Jahr,"Datum nicht in "&amp;Jahr&amp;"; ",""))&amp;IF(N(E106)=0,"Betrag fehlt; ","")&amp;IF(C106="","Kostenart fehlt; ","")&amp;IF(AND(N(E106)&lt;&gt;0,F106=""),"USt-Satz fehlt; ",""))</f>
      </c>
    </row>
    <row r="107" spans="1:18" x14ac:dyDescent="0.25">
      <c r="A107" s="33"/>
      <c r="B107" s="7"/>
      <c r="C107" s="7"/>
      <c r="D107" s="7"/>
      <c r="E107" s="34"/>
      <c r="F107" s="7"/>
      <c r="G107" s="7"/>
      <c r="H107" s="35">
        <f>IF(L107=0,"",ROUND(E107/(1+M107),2))</f>
      </c>
      <c r="I107" s="35">
        <f>IF(L107=0,"",E107-H107)</f>
      </c>
      <c r="J107" s="36">
        <f>IF(R107="","",LEFT(R107,LEN(R107)-2))</f>
      </c>
      <c r="K107" s="1"/>
      <c r="L107" s="1">
        <f>IF(OR(R107&lt;&gt;"",NOT(ISNUMBER(A107))),0,MONTH(A107))</f>
      </c>
      <c r="M107" s="1">
        <f>IF(F107="19 %",0.19,IF(F107="7 %",0.07,0))</f>
      </c>
      <c r="N107" s="1">
        <f>IF(G107="Firma",0,1)</f>
      </c>
      <c r="O107" s="1">
        <f>IF(L107=0,0,N107*E107)</f>
      </c>
      <c r="P107" s="1">
        <f>IF(L107=0,0,N107*ROUND(E107/(1+M107),2))</f>
      </c>
      <c r="Q107" s="1">
        <f>O107-P107</f>
      </c>
      <c r="R107" s="1">
        <f>IF(AND(A107="",E107="",C107="",D107=""),"",IF(NOT(ISNUMBER(A107)),"Datum fehlt; ",IF(YEAR(A107)&lt;&gt;Jahr,"Datum nicht in "&amp;Jahr&amp;"; ",""))&amp;IF(N(E107)=0,"Betrag fehlt; ","")&amp;IF(C107="","Kostenart fehlt; ","")&amp;IF(AND(N(E107)&lt;&gt;0,F107=""),"USt-Satz fehlt; ",""))</f>
      </c>
    </row>
    <row r="108" spans="1:18" x14ac:dyDescent="0.25">
      <c r="A108" s="33"/>
      <c r="B108" s="7"/>
      <c r="C108" s="7"/>
      <c r="D108" s="7"/>
      <c r="E108" s="34"/>
      <c r="F108" s="7"/>
      <c r="G108" s="7"/>
      <c r="H108" s="35">
        <f>IF(L108=0,"",ROUND(E108/(1+M108),2))</f>
      </c>
      <c r="I108" s="35">
        <f>IF(L108=0,"",E108-H108)</f>
      </c>
      <c r="J108" s="36">
        <f>IF(R108="","",LEFT(R108,LEN(R108)-2))</f>
      </c>
      <c r="K108" s="1"/>
      <c r="L108" s="1">
        <f>IF(OR(R108&lt;&gt;"",NOT(ISNUMBER(A108))),0,MONTH(A108))</f>
      </c>
      <c r="M108" s="1">
        <f>IF(F108="19 %",0.19,IF(F108="7 %",0.07,0))</f>
      </c>
      <c r="N108" s="1">
        <f>IF(G108="Firma",0,1)</f>
      </c>
      <c r="O108" s="1">
        <f>IF(L108=0,0,N108*E108)</f>
      </c>
      <c r="P108" s="1">
        <f>IF(L108=0,0,N108*ROUND(E108/(1+M108),2))</f>
      </c>
      <c r="Q108" s="1">
        <f>O108-P108</f>
      </c>
      <c r="R108" s="1">
        <f>IF(AND(A108="",E108="",C108="",D108=""),"",IF(NOT(ISNUMBER(A108)),"Datum fehlt; ",IF(YEAR(A108)&lt;&gt;Jahr,"Datum nicht in "&amp;Jahr&amp;"; ",""))&amp;IF(N(E108)=0,"Betrag fehlt; ","")&amp;IF(C108="","Kostenart fehlt; ","")&amp;IF(AND(N(E108)&lt;&gt;0,F108=""),"USt-Satz fehlt; ",""))</f>
      </c>
    </row>
    <row r="109" spans="1:18" x14ac:dyDescent="0.25">
      <c r="A109" s="33"/>
      <c r="B109" s="7"/>
      <c r="C109" s="7"/>
      <c r="D109" s="7"/>
      <c r="E109" s="34"/>
      <c r="F109" s="7"/>
      <c r="G109" s="7"/>
      <c r="H109" s="35">
        <f>IF(L109=0,"",ROUND(E109/(1+M109),2))</f>
      </c>
      <c r="I109" s="35">
        <f>IF(L109=0,"",E109-H109)</f>
      </c>
      <c r="J109" s="36">
        <f>IF(R109="","",LEFT(R109,LEN(R109)-2))</f>
      </c>
      <c r="K109" s="1"/>
      <c r="L109" s="1">
        <f>IF(OR(R109&lt;&gt;"",NOT(ISNUMBER(A109))),0,MONTH(A109))</f>
      </c>
      <c r="M109" s="1">
        <f>IF(F109="19 %",0.19,IF(F109="7 %",0.07,0))</f>
      </c>
      <c r="N109" s="1">
        <f>IF(G109="Firma",0,1)</f>
      </c>
      <c r="O109" s="1">
        <f>IF(L109=0,0,N109*E109)</f>
      </c>
      <c r="P109" s="1">
        <f>IF(L109=0,0,N109*ROUND(E109/(1+M109),2))</f>
      </c>
      <c r="Q109" s="1">
        <f>O109-P109</f>
      </c>
      <c r="R109" s="1">
        <f>IF(AND(A109="",E109="",C109="",D109=""),"",IF(NOT(ISNUMBER(A109)),"Datum fehlt; ",IF(YEAR(A109)&lt;&gt;Jahr,"Datum nicht in "&amp;Jahr&amp;"; ",""))&amp;IF(N(E109)=0,"Betrag fehlt; ","")&amp;IF(C109="","Kostenart fehlt; ","")&amp;IF(AND(N(E109)&lt;&gt;0,F109=""),"USt-Satz fehlt; ",""))</f>
      </c>
    </row>
    <row r="110" spans="1:18" x14ac:dyDescent="0.25">
      <c r="A110" s="33"/>
      <c r="B110" s="7"/>
      <c r="C110" s="7"/>
      <c r="D110" s="7"/>
      <c r="E110" s="34"/>
      <c r="F110" s="7"/>
      <c r="G110" s="7"/>
      <c r="H110" s="35">
        <f>IF(L110=0,"",ROUND(E110/(1+M110),2))</f>
      </c>
      <c r="I110" s="35">
        <f>IF(L110=0,"",E110-H110)</f>
      </c>
      <c r="J110" s="36">
        <f>IF(R110="","",LEFT(R110,LEN(R110)-2))</f>
      </c>
      <c r="K110" s="1"/>
      <c r="L110" s="1">
        <f>IF(OR(R110&lt;&gt;"",NOT(ISNUMBER(A110))),0,MONTH(A110))</f>
      </c>
      <c r="M110" s="1">
        <f>IF(F110="19 %",0.19,IF(F110="7 %",0.07,0))</f>
      </c>
      <c r="N110" s="1">
        <f>IF(G110="Firma",0,1)</f>
      </c>
      <c r="O110" s="1">
        <f>IF(L110=0,0,N110*E110)</f>
      </c>
      <c r="P110" s="1">
        <f>IF(L110=0,0,N110*ROUND(E110/(1+M110),2))</f>
      </c>
      <c r="Q110" s="1">
        <f>O110-P110</f>
      </c>
      <c r="R110" s="1">
        <f>IF(AND(A110="",E110="",C110="",D110=""),"",IF(NOT(ISNUMBER(A110)),"Datum fehlt; ",IF(YEAR(A110)&lt;&gt;Jahr,"Datum nicht in "&amp;Jahr&amp;"; ",""))&amp;IF(N(E110)=0,"Betrag fehlt; ","")&amp;IF(C110="","Kostenart fehlt; ","")&amp;IF(AND(N(E110)&lt;&gt;0,F110=""),"USt-Satz fehlt; ",""))</f>
      </c>
    </row>
    <row r="111" spans="1:18" x14ac:dyDescent="0.25">
      <c r="A111" s="33"/>
      <c r="B111" s="7"/>
      <c r="C111" s="7"/>
      <c r="D111" s="7"/>
      <c r="E111" s="34"/>
      <c r="F111" s="7"/>
      <c r="G111" s="7"/>
      <c r="H111" s="35">
        <f>IF(L111=0,"",ROUND(E111/(1+M111),2))</f>
      </c>
      <c r="I111" s="35">
        <f>IF(L111=0,"",E111-H111)</f>
      </c>
      <c r="J111" s="36">
        <f>IF(R111="","",LEFT(R111,LEN(R111)-2))</f>
      </c>
      <c r="K111" s="1"/>
      <c r="L111" s="1">
        <f>IF(OR(R111&lt;&gt;"",NOT(ISNUMBER(A111))),0,MONTH(A111))</f>
      </c>
      <c r="M111" s="1">
        <f>IF(F111="19 %",0.19,IF(F111="7 %",0.07,0))</f>
      </c>
      <c r="N111" s="1">
        <f>IF(G111="Firma",0,1)</f>
      </c>
      <c r="O111" s="1">
        <f>IF(L111=0,0,N111*E111)</f>
      </c>
      <c r="P111" s="1">
        <f>IF(L111=0,0,N111*ROUND(E111/(1+M111),2))</f>
      </c>
      <c r="Q111" s="1">
        <f>O111-P111</f>
      </c>
      <c r="R111" s="1">
        <f>IF(AND(A111="",E111="",C111="",D111=""),"",IF(NOT(ISNUMBER(A111)),"Datum fehlt; ",IF(YEAR(A111)&lt;&gt;Jahr,"Datum nicht in "&amp;Jahr&amp;"; ",""))&amp;IF(N(E111)=0,"Betrag fehlt; ","")&amp;IF(C111="","Kostenart fehlt; ","")&amp;IF(AND(N(E111)&lt;&gt;0,F111=""),"USt-Satz fehlt; ",""))</f>
      </c>
    </row>
    <row r="112" spans="1:18" x14ac:dyDescent="0.25">
      <c r="A112" s="33"/>
      <c r="B112" s="7"/>
      <c r="C112" s="7"/>
      <c r="D112" s="7"/>
      <c r="E112" s="34"/>
      <c r="F112" s="7"/>
      <c r="G112" s="7"/>
      <c r="H112" s="35">
        <f>IF(L112=0,"",ROUND(E112/(1+M112),2))</f>
      </c>
      <c r="I112" s="35">
        <f>IF(L112=0,"",E112-H112)</f>
      </c>
      <c r="J112" s="36">
        <f>IF(R112="","",LEFT(R112,LEN(R112)-2))</f>
      </c>
      <c r="K112" s="1"/>
      <c r="L112" s="1">
        <f>IF(OR(R112&lt;&gt;"",NOT(ISNUMBER(A112))),0,MONTH(A112))</f>
      </c>
      <c r="M112" s="1">
        <f>IF(F112="19 %",0.19,IF(F112="7 %",0.07,0))</f>
      </c>
      <c r="N112" s="1">
        <f>IF(G112="Firma",0,1)</f>
      </c>
      <c r="O112" s="1">
        <f>IF(L112=0,0,N112*E112)</f>
      </c>
      <c r="P112" s="1">
        <f>IF(L112=0,0,N112*ROUND(E112/(1+M112),2))</f>
      </c>
      <c r="Q112" s="1">
        <f>O112-P112</f>
      </c>
      <c r="R112" s="1">
        <f>IF(AND(A112="",E112="",C112="",D112=""),"",IF(NOT(ISNUMBER(A112)),"Datum fehlt; ",IF(YEAR(A112)&lt;&gt;Jahr,"Datum nicht in "&amp;Jahr&amp;"; ",""))&amp;IF(N(E112)=0,"Betrag fehlt; ","")&amp;IF(C112="","Kostenart fehlt; ","")&amp;IF(AND(N(E112)&lt;&gt;0,F112=""),"USt-Satz fehlt; ",""))</f>
      </c>
    </row>
    <row r="113" spans="1:18" x14ac:dyDescent="0.25">
      <c r="A113" s="33"/>
      <c r="B113" s="7"/>
      <c r="C113" s="7"/>
      <c r="D113" s="7"/>
      <c r="E113" s="34"/>
      <c r="F113" s="7"/>
      <c r="G113" s="7"/>
      <c r="H113" s="35">
        <f>IF(L113=0,"",ROUND(E113/(1+M113),2))</f>
      </c>
      <c r="I113" s="35">
        <f>IF(L113=0,"",E113-H113)</f>
      </c>
      <c r="J113" s="36">
        <f>IF(R113="","",LEFT(R113,LEN(R113)-2))</f>
      </c>
      <c r="K113" s="1"/>
      <c r="L113" s="1">
        <f>IF(OR(R113&lt;&gt;"",NOT(ISNUMBER(A113))),0,MONTH(A113))</f>
      </c>
      <c r="M113" s="1">
        <f>IF(F113="19 %",0.19,IF(F113="7 %",0.07,0))</f>
      </c>
      <c r="N113" s="1">
        <f>IF(G113="Firma",0,1)</f>
      </c>
      <c r="O113" s="1">
        <f>IF(L113=0,0,N113*E113)</f>
      </c>
      <c r="P113" s="1">
        <f>IF(L113=0,0,N113*ROUND(E113/(1+M113),2))</f>
      </c>
      <c r="Q113" s="1">
        <f>O113-P113</f>
      </c>
      <c r="R113" s="1">
        <f>IF(AND(A113="",E113="",C113="",D113=""),"",IF(NOT(ISNUMBER(A113)),"Datum fehlt; ",IF(YEAR(A113)&lt;&gt;Jahr,"Datum nicht in "&amp;Jahr&amp;"; ",""))&amp;IF(N(E113)=0,"Betrag fehlt; ","")&amp;IF(C113="","Kostenart fehlt; ","")&amp;IF(AND(N(E113)&lt;&gt;0,F113=""),"USt-Satz fehlt; ",""))</f>
      </c>
    </row>
    <row r="114" spans="1:18" x14ac:dyDescent="0.25">
      <c r="A114" s="33"/>
      <c r="B114" s="7"/>
      <c r="C114" s="7"/>
      <c r="D114" s="7"/>
      <c r="E114" s="34"/>
      <c r="F114" s="7"/>
      <c r="G114" s="7"/>
      <c r="H114" s="35">
        <f>IF(L114=0,"",ROUND(E114/(1+M114),2))</f>
      </c>
      <c r="I114" s="35">
        <f>IF(L114=0,"",E114-H114)</f>
      </c>
      <c r="J114" s="36">
        <f>IF(R114="","",LEFT(R114,LEN(R114)-2))</f>
      </c>
      <c r="K114" s="1"/>
      <c r="L114" s="1">
        <f>IF(OR(R114&lt;&gt;"",NOT(ISNUMBER(A114))),0,MONTH(A114))</f>
      </c>
      <c r="M114" s="1">
        <f>IF(F114="19 %",0.19,IF(F114="7 %",0.07,0))</f>
      </c>
      <c r="N114" s="1">
        <f>IF(G114="Firma",0,1)</f>
      </c>
      <c r="O114" s="1">
        <f>IF(L114=0,0,N114*E114)</f>
      </c>
      <c r="P114" s="1">
        <f>IF(L114=0,0,N114*ROUND(E114/(1+M114),2))</f>
      </c>
      <c r="Q114" s="1">
        <f>O114-P114</f>
      </c>
      <c r="R114" s="1">
        <f>IF(AND(A114="",E114="",C114="",D114=""),"",IF(NOT(ISNUMBER(A114)),"Datum fehlt; ",IF(YEAR(A114)&lt;&gt;Jahr,"Datum nicht in "&amp;Jahr&amp;"; ",""))&amp;IF(N(E114)=0,"Betrag fehlt; ","")&amp;IF(C114="","Kostenart fehlt; ","")&amp;IF(AND(N(E114)&lt;&gt;0,F114=""),"USt-Satz fehlt; ",""))</f>
      </c>
    </row>
    <row r="115" spans="1:18" x14ac:dyDescent="0.25">
      <c r="A115" s="33"/>
      <c r="B115" s="7"/>
      <c r="C115" s="7"/>
      <c r="D115" s="7"/>
      <c r="E115" s="34"/>
      <c r="F115" s="7"/>
      <c r="G115" s="7"/>
      <c r="H115" s="35">
        <f>IF(L115=0,"",ROUND(E115/(1+M115),2))</f>
      </c>
      <c r="I115" s="35">
        <f>IF(L115=0,"",E115-H115)</f>
      </c>
      <c r="J115" s="36">
        <f>IF(R115="","",LEFT(R115,LEN(R115)-2))</f>
      </c>
      <c r="K115" s="1"/>
      <c r="L115" s="1">
        <f>IF(OR(R115&lt;&gt;"",NOT(ISNUMBER(A115))),0,MONTH(A115))</f>
      </c>
      <c r="M115" s="1">
        <f>IF(F115="19 %",0.19,IF(F115="7 %",0.07,0))</f>
      </c>
      <c r="N115" s="1">
        <f>IF(G115="Firma",0,1)</f>
      </c>
      <c r="O115" s="1">
        <f>IF(L115=0,0,N115*E115)</f>
      </c>
      <c r="P115" s="1">
        <f>IF(L115=0,0,N115*ROUND(E115/(1+M115),2))</f>
      </c>
      <c r="Q115" s="1">
        <f>O115-P115</f>
      </c>
      <c r="R115" s="1">
        <f>IF(AND(A115="",E115="",C115="",D115=""),"",IF(NOT(ISNUMBER(A115)),"Datum fehlt; ",IF(YEAR(A115)&lt;&gt;Jahr,"Datum nicht in "&amp;Jahr&amp;"; ",""))&amp;IF(N(E115)=0,"Betrag fehlt; ","")&amp;IF(C115="","Kostenart fehlt; ","")&amp;IF(AND(N(E115)&lt;&gt;0,F115=""),"USt-Satz fehlt; ",""))</f>
      </c>
    </row>
    <row r="116" spans="1:18" x14ac:dyDescent="0.25">
      <c r="A116" s="33"/>
      <c r="B116" s="7"/>
      <c r="C116" s="7"/>
      <c r="D116" s="7"/>
      <c r="E116" s="34"/>
      <c r="F116" s="7"/>
      <c r="G116" s="7"/>
      <c r="H116" s="35">
        <f>IF(L116=0,"",ROUND(E116/(1+M116),2))</f>
      </c>
      <c r="I116" s="35">
        <f>IF(L116=0,"",E116-H116)</f>
      </c>
      <c r="J116" s="36">
        <f>IF(R116="","",LEFT(R116,LEN(R116)-2))</f>
      </c>
      <c r="K116" s="1"/>
      <c r="L116" s="1">
        <f>IF(OR(R116&lt;&gt;"",NOT(ISNUMBER(A116))),0,MONTH(A116))</f>
      </c>
      <c r="M116" s="1">
        <f>IF(F116="19 %",0.19,IF(F116="7 %",0.07,0))</f>
      </c>
      <c r="N116" s="1">
        <f>IF(G116="Firma",0,1)</f>
      </c>
      <c r="O116" s="1">
        <f>IF(L116=0,0,N116*E116)</f>
      </c>
      <c r="P116" s="1">
        <f>IF(L116=0,0,N116*ROUND(E116/(1+M116),2))</f>
      </c>
      <c r="Q116" s="1">
        <f>O116-P116</f>
      </c>
      <c r="R116" s="1">
        <f>IF(AND(A116="",E116="",C116="",D116=""),"",IF(NOT(ISNUMBER(A116)),"Datum fehlt; ",IF(YEAR(A116)&lt;&gt;Jahr,"Datum nicht in "&amp;Jahr&amp;"; ",""))&amp;IF(N(E116)=0,"Betrag fehlt; ","")&amp;IF(C116="","Kostenart fehlt; ","")&amp;IF(AND(N(E116)&lt;&gt;0,F116=""),"USt-Satz fehlt; ",""))</f>
      </c>
    </row>
    <row r="117" spans="1:18" x14ac:dyDescent="0.25">
      <c r="A117" s="33"/>
      <c r="B117" s="7"/>
      <c r="C117" s="7"/>
      <c r="D117" s="7"/>
      <c r="E117" s="34"/>
      <c r="F117" s="7"/>
      <c r="G117" s="7"/>
      <c r="H117" s="35">
        <f>IF(L117=0,"",ROUND(E117/(1+M117),2))</f>
      </c>
      <c r="I117" s="35">
        <f>IF(L117=0,"",E117-H117)</f>
      </c>
      <c r="J117" s="36">
        <f>IF(R117="","",LEFT(R117,LEN(R117)-2))</f>
      </c>
      <c r="K117" s="1"/>
      <c r="L117" s="1">
        <f>IF(OR(R117&lt;&gt;"",NOT(ISNUMBER(A117))),0,MONTH(A117))</f>
      </c>
      <c r="M117" s="1">
        <f>IF(F117="19 %",0.19,IF(F117="7 %",0.07,0))</f>
      </c>
      <c r="N117" s="1">
        <f>IF(G117="Firma",0,1)</f>
      </c>
      <c r="O117" s="1">
        <f>IF(L117=0,0,N117*E117)</f>
      </c>
      <c r="P117" s="1">
        <f>IF(L117=0,0,N117*ROUND(E117/(1+M117),2))</f>
      </c>
      <c r="Q117" s="1">
        <f>O117-P117</f>
      </c>
      <c r="R117" s="1">
        <f>IF(AND(A117="",E117="",C117="",D117=""),"",IF(NOT(ISNUMBER(A117)),"Datum fehlt; ",IF(YEAR(A117)&lt;&gt;Jahr,"Datum nicht in "&amp;Jahr&amp;"; ",""))&amp;IF(N(E117)=0,"Betrag fehlt; ","")&amp;IF(C117="","Kostenart fehlt; ","")&amp;IF(AND(N(E117)&lt;&gt;0,F117=""),"USt-Satz fehlt; ",""))</f>
      </c>
    </row>
    <row r="118" spans="1:18" x14ac:dyDescent="0.25">
      <c r="A118" s="33"/>
      <c r="B118" s="7"/>
      <c r="C118" s="7"/>
      <c r="D118" s="7"/>
      <c r="E118" s="34"/>
      <c r="F118" s="7"/>
      <c r="G118" s="7"/>
      <c r="H118" s="35">
        <f>IF(L118=0,"",ROUND(E118/(1+M118),2))</f>
      </c>
      <c r="I118" s="35">
        <f>IF(L118=0,"",E118-H118)</f>
      </c>
      <c r="J118" s="36">
        <f>IF(R118="","",LEFT(R118,LEN(R118)-2))</f>
      </c>
      <c r="K118" s="1"/>
      <c r="L118" s="1">
        <f>IF(OR(R118&lt;&gt;"",NOT(ISNUMBER(A118))),0,MONTH(A118))</f>
      </c>
      <c r="M118" s="1">
        <f>IF(F118="19 %",0.19,IF(F118="7 %",0.07,0))</f>
      </c>
      <c r="N118" s="1">
        <f>IF(G118="Firma",0,1)</f>
      </c>
      <c r="O118" s="1">
        <f>IF(L118=0,0,N118*E118)</f>
      </c>
      <c r="P118" s="1">
        <f>IF(L118=0,0,N118*ROUND(E118/(1+M118),2))</f>
      </c>
      <c r="Q118" s="1">
        <f>O118-P118</f>
      </c>
      <c r="R118" s="1">
        <f>IF(AND(A118="",E118="",C118="",D118=""),"",IF(NOT(ISNUMBER(A118)),"Datum fehlt; ",IF(YEAR(A118)&lt;&gt;Jahr,"Datum nicht in "&amp;Jahr&amp;"; ",""))&amp;IF(N(E118)=0,"Betrag fehlt; ","")&amp;IF(C118="","Kostenart fehlt; ","")&amp;IF(AND(N(E118)&lt;&gt;0,F118=""),"USt-Satz fehlt; ",""))</f>
      </c>
    </row>
    <row r="119" spans="1:18" x14ac:dyDescent="0.25">
      <c r="A119" s="33"/>
      <c r="B119" s="7"/>
      <c r="C119" s="7"/>
      <c r="D119" s="7"/>
      <c r="E119" s="34"/>
      <c r="F119" s="7"/>
      <c r="G119" s="7"/>
      <c r="H119" s="35">
        <f>IF(L119=0,"",ROUND(E119/(1+M119),2))</f>
      </c>
      <c r="I119" s="35">
        <f>IF(L119=0,"",E119-H119)</f>
      </c>
      <c r="J119" s="36">
        <f>IF(R119="","",LEFT(R119,LEN(R119)-2))</f>
      </c>
      <c r="K119" s="1"/>
      <c r="L119" s="1">
        <f>IF(OR(R119&lt;&gt;"",NOT(ISNUMBER(A119))),0,MONTH(A119))</f>
      </c>
      <c r="M119" s="1">
        <f>IF(F119="19 %",0.19,IF(F119="7 %",0.07,0))</f>
      </c>
      <c r="N119" s="1">
        <f>IF(G119="Firma",0,1)</f>
      </c>
      <c r="O119" s="1">
        <f>IF(L119=0,0,N119*E119)</f>
      </c>
      <c r="P119" s="1">
        <f>IF(L119=0,0,N119*ROUND(E119/(1+M119),2))</f>
      </c>
      <c r="Q119" s="1">
        <f>O119-P119</f>
      </c>
      <c r="R119" s="1">
        <f>IF(AND(A119="",E119="",C119="",D119=""),"",IF(NOT(ISNUMBER(A119)),"Datum fehlt; ",IF(YEAR(A119)&lt;&gt;Jahr,"Datum nicht in "&amp;Jahr&amp;"; ",""))&amp;IF(N(E119)=0,"Betrag fehlt; ","")&amp;IF(C119="","Kostenart fehlt; ","")&amp;IF(AND(N(E119)&lt;&gt;0,F119=""),"USt-Satz fehlt; ",""))</f>
      </c>
    </row>
    <row r="120" spans="1:18" x14ac:dyDescent="0.25">
      <c r="A120" s="33"/>
      <c r="B120" s="7"/>
      <c r="C120" s="7"/>
      <c r="D120" s="7"/>
      <c r="E120" s="34"/>
      <c r="F120" s="7"/>
      <c r="G120" s="7"/>
      <c r="H120" s="35">
        <f>IF(L120=0,"",ROUND(E120/(1+M120),2))</f>
      </c>
      <c r="I120" s="35">
        <f>IF(L120=0,"",E120-H120)</f>
      </c>
      <c r="J120" s="36">
        <f>IF(R120="","",LEFT(R120,LEN(R120)-2))</f>
      </c>
      <c r="K120" s="1"/>
      <c r="L120" s="1">
        <f>IF(OR(R120&lt;&gt;"",NOT(ISNUMBER(A120))),0,MONTH(A120))</f>
      </c>
      <c r="M120" s="1">
        <f>IF(F120="19 %",0.19,IF(F120="7 %",0.07,0))</f>
      </c>
      <c r="N120" s="1">
        <f>IF(G120="Firma",0,1)</f>
      </c>
      <c r="O120" s="1">
        <f>IF(L120=0,0,N120*E120)</f>
      </c>
      <c r="P120" s="1">
        <f>IF(L120=0,0,N120*ROUND(E120/(1+M120),2))</f>
      </c>
      <c r="Q120" s="1">
        <f>O120-P120</f>
      </c>
      <c r="R120" s="1">
        <f>IF(AND(A120="",E120="",C120="",D120=""),"",IF(NOT(ISNUMBER(A120)),"Datum fehlt; ",IF(YEAR(A120)&lt;&gt;Jahr,"Datum nicht in "&amp;Jahr&amp;"; ",""))&amp;IF(N(E120)=0,"Betrag fehlt; ","")&amp;IF(C120="","Kostenart fehlt; ","")&amp;IF(AND(N(E120)&lt;&gt;0,F120=""),"USt-Satz fehlt; ",""))</f>
      </c>
    </row>
    <row r="121" spans="1:18" x14ac:dyDescent="0.25">
      <c r="A121" s="33"/>
      <c r="B121" s="7"/>
      <c r="C121" s="7"/>
      <c r="D121" s="7"/>
      <c r="E121" s="34"/>
      <c r="F121" s="7"/>
      <c r="G121" s="7"/>
      <c r="H121" s="35">
        <f>IF(L121=0,"",ROUND(E121/(1+M121),2))</f>
      </c>
      <c r="I121" s="35">
        <f>IF(L121=0,"",E121-H121)</f>
      </c>
      <c r="J121" s="36">
        <f>IF(R121="","",LEFT(R121,LEN(R121)-2))</f>
      </c>
      <c r="K121" s="1"/>
      <c r="L121" s="1">
        <f>IF(OR(R121&lt;&gt;"",NOT(ISNUMBER(A121))),0,MONTH(A121))</f>
      </c>
      <c r="M121" s="1">
        <f>IF(F121="19 %",0.19,IF(F121="7 %",0.07,0))</f>
      </c>
      <c r="N121" s="1">
        <f>IF(G121="Firma",0,1)</f>
      </c>
      <c r="O121" s="1">
        <f>IF(L121=0,0,N121*E121)</f>
      </c>
      <c r="P121" s="1">
        <f>IF(L121=0,0,N121*ROUND(E121/(1+M121),2))</f>
      </c>
      <c r="Q121" s="1">
        <f>O121-P121</f>
      </c>
      <c r="R121" s="1">
        <f>IF(AND(A121="",E121="",C121="",D121=""),"",IF(NOT(ISNUMBER(A121)),"Datum fehlt; ",IF(YEAR(A121)&lt;&gt;Jahr,"Datum nicht in "&amp;Jahr&amp;"; ",""))&amp;IF(N(E121)=0,"Betrag fehlt; ","")&amp;IF(C121="","Kostenart fehlt; ","")&amp;IF(AND(N(E121)&lt;&gt;0,F121=""),"USt-Satz fehlt; ",""))</f>
      </c>
    </row>
    <row r="122" spans="1:18" x14ac:dyDescent="0.25">
      <c r="A122" s="33"/>
      <c r="B122" s="7"/>
      <c r="C122" s="7"/>
      <c r="D122" s="7"/>
      <c r="E122" s="34"/>
      <c r="F122" s="7"/>
      <c r="G122" s="7"/>
      <c r="H122" s="35">
        <f>IF(L122=0,"",ROUND(E122/(1+M122),2))</f>
      </c>
      <c r="I122" s="35">
        <f>IF(L122=0,"",E122-H122)</f>
      </c>
      <c r="J122" s="36">
        <f>IF(R122="","",LEFT(R122,LEN(R122)-2))</f>
      </c>
      <c r="K122" s="1"/>
      <c r="L122" s="1">
        <f>IF(OR(R122&lt;&gt;"",NOT(ISNUMBER(A122))),0,MONTH(A122))</f>
      </c>
      <c r="M122" s="1">
        <f>IF(F122="19 %",0.19,IF(F122="7 %",0.07,0))</f>
      </c>
      <c r="N122" s="1">
        <f>IF(G122="Firma",0,1)</f>
      </c>
      <c r="O122" s="1">
        <f>IF(L122=0,0,N122*E122)</f>
      </c>
      <c r="P122" s="1">
        <f>IF(L122=0,0,N122*ROUND(E122/(1+M122),2))</f>
      </c>
      <c r="Q122" s="1">
        <f>O122-P122</f>
      </c>
      <c r="R122" s="1">
        <f>IF(AND(A122="",E122="",C122="",D122=""),"",IF(NOT(ISNUMBER(A122)),"Datum fehlt; ",IF(YEAR(A122)&lt;&gt;Jahr,"Datum nicht in "&amp;Jahr&amp;"; ",""))&amp;IF(N(E122)=0,"Betrag fehlt; ","")&amp;IF(C122="","Kostenart fehlt; ","")&amp;IF(AND(N(E122)&lt;&gt;0,F122=""),"USt-Satz fehlt; ",""))</f>
      </c>
    </row>
    <row r="123" spans="1:18" x14ac:dyDescent="0.25">
      <c r="A123" s="33"/>
      <c r="B123" s="7"/>
      <c r="C123" s="7"/>
      <c r="D123" s="7"/>
      <c r="E123" s="34"/>
      <c r="F123" s="7"/>
      <c r="G123" s="7"/>
      <c r="H123" s="35">
        <f>IF(L123=0,"",ROUND(E123/(1+M123),2))</f>
      </c>
      <c r="I123" s="35">
        <f>IF(L123=0,"",E123-H123)</f>
      </c>
      <c r="J123" s="36">
        <f>IF(R123="","",LEFT(R123,LEN(R123)-2))</f>
      </c>
      <c r="K123" s="1"/>
      <c r="L123" s="1">
        <f>IF(OR(R123&lt;&gt;"",NOT(ISNUMBER(A123))),0,MONTH(A123))</f>
      </c>
      <c r="M123" s="1">
        <f>IF(F123="19 %",0.19,IF(F123="7 %",0.07,0))</f>
      </c>
      <c r="N123" s="1">
        <f>IF(G123="Firma",0,1)</f>
      </c>
      <c r="O123" s="1">
        <f>IF(L123=0,0,N123*E123)</f>
      </c>
      <c r="P123" s="1">
        <f>IF(L123=0,0,N123*ROUND(E123/(1+M123),2))</f>
      </c>
      <c r="Q123" s="1">
        <f>O123-P123</f>
      </c>
      <c r="R123" s="1">
        <f>IF(AND(A123="",E123="",C123="",D123=""),"",IF(NOT(ISNUMBER(A123)),"Datum fehlt; ",IF(YEAR(A123)&lt;&gt;Jahr,"Datum nicht in "&amp;Jahr&amp;"; ",""))&amp;IF(N(E123)=0,"Betrag fehlt; ","")&amp;IF(C123="","Kostenart fehlt; ","")&amp;IF(AND(N(E123)&lt;&gt;0,F123=""),"USt-Satz fehlt; ",""))</f>
      </c>
    </row>
    <row r="124" spans="1:18" x14ac:dyDescent="0.25">
      <c r="A124" s="33"/>
      <c r="B124" s="7"/>
      <c r="C124" s="7"/>
      <c r="D124" s="7"/>
      <c r="E124" s="34"/>
      <c r="F124" s="7"/>
      <c r="G124" s="7"/>
      <c r="H124" s="35">
        <f>IF(L124=0,"",ROUND(E124/(1+M124),2))</f>
      </c>
      <c r="I124" s="35">
        <f>IF(L124=0,"",E124-H124)</f>
      </c>
      <c r="J124" s="36">
        <f>IF(R124="","",LEFT(R124,LEN(R124)-2))</f>
      </c>
      <c r="K124" s="1"/>
      <c r="L124" s="1">
        <f>IF(OR(R124&lt;&gt;"",NOT(ISNUMBER(A124))),0,MONTH(A124))</f>
      </c>
      <c r="M124" s="1">
        <f>IF(F124="19 %",0.19,IF(F124="7 %",0.07,0))</f>
      </c>
      <c r="N124" s="1">
        <f>IF(G124="Firma",0,1)</f>
      </c>
      <c r="O124" s="1">
        <f>IF(L124=0,0,N124*E124)</f>
      </c>
      <c r="P124" s="1">
        <f>IF(L124=0,0,N124*ROUND(E124/(1+M124),2))</f>
      </c>
      <c r="Q124" s="1">
        <f>O124-P124</f>
      </c>
      <c r="R124" s="1">
        <f>IF(AND(A124="",E124="",C124="",D124=""),"",IF(NOT(ISNUMBER(A124)),"Datum fehlt; ",IF(YEAR(A124)&lt;&gt;Jahr,"Datum nicht in "&amp;Jahr&amp;"; ",""))&amp;IF(N(E124)=0,"Betrag fehlt; ","")&amp;IF(C124="","Kostenart fehlt; ","")&amp;IF(AND(N(E124)&lt;&gt;0,F124=""),"USt-Satz fehlt; ",""))</f>
      </c>
    </row>
    <row r="125" spans="1:18" x14ac:dyDescent="0.25">
      <c r="A125" s="33"/>
      <c r="B125" s="7"/>
      <c r="C125" s="7"/>
      <c r="D125" s="7"/>
      <c r="E125" s="34"/>
      <c r="F125" s="7"/>
      <c r="G125" s="7"/>
      <c r="H125" s="35">
        <f>IF(L125=0,"",ROUND(E125/(1+M125),2))</f>
      </c>
      <c r="I125" s="35">
        <f>IF(L125=0,"",E125-H125)</f>
      </c>
      <c r="J125" s="36">
        <f>IF(R125="","",LEFT(R125,LEN(R125)-2))</f>
      </c>
      <c r="K125" s="1"/>
      <c r="L125" s="1">
        <f>IF(OR(R125&lt;&gt;"",NOT(ISNUMBER(A125))),0,MONTH(A125))</f>
      </c>
      <c r="M125" s="1">
        <f>IF(F125="19 %",0.19,IF(F125="7 %",0.07,0))</f>
      </c>
      <c r="N125" s="1">
        <f>IF(G125="Firma",0,1)</f>
      </c>
      <c r="O125" s="1">
        <f>IF(L125=0,0,N125*E125)</f>
      </c>
      <c r="P125" s="1">
        <f>IF(L125=0,0,N125*ROUND(E125/(1+M125),2))</f>
      </c>
      <c r="Q125" s="1">
        <f>O125-P125</f>
      </c>
      <c r="R125" s="1">
        <f>IF(AND(A125="",E125="",C125="",D125=""),"",IF(NOT(ISNUMBER(A125)),"Datum fehlt; ",IF(YEAR(A125)&lt;&gt;Jahr,"Datum nicht in "&amp;Jahr&amp;"; ",""))&amp;IF(N(E125)=0,"Betrag fehlt; ","")&amp;IF(C125="","Kostenart fehlt; ","")&amp;IF(AND(N(E125)&lt;&gt;0,F125=""),"USt-Satz fehlt; ",""))</f>
      </c>
    </row>
    <row r="126" spans="1:18" x14ac:dyDescent="0.25">
      <c r="A126" s="33"/>
      <c r="B126" s="7"/>
      <c r="C126" s="7"/>
      <c r="D126" s="7"/>
      <c r="E126" s="34"/>
      <c r="F126" s="7"/>
      <c r="G126" s="7"/>
      <c r="H126" s="35">
        <f>IF(L126=0,"",ROUND(E126/(1+M126),2))</f>
      </c>
      <c r="I126" s="35">
        <f>IF(L126=0,"",E126-H126)</f>
      </c>
      <c r="J126" s="36">
        <f>IF(R126="","",LEFT(R126,LEN(R126)-2))</f>
      </c>
      <c r="K126" s="1"/>
      <c r="L126" s="1">
        <f>IF(OR(R126&lt;&gt;"",NOT(ISNUMBER(A126))),0,MONTH(A126))</f>
      </c>
      <c r="M126" s="1">
        <f>IF(F126="19 %",0.19,IF(F126="7 %",0.07,0))</f>
      </c>
      <c r="N126" s="1">
        <f>IF(G126="Firma",0,1)</f>
      </c>
      <c r="O126" s="1">
        <f>IF(L126=0,0,N126*E126)</f>
      </c>
      <c r="P126" s="1">
        <f>IF(L126=0,0,N126*ROUND(E126/(1+M126),2))</f>
      </c>
      <c r="Q126" s="1">
        <f>O126-P126</f>
      </c>
      <c r="R126" s="1">
        <f>IF(AND(A126="",E126="",C126="",D126=""),"",IF(NOT(ISNUMBER(A126)),"Datum fehlt; ",IF(YEAR(A126)&lt;&gt;Jahr,"Datum nicht in "&amp;Jahr&amp;"; ",""))&amp;IF(N(E126)=0,"Betrag fehlt; ","")&amp;IF(C126="","Kostenart fehlt; ","")&amp;IF(AND(N(E126)&lt;&gt;0,F126=""),"USt-Satz fehlt; ",""))</f>
      </c>
    </row>
    <row r="127" spans="1:18" x14ac:dyDescent="0.25">
      <c r="A127" s="33"/>
      <c r="B127" s="7"/>
      <c r="C127" s="7"/>
      <c r="D127" s="7"/>
      <c r="E127" s="34"/>
      <c r="F127" s="7"/>
      <c r="G127" s="7"/>
      <c r="H127" s="35">
        <f>IF(L127=0,"",ROUND(E127/(1+M127),2))</f>
      </c>
      <c r="I127" s="35">
        <f>IF(L127=0,"",E127-H127)</f>
      </c>
      <c r="J127" s="36">
        <f>IF(R127="","",LEFT(R127,LEN(R127)-2))</f>
      </c>
      <c r="K127" s="1"/>
      <c r="L127" s="1">
        <f>IF(OR(R127&lt;&gt;"",NOT(ISNUMBER(A127))),0,MONTH(A127))</f>
      </c>
      <c r="M127" s="1">
        <f>IF(F127="19 %",0.19,IF(F127="7 %",0.07,0))</f>
      </c>
      <c r="N127" s="1">
        <f>IF(G127="Firma",0,1)</f>
      </c>
      <c r="O127" s="1">
        <f>IF(L127=0,0,N127*E127)</f>
      </c>
      <c r="P127" s="1">
        <f>IF(L127=0,0,N127*ROUND(E127/(1+M127),2))</f>
      </c>
      <c r="Q127" s="1">
        <f>O127-P127</f>
      </c>
      <c r="R127" s="1">
        <f>IF(AND(A127="",E127="",C127="",D127=""),"",IF(NOT(ISNUMBER(A127)),"Datum fehlt; ",IF(YEAR(A127)&lt;&gt;Jahr,"Datum nicht in "&amp;Jahr&amp;"; ",""))&amp;IF(N(E127)=0,"Betrag fehlt; ","")&amp;IF(C127="","Kostenart fehlt; ","")&amp;IF(AND(N(E127)&lt;&gt;0,F127=""),"USt-Satz fehlt; ",""))</f>
      </c>
    </row>
    <row r="128" spans="1:18" x14ac:dyDescent="0.25">
      <c r="A128" s="33"/>
      <c r="B128" s="7"/>
      <c r="C128" s="7"/>
      <c r="D128" s="7"/>
      <c r="E128" s="34"/>
      <c r="F128" s="7"/>
      <c r="G128" s="7"/>
      <c r="H128" s="35">
        <f>IF(L128=0,"",ROUND(E128/(1+M128),2))</f>
      </c>
      <c r="I128" s="35">
        <f>IF(L128=0,"",E128-H128)</f>
      </c>
      <c r="J128" s="36">
        <f>IF(R128="","",LEFT(R128,LEN(R128)-2))</f>
      </c>
      <c r="K128" s="1"/>
      <c r="L128" s="1">
        <f>IF(OR(R128&lt;&gt;"",NOT(ISNUMBER(A128))),0,MONTH(A128))</f>
      </c>
      <c r="M128" s="1">
        <f>IF(F128="19 %",0.19,IF(F128="7 %",0.07,0))</f>
      </c>
      <c r="N128" s="1">
        <f>IF(G128="Firma",0,1)</f>
      </c>
      <c r="O128" s="1">
        <f>IF(L128=0,0,N128*E128)</f>
      </c>
      <c r="P128" s="1">
        <f>IF(L128=0,0,N128*ROUND(E128/(1+M128),2))</f>
      </c>
      <c r="Q128" s="1">
        <f>O128-P128</f>
      </c>
      <c r="R128" s="1">
        <f>IF(AND(A128="",E128="",C128="",D128=""),"",IF(NOT(ISNUMBER(A128)),"Datum fehlt; ",IF(YEAR(A128)&lt;&gt;Jahr,"Datum nicht in "&amp;Jahr&amp;"; ",""))&amp;IF(N(E128)=0,"Betrag fehlt; ","")&amp;IF(C128="","Kostenart fehlt; ","")&amp;IF(AND(N(E128)&lt;&gt;0,F128=""),"USt-Satz fehlt; ",""))</f>
      </c>
    </row>
    <row r="129" spans="1:18" x14ac:dyDescent="0.25">
      <c r="A129" s="33"/>
      <c r="B129" s="7"/>
      <c r="C129" s="7"/>
      <c r="D129" s="7"/>
      <c r="E129" s="34"/>
      <c r="F129" s="7"/>
      <c r="G129" s="7"/>
      <c r="H129" s="35">
        <f>IF(L129=0,"",ROUND(E129/(1+M129),2))</f>
      </c>
      <c r="I129" s="35">
        <f>IF(L129=0,"",E129-H129)</f>
      </c>
      <c r="J129" s="36">
        <f>IF(R129="","",LEFT(R129,LEN(R129)-2))</f>
      </c>
      <c r="K129" s="1"/>
      <c r="L129" s="1">
        <f>IF(OR(R129&lt;&gt;"",NOT(ISNUMBER(A129))),0,MONTH(A129))</f>
      </c>
      <c r="M129" s="1">
        <f>IF(F129="19 %",0.19,IF(F129="7 %",0.07,0))</f>
      </c>
      <c r="N129" s="1">
        <f>IF(G129="Firma",0,1)</f>
      </c>
      <c r="O129" s="1">
        <f>IF(L129=0,0,N129*E129)</f>
      </c>
      <c r="P129" s="1">
        <f>IF(L129=0,0,N129*ROUND(E129/(1+M129),2))</f>
      </c>
      <c r="Q129" s="1">
        <f>O129-P129</f>
      </c>
      <c r="R129" s="1">
        <f>IF(AND(A129="",E129="",C129="",D129=""),"",IF(NOT(ISNUMBER(A129)),"Datum fehlt; ",IF(YEAR(A129)&lt;&gt;Jahr,"Datum nicht in "&amp;Jahr&amp;"; ",""))&amp;IF(N(E129)=0,"Betrag fehlt; ","")&amp;IF(C129="","Kostenart fehlt; ","")&amp;IF(AND(N(E129)&lt;&gt;0,F129=""),"USt-Satz fehlt; ",""))</f>
      </c>
    </row>
    <row r="130" spans="1:18" x14ac:dyDescent="0.25">
      <c r="A130" s="33"/>
      <c r="B130" s="7"/>
      <c r="C130" s="7"/>
      <c r="D130" s="7"/>
      <c r="E130" s="34"/>
      <c r="F130" s="7"/>
      <c r="G130" s="7"/>
      <c r="H130" s="35">
        <f>IF(L130=0,"",ROUND(E130/(1+M130),2))</f>
      </c>
      <c r="I130" s="35">
        <f>IF(L130=0,"",E130-H130)</f>
      </c>
      <c r="J130" s="36">
        <f>IF(R130="","",LEFT(R130,LEN(R130)-2))</f>
      </c>
      <c r="K130" s="1"/>
      <c r="L130" s="1">
        <f>IF(OR(R130&lt;&gt;"",NOT(ISNUMBER(A130))),0,MONTH(A130))</f>
      </c>
      <c r="M130" s="1">
        <f>IF(F130="19 %",0.19,IF(F130="7 %",0.07,0))</f>
      </c>
      <c r="N130" s="1">
        <f>IF(G130="Firma",0,1)</f>
      </c>
      <c r="O130" s="1">
        <f>IF(L130=0,0,N130*E130)</f>
      </c>
      <c r="P130" s="1">
        <f>IF(L130=0,0,N130*ROUND(E130/(1+M130),2))</f>
      </c>
      <c r="Q130" s="1">
        <f>O130-P130</f>
      </c>
      <c r="R130" s="1">
        <f>IF(AND(A130="",E130="",C130="",D130=""),"",IF(NOT(ISNUMBER(A130)),"Datum fehlt; ",IF(YEAR(A130)&lt;&gt;Jahr,"Datum nicht in "&amp;Jahr&amp;"; ",""))&amp;IF(N(E130)=0,"Betrag fehlt; ","")&amp;IF(C130="","Kostenart fehlt; ","")&amp;IF(AND(N(E130)&lt;&gt;0,F130=""),"USt-Satz fehlt; ",""))</f>
      </c>
    </row>
    <row r="131" spans="1:18" x14ac:dyDescent="0.25">
      <c r="A131" s="33"/>
      <c r="B131" s="7"/>
      <c r="C131" s="7"/>
      <c r="D131" s="7"/>
      <c r="E131" s="34"/>
      <c r="F131" s="7"/>
      <c r="G131" s="7"/>
      <c r="H131" s="35">
        <f>IF(L131=0,"",ROUND(E131/(1+M131),2))</f>
      </c>
      <c r="I131" s="35">
        <f>IF(L131=0,"",E131-H131)</f>
      </c>
      <c r="J131" s="36">
        <f>IF(R131="","",LEFT(R131,LEN(R131)-2))</f>
      </c>
      <c r="K131" s="1"/>
      <c r="L131" s="1">
        <f>IF(OR(R131&lt;&gt;"",NOT(ISNUMBER(A131))),0,MONTH(A131))</f>
      </c>
      <c r="M131" s="1">
        <f>IF(F131="19 %",0.19,IF(F131="7 %",0.07,0))</f>
      </c>
      <c r="N131" s="1">
        <f>IF(G131="Firma",0,1)</f>
      </c>
      <c r="O131" s="1">
        <f>IF(L131=0,0,N131*E131)</f>
      </c>
      <c r="P131" s="1">
        <f>IF(L131=0,0,N131*ROUND(E131/(1+M131),2))</f>
      </c>
      <c r="Q131" s="1">
        <f>O131-P131</f>
      </c>
      <c r="R131" s="1">
        <f>IF(AND(A131="",E131="",C131="",D131=""),"",IF(NOT(ISNUMBER(A131)),"Datum fehlt; ",IF(YEAR(A131)&lt;&gt;Jahr,"Datum nicht in "&amp;Jahr&amp;"; ",""))&amp;IF(N(E131)=0,"Betrag fehlt; ","")&amp;IF(C131="","Kostenart fehlt; ","")&amp;IF(AND(N(E131)&lt;&gt;0,F131=""),"USt-Satz fehlt; ",""))</f>
      </c>
    </row>
    <row r="132" spans="1:18" x14ac:dyDescent="0.25">
      <c r="A132" s="33"/>
      <c r="B132" s="7"/>
      <c r="C132" s="7"/>
      <c r="D132" s="7"/>
      <c r="E132" s="34"/>
      <c r="F132" s="7"/>
      <c r="G132" s="7"/>
      <c r="H132" s="35">
        <f>IF(L132=0,"",ROUND(E132/(1+M132),2))</f>
      </c>
      <c r="I132" s="35">
        <f>IF(L132=0,"",E132-H132)</f>
      </c>
      <c r="J132" s="36">
        <f>IF(R132="","",LEFT(R132,LEN(R132)-2))</f>
      </c>
      <c r="K132" s="1"/>
      <c r="L132" s="1">
        <f>IF(OR(R132&lt;&gt;"",NOT(ISNUMBER(A132))),0,MONTH(A132))</f>
      </c>
      <c r="M132" s="1">
        <f>IF(F132="19 %",0.19,IF(F132="7 %",0.07,0))</f>
      </c>
      <c r="N132" s="1">
        <f>IF(G132="Firma",0,1)</f>
      </c>
      <c r="O132" s="1">
        <f>IF(L132=0,0,N132*E132)</f>
      </c>
      <c r="P132" s="1">
        <f>IF(L132=0,0,N132*ROUND(E132/(1+M132),2))</f>
      </c>
      <c r="Q132" s="1">
        <f>O132-P132</f>
      </c>
      <c r="R132" s="1">
        <f>IF(AND(A132="",E132="",C132="",D132=""),"",IF(NOT(ISNUMBER(A132)),"Datum fehlt; ",IF(YEAR(A132)&lt;&gt;Jahr,"Datum nicht in "&amp;Jahr&amp;"; ",""))&amp;IF(N(E132)=0,"Betrag fehlt; ","")&amp;IF(C132="","Kostenart fehlt; ","")&amp;IF(AND(N(E132)&lt;&gt;0,F132=""),"USt-Satz fehlt; ",""))</f>
      </c>
    </row>
    <row r="133" spans="1:18" x14ac:dyDescent="0.25">
      <c r="A133" s="33"/>
      <c r="B133" s="7"/>
      <c r="C133" s="7"/>
      <c r="D133" s="7"/>
      <c r="E133" s="34"/>
      <c r="F133" s="7"/>
      <c r="G133" s="7"/>
      <c r="H133" s="35">
        <f>IF(L133=0,"",ROUND(E133/(1+M133),2))</f>
      </c>
      <c r="I133" s="35">
        <f>IF(L133=0,"",E133-H133)</f>
      </c>
      <c r="J133" s="36">
        <f>IF(R133="","",LEFT(R133,LEN(R133)-2))</f>
      </c>
      <c r="K133" s="1"/>
      <c r="L133" s="1">
        <f>IF(OR(R133&lt;&gt;"",NOT(ISNUMBER(A133))),0,MONTH(A133))</f>
      </c>
      <c r="M133" s="1">
        <f>IF(F133="19 %",0.19,IF(F133="7 %",0.07,0))</f>
      </c>
      <c r="N133" s="1">
        <f>IF(G133="Firma",0,1)</f>
      </c>
      <c r="O133" s="1">
        <f>IF(L133=0,0,N133*E133)</f>
      </c>
      <c r="P133" s="1">
        <f>IF(L133=0,0,N133*ROUND(E133/(1+M133),2))</f>
      </c>
      <c r="Q133" s="1">
        <f>O133-P133</f>
      </c>
      <c r="R133" s="1">
        <f>IF(AND(A133="",E133="",C133="",D133=""),"",IF(NOT(ISNUMBER(A133)),"Datum fehlt; ",IF(YEAR(A133)&lt;&gt;Jahr,"Datum nicht in "&amp;Jahr&amp;"; ",""))&amp;IF(N(E133)=0,"Betrag fehlt; ","")&amp;IF(C133="","Kostenart fehlt; ","")&amp;IF(AND(N(E133)&lt;&gt;0,F133=""),"USt-Satz fehlt; ",""))</f>
      </c>
    </row>
    <row r="134" spans="1:18" x14ac:dyDescent="0.25">
      <c r="A134" s="33"/>
      <c r="B134" s="7"/>
      <c r="C134" s="7"/>
      <c r="D134" s="7"/>
      <c r="E134" s="34"/>
      <c r="F134" s="7"/>
      <c r="G134" s="7"/>
      <c r="H134" s="35">
        <f>IF(L134=0,"",ROUND(E134/(1+M134),2))</f>
      </c>
      <c r="I134" s="35">
        <f>IF(L134=0,"",E134-H134)</f>
      </c>
      <c r="J134" s="36">
        <f>IF(R134="","",LEFT(R134,LEN(R134)-2))</f>
      </c>
      <c r="K134" s="1"/>
      <c r="L134" s="1">
        <f>IF(OR(R134&lt;&gt;"",NOT(ISNUMBER(A134))),0,MONTH(A134))</f>
      </c>
      <c r="M134" s="1">
        <f>IF(F134="19 %",0.19,IF(F134="7 %",0.07,0))</f>
      </c>
      <c r="N134" s="1">
        <f>IF(G134="Firma",0,1)</f>
      </c>
      <c r="O134" s="1">
        <f>IF(L134=0,0,N134*E134)</f>
      </c>
      <c r="P134" s="1">
        <f>IF(L134=0,0,N134*ROUND(E134/(1+M134),2))</f>
      </c>
      <c r="Q134" s="1">
        <f>O134-P134</f>
      </c>
      <c r="R134" s="1">
        <f>IF(AND(A134="",E134="",C134="",D134=""),"",IF(NOT(ISNUMBER(A134)),"Datum fehlt; ",IF(YEAR(A134)&lt;&gt;Jahr,"Datum nicht in "&amp;Jahr&amp;"; ",""))&amp;IF(N(E134)=0,"Betrag fehlt; ","")&amp;IF(C134="","Kostenart fehlt; ","")&amp;IF(AND(N(E134)&lt;&gt;0,F134=""),"USt-Satz fehlt; ",""))</f>
      </c>
    </row>
    <row r="135" spans="1:18" x14ac:dyDescent="0.25">
      <c r="A135" s="33"/>
      <c r="B135" s="7"/>
      <c r="C135" s="7"/>
      <c r="D135" s="7"/>
      <c r="E135" s="34"/>
      <c r="F135" s="7"/>
      <c r="G135" s="7"/>
      <c r="H135" s="35">
        <f>IF(L135=0,"",ROUND(E135/(1+M135),2))</f>
      </c>
      <c r="I135" s="35">
        <f>IF(L135=0,"",E135-H135)</f>
      </c>
      <c r="J135" s="36">
        <f>IF(R135="","",LEFT(R135,LEN(R135)-2))</f>
      </c>
      <c r="K135" s="1"/>
      <c r="L135" s="1">
        <f>IF(OR(R135&lt;&gt;"",NOT(ISNUMBER(A135))),0,MONTH(A135))</f>
      </c>
      <c r="M135" s="1">
        <f>IF(F135="19 %",0.19,IF(F135="7 %",0.07,0))</f>
      </c>
      <c r="N135" s="1">
        <f>IF(G135="Firma",0,1)</f>
      </c>
      <c r="O135" s="1">
        <f>IF(L135=0,0,N135*E135)</f>
      </c>
      <c r="P135" s="1">
        <f>IF(L135=0,0,N135*ROUND(E135/(1+M135),2))</f>
      </c>
      <c r="Q135" s="1">
        <f>O135-P135</f>
      </c>
      <c r="R135" s="1">
        <f>IF(AND(A135="",E135="",C135="",D135=""),"",IF(NOT(ISNUMBER(A135)),"Datum fehlt; ",IF(YEAR(A135)&lt;&gt;Jahr,"Datum nicht in "&amp;Jahr&amp;"; ",""))&amp;IF(N(E135)=0,"Betrag fehlt; ","")&amp;IF(C135="","Kostenart fehlt; ","")&amp;IF(AND(N(E135)&lt;&gt;0,F135=""),"USt-Satz fehlt; ",""))</f>
      </c>
    </row>
    <row r="136" spans="1:18" x14ac:dyDescent="0.25">
      <c r="A136" s="33"/>
      <c r="B136" s="7"/>
      <c r="C136" s="7"/>
      <c r="D136" s="7"/>
      <c r="E136" s="34"/>
      <c r="F136" s="7"/>
      <c r="G136" s="7"/>
      <c r="H136" s="35">
        <f>IF(L136=0,"",ROUND(E136/(1+M136),2))</f>
      </c>
      <c r="I136" s="35">
        <f>IF(L136=0,"",E136-H136)</f>
      </c>
      <c r="J136" s="36">
        <f>IF(R136="","",LEFT(R136,LEN(R136)-2))</f>
      </c>
      <c r="K136" s="1"/>
      <c r="L136" s="1">
        <f>IF(OR(R136&lt;&gt;"",NOT(ISNUMBER(A136))),0,MONTH(A136))</f>
      </c>
      <c r="M136" s="1">
        <f>IF(F136="19 %",0.19,IF(F136="7 %",0.07,0))</f>
      </c>
      <c r="N136" s="1">
        <f>IF(G136="Firma",0,1)</f>
      </c>
      <c r="O136" s="1">
        <f>IF(L136=0,0,N136*E136)</f>
      </c>
      <c r="P136" s="1">
        <f>IF(L136=0,0,N136*ROUND(E136/(1+M136),2))</f>
      </c>
      <c r="Q136" s="1">
        <f>O136-P136</f>
      </c>
      <c r="R136" s="1">
        <f>IF(AND(A136="",E136="",C136="",D136=""),"",IF(NOT(ISNUMBER(A136)),"Datum fehlt; ",IF(YEAR(A136)&lt;&gt;Jahr,"Datum nicht in "&amp;Jahr&amp;"; ",""))&amp;IF(N(E136)=0,"Betrag fehlt; ","")&amp;IF(C136="","Kostenart fehlt; ","")&amp;IF(AND(N(E136)&lt;&gt;0,F136=""),"USt-Satz fehlt; ",""))</f>
      </c>
    </row>
    <row r="137" spans="1:18" x14ac:dyDescent="0.25">
      <c r="A137" s="33"/>
      <c r="B137" s="7"/>
      <c r="C137" s="7"/>
      <c r="D137" s="7"/>
      <c r="E137" s="34"/>
      <c r="F137" s="7"/>
      <c r="G137" s="7"/>
      <c r="H137" s="35">
        <f>IF(L137=0,"",ROUND(E137/(1+M137),2))</f>
      </c>
      <c r="I137" s="35">
        <f>IF(L137=0,"",E137-H137)</f>
      </c>
      <c r="J137" s="36">
        <f>IF(R137="","",LEFT(R137,LEN(R137)-2))</f>
      </c>
      <c r="K137" s="1"/>
      <c r="L137" s="1">
        <f>IF(OR(R137&lt;&gt;"",NOT(ISNUMBER(A137))),0,MONTH(A137))</f>
      </c>
      <c r="M137" s="1">
        <f>IF(F137="19 %",0.19,IF(F137="7 %",0.07,0))</f>
      </c>
      <c r="N137" s="1">
        <f>IF(G137="Firma",0,1)</f>
      </c>
      <c r="O137" s="1">
        <f>IF(L137=0,0,N137*E137)</f>
      </c>
      <c r="P137" s="1">
        <f>IF(L137=0,0,N137*ROUND(E137/(1+M137),2))</f>
      </c>
      <c r="Q137" s="1">
        <f>O137-P137</f>
      </c>
      <c r="R137" s="1">
        <f>IF(AND(A137="",E137="",C137="",D137=""),"",IF(NOT(ISNUMBER(A137)),"Datum fehlt; ",IF(YEAR(A137)&lt;&gt;Jahr,"Datum nicht in "&amp;Jahr&amp;"; ",""))&amp;IF(N(E137)=0,"Betrag fehlt; ","")&amp;IF(C137="","Kostenart fehlt; ","")&amp;IF(AND(N(E137)&lt;&gt;0,F137=""),"USt-Satz fehlt; ",""))</f>
      </c>
    </row>
    <row r="138" spans="1:18" x14ac:dyDescent="0.25">
      <c r="A138" s="33"/>
      <c r="B138" s="7"/>
      <c r="C138" s="7"/>
      <c r="D138" s="7"/>
      <c r="E138" s="34"/>
      <c r="F138" s="7"/>
      <c r="G138" s="7"/>
      <c r="H138" s="35">
        <f>IF(L138=0,"",ROUND(E138/(1+M138),2))</f>
      </c>
      <c r="I138" s="35">
        <f>IF(L138=0,"",E138-H138)</f>
      </c>
      <c r="J138" s="36">
        <f>IF(R138="","",LEFT(R138,LEN(R138)-2))</f>
      </c>
      <c r="K138" s="1"/>
      <c r="L138" s="1">
        <f>IF(OR(R138&lt;&gt;"",NOT(ISNUMBER(A138))),0,MONTH(A138))</f>
      </c>
      <c r="M138" s="1">
        <f>IF(F138="19 %",0.19,IF(F138="7 %",0.07,0))</f>
      </c>
      <c r="N138" s="1">
        <f>IF(G138="Firma",0,1)</f>
      </c>
      <c r="O138" s="1">
        <f>IF(L138=0,0,N138*E138)</f>
      </c>
      <c r="P138" s="1">
        <f>IF(L138=0,0,N138*ROUND(E138/(1+M138),2))</f>
      </c>
      <c r="Q138" s="1">
        <f>O138-P138</f>
      </c>
      <c r="R138" s="1">
        <f>IF(AND(A138="",E138="",C138="",D138=""),"",IF(NOT(ISNUMBER(A138)),"Datum fehlt; ",IF(YEAR(A138)&lt;&gt;Jahr,"Datum nicht in "&amp;Jahr&amp;"; ",""))&amp;IF(N(E138)=0,"Betrag fehlt; ","")&amp;IF(C138="","Kostenart fehlt; ","")&amp;IF(AND(N(E138)&lt;&gt;0,F138=""),"USt-Satz fehlt; ",""))</f>
      </c>
    </row>
    <row r="139" spans="1:18" x14ac:dyDescent="0.25">
      <c r="A139" s="33"/>
      <c r="B139" s="7"/>
      <c r="C139" s="7"/>
      <c r="D139" s="7"/>
      <c r="E139" s="34"/>
      <c r="F139" s="7"/>
      <c r="G139" s="7"/>
      <c r="H139" s="35">
        <f>IF(L139=0,"",ROUND(E139/(1+M139),2))</f>
      </c>
      <c r="I139" s="35">
        <f>IF(L139=0,"",E139-H139)</f>
      </c>
      <c r="J139" s="36">
        <f>IF(R139="","",LEFT(R139,LEN(R139)-2))</f>
      </c>
      <c r="K139" s="1"/>
      <c r="L139" s="1">
        <f>IF(OR(R139&lt;&gt;"",NOT(ISNUMBER(A139))),0,MONTH(A139))</f>
      </c>
      <c r="M139" s="1">
        <f>IF(F139="19 %",0.19,IF(F139="7 %",0.07,0))</f>
      </c>
      <c r="N139" s="1">
        <f>IF(G139="Firma",0,1)</f>
      </c>
      <c r="O139" s="1">
        <f>IF(L139=0,0,N139*E139)</f>
      </c>
      <c r="P139" s="1">
        <f>IF(L139=0,0,N139*ROUND(E139/(1+M139),2))</f>
      </c>
      <c r="Q139" s="1">
        <f>O139-P139</f>
      </c>
      <c r="R139" s="1">
        <f>IF(AND(A139="",E139="",C139="",D139=""),"",IF(NOT(ISNUMBER(A139)),"Datum fehlt; ",IF(YEAR(A139)&lt;&gt;Jahr,"Datum nicht in "&amp;Jahr&amp;"; ",""))&amp;IF(N(E139)=0,"Betrag fehlt; ","")&amp;IF(C139="","Kostenart fehlt; ","")&amp;IF(AND(N(E139)&lt;&gt;0,F139=""),"USt-Satz fehlt; ",""))</f>
      </c>
    </row>
    <row r="140" spans="1:18" x14ac:dyDescent="0.25">
      <c r="A140" s="33"/>
      <c r="B140" s="7"/>
      <c r="C140" s="7"/>
      <c r="D140" s="7"/>
      <c r="E140" s="34"/>
      <c r="F140" s="7"/>
      <c r="G140" s="7"/>
      <c r="H140" s="35">
        <f>IF(L140=0,"",ROUND(E140/(1+M140),2))</f>
      </c>
      <c r="I140" s="35">
        <f>IF(L140=0,"",E140-H140)</f>
      </c>
      <c r="J140" s="36">
        <f>IF(R140="","",LEFT(R140,LEN(R140)-2))</f>
      </c>
      <c r="K140" s="1"/>
      <c r="L140" s="1">
        <f>IF(OR(R140&lt;&gt;"",NOT(ISNUMBER(A140))),0,MONTH(A140))</f>
      </c>
      <c r="M140" s="1">
        <f>IF(F140="19 %",0.19,IF(F140="7 %",0.07,0))</f>
      </c>
      <c r="N140" s="1">
        <f>IF(G140="Firma",0,1)</f>
      </c>
      <c r="O140" s="1">
        <f>IF(L140=0,0,N140*E140)</f>
      </c>
      <c r="P140" s="1">
        <f>IF(L140=0,0,N140*ROUND(E140/(1+M140),2))</f>
      </c>
      <c r="Q140" s="1">
        <f>O140-P140</f>
      </c>
      <c r="R140" s="1">
        <f>IF(AND(A140="",E140="",C140="",D140=""),"",IF(NOT(ISNUMBER(A140)),"Datum fehlt; ",IF(YEAR(A140)&lt;&gt;Jahr,"Datum nicht in "&amp;Jahr&amp;"; ",""))&amp;IF(N(E140)=0,"Betrag fehlt; ","")&amp;IF(C140="","Kostenart fehlt; ","")&amp;IF(AND(N(E140)&lt;&gt;0,F140=""),"USt-Satz fehlt; ",""))</f>
      </c>
    </row>
    <row r="141" spans="1:18" x14ac:dyDescent="0.25">
      <c r="A141" s="33"/>
      <c r="B141" s="7"/>
      <c r="C141" s="7"/>
      <c r="D141" s="7"/>
      <c r="E141" s="34"/>
      <c r="F141" s="7"/>
      <c r="G141" s="7"/>
      <c r="H141" s="35">
        <f>IF(L141=0,"",ROUND(E141/(1+M141),2))</f>
      </c>
      <c r="I141" s="35">
        <f>IF(L141=0,"",E141-H141)</f>
      </c>
      <c r="J141" s="36">
        <f>IF(R141="","",LEFT(R141,LEN(R141)-2))</f>
      </c>
      <c r="K141" s="1"/>
      <c r="L141" s="1">
        <f>IF(OR(R141&lt;&gt;"",NOT(ISNUMBER(A141))),0,MONTH(A141))</f>
      </c>
      <c r="M141" s="1">
        <f>IF(F141="19 %",0.19,IF(F141="7 %",0.07,0))</f>
      </c>
      <c r="N141" s="1">
        <f>IF(G141="Firma",0,1)</f>
      </c>
      <c r="O141" s="1">
        <f>IF(L141=0,0,N141*E141)</f>
      </c>
      <c r="P141" s="1">
        <f>IF(L141=0,0,N141*ROUND(E141/(1+M141),2))</f>
      </c>
      <c r="Q141" s="1">
        <f>O141-P141</f>
      </c>
      <c r="R141" s="1">
        <f>IF(AND(A141="",E141="",C141="",D141=""),"",IF(NOT(ISNUMBER(A141)),"Datum fehlt; ",IF(YEAR(A141)&lt;&gt;Jahr,"Datum nicht in "&amp;Jahr&amp;"; ",""))&amp;IF(N(E141)=0,"Betrag fehlt; ","")&amp;IF(C141="","Kostenart fehlt; ","")&amp;IF(AND(N(E141)&lt;&gt;0,F141=""),"USt-Satz fehlt; ",""))</f>
      </c>
    </row>
    <row r="142" spans="1:18" x14ac:dyDescent="0.25">
      <c r="A142" s="33"/>
      <c r="B142" s="7"/>
      <c r="C142" s="7"/>
      <c r="D142" s="7"/>
      <c r="E142" s="34"/>
      <c r="F142" s="7"/>
      <c r="G142" s="7"/>
      <c r="H142" s="35">
        <f>IF(L142=0,"",ROUND(E142/(1+M142),2))</f>
      </c>
      <c r="I142" s="35">
        <f>IF(L142=0,"",E142-H142)</f>
      </c>
      <c r="J142" s="36">
        <f>IF(R142="","",LEFT(R142,LEN(R142)-2))</f>
      </c>
      <c r="K142" s="1"/>
      <c r="L142" s="1">
        <f>IF(OR(R142&lt;&gt;"",NOT(ISNUMBER(A142))),0,MONTH(A142))</f>
      </c>
      <c r="M142" s="1">
        <f>IF(F142="19 %",0.19,IF(F142="7 %",0.07,0))</f>
      </c>
      <c r="N142" s="1">
        <f>IF(G142="Firma",0,1)</f>
      </c>
      <c r="O142" s="1">
        <f>IF(L142=0,0,N142*E142)</f>
      </c>
      <c r="P142" s="1">
        <f>IF(L142=0,0,N142*ROUND(E142/(1+M142),2))</f>
      </c>
      <c r="Q142" s="1">
        <f>O142-P142</f>
      </c>
      <c r="R142" s="1">
        <f>IF(AND(A142="",E142="",C142="",D142=""),"",IF(NOT(ISNUMBER(A142)),"Datum fehlt; ",IF(YEAR(A142)&lt;&gt;Jahr,"Datum nicht in "&amp;Jahr&amp;"; ",""))&amp;IF(N(E142)=0,"Betrag fehlt; ","")&amp;IF(C142="","Kostenart fehlt; ","")&amp;IF(AND(N(E142)&lt;&gt;0,F142=""),"USt-Satz fehlt; ",""))</f>
      </c>
    </row>
    <row r="143" spans="1:18" x14ac:dyDescent="0.25">
      <c r="A143" s="33"/>
      <c r="B143" s="7"/>
      <c r="C143" s="7"/>
      <c r="D143" s="7"/>
      <c r="E143" s="34"/>
      <c r="F143" s="7"/>
      <c r="G143" s="7"/>
      <c r="H143" s="35">
        <f>IF(L143=0,"",ROUND(E143/(1+M143),2))</f>
      </c>
      <c r="I143" s="35">
        <f>IF(L143=0,"",E143-H143)</f>
      </c>
      <c r="J143" s="36">
        <f>IF(R143="","",LEFT(R143,LEN(R143)-2))</f>
      </c>
      <c r="K143" s="1"/>
      <c r="L143" s="1">
        <f>IF(OR(R143&lt;&gt;"",NOT(ISNUMBER(A143))),0,MONTH(A143))</f>
      </c>
      <c r="M143" s="1">
        <f>IF(F143="19 %",0.19,IF(F143="7 %",0.07,0))</f>
      </c>
      <c r="N143" s="1">
        <f>IF(G143="Firma",0,1)</f>
      </c>
      <c r="O143" s="1">
        <f>IF(L143=0,0,N143*E143)</f>
      </c>
      <c r="P143" s="1">
        <f>IF(L143=0,0,N143*ROUND(E143/(1+M143),2))</f>
      </c>
      <c r="Q143" s="1">
        <f>O143-P143</f>
      </c>
      <c r="R143" s="1">
        <f>IF(AND(A143="",E143="",C143="",D143=""),"",IF(NOT(ISNUMBER(A143)),"Datum fehlt; ",IF(YEAR(A143)&lt;&gt;Jahr,"Datum nicht in "&amp;Jahr&amp;"; ",""))&amp;IF(N(E143)=0,"Betrag fehlt; ","")&amp;IF(C143="","Kostenart fehlt; ","")&amp;IF(AND(N(E143)&lt;&gt;0,F143=""),"USt-Satz fehlt; ",""))</f>
      </c>
    </row>
    <row r="144" spans="1:18" x14ac:dyDescent="0.25">
      <c r="A144" s="33"/>
      <c r="B144" s="7"/>
      <c r="C144" s="7"/>
      <c r="D144" s="7"/>
      <c r="E144" s="34"/>
      <c r="F144" s="7"/>
      <c r="G144" s="7"/>
      <c r="H144" s="35">
        <f>IF(L144=0,"",ROUND(E144/(1+M144),2))</f>
      </c>
      <c r="I144" s="35">
        <f>IF(L144=0,"",E144-H144)</f>
      </c>
      <c r="J144" s="36">
        <f>IF(R144="","",LEFT(R144,LEN(R144)-2))</f>
      </c>
      <c r="K144" s="1"/>
      <c r="L144" s="1">
        <f>IF(OR(R144&lt;&gt;"",NOT(ISNUMBER(A144))),0,MONTH(A144))</f>
      </c>
      <c r="M144" s="1">
        <f>IF(F144="19 %",0.19,IF(F144="7 %",0.07,0))</f>
      </c>
      <c r="N144" s="1">
        <f>IF(G144="Firma",0,1)</f>
      </c>
      <c r="O144" s="1">
        <f>IF(L144=0,0,N144*E144)</f>
      </c>
      <c r="P144" s="1">
        <f>IF(L144=0,0,N144*ROUND(E144/(1+M144),2))</f>
      </c>
      <c r="Q144" s="1">
        <f>O144-P144</f>
      </c>
      <c r="R144" s="1">
        <f>IF(AND(A144="",E144="",C144="",D144=""),"",IF(NOT(ISNUMBER(A144)),"Datum fehlt; ",IF(YEAR(A144)&lt;&gt;Jahr,"Datum nicht in "&amp;Jahr&amp;"; ",""))&amp;IF(N(E144)=0,"Betrag fehlt; ","")&amp;IF(C144="","Kostenart fehlt; ","")&amp;IF(AND(N(E144)&lt;&gt;0,F144=""),"USt-Satz fehlt; ",""))</f>
      </c>
    </row>
    <row r="145" spans="1:18" x14ac:dyDescent="0.25">
      <c r="A145" s="33"/>
      <c r="B145" s="7"/>
      <c r="C145" s="7"/>
      <c r="D145" s="7"/>
      <c r="E145" s="34"/>
      <c r="F145" s="7"/>
      <c r="G145" s="7"/>
      <c r="H145" s="35">
        <f>IF(L145=0,"",ROUND(E145/(1+M145),2))</f>
      </c>
      <c r="I145" s="35">
        <f>IF(L145=0,"",E145-H145)</f>
      </c>
      <c r="J145" s="36">
        <f>IF(R145="","",LEFT(R145,LEN(R145)-2))</f>
      </c>
      <c r="K145" s="1"/>
      <c r="L145" s="1">
        <f>IF(OR(R145&lt;&gt;"",NOT(ISNUMBER(A145))),0,MONTH(A145))</f>
      </c>
      <c r="M145" s="1">
        <f>IF(F145="19 %",0.19,IF(F145="7 %",0.07,0))</f>
      </c>
      <c r="N145" s="1">
        <f>IF(G145="Firma",0,1)</f>
      </c>
      <c r="O145" s="1">
        <f>IF(L145=0,0,N145*E145)</f>
      </c>
      <c r="P145" s="1">
        <f>IF(L145=0,0,N145*ROUND(E145/(1+M145),2))</f>
      </c>
      <c r="Q145" s="1">
        <f>O145-P145</f>
      </c>
      <c r="R145" s="1">
        <f>IF(AND(A145="",E145="",C145="",D145=""),"",IF(NOT(ISNUMBER(A145)),"Datum fehlt; ",IF(YEAR(A145)&lt;&gt;Jahr,"Datum nicht in "&amp;Jahr&amp;"; ",""))&amp;IF(N(E145)=0,"Betrag fehlt; ","")&amp;IF(C145="","Kostenart fehlt; ","")&amp;IF(AND(N(E145)&lt;&gt;0,F145=""),"USt-Satz fehlt; ",""))</f>
      </c>
    </row>
    <row r="146" spans="1:18" x14ac:dyDescent="0.25">
      <c r="A146" s="33"/>
      <c r="B146" s="7"/>
      <c r="C146" s="7"/>
      <c r="D146" s="7"/>
      <c r="E146" s="34"/>
      <c r="F146" s="7"/>
      <c r="G146" s="7"/>
      <c r="H146" s="35">
        <f>IF(L146=0,"",ROUND(E146/(1+M146),2))</f>
      </c>
      <c r="I146" s="35">
        <f>IF(L146=0,"",E146-H146)</f>
      </c>
      <c r="J146" s="36">
        <f>IF(R146="","",LEFT(R146,LEN(R146)-2))</f>
      </c>
      <c r="K146" s="1"/>
      <c r="L146" s="1">
        <f>IF(OR(R146&lt;&gt;"",NOT(ISNUMBER(A146))),0,MONTH(A146))</f>
      </c>
      <c r="M146" s="1">
        <f>IF(F146="19 %",0.19,IF(F146="7 %",0.07,0))</f>
      </c>
      <c r="N146" s="1">
        <f>IF(G146="Firma",0,1)</f>
      </c>
      <c r="O146" s="1">
        <f>IF(L146=0,0,N146*E146)</f>
      </c>
      <c r="P146" s="1">
        <f>IF(L146=0,0,N146*ROUND(E146/(1+M146),2))</f>
      </c>
      <c r="Q146" s="1">
        <f>O146-P146</f>
      </c>
      <c r="R146" s="1">
        <f>IF(AND(A146="",E146="",C146="",D146=""),"",IF(NOT(ISNUMBER(A146)),"Datum fehlt; ",IF(YEAR(A146)&lt;&gt;Jahr,"Datum nicht in "&amp;Jahr&amp;"; ",""))&amp;IF(N(E146)=0,"Betrag fehlt; ","")&amp;IF(C146="","Kostenart fehlt; ","")&amp;IF(AND(N(E146)&lt;&gt;0,F146=""),"USt-Satz fehlt; ",""))</f>
      </c>
    </row>
    <row r="147" spans="1:18" x14ac:dyDescent="0.25">
      <c r="A147" s="33"/>
      <c r="B147" s="7"/>
      <c r="C147" s="7"/>
      <c r="D147" s="7"/>
      <c r="E147" s="34"/>
      <c r="F147" s="7"/>
      <c r="G147" s="7"/>
      <c r="H147" s="35">
        <f>IF(L147=0,"",ROUND(E147/(1+M147),2))</f>
      </c>
      <c r="I147" s="35">
        <f>IF(L147=0,"",E147-H147)</f>
      </c>
      <c r="J147" s="36">
        <f>IF(R147="","",LEFT(R147,LEN(R147)-2))</f>
      </c>
      <c r="K147" s="1"/>
      <c r="L147" s="1">
        <f>IF(OR(R147&lt;&gt;"",NOT(ISNUMBER(A147))),0,MONTH(A147))</f>
      </c>
      <c r="M147" s="1">
        <f>IF(F147="19 %",0.19,IF(F147="7 %",0.07,0))</f>
      </c>
      <c r="N147" s="1">
        <f>IF(G147="Firma",0,1)</f>
      </c>
      <c r="O147" s="1">
        <f>IF(L147=0,0,N147*E147)</f>
      </c>
      <c r="P147" s="1">
        <f>IF(L147=0,0,N147*ROUND(E147/(1+M147),2))</f>
      </c>
      <c r="Q147" s="1">
        <f>O147-P147</f>
      </c>
      <c r="R147" s="1">
        <f>IF(AND(A147="",E147="",C147="",D147=""),"",IF(NOT(ISNUMBER(A147)),"Datum fehlt; ",IF(YEAR(A147)&lt;&gt;Jahr,"Datum nicht in "&amp;Jahr&amp;"; ",""))&amp;IF(N(E147)=0,"Betrag fehlt; ","")&amp;IF(C147="","Kostenart fehlt; ","")&amp;IF(AND(N(E147)&lt;&gt;0,F147=""),"USt-Satz fehlt; ",""))</f>
      </c>
    </row>
    <row r="148" spans="1:18" x14ac:dyDescent="0.25">
      <c r="A148" s="33"/>
      <c r="B148" s="7"/>
      <c r="C148" s="7"/>
      <c r="D148" s="7"/>
      <c r="E148" s="34"/>
      <c r="F148" s="7"/>
      <c r="G148" s="7"/>
      <c r="H148" s="35">
        <f>IF(L148=0,"",ROUND(E148/(1+M148),2))</f>
      </c>
      <c r="I148" s="35">
        <f>IF(L148=0,"",E148-H148)</f>
      </c>
      <c r="J148" s="36">
        <f>IF(R148="","",LEFT(R148,LEN(R148)-2))</f>
      </c>
      <c r="K148" s="1"/>
      <c r="L148" s="1">
        <f>IF(OR(R148&lt;&gt;"",NOT(ISNUMBER(A148))),0,MONTH(A148))</f>
      </c>
      <c r="M148" s="1">
        <f>IF(F148="19 %",0.19,IF(F148="7 %",0.07,0))</f>
      </c>
      <c r="N148" s="1">
        <f>IF(G148="Firma",0,1)</f>
      </c>
      <c r="O148" s="1">
        <f>IF(L148=0,0,N148*E148)</f>
      </c>
      <c r="P148" s="1">
        <f>IF(L148=0,0,N148*ROUND(E148/(1+M148),2))</f>
      </c>
      <c r="Q148" s="1">
        <f>O148-P148</f>
      </c>
      <c r="R148" s="1">
        <f>IF(AND(A148="",E148="",C148="",D148=""),"",IF(NOT(ISNUMBER(A148)),"Datum fehlt; ",IF(YEAR(A148)&lt;&gt;Jahr,"Datum nicht in "&amp;Jahr&amp;"; ",""))&amp;IF(N(E148)=0,"Betrag fehlt; ","")&amp;IF(C148="","Kostenart fehlt; ","")&amp;IF(AND(N(E148)&lt;&gt;0,F148=""),"USt-Satz fehlt; ",""))</f>
      </c>
    </row>
    <row r="149" spans="1:18" x14ac:dyDescent="0.25">
      <c r="A149" s="33"/>
      <c r="B149" s="7"/>
      <c r="C149" s="7"/>
      <c r="D149" s="7"/>
      <c r="E149" s="34"/>
      <c r="F149" s="7"/>
      <c r="G149" s="7"/>
      <c r="H149" s="35">
        <f>IF(L149=0,"",ROUND(E149/(1+M149),2))</f>
      </c>
      <c r="I149" s="35">
        <f>IF(L149=0,"",E149-H149)</f>
      </c>
      <c r="J149" s="36">
        <f>IF(R149="","",LEFT(R149,LEN(R149)-2))</f>
      </c>
      <c r="K149" s="1"/>
      <c r="L149" s="1">
        <f>IF(OR(R149&lt;&gt;"",NOT(ISNUMBER(A149))),0,MONTH(A149))</f>
      </c>
      <c r="M149" s="1">
        <f>IF(F149="19 %",0.19,IF(F149="7 %",0.07,0))</f>
      </c>
      <c r="N149" s="1">
        <f>IF(G149="Firma",0,1)</f>
      </c>
      <c r="O149" s="1">
        <f>IF(L149=0,0,N149*E149)</f>
      </c>
      <c r="P149" s="1">
        <f>IF(L149=0,0,N149*ROUND(E149/(1+M149),2))</f>
      </c>
      <c r="Q149" s="1">
        <f>O149-P149</f>
      </c>
      <c r="R149" s="1">
        <f>IF(AND(A149="",E149="",C149="",D149=""),"",IF(NOT(ISNUMBER(A149)),"Datum fehlt; ",IF(YEAR(A149)&lt;&gt;Jahr,"Datum nicht in "&amp;Jahr&amp;"; ",""))&amp;IF(N(E149)=0,"Betrag fehlt; ","")&amp;IF(C149="","Kostenart fehlt; ","")&amp;IF(AND(N(E149)&lt;&gt;0,F149=""),"USt-Satz fehlt; ",""))</f>
      </c>
    </row>
    <row r="150" spans="1:18" x14ac:dyDescent="0.25">
      <c r="A150" s="33"/>
      <c r="B150" s="7"/>
      <c r="C150" s="7"/>
      <c r="D150" s="7"/>
      <c r="E150" s="34"/>
      <c r="F150" s="7"/>
      <c r="G150" s="7"/>
      <c r="H150" s="35">
        <f>IF(L150=0,"",ROUND(E150/(1+M150),2))</f>
      </c>
      <c r="I150" s="35">
        <f>IF(L150=0,"",E150-H150)</f>
      </c>
      <c r="J150" s="36">
        <f>IF(R150="","",LEFT(R150,LEN(R150)-2))</f>
      </c>
      <c r="K150" s="1"/>
      <c r="L150" s="1">
        <f>IF(OR(R150&lt;&gt;"",NOT(ISNUMBER(A150))),0,MONTH(A150))</f>
      </c>
      <c r="M150" s="1">
        <f>IF(F150="19 %",0.19,IF(F150="7 %",0.07,0))</f>
      </c>
      <c r="N150" s="1">
        <f>IF(G150="Firma",0,1)</f>
      </c>
      <c r="O150" s="1">
        <f>IF(L150=0,0,N150*E150)</f>
      </c>
      <c r="P150" s="1">
        <f>IF(L150=0,0,N150*ROUND(E150/(1+M150),2))</f>
      </c>
      <c r="Q150" s="1">
        <f>O150-P150</f>
      </c>
      <c r="R150" s="1">
        <f>IF(AND(A150="",E150="",C150="",D150=""),"",IF(NOT(ISNUMBER(A150)),"Datum fehlt; ",IF(YEAR(A150)&lt;&gt;Jahr,"Datum nicht in "&amp;Jahr&amp;"; ",""))&amp;IF(N(E150)=0,"Betrag fehlt; ","")&amp;IF(C150="","Kostenart fehlt; ","")&amp;IF(AND(N(E150)&lt;&gt;0,F150=""),"USt-Satz fehlt; ",""))</f>
      </c>
    </row>
    <row r="151" spans="1:18" x14ac:dyDescent="0.25">
      <c r="A151" s="33"/>
      <c r="B151" s="7"/>
      <c r="C151" s="7"/>
      <c r="D151" s="7"/>
      <c r="E151" s="34"/>
      <c r="F151" s="7"/>
      <c r="G151" s="7"/>
      <c r="H151" s="35">
        <f>IF(L151=0,"",ROUND(E151/(1+M151),2))</f>
      </c>
      <c r="I151" s="35">
        <f>IF(L151=0,"",E151-H151)</f>
      </c>
      <c r="J151" s="36">
        <f>IF(R151="","",LEFT(R151,LEN(R151)-2))</f>
      </c>
      <c r="K151" s="1"/>
      <c r="L151" s="1">
        <f>IF(OR(R151&lt;&gt;"",NOT(ISNUMBER(A151))),0,MONTH(A151))</f>
      </c>
      <c r="M151" s="1">
        <f>IF(F151="19 %",0.19,IF(F151="7 %",0.07,0))</f>
      </c>
      <c r="N151" s="1">
        <f>IF(G151="Firma",0,1)</f>
      </c>
      <c r="O151" s="1">
        <f>IF(L151=0,0,N151*E151)</f>
      </c>
      <c r="P151" s="1">
        <f>IF(L151=0,0,N151*ROUND(E151/(1+M151),2))</f>
      </c>
      <c r="Q151" s="1">
        <f>O151-P151</f>
      </c>
      <c r="R151" s="1">
        <f>IF(AND(A151="",E151="",C151="",D151=""),"",IF(NOT(ISNUMBER(A151)),"Datum fehlt; ",IF(YEAR(A151)&lt;&gt;Jahr,"Datum nicht in "&amp;Jahr&amp;"; ",""))&amp;IF(N(E151)=0,"Betrag fehlt; ","")&amp;IF(C151="","Kostenart fehlt; ","")&amp;IF(AND(N(E151)&lt;&gt;0,F151=""),"USt-Satz fehlt; ",""))</f>
      </c>
    </row>
    <row r="152" spans="1:18" x14ac:dyDescent="0.25">
      <c r="A152" s="33"/>
      <c r="B152" s="7"/>
      <c r="C152" s="7"/>
      <c r="D152" s="7"/>
      <c r="E152" s="34"/>
      <c r="F152" s="7"/>
      <c r="G152" s="7"/>
      <c r="H152" s="35">
        <f>IF(L152=0,"",ROUND(E152/(1+M152),2))</f>
      </c>
      <c r="I152" s="35">
        <f>IF(L152=0,"",E152-H152)</f>
      </c>
      <c r="J152" s="36">
        <f>IF(R152="","",LEFT(R152,LEN(R152)-2))</f>
      </c>
      <c r="K152" s="1"/>
      <c r="L152" s="1">
        <f>IF(OR(R152&lt;&gt;"",NOT(ISNUMBER(A152))),0,MONTH(A152))</f>
      </c>
      <c r="M152" s="1">
        <f>IF(F152="19 %",0.19,IF(F152="7 %",0.07,0))</f>
      </c>
      <c r="N152" s="1">
        <f>IF(G152="Firma",0,1)</f>
      </c>
      <c r="O152" s="1">
        <f>IF(L152=0,0,N152*E152)</f>
      </c>
      <c r="P152" s="1">
        <f>IF(L152=0,0,N152*ROUND(E152/(1+M152),2))</f>
      </c>
      <c r="Q152" s="1">
        <f>O152-P152</f>
      </c>
      <c r="R152" s="1">
        <f>IF(AND(A152="",E152="",C152="",D152=""),"",IF(NOT(ISNUMBER(A152)),"Datum fehlt; ",IF(YEAR(A152)&lt;&gt;Jahr,"Datum nicht in "&amp;Jahr&amp;"; ",""))&amp;IF(N(E152)=0,"Betrag fehlt; ","")&amp;IF(C152="","Kostenart fehlt; ","")&amp;IF(AND(N(E152)&lt;&gt;0,F152=""),"USt-Satz fehlt; ",""))</f>
      </c>
    </row>
    <row r="153" spans="1:18" x14ac:dyDescent="0.25">
      <c r="A153" s="33"/>
      <c r="B153" s="7"/>
      <c r="C153" s="7"/>
      <c r="D153" s="7"/>
      <c r="E153" s="34"/>
      <c r="F153" s="7"/>
      <c r="G153" s="7"/>
      <c r="H153" s="35">
        <f>IF(L153=0,"",ROUND(E153/(1+M153),2))</f>
      </c>
      <c r="I153" s="35">
        <f>IF(L153=0,"",E153-H153)</f>
      </c>
      <c r="J153" s="36">
        <f>IF(R153="","",LEFT(R153,LEN(R153)-2))</f>
      </c>
      <c r="K153" s="1"/>
      <c r="L153" s="1">
        <f>IF(OR(R153&lt;&gt;"",NOT(ISNUMBER(A153))),0,MONTH(A153))</f>
      </c>
      <c r="M153" s="1">
        <f>IF(F153="19 %",0.19,IF(F153="7 %",0.07,0))</f>
      </c>
      <c r="N153" s="1">
        <f>IF(G153="Firma",0,1)</f>
      </c>
      <c r="O153" s="1">
        <f>IF(L153=0,0,N153*E153)</f>
      </c>
      <c r="P153" s="1">
        <f>IF(L153=0,0,N153*ROUND(E153/(1+M153),2))</f>
      </c>
      <c r="Q153" s="1">
        <f>O153-P153</f>
      </c>
      <c r="R153" s="1">
        <f>IF(AND(A153="",E153="",C153="",D153=""),"",IF(NOT(ISNUMBER(A153)),"Datum fehlt; ",IF(YEAR(A153)&lt;&gt;Jahr,"Datum nicht in "&amp;Jahr&amp;"; ",""))&amp;IF(N(E153)=0,"Betrag fehlt; ","")&amp;IF(C153="","Kostenart fehlt; ","")&amp;IF(AND(N(E153)&lt;&gt;0,F153=""),"USt-Satz fehlt; ",""))</f>
      </c>
    </row>
    <row r="154" spans="1:18" x14ac:dyDescent="0.25">
      <c r="A154" s="33"/>
      <c r="B154" s="7"/>
      <c r="C154" s="7"/>
      <c r="D154" s="7"/>
      <c r="E154" s="34"/>
      <c r="F154" s="7"/>
      <c r="G154" s="7"/>
      <c r="H154" s="35">
        <f>IF(L154=0,"",ROUND(E154/(1+M154),2))</f>
      </c>
      <c r="I154" s="35">
        <f>IF(L154=0,"",E154-H154)</f>
      </c>
      <c r="J154" s="36">
        <f>IF(R154="","",LEFT(R154,LEN(R154)-2))</f>
      </c>
      <c r="K154" s="1"/>
      <c r="L154" s="1">
        <f>IF(OR(R154&lt;&gt;"",NOT(ISNUMBER(A154))),0,MONTH(A154))</f>
      </c>
      <c r="M154" s="1">
        <f>IF(F154="19 %",0.19,IF(F154="7 %",0.07,0))</f>
      </c>
      <c r="N154" s="1">
        <f>IF(G154="Firma",0,1)</f>
      </c>
      <c r="O154" s="1">
        <f>IF(L154=0,0,N154*E154)</f>
      </c>
      <c r="P154" s="1">
        <f>IF(L154=0,0,N154*ROUND(E154/(1+M154),2))</f>
      </c>
      <c r="Q154" s="1">
        <f>O154-P154</f>
      </c>
      <c r="R154" s="1">
        <f>IF(AND(A154="",E154="",C154="",D154=""),"",IF(NOT(ISNUMBER(A154)),"Datum fehlt; ",IF(YEAR(A154)&lt;&gt;Jahr,"Datum nicht in "&amp;Jahr&amp;"; ",""))&amp;IF(N(E154)=0,"Betrag fehlt; ","")&amp;IF(C154="","Kostenart fehlt; ","")&amp;IF(AND(N(E154)&lt;&gt;0,F154=""),"USt-Satz fehlt; ",""))</f>
      </c>
    </row>
    <row r="155" spans="1:18" x14ac:dyDescent="0.25">
      <c r="A155" s="33"/>
      <c r="B155" s="7"/>
      <c r="C155" s="7"/>
      <c r="D155" s="7"/>
      <c r="E155" s="34"/>
      <c r="F155" s="7"/>
      <c r="G155" s="7"/>
      <c r="H155" s="35">
        <f>IF(L155=0,"",ROUND(E155/(1+M155),2))</f>
      </c>
      <c r="I155" s="35">
        <f>IF(L155=0,"",E155-H155)</f>
      </c>
      <c r="J155" s="36">
        <f>IF(R155="","",LEFT(R155,LEN(R155)-2))</f>
      </c>
      <c r="K155" s="1"/>
      <c r="L155" s="1">
        <f>IF(OR(R155&lt;&gt;"",NOT(ISNUMBER(A155))),0,MONTH(A155))</f>
      </c>
      <c r="M155" s="1">
        <f>IF(F155="19 %",0.19,IF(F155="7 %",0.07,0))</f>
      </c>
      <c r="N155" s="1">
        <f>IF(G155="Firma",0,1)</f>
      </c>
      <c r="O155" s="1">
        <f>IF(L155=0,0,N155*E155)</f>
      </c>
      <c r="P155" s="1">
        <f>IF(L155=0,0,N155*ROUND(E155/(1+M155),2))</f>
      </c>
      <c r="Q155" s="1">
        <f>O155-P155</f>
      </c>
      <c r="R155" s="1">
        <f>IF(AND(A155="",E155="",C155="",D155=""),"",IF(NOT(ISNUMBER(A155)),"Datum fehlt; ",IF(YEAR(A155)&lt;&gt;Jahr,"Datum nicht in "&amp;Jahr&amp;"; ",""))&amp;IF(N(E155)=0,"Betrag fehlt; ","")&amp;IF(C155="","Kostenart fehlt; ","")&amp;IF(AND(N(E155)&lt;&gt;0,F155=""),"USt-Satz fehlt; ",""))</f>
      </c>
    </row>
    <row r="156" spans="1:18" x14ac:dyDescent="0.25">
      <c r="A156" s="33"/>
      <c r="B156" s="7"/>
      <c r="C156" s="7"/>
      <c r="D156" s="7"/>
      <c r="E156" s="34"/>
      <c r="F156" s="7"/>
      <c r="G156" s="7"/>
      <c r="H156" s="35">
        <f>IF(L156=0,"",ROUND(E156/(1+M156),2))</f>
      </c>
      <c r="I156" s="35">
        <f>IF(L156=0,"",E156-H156)</f>
      </c>
      <c r="J156" s="36">
        <f>IF(R156="","",LEFT(R156,LEN(R156)-2))</f>
      </c>
      <c r="K156" s="1"/>
      <c r="L156" s="1">
        <f>IF(OR(R156&lt;&gt;"",NOT(ISNUMBER(A156))),0,MONTH(A156))</f>
      </c>
      <c r="M156" s="1">
        <f>IF(F156="19 %",0.19,IF(F156="7 %",0.07,0))</f>
      </c>
      <c r="N156" s="1">
        <f>IF(G156="Firma",0,1)</f>
      </c>
      <c r="O156" s="1">
        <f>IF(L156=0,0,N156*E156)</f>
      </c>
      <c r="P156" s="1">
        <f>IF(L156=0,0,N156*ROUND(E156/(1+M156),2))</f>
      </c>
      <c r="Q156" s="1">
        <f>O156-P156</f>
      </c>
      <c r="R156" s="1">
        <f>IF(AND(A156="",E156="",C156="",D156=""),"",IF(NOT(ISNUMBER(A156)),"Datum fehlt; ",IF(YEAR(A156)&lt;&gt;Jahr,"Datum nicht in "&amp;Jahr&amp;"; ",""))&amp;IF(N(E156)=0,"Betrag fehlt; ","")&amp;IF(C156="","Kostenart fehlt; ","")&amp;IF(AND(N(E156)&lt;&gt;0,F156=""),"USt-Satz fehlt; ",""))</f>
      </c>
    </row>
    <row r="157" spans="1:18" x14ac:dyDescent="0.25">
      <c r="A157" s="33"/>
      <c r="B157" s="7"/>
      <c r="C157" s="7"/>
      <c r="D157" s="7"/>
      <c r="E157" s="34"/>
      <c r="F157" s="7"/>
      <c r="G157" s="7"/>
      <c r="H157" s="35">
        <f>IF(L157=0,"",ROUND(E157/(1+M157),2))</f>
      </c>
      <c r="I157" s="35">
        <f>IF(L157=0,"",E157-H157)</f>
      </c>
      <c r="J157" s="36">
        <f>IF(R157="","",LEFT(R157,LEN(R157)-2))</f>
      </c>
      <c r="K157" s="1"/>
      <c r="L157" s="1">
        <f>IF(OR(R157&lt;&gt;"",NOT(ISNUMBER(A157))),0,MONTH(A157))</f>
      </c>
      <c r="M157" s="1">
        <f>IF(F157="19 %",0.19,IF(F157="7 %",0.07,0))</f>
      </c>
      <c r="N157" s="1">
        <f>IF(G157="Firma",0,1)</f>
      </c>
      <c r="O157" s="1">
        <f>IF(L157=0,0,N157*E157)</f>
      </c>
      <c r="P157" s="1">
        <f>IF(L157=0,0,N157*ROUND(E157/(1+M157),2))</f>
      </c>
      <c r="Q157" s="1">
        <f>O157-P157</f>
      </c>
      <c r="R157" s="1">
        <f>IF(AND(A157="",E157="",C157="",D157=""),"",IF(NOT(ISNUMBER(A157)),"Datum fehlt; ",IF(YEAR(A157)&lt;&gt;Jahr,"Datum nicht in "&amp;Jahr&amp;"; ",""))&amp;IF(N(E157)=0,"Betrag fehlt; ","")&amp;IF(C157="","Kostenart fehlt; ","")&amp;IF(AND(N(E157)&lt;&gt;0,F157=""),"USt-Satz fehlt; ",""))</f>
      </c>
    </row>
    <row r="158" spans="1:18" x14ac:dyDescent="0.25">
      <c r="A158" s="33"/>
      <c r="B158" s="7"/>
      <c r="C158" s="7"/>
      <c r="D158" s="7"/>
      <c r="E158" s="34"/>
      <c r="F158" s="7"/>
      <c r="G158" s="7"/>
      <c r="H158" s="35">
        <f>IF(L158=0,"",ROUND(E158/(1+M158),2))</f>
      </c>
      <c r="I158" s="35">
        <f>IF(L158=0,"",E158-H158)</f>
      </c>
      <c r="J158" s="36">
        <f>IF(R158="","",LEFT(R158,LEN(R158)-2))</f>
      </c>
      <c r="K158" s="1"/>
      <c r="L158" s="1">
        <f>IF(OR(R158&lt;&gt;"",NOT(ISNUMBER(A158))),0,MONTH(A158))</f>
      </c>
      <c r="M158" s="1">
        <f>IF(F158="19 %",0.19,IF(F158="7 %",0.07,0))</f>
      </c>
      <c r="N158" s="1">
        <f>IF(G158="Firma",0,1)</f>
      </c>
      <c r="O158" s="1">
        <f>IF(L158=0,0,N158*E158)</f>
      </c>
      <c r="P158" s="1">
        <f>IF(L158=0,0,N158*ROUND(E158/(1+M158),2))</f>
      </c>
      <c r="Q158" s="1">
        <f>O158-P158</f>
      </c>
      <c r="R158" s="1">
        <f>IF(AND(A158="",E158="",C158="",D158=""),"",IF(NOT(ISNUMBER(A158)),"Datum fehlt; ",IF(YEAR(A158)&lt;&gt;Jahr,"Datum nicht in "&amp;Jahr&amp;"; ",""))&amp;IF(N(E158)=0,"Betrag fehlt; ","")&amp;IF(C158="","Kostenart fehlt; ","")&amp;IF(AND(N(E158)&lt;&gt;0,F158=""),"USt-Satz fehlt; ",""))</f>
      </c>
    </row>
    <row r="159" spans="1:18" x14ac:dyDescent="0.25">
      <c r="A159" s="33"/>
      <c r="B159" s="7"/>
      <c r="C159" s="7"/>
      <c r="D159" s="7"/>
      <c r="E159" s="34"/>
      <c r="F159" s="7"/>
      <c r="G159" s="7"/>
      <c r="H159" s="35">
        <f>IF(L159=0,"",ROUND(E159/(1+M159),2))</f>
      </c>
      <c r="I159" s="35">
        <f>IF(L159=0,"",E159-H159)</f>
      </c>
      <c r="J159" s="36">
        <f>IF(R159="","",LEFT(R159,LEN(R159)-2))</f>
      </c>
      <c r="K159" s="1"/>
      <c r="L159" s="1">
        <f>IF(OR(R159&lt;&gt;"",NOT(ISNUMBER(A159))),0,MONTH(A159))</f>
      </c>
      <c r="M159" s="1">
        <f>IF(F159="19 %",0.19,IF(F159="7 %",0.07,0))</f>
      </c>
      <c r="N159" s="1">
        <f>IF(G159="Firma",0,1)</f>
      </c>
      <c r="O159" s="1">
        <f>IF(L159=0,0,N159*E159)</f>
      </c>
      <c r="P159" s="1">
        <f>IF(L159=0,0,N159*ROUND(E159/(1+M159),2))</f>
      </c>
      <c r="Q159" s="1">
        <f>O159-P159</f>
      </c>
      <c r="R159" s="1">
        <f>IF(AND(A159="",E159="",C159="",D159=""),"",IF(NOT(ISNUMBER(A159)),"Datum fehlt; ",IF(YEAR(A159)&lt;&gt;Jahr,"Datum nicht in "&amp;Jahr&amp;"; ",""))&amp;IF(N(E159)=0,"Betrag fehlt; ","")&amp;IF(C159="","Kostenart fehlt; ","")&amp;IF(AND(N(E159)&lt;&gt;0,F159=""),"USt-Satz fehlt; ",""))</f>
      </c>
    </row>
    <row r="160" spans="1:18" x14ac:dyDescent="0.25">
      <c r="A160" s="33"/>
      <c r="B160" s="7"/>
      <c r="C160" s="7"/>
      <c r="D160" s="7"/>
      <c r="E160" s="34"/>
      <c r="F160" s="7"/>
      <c r="G160" s="7"/>
      <c r="H160" s="35">
        <f>IF(L160=0,"",ROUND(E160/(1+M160),2))</f>
      </c>
      <c r="I160" s="35">
        <f>IF(L160=0,"",E160-H160)</f>
      </c>
      <c r="J160" s="36">
        <f>IF(R160="","",LEFT(R160,LEN(R160)-2))</f>
      </c>
      <c r="K160" s="1"/>
      <c r="L160" s="1">
        <f>IF(OR(R160&lt;&gt;"",NOT(ISNUMBER(A160))),0,MONTH(A160))</f>
      </c>
      <c r="M160" s="1">
        <f>IF(F160="19 %",0.19,IF(F160="7 %",0.07,0))</f>
      </c>
      <c r="N160" s="1">
        <f>IF(G160="Firma",0,1)</f>
      </c>
      <c r="O160" s="1">
        <f>IF(L160=0,0,N160*E160)</f>
      </c>
      <c r="P160" s="1">
        <f>IF(L160=0,0,N160*ROUND(E160/(1+M160),2))</f>
      </c>
      <c r="Q160" s="1">
        <f>O160-P160</f>
      </c>
      <c r="R160" s="1">
        <f>IF(AND(A160="",E160="",C160="",D160=""),"",IF(NOT(ISNUMBER(A160)),"Datum fehlt; ",IF(YEAR(A160)&lt;&gt;Jahr,"Datum nicht in "&amp;Jahr&amp;"; ",""))&amp;IF(N(E160)=0,"Betrag fehlt; ","")&amp;IF(C160="","Kostenart fehlt; ","")&amp;IF(AND(N(E160)&lt;&gt;0,F160=""),"USt-Satz fehlt; ",""))</f>
      </c>
    </row>
    <row r="161" spans="1:18" x14ac:dyDescent="0.25">
      <c r="A161" s="33"/>
      <c r="B161" s="7"/>
      <c r="C161" s="7"/>
      <c r="D161" s="7"/>
      <c r="E161" s="34"/>
      <c r="F161" s="7"/>
      <c r="G161" s="7"/>
      <c r="H161" s="35">
        <f>IF(L161=0,"",ROUND(E161/(1+M161),2))</f>
      </c>
      <c r="I161" s="35">
        <f>IF(L161=0,"",E161-H161)</f>
      </c>
      <c r="J161" s="36">
        <f>IF(R161="","",LEFT(R161,LEN(R161)-2))</f>
      </c>
      <c r="K161" s="1"/>
      <c r="L161" s="1">
        <f>IF(OR(R161&lt;&gt;"",NOT(ISNUMBER(A161))),0,MONTH(A161))</f>
      </c>
      <c r="M161" s="1">
        <f>IF(F161="19 %",0.19,IF(F161="7 %",0.07,0))</f>
      </c>
      <c r="N161" s="1">
        <f>IF(G161="Firma",0,1)</f>
      </c>
      <c r="O161" s="1">
        <f>IF(L161=0,0,N161*E161)</f>
      </c>
      <c r="P161" s="1">
        <f>IF(L161=0,0,N161*ROUND(E161/(1+M161),2))</f>
      </c>
      <c r="Q161" s="1">
        <f>O161-P161</f>
      </c>
      <c r="R161" s="1">
        <f>IF(AND(A161="",E161="",C161="",D161=""),"",IF(NOT(ISNUMBER(A161)),"Datum fehlt; ",IF(YEAR(A161)&lt;&gt;Jahr,"Datum nicht in "&amp;Jahr&amp;"; ",""))&amp;IF(N(E161)=0,"Betrag fehlt; ","")&amp;IF(C161="","Kostenart fehlt; ","")&amp;IF(AND(N(E161)&lt;&gt;0,F161=""),"USt-Satz fehlt; ",""))</f>
      </c>
    </row>
    <row r="162" spans="1:18" x14ac:dyDescent="0.25">
      <c r="A162" s="33"/>
      <c r="B162" s="7"/>
      <c r="C162" s="7"/>
      <c r="D162" s="7"/>
      <c r="E162" s="34"/>
      <c r="F162" s="7"/>
      <c r="G162" s="7"/>
      <c r="H162" s="35">
        <f>IF(L162=0,"",ROUND(E162/(1+M162),2))</f>
      </c>
      <c r="I162" s="35">
        <f>IF(L162=0,"",E162-H162)</f>
      </c>
      <c r="J162" s="36">
        <f>IF(R162="","",LEFT(R162,LEN(R162)-2))</f>
      </c>
      <c r="K162" s="1"/>
      <c r="L162" s="1">
        <f>IF(OR(R162&lt;&gt;"",NOT(ISNUMBER(A162))),0,MONTH(A162))</f>
      </c>
      <c r="M162" s="1">
        <f>IF(F162="19 %",0.19,IF(F162="7 %",0.07,0))</f>
      </c>
      <c r="N162" s="1">
        <f>IF(G162="Firma",0,1)</f>
      </c>
      <c r="O162" s="1">
        <f>IF(L162=0,0,N162*E162)</f>
      </c>
      <c r="P162" s="1">
        <f>IF(L162=0,0,N162*ROUND(E162/(1+M162),2))</f>
      </c>
      <c r="Q162" s="1">
        <f>O162-P162</f>
      </c>
      <c r="R162" s="1">
        <f>IF(AND(A162="",E162="",C162="",D162=""),"",IF(NOT(ISNUMBER(A162)),"Datum fehlt; ",IF(YEAR(A162)&lt;&gt;Jahr,"Datum nicht in "&amp;Jahr&amp;"; ",""))&amp;IF(N(E162)=0,"Betrag fehlt; ","")&amp;IF(C162="","Kostenart fehlt; ","")&amp;IF(AND(N(E162)&lt;&gt;0,F162=""),"USt-Satz fehlt; ",""))</f>
      </c>
    </row>
    <row r="163" spans="1:18" x14ac:dyDescent="0.25">
      <c r="A163" s="33"/>
      <c r="B163" s="7"/>
      <c r="C163" s="7"/>
      <c r="D163" s="7"/>
      <c r="E163" s="34"/>
      <c r="F163" s="7"/>
      <c r="G163" s="7"/>
      <c r="H163" s="35">
        <f>IF(L163=0,"",ROUND(E163/(1+M163),2))</f>
      </c>
      <c r="I163" s="35">
        <f>IF(L163=0,"",E163-H163)</f>
      </c>
      <c r="J163" s="36">
        <f>IF(R163="","",LEFT(R163,LEN(R163)-2))</f>
      </c>
      <c r="K163" s="1"/>
      <c r="L163" s="1">
        <f>IF(OR(R163&lt;&gt;"",NOT(ISNUMBER(A163))),0,MONTH(A163))</f>
      </c>
      <c r="M163" s="1">
        <f>IF(F163="19 %",0.19,IF(F163="7 %",0.07,0))</f>
      </c>
      <c r="N163" s="1">
        <f>IF(G163="Firma",0,1)</f>
      </c>
      <c r="O163" s="1">
        <f>IF(L163=0,0,N163*E163)</f>
      </c>
      <c r="P163" s="1">
        <f>IF(L163=0,0,N163*ROUND(E163/(1+M163),2))</f>
      </c>
      <c r="Q163" s="1">
        <f>O163-P163</f>
      </c>
      <c r="R163" s="1">
        <f>IF(AND(A163="",E163="",C163="",D163=""),"",IF(NOT(ISNUMBER(A163)),"Datum fehlt; ",IF(YEAR(A163)&lt;&gt;Jahr,"Datum nicht in "&amp;Jahr&amp;"; ",""))&amp;IF(N(E163)=0,"Betrag fehlt; ","")&amp;IF(C163="","Kostenart fehlt; ","")&amp;IF(AND(N(E163)&lt;&gt;0,F163=""),"USt-Satz fehlt; ",""))</f>
      </c>
    </row>
    <row r="164" spans="1:18" x14ac:dyDescent="0.25">
      <c r="A164" s="33"/>
      <c r="B164" s="7"/>
      <c r="C164" s="7"/>
      <c r="D164" s="7"/>
      <c r="E164" s="34"/>
      <c r="F164" s="7"/>
      <c r="G164" s="7"/>
      <c r="H164" s="35">
        <f>IF(L164=0,"",ROUND(E164/(1+M164),2))</f>
      </c>
      <c r="I164" s="35">
        <f>IF(L164=0,"",E164-H164)</f>
      </c>
      <c r="J164" s="36">
        <f>IF(R164="","",LEFT(R164,LEN(R164)-2))</f>
      </c>
      <c r="K164" s="1"/>
      <c r="L164" s="1">
        <f>IF(OR(R164&lt;&gt;"",NOT(ISNUMBER(A164))),0,MONTH(A164))</f>
      </c>
      <c r="M164" s="1">
        <f>IF(F164="19 %",0.19,IF(F164="7 %",0.07,0))</f>
      </c>
      <c r="N164" s="1">
        <f>IF(G164="Firma",0,1)</f>
      </c>
      <c r="O164" s="1">
        <f>IF(L164=0,0,N164*E164)</f>
      </c>
      <c r="P164" s="1">
        <f>IF(L164=0,0,N164*ROUND(E164/(1+M164),2))</f>
      </c>
      <c r="Q164" s="1">
        <f>O164-P164</f>
      </c>
      <c r="R164" s="1">
        <f>IF(AND(A164="",E164="",C164="",D164=""),"",IF(NOT(ISNUMBER(A164)),"Datum fehlt; ",IF(YEAR(A164)&lt;&gt;Jahr,"Datum nicht in "&amp;Jahr&amp;"; ",""))&amp;IF(N(E164)=0,"Betrag fehlt; ","")&amp;IF(C164="","Kostenart fehlt; ","")&amp;IF(AND(N(E164)&lt;&gt;0,F164=""),"USt-Satz fehlt; ",""))</f>
      </c>
    </row>
    <row r="165" spans="1:18" x14ac:dyDescent="0.25">
      <c r="A165" s="33"/>
      <c r="B165" s="7"/>
      <c r="C165" s="7"/>
      <c r="D165" s="7"/>
      <c r="E165" s="34"/>
      <c r="F165" s="7"/>
      <c r="G165" s="7"/>
      <c r="H165" s="35">
        <f>IF(L165=0,"",ROUND(E165/(1+M165),2))</f>
      </c>
      <c r="I165" s="35">
        <f>IF(L165=0,"",E165-H165)</f>
      </c>
      <c r="J165" s="36">
        <f>IF(R165="","",LEFT(R165,LEN(R165)-2))</f>
      </c>
      <c r="K165" s="1"/>
      <c r="L165" s="1">
        <f>IF(OR(R165&lt;&gt;"",NOT(ISNUMBER(A165))),0,MONTH(A165))</f>
      </c>
      <c r="M165" s="1">
        <f>IF(F165="19 %",0.19,IF(F165="7 %",0.07,0))</f>
      </c>
      <c r="N165" s="1">
        <f>IF(G165="Firma",0,1)</f>
      </c>
      <c r="O165" s="1">
        <f>IF(L165=0,0,N165*E165)</f>
      </c>
      <c r="P165" s="1">
        <f>IF(L165=0,0,N165*ROUND(E165/(1+M165),2))</f>
      </c>
      <c r="Q165" s="1">
        <f>O165-P165</f>
      </c>
      <c r="R165" s="1">
        <f>IF(AND(A165="",E165="",C165="",D165=""),"",IF(NOT(ISNUMBER(A165)),"Datum fehlt; ",IF(YEAR(A165)&lt;&gt;Jahr,"Datum nicht in "&amp;Jahr&amp;"; ",""))&amp;IF(N(E165)=0,"Betrag fehlt; ","")&amp;IF(C165="","Kostenart fehlt; ","")&amp;IF(AND(N(E165)&lt;&gt;0,F165=""),"USt-Satz fehlt; ",""))</f>
      </c>
    </row>
    <row r="166" spans="1:18" x14ac:dyDescent="0.25">
      <c r="A166" s="33"/>
      <c r="B166" s="7"/>
      <c r="C166" s="7"/>
      <c r="D166" s="7"/>
      <c r="E166" s="34"/>
      <c r="F166" s="7"/>
      <c r="G166" s="7"/>
      <c r="H166" s="35">
        <f>IF(L166=0,"",ROUND(E166/(1+M166),2))</f>
      </c>
      <c r="I166" s="35">
        <f>IF(L166=0,"",E166-H166)</f>
      </c>
      <c r="J166" s="36">
        <f>IF(R166="","",LEFT(R166,LEN(R166)-2))</f>
      </c>
      <c r="K166" s="1"/>
      <c r="L166" s="1">
        <f>IF(OR(R166&lt;&gt;"",NOT(ISNUMBER(A166))),0,MONTH(A166))</f>
      </c>
      <c r="M166" s="1">
        <f>IF(F166="19 %",0.19,IF(F166="7 %",0.07,0))</f>
      </c>
      <c r="N166" s="1">
        <f>IF(G166="Firma",0,1)</f>
      </c>
      <c r="O166" s="1">
        <f>IF(L166=0,0,N166*E166)</f>
      </c>
      <c r="P166" s="1">
        <f>IF(L166=0,0,N166*ROUND(E166/(1+M166),2))</f>
      </c>
      <c r="Q166" s="1">
        <f>O166-P166</f>
      </c>
      <c r="R166" s="1">
        <f>IF(AND(A166="",E166="",C166="",D166=""),"",IF(NOT(ISNUMBER(A166)),"Datum fehlt; ",IF(YEAR(A166)&lt;&gt;Jahr,"Datum nicht in "&amp;Jahr&amp;"; ",""))&amp;IF(N(E166)=0,"Betrag fehlt; ","")&amp;IF(C166="","Kostenart fehlt; ","")&amp;IF(AND(N(E166)&lt;&gt;0,F166=""),"USt-Satz fehlt; ",""))</f>
      </c>
    </row>
    <row r="167" spans="1:18" x14ac:dyDescent="0.25">
      <c r="A167" s="33"/>
      <c r="B167" s="7"/>
      <c r="C167" s="7"/>
      <c r="D167" s="7"/>
      <c r="E167" s="34"/>
      <c r="F167" s="7"/>
      <c r="G167" s="7"/>
      <c r="H167" s="35">
        <f>IF(L167=0,"",ROUND(E167/(1+M167),2))</f>
      </c>
      <c r="I167" s="35">
        <f>IF(L167=0,"",E167-H167)</f>
      </c>
      <c r="J167" s="36">
        <f>IF(R167="","",LEFT(R167,LEN(R167)-2))</f>
      </c>
      <c r="K167" s="1"/>
      <c r="L167" s="1">
        <f>IF(OR(R167&lt;&gt;"",NOT(ISNUMBER(A167))),0,MONTH(A167))</f>
      </c>
      <c r="M167" s="1">
        <f>IF(F167="19 %",0.19,IF(F167="7 %",0.07,0))</f>
      </c>
      <c r="N167" s="1">
        <f>IF(G167="Firma",0,1)</f>
      </c>
      <c r="O167" s="1">
        <f>IF(L167=0,0,N167*E167)</f>
      </c>
      <c r="P167" s="1">
        <f>IF(L167=0,0,N167*ROUND(E167/(1+M167),2))</f>
      </c>
      <c r="Q167" s="1">
        <f>O167-P167</f>
      </c>
      <c r="R167" s="1">
        <f>IF(AND(A167="",E167="",C167="",D167=""),"",IF(NOT(ISNUMBER(A167)),"Datum fehlt; ",IF(YEAR(A167)&lt;&gt;Jahr,"Datum nicht in "&amp;Jahr&amp;"; ",""))&amp;IF(N(E167)=0,"Betrag fehlt; ","")&amp;IF(C167="","Kostenart fehlt; ","")&amp;IF(AND(N(E167)&lt;&gt;0,F167=""),"USt-Satz fehlt; ",""))</f>
      </c>
    </row>
    <row r="168" spans="1:18" x14ac:dyDescent="0.25">
      <c r="A168" s="33"/>
      <c r="B168" s="7"/>
      <c r="C168" s="7"/>
      <c r="D168" s="7"/>
      <c r="E168" s="34"/>
      <c r="F168" s="7"/>
      <c r="G168" s="7"/>
      <c r="H168" s="35">
        <f>IF(L168=0,"",ROUND(E168/(1+M168),2))</f>
      </c>
      <c r="I168" s="35">
        <f>IF(L168=0,"",E168-H168)</f>
      </c>
      <c r="J168" s="36">
        <f>IF(R168="","",LEFT(R168,LEN(R168)-2))</f>
      </c>
      <c r="K168" s="1"/>
      <c r="L168" s="1">
        <f>IF(OR(R168&lt;&gt;"",NOT(ISNUMBER(A168))),0,MONTH(A168))</f>
      </c>
      <c r="M168" s="1">
        <f>IF(F168="19 %",0.19,IF(F168="7 %",0.07,0))</f>
      </c>
      <c r="N168" s="1">
        <f>IF(G168="Firma",0,1)</f>
      </c>
      <c r="O168" s="1">
        <f>IF(L168=0,0,N168*E168)</f>
      </c>
      <c r="P168" s="1">
        <f>IF(L168=0,0,N168*ROUND(E168/(1+M168),2))</f>
      </c>
      <c r="Q168" s="1">
        <f>O168-P168</f>
      </c>
      <c r="R168" s="1">
        <f>IF(AND(A168="",E168="",C168="",D168=""),"",IF(NOT(ISNUMBER(A168)),"Datum fehlt; ",IF(YEAR(A168)&lt;&gt;Jahr,"Datum nicht in "&amp;Jahr&amp;"; ",""))&amp;IF(N(E168)=0,"Betrag fehlt; ","")&amp;IF(C168="","Kostenart fehlt; ","")&amp;IF(AND(N(E168)&lt;&gt;0,F168=""),"USt-Satz fehlt; ",""))</f>
      </c>
    </row>
    <row r="169" spans="1:18" x14ac:dyDescent="0.25">
      <c r="A169" s="33"/>
      <c r="B169" s="7"/>
      <c r="C169" s="7"/>
      <c r="D169" s="7"/>
      <c r="E169" s="34"/>
      <c r="F169" s="7"/>
      <c r="G169" s="7"/>
      <c r="H169" s="35">
        <f>IF(L169=0,"",ROUND(E169/(1+M169),2))</f>
      </c>
      <c r="I169" s="35">
        <f>IF(L169=0,"",E169-H169)</f>
      </c>
      <c r="J169" s="36">
        <f>IF(R169="","",LEFT(R169,LEN(R169)-2))</f>
      </c>
      <c r="K169" s="1"/>
      <c r="L169" s="1">
        <f>IF(OR(R169&lt;&gt;"",NOT(ISNUMBER(A169))),0,MONTH(A169))</f>
      </c>
      <c r="M169" s="1">
        <f>IF(F169="19 %",0.19,IF(F169="7 %",0.07,0))</f>
      </c>
      <c r="N169" s="1">
        <f>IF(G169="Firma",0,1)</f>
      </c>
      <c r="O169" s="1">
        <f>IF(L169=0,0,N169*E169)</f>
      </c>
      <c r="P169" s="1">
        <f>IF(L169=0,0,N169*ROUND(E169/(1+M169),2))</f>
      </c>
      <c r="Q169" s="1">
        <f>O169-P169</f>
      </c>
      <c r="R169" s="1">
        <f>IF(AND(A169="",E169="",C169="",D169=""),"",IF(NOT(ISNUMBER(A169)),"Datum fehlt; ",IF(YEAR(A169)&lt;&gt;Jahr,"Datum nicht in "&amp;Jahr&amp;"; ",""))&amp;IF(N(E169)=0,"Betrag fehlt; ","")&amp;IF(C169="","Kostenart fehlt; ","")&amp;IF(AND(N(E169)&lt;&gt;0,F169=""),"USt-Satz fehlt; ",""))</f>
      </c>
    </row>
    <row r="170" spans="1:18" x14ac:dyDescent="0.25">
      <c r="A170" s="33"/>
      <c r="B170" s="7"/>
      <c r="C170" s="7"/>
      <c r="D170" s="7"/>
      <c r="E170" s="34"/>
      <c r="F170" s="7"/>
      <c r="G170" s="7"/>
      <c r="H170" s="35">
        <f>IF(L170=0,"",ROUND(E170/(1+M170),2))</f>
      </c>
      <c r="I170" s="35">
        <f>IF(L170=0,"",E170-H170)</f>
      </c>
      <c r="J170" s="36">
        <f>IF(R170="","",LEFT(R170,LEN(R170)-2))</f>
      </c>
      <c r="K170" s="1"/>
      <c r="L170" s="1">
        <f>IF(OR(R170&lt;&gt;"",NOT(ISNUMBER(A170))),0,MONTH(A170))</f>
      </c>
      <c r="M170" s="1">
        <f>IF(F170="19 %",0.19,IF(F170="7 %",0.07,0))</f>
      </c>
      <c r="N170" s="1">
        <f>IF(G170="Firma",0,1)</f>
      </c>
      <c r="O170" s="1">
        <f>IF(L170=0,0,N170*E170)</f>
      </c>
      <c r="P170" s="1">
        <f>IF(L170=0,0,N170*ROUND(E170/(1+M170),2))</f>
      </c>
      <c r="Q170" s="1">
        <f>O170-P170</f>
      </c>
      <c r="R170" s="1">
        <f>IF(AND(A170="",E170="",C170="",D170=""),"",IF(NOT(ISNUMBER(A170)),"Datum fehlt; ",IF(YEAR(A170)&lt;&gt;Jahr,"Datum nicht in "&amp;Jahr&amp;"; ",""))&amp;IF(N(E170)=0,"Betrag fehlt; ","")&amp;IF(C170="","Kostenart fehlt; ","")&amp;IF(AND(N(E170)&lt;&gt;0,F170=""),"USt-Satz fehlt; ",""))</f>
      </c>
    </row>
    <row r="171" spans="1:18" x14ac:dyDescent="0.25">
      <c r="A171" s="33"/>
      <c r="B171" s="7"/>
      <c r="C171" s="7"/>
      <c r="D171" s="7"/>
      <c r="E171" s="34"/>
      <c r="F171" s="7"/>
      <c r="G171" s="7"/>
      <c r="H171" s="35">
        <f>IF(L171=0,"",ROUND(E171/(1+M171),2))</f>
      </c>
      <c r="I171" s="35">
        <f>IF(L171=0,"",E171-H171)</f>
      </c>
      <c r="J171" s="36">
        <f>IF(R171="","",LEFT(R171,LEN(R171)-2))</f>
      </c>
      <c r="K171" s="1"/>
      <c r="L171" s="1">
        <f>IF(OR(R171&lt;&gt;"",NOT(ISNUMBER(A171))),0,MONTH(A171))</f>
      </c>
      <c r="M171" s="1">
        <f>IF(F171="19 %",0.19,IF(F171="7 %",0.07,0))</f>
      </c>
      <c r="N171" s="1">
        <f>IF(G171="Firma",0,1)</f>
      </c>
      <c r="O171" s="1">
        <f>IF(L171=0,0,N171*E171)</f>
      </c>
      <c r="P171" s="1">
        <f>IF(L171=0,0,N171*ROUND(E171/(1+M171),2))</f>
      </c>
      <c r="Q171" s="1">
        <f>O171-P171</f>
      </c>
      <c r="R171" s="1">
        <f>IF(AND(A171="",E171="",C171="",D171=""),"",IF(NOT(ISNUMBER(A171)),"Datum fehlt; ",IF(YEAR(A171)&lt;&gt;Jahr,"Datum nicht in "&amp;Jahr&amp;"; ",""))&amp;IF(N(E171)=0,"Betrag fehlt; ","")&amp;IF(C171="","Kostenart fehlt; ","")&amp;IF(AND(N(E171)&lt;&gt;0,F171=""),"USt-Satz fehlt; ",""))</f>
      </c>
    </row>
    <row r="172" spans="1:18" x14ac:dyDescent="0.25">
      <c r="A172" s="33"/>
      <c r="B172" s="7"/>
      <c r="C172" s="7"/>
      <c r="D172" s="7"/>
      <c r="E172" s="34"/>
      <c r="F172" s="7"/>
      <c r="G172" s="7"/>
      <c r="H172" s="35">
        <f>IF(L172=0,"",ROUND(E172/(1+M172),2))</f>
      </c>
      <c r="I172" s="35">
        <f>IF(L172=0,"",E172-H172)</f>
      </c>
      <c r="J172" s="36">
        <f>IF(R172="","",LEFT(R172,LEN(R172)-2))</f>
      </c>
      <c r="K172" s="1"/>
      <c r="L172" s="1">
        <f>IF(OR(R172&lt;&gt;"",NOT(ISNUMBER(A172))),0,MONTH(A172))</f>
      </c>
      <c r="M172" s="1">
        <f>IF(F172="19 %",0.19,IF(F172="7 %",0.07,0))</f>
      </c>
      <c r="N172" s="1">
        <f>IF(G172="Firma",0,1)</f>
      </c>
      <c r="O172" s="1">
        <f>IF(L172=0,0,N172*E172)</f>
      </c>
      <c r="P172" s="1">
        <f>IF(L172=0,0,N172*ROUND(E172/(1+M172),2))</f>
      </c>
      <c r="Q172" s="1">
        <f>O172-P172</f>
      </c>
      <c r="R172" s="1">
        <f>IF(AND(A172="",E172="",C172="",D172=""),"",IF(NOT(ISNUMBER(A172)),"Datum fehlt; ",IF(YEAR(A172)&lt;&gt;Jahr,"Datum nicht in "&amp;Jahr&amp;"; ",""))&amp;IF(N(E172)=0,"Betrag fehlt; ","")&amp;IF(C172="","Kostenart fehlt; ","")&amp;IF(AND(N(E172)&lt;&gt;0,F172=""),"USt-Satz fehlt; ",""))</f>
      </c>
    </row>
    <row r="173" spans="1:18" x14ac:dyDescent="0.25">
      <c r="A173" s="33"/>
      <c r="B173" s="7"/>
      <c r="C173" s="7"/>
      <c r="D173" s="7"/>
      <c r="E173" s="34"/>
      <c r="F173" s="7"/>
      <c r="G173" s="7"/>
      <c r="H173" s="35">
        <f>IF(L173=0,"",ROUND(E173/(1+M173),2))</f>
      </c>
      <c r="I173" s="35">
        <f>IF(L173=0,"",E173-H173)</f>
      </c>
      <c r="J173" s="36">
        <f>IF(R173="","",LEFT(R173,LEN(R173)-2))</f>
      </c>
      <c r="K173" s="1"/>
      <c r="L173" s="1">
        <f>IF(OR(R173&lt;&gt;"",NOT(ISNUMBER(A173))),0,MONTH(A173))</f>
      </c>
      <c r="M173" s="1">
        <f>IF(F173="19 %",0.19,IF(F173="7 %",0.07,0))</f>
      </c>
      <c r="N173" s="1">
        <f>IF(G173="Firma",0,1)</f>
      </c>
      <c r="O173" s="1">
        <f>IF(L173=0,0,N173*E173)</f>
      </c>
      <c r="P173" s="1">
        <f>IF(L173=0,0,N173*ROUND(E173/(1+M173),2))</f>
      </c>
      <c r="Q173" s="1">
        <f>O173-P173</f>
      </c>
      <c r="R173" s="1">
        <f>IF(AND(A173="",E173="",C173="",D173=""),"",IF(NOT(ISNUMBER(A173)),"Datum fehlt; ",IF(YEAR(A173)&lt;&gt;Jahr,"Datum nicht in "&amp;Jahr&amp;"; ",""))&amp;IF(N(E173)=0,"Betrag fehlt; ","")&amp;IF(C173="","Kostenart fehlt; ","")&amp;IF(AND(N(E173)&lt;&gt;0,F173=""),"USt-Satz fehlt; ",""))</f>
      </c>
    </row>
    <row r="174" spans="1:18" x14ac:dyDescent="0.25">
      <c r="A174" s="33"/>
      <c r="B174" s="7"/>
      <c r="C174" s="7"/>
      <c r="D174" s="7"/>
      <c r="E174" s="34"/>
      <c r="F174" s="7"/>
      <c r="G174" s="7"/>
      <c r="H174" s="35">
        <f>IF(L174=0,"",ROUND(E174/(1+M174),2))</f>
      </c>
      <c r="I174" s="35">
        <f>IF(L174=0,"",E174-H174)</f>
      </c>
      <c r="J174" s="36">
        <f>IF(R174="","",LEFT(R174,LEN(R174)-2))</f>
      </c>
      <c r="K174" s="1"/>
      <c r="L174" s="1">
        <f>IF(OR(R174&lt;&gt;"",NOT(ISNUMBER(A174))),0,MONTH(A174))</f>
      </c>
      <c r="M174" s="1">
        <f>IF(F174="19 %",0.19,IF(F174="7 %",0.07,0))</f>
      </c>
      <c r="N174" s="1">
        <f>IF(G174="Firma",0,1)</f>
      </c>
      <c r="O174" s="1">
        <f>IF(L174=0,0,N174*E174)</f>
      </c>
      <c r="P174" s="1">
        <f>IF(L174=0,0,N174*ROUND(E174/(1+M174),2))</f>
      </c>
      <c r="Q174" s="1">
        <f>O174-P174</f>
      </c>
      <c r="R174" s="1">
        <f>IF(AND(A174="",E174="",C174="",D174=""),"",IF(NOT(ISNUMBER(A174)),"Datum fehlt; ",IF(YEAR(A174)&lt;&gt;Jahr,"Datum nicht in "&amp;Jahr&amp;"; ",""))&amp;IF(N(E174)=0,"Betrag fehlt; ","")&amp;IF(C174="","Kostenart fehlt; ","")&amp;IF(AND(N(E174)&lt;&gt;0,F174=""),"USt-Satz fehlt; ",""))</f>
      </c>
    </row>
    <row r="175" spans="1:18" x14ac:dyDescent="0.25">
      <c r="A175" s="33"/>
      <c r="B175" s="7"/>
      <c r="C175" s="7"/>
      <c r="D175" s="7"/>
      <c r="E175" s="34"/>
      <c r="F175" s="7"/>
      <c r="G175" s="7"/>
      <c r="H175" s="35">
        <f>IF(L175=0,"",ROUND(E175/(1+M175),2))</f>
      </c>
      <c r="I175" s="35">
        <f>IF(L175=0,"",E175-H175)</f>
      </c>
      <c r="J175" s="36">
        <f>IF(R175="","",LEFT(R175,LEN(R175)-2))</f>
      </c>
      <c r="K175" s="1"/>
      <c r="L175" s="1">
        <f>IF(OR(R175&lt;&gt;"",NOT(ISNUMBER(A175))),0,MONTH(A175))</f>
      </c>
      <c r="M175" s="1">
        <f>IF(F175="19 %",0.19,IF(F175="7 %",0.07,0))</f>
      </c>
      <c r="N175" s="1">
        <f>IF(G175="Firma",0,1)</f>
      </c>
      <c r="O175" s="1">
        <f>IF(L175=0,0,N175*E175)</f>
      </c>
      <c r="P175" s="1">
        <f>IF(L175=0,0,N175*ROUND(E175/(1+M175),2))</f>
      </c>
      <c r="Q175" s="1">
        <f>O175-P175</f>
      </c>
      <c r="R175" s="1">
        <f>IF(AND(A175="",E175="",C175="",D175=""),"",IF(NOT(ISNUMBER(A175)),"Datum fehlt; ",IF(YEAR(A175)&lt;&gt;Jahr,"Datum nicht in "&amp;Jahr&amp;"; ",""))&amp;IF(N(E175)=0,"Betrag fehlt; ","")&amp;IF(C175="","Kostenart fehlt; ","")&amp;IF(AND(N(E175)&lt;&gt;0,F175=""),"USt-Satz fehlt; ",""))</f>
      </c>
    </row>
    <row r="176" spans="1:18" x14ac:dyDescent="0.25">
      <c r="A176" s="33"/>
      <c r="B176" s="7"/>
      <c r="C176" s="7"/>
      <c r="D176" s="7"/>
      <c r="E176" s="34"/>
      <c r="F176" s="7"/>
      <c r="G176" s="7"/>
      <c r="H176" s="35">
        <f>IF(L176=0,"",ROUND(E176/(1+M176),2))</f>
      </c>
      <c r="I176" s="35">
        <f>IF(L176=0,"",E176-H176)</f>
      </c>
      <c r="J176" s="36">
        <f>IF(R176="","",LEFT(R176,LEN(R176)-2))</f>
      </c>
      <c r="K176" s="1"/>
      <c r="L176" s="1">
        <f>IF(OR(R176&lt;&gt;"",NOT(ISNUMBER(A176))),0,MONTH(A176))</f>
      </c>
      <c r="M176" s="1">
        <f>IF(F176="19 %",0.19,IF(F176="7 %",0.07,0))</f>
      </c>
      <c r="N176" s="1">
        <f>IF(G176="Firma",0,1)</f>
      </c>
      <c r="O176" s="1">
        <f>IF(L176=0,0,N176*E176)</f>
      </c>
      <c r="P176" s="1">
        <f>IF(L176=0,0,N176*ROUND(E176/(1+M176),2))</f>
      </c>
      <c r="Q176" s="1">
        <f>O176-P176</f>
      </c>
      <c r="R176" s="1">
        <f>IF(AND(A176="",E176="",C176="",D176=""),"",IF(NOT(ISNUMBER(A176)),"Datum fehlt; ",IF(YEAR(A176)&lt;&gt;Jahr,"Datum nicht in "&amp;Jahr&amp;"; ",""))&amp;IF(N(E176)=0,"Betrag fehlt; ","")&amp;IF(C176="","Kostenart fehlt; ","")&amp;IF(AND(N(E176)&lt;&gt;0,F176=""),"USt-Satz fehlt; ",""))</f>
      </c>
    </row>
    <row r="177" spans="1:18" x14ac:dyDescent="0.25">
      <c r="A177" s="33"/>
      <c r="B177" s="7"/>
      <c r="C177" s="7"/>
      <c r="D177" s="7"/>
      <c r="E177" s="34"/>
      <c r="F177" s="7"/>
      <c r="G177" s="7"/>
      <c r="H177" s="35">
        <f>IF(L177=0,"",ROUND(E177/(1+M177),2))</f>
      </c>
      <c r="I177" s="35">
        <f>IF(L177=0,"",E177-H177)</f>
      </c>
      <c r="J177" s="36">
        <f>IF(R177="","",LEFT(R177,LEN(R177)-2))</f>
      </c>
      <c r="K177" s="1"/>
      <c r="L177" s="1">
        <f>IF(OR(R177&lt;&gt;"",NOT(ISNUMBER(A177))),0,MONTH(A177))</f>
      </c>
      <c r="M177" s="1">
        <f>IF(F177="19 %",0.19,IF(F177="7 %",0.07,0))</f>
      </c>
      <c r="N177" s="1">
        <f>IF(G177="Firma",0,1)</f>
      </c>
      <c r="O177" s="1">
        <f>IF(L177=0,0,N177*E177)</f>
      </c>
      <c r="P177" s="1">
        <f>IF(L177=0,0,N177*ROUND(E177/(1+M177),2))</f>
      </c>
      <c r="Q177" s="1">
        <f>O177-P177</f>
      </c>
      <c r="R177" s="1">
        <f>IF(AND(A177="",E177="",C177="",D177=""),"",IF(NOT(ISNUMBER(A177)),"Datum fehlt; ",IF(YEAR(A177)&lt;&gt;Jahr,"Datum nicht in "&amp;Jahr&amp;"; ",""))&amp;IF(N(E177)=0,"Betrag fehlt; ","")&amp;IF(C177="","Kostenart fehlt; ","")&amp;IF(AND(N(E177)&lt;&gt;0,F177=""),"USt-Satz fehlt; ",""))</f>
      </c>
    </row>
    <row r="178" spans="1:18" x14ac:dyDescent="0.25">
      <c r="A178" s="33"/>
      <c r="B178" s="7"/>
      <c r="C178" s="7"/>
      <c r="D178" s="7"/>
      <c r="E178" s="34"/>
      <c r="F178" s="7"/>
      <c r="G178" s="7"/>
      <c r="H178" s="35">
        <f>IF(L178=0,"",ROUND(E178/(1+M178),2))</f>
      </c>
      <c r="I178" s="35">
        <f>IF(L178=0,"",E178-H178)</f>
      </c>
      <c r="J178" s="36">
        <f>IF(R178="","",LEFT(R178,LEN(R178)-2))</f>
      </c>
      <c r="K178" s="1"/>
      <c r="L178" s="1">
        <f>IF(OR(R178&lt;&gt;"",NOT(ISNUMBER(A178))),0,MONTH(A178))</f>
      </c>
      <c r="M178" s="1">
        <f>IF(F178="19 %",0.19,IF(F178="7 %",0.07,0))</f>
      </c>
      <c r="N178" s="1">
        <f>IF(G178="Firma",0,1)</f>
      </c>
      <c r="O178" s="1">
        <f>IF(L178=0,0,N178*E178)</f>
      </c>
      <c r="P178" s="1">
        <f>IF(L178=0,0,N178*ROUND(E178/(1+M178),2))</f>
      </c>
      <c r="Q178" s="1">
        <f>O178-P178</f>
      </c>
      <c r="R178" s="1">
        <f>IF(AND(A178="",E178="",C178="",D178=""),"",IF(NOT(ISNUMBER(A178)),"Datum fehlt; ",IF(YEAR(A178)&lt;&gt;Jahr,"Datum nicht in "&amp;Jahr&amp;"; ",""))&amp;IF(N(E178)=0,"Betrag fehlt; ","")&amp;IF(C178="","Kostenart fehlt; ","")&amp;IF(AND(N(E178)&lt;&gt;0,F178=""),"USt-Satz fehlt; ",""))</f>
      </c>
    </row>
    <row r="179" spans="1:18" x14ac:dyDescent="0.25">
      <c r="A179" s="33"/>
      <c r="B179" s="7"/>
      <c r="C179" s="7"/>
      <c r="D179" s="7"/>
      <c r="E179" s="34"/>
      <c r="F179" s="7"/>
      <c r="G179" s="7"/>
      <c r="H179" s="35">
        <f>IF(L179=0,"",ROUND(E179/(1+M179),2))</f>
      </c>
      <c r="I179" s="35">
        <f>IF(L179=0,"",E179-H179)</f>
      </c>
      <c r="J179" s="36">
        <f>IF(R179="","",LEFT(R179,LEN(R179)-2))</f>
      </c>
      <c r="K179" s="1"/>
      <c r="L179" s="1">
        <f>IF(OR(R179&lt;&gt;"",NOT(ISNUMBER(A179))),0,MONTH(A179))</f>
      </c>
      <c r="M179" s="1">
        <f>IF(F179="19 %",0.19,IF(F179="7 %",0.07,0))</f>
      </c>
      <c r="N179" s="1">
        <f>IF(G179="Firma",0,1)</f>
      </c>
      <c r="O179" s="1">
        <f>IF(L179=0,0,N179*E179)</f>
      </c>
      <c r="P179" s="1">
        <f>IF(L179=0,0,N179*ROUND(E179/(1+M179),2))</f>
      </c>
      <c r="Q179" s="1">
        <f>O179-P179</f>
      </c>
      <c r="R179" s="1">
        <f>IF(AND(A179="",E179="",C179="",D179=""),"",IF(NOT(ISNUMBER(A179)),"Datum fehlt; ",IF(YEAR(A179)&lt;&gt;Jahr,"Datum nicht in "&amp;Jahr&amp;"; ",""))&amp;IF(N(E179)=0,"Betrag fehlt; ","")&amp;IF(C179="","Kostenart fehlt; ","")&amp;IF(AND(N(E179)&lt;&gt;0,F179=""),"USt-Satz fehlt; ",""))</f>
      </c>
    </row>
    <row r="180" spans="1:18" x14ac:dyDescent="0.25">
      <c r="A180" s="33"/>
      <c r="B180" s="7"/>
      <c r="C180" s="7"/>
      <c r="D180" s="7"/>
      <c r="E180" s="34"/>
      <c r="F180" s="7"/>
      <c r="G180" s="7"/>
      <c r="H180" s="35">
        <f>IF(L180=0,"",ROUND(E180/(1+M180),2))</f>
      </c>
      <c r="I180" s="35">
        <f>IF(L180=0,"",E180-H180)</f>
      </c>
      <c r="J180" s="36">
        <f>IF(R180="","",LEFT(R180,LEN(R180)-2))</f>
      </c>
      <c r="K180" s="1"/>
      <c r="L180" s="1">
        <f>IF(OR(R180&lt;&gt;"",NOT(ISNUMBER(A180))),0,MONTH(A180))</f>
      </c>
      <c r="M180" s="1">
        <f>IF(F180="19 %",0.19,IF(F180="7 %",0.07,0))</f>
      </c>
      <c r="N180" s="1">
        <f>IF(G180="Firma",0,1)</f>
      </c>
      <c r="O180" s="1">
        <f>IF(L180=0,0,N180*E180)</f>
      </c>
      <c r="P180" s="1">
        <f>IF(L180=0,0,N180*ROUND(E180/(1+M180),2))</f>
      </c>
      <c r="Q180" s="1">
        <f>O180-P180</f>
      </c>
      <c r="R180" s="1">
        <f>IF(AND(A180="",E180="",C180="",D180=""),"",IF(NOT(ISNUMBER(A180)),"Datum fehlt; ",IF(YEAR(A180)&lt;&gt;Jahr,"Datum nicht in "&amp;Jahr&amp;"; ",""))&amp;IF(N(E180)=0,"Betrag fehlt; ","")&amp;IF(C180="","Kostenart fehlt; ","")&amp;IF(AND(N(E180)&lt;&gt;0,F180=""),"USt-Satz fehlt; ",""))</f>
      </c>
    </row>
    <row r="181" spans="1:18" x14ac:dyDescent="0.25">
      <c r="A181" s="33"/>
      <c r="B181" s="7"/>
      <c r="C181" s="7"/>
      <c r="D181" s="7"/>
      <c r="E181" s="34"/>
      <c r="F181" s="7"/>
      <c r="G181" s="7"/>
      <c r="H181" s="35">
        <f>IF(L181=0,"",ROUND(E181/(1+M181),2))</f>
      </c>
      <c r="I181" s="35">
        <f>IF(L181=0,"",E181-H181)</f>
      </c>
      <c r="J181" s="36">
        <f>IF(R181="","",LEFT(R181,LEN(R181)-2))</f>
      </c>
      <c r="K181" s="1"/>
      <c r="L181" s="1">
        <f>IF(OR(R181&lt;&gt;"",NOT(ISNUMBER(A181))),0,MONTH(A181))</f>
      </c>
      <c r="M181" s="1">
        <f>IF(F181="19 %",0.19,IF(F181="7 %",0.07,0))</f>
      </c>
      <c r="N181" s="1">
        <f>IF(G181="Firma",0,1)</f>
      </c>
      <c r="O181" s="1">
        <f>IF(L181=0,0,N181*E181)</f>
      </c>
      <c r="P181" s="1">
        <f>IF(L181=0,0,N181*ROUND(E181/(1+M181),2))</f>
      </c>
      <c r="Q181" s="1">
        <f>O181-P181</f>
      </c>
      <c r="R181" s="1">
        <f>IF(AND(A181="",E181="",C181="",D181=""),"",IF(NOT(ISNUMBER(A181)),"Datum fehlt; ",IF(YEAR(A181)&lt;&gt;Jahr,"Datum nicht in "&amp;Jahr&amp;"; ",""))&amp;IF(N(E181)=0,"Betrag fehlt; ","")&amp;IF(C181="","Kostenart fehlt; ","")&amp;IF(AND(N(E181)&lt;&gt;0,F181=""),"USt-Satz fehlt; ",""))</f>
      </c>
    </row>
    <row r="182" spans="1:18" x14ac:dyDescent="0.25">
      <c r="A182" s="33"/>
      <c r="B182" s="7"/>
      <c r="C182" s="7"/>
      <c r="D182" s="7"/>
      <c r="E182" s="34"/>
      <c r="F182" s="7"/>
      <c r="G182" s="7"/>
      <c r="H182" s="35">
        <f>IF(L182=0,"",ROUND(E182/(1+M182),2))</f>
      </c>
      <c r="I182" s="35">
        <f>IF(L182=0,"",E182-H182)</f>
      </c>
      <c r="J182" s="36">
        <f>IF(R182="","",LEFT(R182,LEN(R182)-2))</f>
      </c>
      <c r="K182" s="1"/>
      <c r="L182" s="1">
        <f>IF(OR(R182&lt;&gt;"",NOT(ISNUMBER(A182))),0,MONTH(A182))</f>
      </c>
      <c r="M182" s="1">
        <f>IF(F182="19 %",0.19,IF(F182="7 %",0.07,0))</f>
      </c>
      <c r="N182" s="1">
        <f>IF(G182="Firma",0,1)</f>
      </c>
      <c r="O182" s="1">
        <f>IF(L182=0,0,N182*E182)</f>
      </c>
      <c r="P182" s="1">
        <f>IF(L182=0,0,N182*ROUND(E182/(1+M182),2))</f>
      </c>
      <c r="Q182" s="1">
        <f>O182-P182</f>
      </c>
      <c r="R182" s="1">
        <f>IF(AND(A182="",E182="",C182="",D182=""),"",IF(NOT(ISNUMBER(A182)),"Datum fehlt; ",IF(YEAR(A182)&lt;&gt;Jahr,"Datum nicht in "&amp;Jahr&amp;"; ",""))&amp;IF(N(E182)=0,"Betrag fehlt; ","")&amp;IF(C182="","Kostenart fehlt; ","")&amp;IF(AND(N(E182)&lt;&gt;0,F182=""),"USt-Satz fehlt; ",""))</f>
      </c>
    </row>
    <row r="183" spans="1:18" x14ac:dyDescent="0.25">
      <c r="A183" s="33"/>
      <c r="B183" s="7"/>
      <c r="C183" s="7"/>
      <c r="D183" s="7"/>
      <c r="E183" s="34"/>
      <c r="F183" s="7"/>
      <c r="G183" s="7"/>
      <c r="H183" s="35">
        <f>IF(L183=0,"",ROUND(E183/(1+M183),2))</f>
      </c>
      <c r="I183" s="35">
        <f>IF(L183=0,"",E183-H183)</f>
      </c>
      <c r="J183" s="36">
        <f>IF(R183="","",LEFT(R183,LEN(R183)-2))</f>
      </c>
      <c r="K183" s="1"/>
      <c r="L183" s="1">
        <f>IF(OR(R183&lt;&gt;"",NOT(ISNUMBER(A183))),0,MONTH(A183))</f>
      </c>
      <c r="M183" s="1">
        <f>IF(F183="19 %",0.19,IF(F183="7 %",0.07,0))</f>
      </c>
      <c r="N183" s="1">
        <f>IF(G183="Firma",0,1)</f>
      </c>
      <c r="O183" s="1">
        <f>IF(L183=0,0,N183*E183)</f>
      </c>
      <c r="P183" s="1">
        <f>IF(L183=0,0,N183*ROUND(E183/(1+M183),2))</f>
      </c>
      <c r="Q183" s="1">
        <f>O183-P183</f>
      </c>
      <c r="R183" s="1">
        <f>IF(AND(A183="",E183="",C183="",D183=""),"",IF(NOT(ISNUMBER(A183)),"Datum fehlt; ",IF(YEAR(A183)&lt;&gt;Jahr,"Datum nicht in "&amp;Jahr&amp;"; ",""))&amp;IF(N(E183)=0,"Betrag fehlt; ","")&amp;IF(C183="","Kostenart fehlt; ","")&amp;IF(AND(N(E183)&lt;&gt;0,F183=""),"USt-Satz fehlt; ",""))</f>
      </c>
    </row>
    <row r="184" spans="1:18" x14ac:dyDescent="0.25">
      <c r="A184" s="33"/>
      <c r="B184" s="7"/>
      <c r="C184" s="7"/>
      <c r="D184" s="7"/>
      <c r="E184" s="34"/>
      <c r="F184" s="7"/>
      <c r="G184" s="7"/>
      <c r="H184" s="35">
        <f>IF(L184=0,"",ROUND(E184/(1+M184),2))</f>
      </c>
      <c r="I184" s="35">
        <f>IF(L184=0,"",E184-H184)</f>
      </c>
      <c r="J184" s="36">
        <f>IF(R184="","",LEFT(R184,LEN(R184)-2))</f>
      </c>
      <c r="K184" s="1"/>
      <c r="L184" s="1">
        <f>IF(OR(R184&lt;&gt;"",NOT(ISNUMBER(A184))),0,MONTH(A184))</f>
      </c>
      <c r="M184" s="1">
        <f>IF(F184="19 %",0.19,IF(F184="7 %",0.07,0))</f>
      </c>
      <c r="N184" s="1">
        <f>IF(G184="Firma",0,1)</f>
      </c>
      <c r="O184" s="1">
        <f>IF(L184=0,0,N184*E184)</f>
      </c>
      <c r="P184" s="1">
        <f>IF(L184=0,0,N184*ROUND(E184/(1+M184),2))</f>
      </c>
      <c r="Q184" s="1">
        <f>O184-P184</f>
      </c>
      <c r="R184" s="1">
        <f>IF(AND(A184="",E184="",C184="",D184=""),"",IF(NOT(ISNUMBER(A184)),"Datum fehlt; ",IF(YEAR(A184)&lt;&gt;Jahr,"Datum nicht in "&amp;Jahr&amp;"; ",""))&amp;IF(N(E184)=0,"Betrag fehlt; ","")&amp;IF(C184="","Kostenart fehlt; ","")&amp;IF(AND(N(E184)&lt;&gt;0,F184=""),"USt-Satz fehlt; ",""))</f>
      </c>
    </row>
    <row r="185" spans="1:18" x14ac:dyDescent="0.25">
      <c r="A185" s="33"/>
      <c r="B185" s="7"/>
      <c r="C185" s="7"/>
      <c r="D185" s="7"/>
      <c r="E185" s="34"/>
      <c r="F185" s="7"/>
      <c r="G185" s="7"/>
      <c r="H185" s="35">
        <f>IF(L185=0,"",ROUND(E185/(1+M185),2))</f>
      </c>
      <c r="I185" s="35">
        <f>IF(L185=0,"",E185-H185)</f>
      </c>
      <c r="J185" s="36">
        <f>IF(R185="","",LEFT(R185,LEN(R185)-2))</f>
      </c>
      <c r="K185" s="1"/>
      <c r="L185" s="1">
        <f>IF(OR(R185&lt;&gt;"",NOT(ISNUMBER(A185))),0,MONTH(A185))</f>
      </c>
      <c r="M185" s="1">
        <f>IF(F185="19 %",0.19,IF(F185="7 %",0.07,0))</f>
      </c>
      <c r="N185" s="1">
        <f>IF(G185="Firma",0,1)</f>
      </c>
      <c r="O185" s="1">
        <f>IF(L185=0,0,N185*E185)</f>
      </c>
      <c r="P185" s="1">
        <f>IF(L185=0,0,N185*ROUND(E185/(1+M185),2))</f>
      </c>
      <c r="Q185" s="1">
        <f>O185-P185</f>
      </c>
      <c r="R185" s="1">
        <f>IF(AND(A185="",E185="",C185="",D185=""),"",IF(NOT(ISNUMBER(A185)),"Datum fehlt; ",IF(YEAR(A185)&lt;&gt;Jahr,"Datum nicht in "&amp;Jahr&amp;"; ",""))&amp;IF(N(E185)=0,"Betrag fehlt; ","")&amp;IF(C185="","Kostenart fehlt; ","")&amp;IF(AND(N(E185)&lt;&gt;0,F185=""),"USt-Satz fehlt; ",""))</f>
      </c>
    </row>
    <row r="186" spans="1:18" x14ac:dyDescent="0.25">
      <c r="A186" s="33"/>
      <c r="B186" s="7"/>
      <c r="C186" s="7"/>
      <c r="D186" s="7"/>
      <c r="E186" s="34"/>
      <c r="F186" s="7"/>
      <c r="G186" s="7"/>
      <c r="H186" s="35">
        <f>IF(L186=0,"",ROUND(E186/(1+M186),2))</f>
      </c>
      <c r="I186" s="35">
        <f>IF(L186=0,"",E186-H186)</f>
      </c>
      <c r="J186" s="36">
        <f>IF(R186="","",LEFT(R186,LEN(R186)-2))</f>
      </c>
      <c r="K186" s="1"/>
      <c r="L186" s="1">
        <f>IF(OR(R186&lt;&gt;"",NOT(ISNUMBER(A186))),0,MONTH(A186))</f>
      </c>
      <c r="M186" s="1">
        <f>IF(F186="19 %",0.19,IF(F186="7 %",0.07,0))</f>
      </c>
      <c r="N186" s="1">
        <f>IF(G186="Firma",0,1)</f>
      </c>
      <c r="O186" s="1">
        <f>IF(L186=0,0,N186*E186)</f>
      </c>
      <c r="P186" s="1">
        <f>IF(L186=0,0,N186*ROUND(E186/(1+M186),2))</f>
      </c>
      <c r="Q186" s="1">
        <f>O186-P186</f>
      </c>
      <c r="R186" s="1">
        <f>IF(AND(A186="",E186="",C186="",D186=""),"",IF(NOT(ISNUMBER(A186)),"Datum fehlt; ",IF(YEAR(A186)&lt;&gt;Jahr,"Datum nicht in "&amp;Jahr&amp;"; ",""))&amp;IF(N(E186)=0,"Betrag fehlt; ","")&amp;IF(C186="","Kostenart fehlt; ","")&amp;IF(AND(N(E186)&lt;&gt;0,F186=""),"USt-Satz fehlt; ",""))</f>
      </c>
    </row>
    <row r="187" spans="1:18" x14ac:dyDescent="0.25">
      <c r="A187" s="33"/>
      <c r="B187" s="7"/>
      <c r="C187" s="7"/>
      <c r="D187" s="7"/>
      <c r="E187" s="34"/>
      <c r="F187" s="7"/>
      <c r="G187" s="7"/>
      <c r="H187" s="35">
        <f>IF(L187=0,"",ROUND(E187/(1+M187),2))</f>
      </c>
      <c r="I187" s="35">
        <f>IF(L187=0,"",E187-H187)</f>
      </c>
      <c r="J187" s="36">
        <f>IF(R187="","",LEFT(R187,LEN(R187)-2))</f>
      </c>
      <c r="K187" s="1"/>
      <c r="L187" s="1">
        <f>IF(OR(R187&lt;&gt;"",NOT(ISNUMBER(A187))),0,MONTH(A187))</f>
      </c>
      <c r="M187" s="1">
        <f>IF(F187="19 %",0.19,IF(F187="7 %",0.07,0))</f>
      </c>
      <c r="N187" s="1">
        <f>IF(G187="Firma",0,1)</f>
      </c>
      <c r="O187" s="1">
        <f>IF(L187=0,0,N187*E187)</f>
      </c>
      <c r="P187" s="1">
        <f>IF(L187=0,0,N187*ROUND(E187/(1+M187),2))</f>
      </c>
      <c r="Q187" s="1">
        <f>O187-P187</f>
      </c>
      <c r="R187" s="1">
        <f>IF(AND(A187="",E187="",C187="",D187=""),"",IF(NOT(ISNUMBER(A187)),"Datum fehlt; ",IF(YEAR(A187)&lt;&gt;Jahr,"Datum nicht in "&amp;Jahr&amp;"; ",""))&amp;IF(N(E187)=0,"Betrag fehlt; ","")&amp;IF(C187="","Kostenart fehlt; ","")&amp;IF(AND(N(E187)&lt;&gt;0,F187=""),"USt-Satz fehlt; ",""))</f>
      </c>
    </row>
    <row r="188" spans="1:18" x14ac:dyDescent="0.25">
      <c r="A188" s="33"/>
      <c r="B188" s="7"/>
      <c r="C188" s="7"/>
      <c r="D188" s="7"/>
      <c r="E188" s="34"/>
      <c r="F188" s="7"/>
      <c r="G188" s="7"/>
      <c r="H188" s="35">
        <f>IF(L188=0,"",ROUND(E188/(1+M188),2))</f>
      </c>
      <c r="I188" s="35">
        <f>IF(L188=0,"",E188-H188)</f>
      </c>
      <c r="J188" s="36">
        <f>IF(R188="","",LEFT(R188,LEN(R188)-2))</f>
      </c>
      <c r="K188" s="1"/>
      <c r="L188" s="1">
        <f>IF(OR(R188&lt;&gt;"",NOT(ISNUMBER(A188))),0,MONTH(A188))</f>
      </c>
      <c r="M188" s="1">
        <f>IF(F188="19 %",0.19,IF(F188="7 %",0.07,0))</f>
      </c>
      <c r="N188" s="1">
        <f>IF(G188="Firma",0,1)</f>
      </c>
      <c r="O188" s="1">
        <f>IF(L188=0,0,N188*E188)</f>
      </c>
      <c r="P188" s="1">
        <f>IF(L188=0,0,N188*ROUND(E188/(1+M188),2))</f>
      </c>
      <c r="Q188" s="1">
        <f>O188-P188</f>
      </c>
      <c r="R188" s="1">
        <f>IF(AND(A188="",E188="",C188="",D188=""),"",IF(NOT(ISNUMBER(A188)),"Datum fehlt; ",IF(YEAR(A188)&lt;&gt;Jahr,"Datum nicht in "&amp;Jahr&amp;"; ",""))&amp;IF(N(E188)=0,"Betrag fehlt; ","")&amp;IF(C188="","Kostenart fehlt; ","")&amp;IF(AND(N(E188)&lt;&gt;0,F188=""),"USt-Satz fehlt; ",""))</f>
      </c>
    </row>
    <row r="189" spans="1:18" x14ac:dyDescent="0.25">
      <c r="A189" s="33"/>
      <c r="B189" s="7"/>
      <c r="C189" s="7"/>
      <c r="D189" s="7"/>
      <c r="E189" s="34"/>
      <c r="F189" s="7"/>
      <c r="G189" s="7"/>
      <c r="H189" s="35">
        <f>IF(L189=0,"",ROUND(E189/(1+M189),2))</f>
      </c>
      <c r="I189" s="35">
        <f>IF(L189=0,"",E189-H189)</f>
      </c>
      <c r="J189" s="36">
        <f>IF(R189="","",LEFT(R189,LEN(R189)-2))</f>
      </c>
      <c r="K189" s="1"/>
      <c r="L189" s="1">
        <f>IF(OR(R189&lt;&gt;"",NOT(ISNUMBER(A189))),0,MONTH(A189))</f>
      </c>
      <c r="M189" s="1">
        <f>IF(F189="19 %",0.19,IF(F189="7 %",0.07,0))</f>
      </c>
      <c r="N189" s="1">
        <f>IF(G189="Firma",0,1)</f>
      </c>
      <c r="O189" s="1">
        <f>IF(L189=0,0,N189*E189)</f>
      </c>
      <c r="P189" s="1">
        <f>IF(L189=0,0,N189*ROUND(E189/(1+M189),2))</f>
      </c>
      <c r="Q189" s="1">
        <f>O189-P189</f>
      </c>
      <c r="R189" s="1">
        <f>IF(AND(A189="",E189="",C189="",D189=""),"",IF(NOT(ISNUMBER(A189)),"Datum fehlt; ",IF(YEAR(A189)&lt;&gt;Jahr,"Datum nicht in "&amp;Jahr&amp;"; ",""))&amp;IF(N(E189)=0,"Betrag fehlt; ","")&amp;IF(C189="","Kostenart fehlt; ","")&amp;IF(AND(N(E189)&lt;&gt;0,F189=""),"USt-Satz fehlt; ",""))</f>
      </c>
    </row>
    <row r="190" spans="1:18" x14ac:dyDescent="0.25">
      <c r="A190" s="33"/>
      <c r="B190" s="7"/>
      <c r="C190" s="7"/>
      <c r="D190" s="7"/>
      <c r="E190" s="34"/>
      <c r="F190" s="7"/>
      <c r="G190" s="7"/>
      <c r="H190" s="35">
        <f>IF(L190=0,"",ROUND(E190/(1+M190),2))</f>
      </c>
      <c r="I190" s="35">
        <f>IF(L190=0,"",E190-H190)</f>
      </c>
      <c r="J190" s="36">
        <f>IF(R190="","",LEFT(R190,LEN(R190)-2))</f>
      </c>
      <c r="K190" s="1"/>
      <c r="L190" s="1">
        <f>IF(OR(R190&lt;&gt;"",NOT(ISNUMBER(A190))),0,MONTH(A190))</f>
      </c>
      <c r="M190" s="1">
        <f>IF(F190="19 %",0.19,IF(F190="7 %",0.07,0))</f>
      </c>
      <c r="N190" s="1">
        <f>IF(G190="Firma",0,1)</f>
      </c>
      <c r="O190" s="1">
        <f>IF(L190=0,0,N190*E190)</f>
      </c>
      <c r="P190" s="1">
        <f>IF(L190=0,0,N190*ROUND(E190/(1+M190),2))</f>
      </c>
      <c r="Q190" s="1">
        <f>O190-P190</f>
      </c>
      <c r="R190" s="1">
        <f>IF(AND(A190="",E190="",C190="",D190=""),"",IF(NOT(ISNUMBER(A190)),"Datum fehlt; ",IF(YEAR(A190)&lt;&gt;Jahr,"Datum nicht in "&amp;Jahr&amp;"; ",""))&amp;IF(N(E190)=0,"Betrag fehlt; ","")&amp;IF(C190="","Kostenart fehlt; ","")&amp;IF(AND(N(E190)&lt;&gt;0,F190=""),"USt-Satz fehlt; ",""))</f>
      </c>
    </row>
    <row r="191" spans="1:18" x14ac:dyDescent="0.25">
      <c r="A191" s="33"/>
      <c r="B191" s="7"/>
      <c r="C191" s="7"/>
      <c r="D191" s="7"/>
      <c r="E191" s="34"/>
      <c r="F191" s="7"/>
      <c r="G191" s="7"/>
      <c r="H191" s="35">
        <f>IF(L191=0,"",ROUND(E191/(1+M191),2))</f>
      </c>
      <c r="I191" s="35">
        <f>IF(L191=0,"",E191-H191)</f>
      </c>
      <c r="J191" s="36">
        <f>IF(R191="","",LEFT(R191,LEN(R191)-2))</f>
      </c>
      <c r="K191" s="1"/>
      <c r="L191" s="1">
        <f>IF(OR(R191&lt;&gt;"",NOT(ISNUMBER(A191))),0,MONTH(A191))</f>
      </c>
      <c r="M191" s="1">
        <f>IF(F191="19 %",0.19,IF(F191="7 %",0.07,0))</f>
      </c>
      <c r="N191" s="1">
        <f>IF(G191="Firma",0,1)</f>
      </c>
      <c r="O191" s="1">
        <f>IF(L191=0,0,N191*E191)</f>
      </c>
      <c r="P191" s="1">
        <f>IF(L191=0,0,N191*ROUND(E191/(1+M191),2))</f>
      </c>
      <c r="Q191" s="1">
        <f>O191-P191</f>
      </c>
      <c r="R191" s="1">
        <f>IF(AND(A191="",E191="",C191="",D191=""),"",IF(NOT(ISNUMBER(A191)),"Datum fehlt; ",IF(YEAR(A191)&lt;&gt;Jahr,"Datum nicht in "&amp;Jahr&amp;"; ",""))&amp;IF(N(E191)=0,"Betrag fehlt; ","")&amp;IF(C191="","Kostenart fehlt; ","")&amp;IF(AND(N(E191)&lt;&gt;0,F191=""),"USt-Satz fehlt; ",""))</f>
      </c>
    </row>
    <row r="192" spans="1:18" x14ac:dyDescent="0.25">
      <c r="A192" s="33"/>
      <c r="B192" s="7"/>
      <c r="C192" s="7"/>
      <c r="D192" s="7"/>
      <c r="E192" s="34"/>
      <c r="F192" s="7"/>
      <c r="G192" s="7"/>
      <c r="H192" s="35">
        <f>IF(L192=0,"",ROUND(E192/(1+M192),2))</f>
      </c>
      <c r="I192" s="35">
        <f>IF(L192=0,"",E192-H192)</f>
      </c>
      <c r="J192" s="36">
        <f>IF(R192="","",LEFT(R192,LEN(R192)-2))</f>
      </c>
      <c r="K192" s="1"/>
      <c r="L192" s="1">
        <f>IF(OR(R192&lt;&gt;"",NOT(ISNUMBER(A192))),0,MONTH(A192))</f>
      </c>
      <c r="M192" s="1">
        <f>IF(F192="19 %",0.19,IF(F192="7 %",0.07,0))</f>
      </c>
      <c r="N192" s="1">
        <f>IF(G192="Firma",0,1)</f>
      </c>
      <c r="O192" s="1">
        <f>IF(L192=0,0,N192*E192)</f>
      </c>
      <c r="P192" s="1">
        <f>IF(L192=0,0,N192*ROUND(E192/(1+M192),2))</f>
      </c>
      <c r="Q192" s="1">
        <f>O192-P192</f>
      </c>
      <c r="R192" s="1">
        <f>IF(AND(A192="",E192="",C192="",D192=""),"",IF(NOT(ISNUMBER(A192)),"Datum fehlt; ",IF(YEAR(A192)&lt;&gt;Jahr,"Datum nicht in "&amp;Jahr&amp;"; ",""))&amp;IF(N(E192)=0,"Betrag fehlt; ","")&amp;IF(C192="","Kostenart fehlt; ","")&amp;IF(AND(N(E192)&lt;&gt;0,F192=""),"USt-Satz fehlt; ",""))</f>
      </c>
    </row>
    <row r="193" spans="1:18" x14ac:dyDescent="0.25">
      <c r="A193" s="33"/>
      <c r="B193" s="7"/>
      <c r="C193" s="7"/>
      <c r="D193" s="7"/>
      <c r="E193" s="34"/>
      <c r="F193" s="7"/>
      <c r="G193" s="7"/>
      <c r="H193" s="35">
        <f>IF(L193=0,"",ROUND(E193/(1+M193),2))</f>
      </c>
      <c r="I193" s="35">
        <f>IF(L193=0,"",E193-H193)</f>
      </c>
      <c r="J193" s="36">
        <f>IF(R193="","",LEFT(R193,LEN(R193)-2))</f>
      </c>
      <c r="K193" s="1"/>
      <c r="L193" s="1">
        <f>IF(OR(R193&lt;&gt;"",NOT(ISNUMBER(A193))),0,MONTH(A193))</f>
      </c>
      <c r="M193" s="1">
        <f>IF(F193="19 %",0.19,IF(F193="7 %",0.07,0))</f>
      </c>
      <c r="N193" s="1">
        <f>IF(G193="Firma",0,1)</f>
      </c>
      <c r="O193" s="1">
        <f>IF(L193=0,0,N193*E193)</f>
      </c>
      <c r="P193" s="1">
        <f>IF(L193=0,0,N193*ROUND(E193/(1+M193),2))</f>
      </c>
      <c r="Q193" s="1">
        <f>O193-P193</f>
      </c>
      <c r="R193" s="1">
        <f>IF(AND(A193="",E193="",C193="",D193=""),"",IF(NOT(ISNUMBER(A193)),"Datum fehlt; ",IF(YEAR(A193)&lt;&gt;Jahr,"Datum nicht in "&amp;Jahr&amp;"; ",""))&amp;IF(N(E193)=0,"Betrag fehlt; ","")&amp;IF(C193="","Kostenart fehlt; ","")&amp;IF(AND(N(E193)&lt;&gt;0,F193=""),"USt-Satz fehlt; ",""))</f>
      </c>
    </row>
    <row r="194" spans="1:18" x14ac:dyDescent="0.25">
      <c r="A194" s="33"/>
      <c r="B194" s="7"/>
      <c r="C194" s="7"/>
      <c r="D194" s="7"/>
      <c r="E194" s="34"/>
      <c r="F194" s="7"/>
      <c r="G194" s="7"/>
      <c r="H194" s="35">
        <f>IF(L194=0,"",ROUND(E194/(1+M194),2))</f>
      </c>
      <c r="I194" s="35">
        <f>IF(L194=0,"",E194-H194)</f>
      </c>
      <c r="J194" s="36">
        <f>IF(R194="","",LEFT(R194,LEN(R194)-2))</f>
      </c>
      <c r="K194" s="1"/>
      <c r="L194" s="1">
        <f>IF(OR(R194&lt;&gt;"",NOT(ISNUMBER(A194))),0,MONTH(A194))</f>
      </c>
      <c r="M194" s="1">
        <f>IF(F194="19 %",0.19,IF(F194="7 %",0.07,0))</f>
      </c>
      <c r="N194" s="1">
        <f>IF(G194="Firma",0,1)</f>
      </c>
      <c r="O194" s="1">
        <f>IF(L194=0,0,N194*E194)</f>
      </c>
      <c r="P194" s="1">
        <f>IF(L194=0,0,N194*ROUND(E194/(1+M194),2))</f>
      </c>
      <c r="Q194" s="1">
        <f>O194-P194</f>
      </c>
      <c r="R194" s="1">
        <f>IF(AND(A194="",E194="",C194="",D194=""),"",IF(NOT(ISNUMBER(A194)),"Datum fehlt; ",IF(YEAR(A194)&lt;&gt;Jahr,"Datum nicht in "&amp;Jahr&amp;"; ",""))&amp;IF(N(E194)=0,"Betrag fehlt; ","")&amp;IF(C194="","Kostenart fehlt; ","")&amp;IF(AND(N(E194)&lt;&gt;0,F194=""),"USt-Satz fehlt; ",""))</f>
      </c>
    </row>
    <row r="195" spans="1:18" x14ac:dyDescent="0.25">
      <c r="A195" s="33"/>
      <c r="B195" s="7"/>
      <c r="C195" s="7"/>
      <c r="D195" s="7"/>
      <c r="E195" s="34"/>
      <c r="F195" s="7"/>
      <c r="G195" s="7"/>
      <c r="H195" s="35">
        <f>IF(L195=0,"",ROUND(E195/(1+M195),2))</f>
      </c>
      <c r="I195" s="35">
        <f>IF(L195=0,"",E195-H195)</f>
      </c>
      <c r="J195" s="36">
        <f>IF(R195="","",LEFT(R195,LEN(R195)-2))</f>
      </c>
      <c r="K195" s="1"/>
      <c r="L195" s="1">
        <f>IF(OR(R195&lt;&gt;"",NOT(ISNUMBER(A195))),0,MONTH(A195))</f>
      </c>
      <c r="M195" s="1">
        <f>IF(F195="19 %",0.19,IF(F195="7 %",0.07,0))</f>
      </c>
      <c r="N195" s="1">
        <f>IF(G195="Firma",0,1)</f>
      </c>
      <c r="O195" s="1">
        <f>IF(L195=0,0,N195*E195)</f>
      </c>
      <c r="P195" s="1">
        <f>IF(L195=0,0,N195*ROUND(E195/(1+M195),2))</f>
      </c>
      <c r="Q195" s="1">
        <f>O195-P195</f>
      </c>
      <c r="R195" s="1">
        <f>IF(AND(A195="",E195="",C195="",D195=""),"",IF(NOT(ISNUMBER(A195)),"Datum fehlt; ",IF(YEAR(A195)&lt;&gt;Jahr,"Datum nicht in "&amp;Jahr&amp;"; ",""))&amp;IF(N(E195)=0,"Betrag fehlt; ","")&amp;IF(C195="","Kostenart fehlt; ","")&amp;IF(AND(N(E195)&lt;&gt;0,F195=""),"USt-Satz fehlt; ",""))</f>
      </c>
    </row>
    <row r="196" spans="1:18" x14ac:dyDescent="0.25">
      <c r="A196" s="33"/>
      <c r="B196" s="7"/>
      <c r="C196" s="7"/>
      <c r="D196" s="7"/>
      <c r="E196" s="34"/>
      <c r="F196" s="7"/>
      <c r="G196" s="7"/>
      <c r="H196" s="35">
        <f>IF(L196=0,"",ROUND(E196/(1+M196),2))</f>
      </c>
      <c r="I196" s="35">
        <f>IF(L196=0,"",E196-H196)</f>
      </c>
      <c r="J196" s="36">
        <f>IF(R196="","",LEFT(R196,LEN(R196)-2))</f>
      </c>
      <c r="K196" s="1"/>
      <c r="L196" s="1">
        <f>IF(OR(R196&lt;&gt;"",NOT(ISNUMBER(A196))),0,MONTH(A196))</f>
      </c>
      <c r="M196" s="1">
        <f>IF(F196="19 %",0.19,IF(F196="7 %",0.07,0))</f>
      </c>
      <c r="N196" s="1">
        <f>IF(G196="Firma",0,1)</f>
      </c>
      <c r="O196" s="1">
        <f>IF(L196=0,0,N196*E196)</f>
      </c>
      <c r="P196" s="1">
        <f>IF(L196=0,0,N196*ROUND(E196/(1+M196),2))</f>
      </c>
      <c r="Q196" s="1">
        <f>O196-P196</f>
      </c>
      <c r="R196" s="1">
        <f>IF(AND(A196="",E196="",C196="",D196=""),"",IF(NOT(ISNUMBER(A196)),"Datum fehlt; ",IF(YEAR(A196)&lt;&gt;Jahr,"Datum nicht in "&amp;Jahr&amp;"; ",""))&amp;IF(N(E196)=0,"Betrag fehlt; ","")&amp;IF(C196="","Kostenart fehlt; ","")&amp;IF(AND(N(E196)&lt;&gt;0,F196=""),"USt-Satz fehlt; ",""))</f>
      </c>
    </row>
    <row r="197" spans="1:18" x14ac:dyDescent="0.25">
      <c r="A197" s="33"/>
      <c r="B197" s="7"/>
      <c r="C197" s="7"/>
      <c r="D197" s="7"/>
      <c r="E197" s="34"/>
      <c r="F197" s="7"/>
      <c r="G197" s="7"/>
      <c r="H197" s="35">
        <f>IF(L197=0,"",ROUND(E197/(1+M197),2))</f>
      </c>
      <c r="I197" s="35">
        <f>IF(L197=0,"",E197-H197)</f>
      </c>
      <c r="J197" s="36">
        <f>IF(R197="","",LEFT(R197,LEN(R197)-2))</f>
      </c>
      <c r="K197" s="1"/>
      <c r="L197" s="1">
        <f>IF(OR(R197&lt;&gt;"",NOT(ISNUMBER(A197))),0,MONTH(A197))</f>
      </c>
      <c r="M197" s="1">
        <f>IF(F197="19 %",0.19,IF(F197="7 %",0.07,0))</f>
      </c>
      <c r="N197" s="1">
        <f>IF(G197="Firma",0,1)</f>
      </c>
      <c r="O197" s="1">
        <f>IF(L197=0,0,N197*E197)</f>
      </c>
      <c r="P197" s="1">
        <f>IF(L197=0,0,N197*ROUND(E197/(1+M197),2))</f>
      </c>
      <c r="Q197" s="1">
        <f>O197-P197</f>
      </c>
      <c r="R197" s="1">
        <f>IF(AND(A197="",E197="",C197="",D197=""),"",IF(NOT(ISNUMBER(A197)),"Datum fehlt; ",IF(YEAR(A197)&lt;&gt;Jahr,"Datum nicht in "&amp;Jahr&amp;"; ",""))&amp;IF(N(E197)=0,"Betrag fehlt; ","")&amp;IF(C197="","Kostenart fehlt; ","")&amp;IF(AND(N(E197)&lt;&gt;0,F197=""),"USt-Satz fehlt; ",""))</f>
      </c>
    </row>
    <row r="198" spans="1:18" x14ac:dyDescent="0.25">
      <c r="A198" s="33"/>
      <c r="B198" s="7"/>
      <c r="C198" s="7"/>
      <c r="D198" s="7"/>
      <c r="E198" s="34"/>
      <c r="F198" s="7"/>
      <c r="G198" s="7"/>
      <c r="H198" s="35">
        <f>IF(L198=0,"",ROUND(E198/(1+M198),2))</f>
      </c>
      <c r="I198" s="35">
        <f>IF(L198=0,"",E198-H198)</f>
      </c>
      <c r="J198" s="36">
        <f>IF(R198="","",LEFT(R198,LEN(R198)-2))</f>
      </c>
      <c r="K198" s="1"/>
      <c r="L198" s="1">
        <f>IF(OR(R198&lt;&gt;"",NOT(ISNUMBER(A198))),0,MONTH(A198))</f>
      </c>
      <c r="M198" s="1">
        <f>IF(F198="19 %",0.19,IF(F198="7 %",0.07,0))</f>
      </c>
      <c r="N198" s="1">
        <f>IF(G198="Firma",0,1)</f>
      </c>
      <c r="O198" s="1">
        <f>IF(L198=0,0,N198*E198)</f>
      </c>
      <c r="P198" s="1">
        <f>IF(L198=0,0,N198*ROUND(E198/(1+M198),2))</f>
      </c>
      <c r="Q198" s="1">
        <f>O198-P198</f>
      </c>
      <c r="R198" s="1">
        <f>IF(AND(A198="",E198="",C198="",D198=""),"",IF(NOT(ISNUMBER(A198)),"Datum fehlt; ",IF(YEAR(A198)&lt;&gt;Jahr,"Datum nicht in "&amp;Jahr&amp;"; ",""))&amp;IF(N(E198)=0,"Betrag fehlt; ","")&amp;IF(C198="","Kostenart fehlt; ","")&amp;IF(AND(N(E198)&lt;&gt;0,F198=""),"USt-Satz fehlt; ",""))</f>
      </c>
    </row>
    <row r="199" spans="1:18" x14ac:dyDescent="0.25">
      <c r="A199" s="33"/>
      <c r="B199" s="7"/>
      <c r="C199" s="7"/>
      <c r="D199" s="7"/>
      <c r="E199" s="34"/>
      <c r="F199" s="7"/>
      <c r="G199" s="7"/>
      <c r="H199" s="35">
        <f>IF(L199=0,"",ROUND(E199/(1+M199),2))</f>
      </c>
      <c r="I199" s="35">
        <f>IF(L199=0,"",E199-H199)</f>
      </c>
      <c r="J199" s="36">
        <f>IF(R199="","",LEFT(R199,LEN(R199)-2))</f>
      </c>
      <c r="K199" s="1"/>
      <c r="L199" s="1">
        <f>IF(OR(R199&lt;&gt;"",NOT(ISNUMBER(A199))),0,MONTH(A199))</f>
      </c>
      <c r="M199" s="1">
        <f>IF(F199="19 %",0.19,IF(F199="7 %",0.07,0))</f>
      </c>
      <c r="N199" s="1">
        <f>IF(G199="Firma",0,1)</f>
      </c>
      <c r="O199" s="1">
        <f>IF(L199=0,0,N199*E199)</f>
      </c>
      <c r="P199" s="1">
        <f>IF(L199=0,0,N199*ROUND(E199/(1+M199),2))</f>
      </c>
      <c r="Q199" s="1">
        <f>O199-P199</f>
      </c>
      <c r="R199" s="1">
        <f>IF(AND(A199="",E199="",C199="",D199=""),"",IF(NOT(ISNUMBER(A199)),"Datum fehlt; ",IF(YEAR(A199)&lt;&gt;Jahr,"Datum nicht in "&amp;Jahr&amp;"; ",""))&amp;IF(N(E199)=0,"Betrag fehlt; ","")&amp;IF(C199="","Kostenart fehlt; ","")&amp;IF(AND(N(E199)&lt;&gt;0,F199=""),"USt-Satz fehlt; ",""))</f>
      </c>
    </row>
    <row r="200" spans="1:18" x14ac:dyDescent="0.25">
      <c r="A200" s="33"/>
      <c r="B200" s="7"/>
      <c r="C200" s="7"/>
      <c r="D200" s="7"/>
      <c r="E200" s="34"/>
      <c r="F200" s="7"/>
      <c r="G200" s="7"/>
      <c r="H200" s="35">
        <f>IF(L200=0,"",ROUND(E200/(1+M200),2))</f>
      </c>
      <c r="I200" s="35">
        <f>IF(L200=0,"",E200-H200)</f>
      </c>
      <c r="J200" s="36">
        <f>IF(R200="","",LEFT(R200,LEN(R200)-2))</f>
      </c>
      <c r="K200" s="1"/>
      <c r="L200" s="1">
        <f>IF(OR(R200&lt;&gt;"",NOT(ISNUMBER(A200))),0,MONTH(A200))</f>
      </c>
      <c r="M200" s="1">
        <f>IF(F200="19 %",0.19,IF(F200="7 %",0.07,0))</f>
      </c>
      <c r="N200" s="1">
        <f>IF(G200="Firma",0,1)</f>
      </c>
      <c r="O200" s="1">
        <f>IF(L200=0,0,N200*E200)</f>
      </c>
      <c r="P200" s="1">
        <f>IF(L200=0,0,N200*ROUND(E200/(1+M200),2))</f>
      </c>
      <c r="Q200" s="1">
        <f>O200-P200</f>
      </c>
      <c r="R200" s="1">
        <f>IF(AND(A200="",E200="",C200="",D200=""),"",IF(NOT(ISNUMBER(A200)),"Datum fehlt; ",IF(YEAR(A200)&lt;&gt;Jahr,"Datum nicht in "&amp;Jahr&amp;"; ",""))&amp;IF(N(E200)=0,"Betrag fehlt; ","")&amp;IF(C200="","Kostenart fehlt; ","")&amp;IF(AND(N(E200)&lt;&gt;0,F200=""),"USt-Satz fehlt; ",""))</f>
      </c>
    </row>
    <row r="201" spans="1:18" x14ac:dyDescent="0.25">
      <c r="A201" s="33"/>
      <c r="B201" s="7"/>
      <c r="C201" s="7"/>
      <c r="D201" s="7"/>
      <c r="E201" s="34"/>
      <c r="F201" s="7"/>
      <c r="G201" s="7"/>
      <c r="H201" s="35">
        <f>IF(L201=0,"",ROUND(E201/(1+M201),2))</f>
      </c>
      <c r="I201" s="35">
        <f>IF(L201=0,"",E201-H201)</f>
      </c>
      <c r="J201" s="36">
        <f>IF(R201="","",LEFT(R201,LEN(R201)-2))</f>
      </c>
      <c r="K201" s="1"/>
      <c r="L201" s="1">
        <f>IF(OR(R201&lt;&gt;"",NOT(ISNUMBER(A201))),0,MONTH(A201))</f>
      </c>
      <c r="M201" s="1">
        <f>IF(F201="19 %",0.19,IF(F201="7 %",0.07,0))</f>
      </c>
      <c r="N201" s="1">
        <f>IF(G201="Firma",0,1)</f>
      </c>
      <c r="O201" s="1">
        <f>IF(L201=0,0,N201*E201)</f>
      </c>
      <c r="P201" s="1">
        <f>IF(L201=0,0,N201*ROUND(E201/(1+M201),2))</f>
      </c>
      <c r="Q201" s="1">
        <f>O201-P201</f>
      </c>
      <c r="R201" s="1">
        <f>IF(AND(A201="",E201="",C201="",D201=""),"",IF(NOT(ISNUMBER(A201)),"Datum fehlt; ",IF(YEAR(A201)&lt;&gt;Jahr,"Datum nicht in "&amp;Jahr&amp;"; ",""))&amp;IF(N(E201)=0,"Betrag fehlt; ","")&amp;IF(C201="","Kostenart fehlt; ","")&amp;IF(AND(N(E201)&lt;&gt;0,F201=""),"USt-Satz fehlt; ",""))</f>
      </c>
    </row>
    <row r="202" spans="1:18" x14ac:dyDescent="0.25">
      <c r="A202" s="33"/>
      <c r="B202" s="7"/>
      <c r="C202" s="7"/>
      <c r="D202" s="7"/>
      <c r="E202" s="34"/>
      <c r="F202" s="7"/>
      <c r="G202" s="7"/>
      <c r="H202" s="35">
        <f>IF(L202=0,"",ROUND(E202/(1+M202),2))</f>
      </c>
      <c r="I202" s="35">
        <f>IF(L202=0,"",E202-H202)</f>
      </c>
      <c r="J202" s="36">
        <f>IF(R202="","",LEFT(R202,LEN(R202)-2))</f>
      </c>
      <c r="K202" s="1"/>
      <c r="L202" s="1">
        <f>IF(OR(R202&lt;&gt;"",NOT(ISNUMBER(A202))),0,MONTH(A202))</f>
      </c>
      <c r="M202" s="1">
        <f>IF(F202="19 %",0.19,IF(F202="7 %",0.07,0))</f>
      </c>
      <c r="N202" s="1">
        <f>IF(G202="Firma",0,1)</f>
      </c>
      <c r="O202" s="1">
        <f>IF(L202=0,0,N202*E202)</f>
      </c>
      <c r="P202" s="1">
        <f>IF(L202=0,0,N202*ROUND(E202/(1+M202),2))</f>
      </c>
      <c r="Q202" s="1">
        <f>O202-P202</f>
      </c>
      <c r="R202" s="1">
        <f>IF(AND(A202="",E202="",C202="",D202=""),"",IF(NOT(ISNUMBER(A202)),"Datum fehlt; ",IF(YEAR(A202)&lt;&gt;Jahr,"Datum nicht in "&amp;Jahr&amp;"; ",""))&amp;IF(N(E202)=0,"Betrag fehlt; ","")&amp;IF(C202="","Kostenart fehlt; ","")&amp;IF(AND(N(E202)&lt;&gt;0,F202=""),"USt-Satz fehlt; ",""))</f>
      </c>
    </row>
    <row r="203" spans="1:18" x14ac:dyDescent="0.25">
      <c r="A203" s="33"/>
      <c r="B203" s="7"/>
      <c r="C203" s="7"/>
      <c r="D203" s="7"/>
      <c r="E203" s="34"/>
      <c r="F203" s="7"/>
      <c r="G203" s="7"/>
      <c r="H203" s="35">
        <f>IF(L203=0,"",ROUND(E203/(1+M203),2))</f>
      </c>
      <c r="I203" s="35">
        <f>IF(L203=0,"",E203-H203)</f>
      </c>
      <c r="J203" s="36">
        <f>IF(R203="","",LEFT(R203,LEN(R203)-2))</f>
      </c>
      <c r="K203" s="1"/>
      <c r="L203" s="1">
        <f>IF(OR(R203&lt;&gt;"",NOT(ISNUMBER(A203))),0,MONTH(A203))</f>
      </c>
      <c r="M203" s="1">
        <f>IF(F203="19 %",0.19,IF(F203="7 %",0.07,0))</f>
      </c>
      <c r="N203" s="1">
        <f>IF(G203="Firma",0,1)</f>
      </c>
      <c r="O203" s="1">
        <f>IF(L203=0,0,N203*E203)</f>
      </c>
      <c r="P203" s="1">
        <f>IF(L203=0,0,N203*ROUND(E203/(1+M203),2))</f>
      </c>
      <c r="Q203" s="1">
        <f>O203-P203</f>
      </c>
      <c r="R203" s="1">
        <f>IF(AND(A203="",E203="",C203="",D203=""),"",IF(NOT(ISNUMBER(A203)),"Datum fehlt; ",IF(YEAR(A203)&lt;&gt;Jahr,"Datum nicht in "&amp;Jahr&amp;"; ",""))&amp;IF(N(E203)=0,"Betrag fehlt; ","")&amp;IF(C203="","Kostenart fehlt; ","")&amp;IF(AND(N(E203)&lt;&gt;0,F203=""),"USt-Satz fehlt; ",""))</f>
      </c>
    </row>
    <row r="204" spans="1:18" x14ac:dyDescent="0.25">
      <c r="A204" s="33"/>
      <c r="B204" s="7"/>
      <c r="C204" s="7"/>
      <c r="D204" s="7"/>
      <c r="E204" s="34"/>
      <c r="F204" s="7"/>
      <c r="G204" s="7"/>
      <c r="H204" s="35">
        <f>IF(L204=0,"",ROUND(E204/(1+M204),2))</f>
      </c>
      <c r="I204" s="35">
        <f>IF(L204=0,"",E204-H204)</f>
      </c>
      <c r="J204" s="36">
        <f>IF(R204="","",LEFT(R204,LEN(R204)-2))</f>
      </c>
      <c r="K204" s="1"/>
      <c r="L204" s="1">
        <f>IF(OR(R204&lt;&gt;"",NOT(ISNUMBER(A204))),0,MONTH(A204))</f>
      </c>
      <c r="M204" s="1">
        <f>IF(F204="19 %",0.19,IF(F204="7 %",0.07,0))</f>
      </c>
      <c r="N204" s="1">
        <f>IF(G204="Firma",0,1)</f>
      </c>
      <c r="O204" s="1">
        <f>IF(L204=0,0,N204*E204)</f>
      </c>
      <c r="P204" s="1">
        <f>IF(L204=0,0,N204*ROUND(E204/(1+M204),2))</f>
      </c>
      <c r="Q204" s="1">
        <f>O204-P204</f>
      </c>
      <c r="R204" s="1">
        <f>IF(AND(A204="",E204="",C204="",D204=""),"",IF(NOT(ISNUMBER(A204)),"Datum fehlt; ",IF(YEAR(A204)&lt;&gt;Jahr,"Datum nicht in "&amp;Jahr&amp;"; ",""))&amp;IF(N(E204)=0,"Betrag fehlt; ","")&amp;IF(C204="","Kostenart fehlt; ","")&amp;IF(AND(N(E204)&lt;&gt;0,F204=""),"USt-Satz fehlt; ",""))</f>
      </c>
    </row>
    <row r="205" spans="1:18" x14ac:dyDescent="0.25">
      <c r="A205" s="33"/>
      <c r="B205" s="7"/>
      <c r="C205" s="7"/>
      <c r="D205" s="7"/>
      <c r="E205" s="34"/>
      <c r="F205" s="7"/>
      <c r="G205" s="7"/>
      <c r="H205" s="35">
        <f>IF(L205=0,"",ROUND(E205/(1+M205),2))</f>
      </c>
      <c r="I205" s="35">
        <f>IF(L205=0,"",E205-H205)</f>
      </c>
      <c r="J205" s="36">
        <f>IF(R205="","",LEFT(R205,LEN(R205)-2))</f>
      </c>
      <c r="K205" s="1"/>
      <c r="L205" s="1">
        <f>IF(OR(R205&lt;&gt;"",NOT(ISNUMBER(A205))),0,MONTH(A205))</f>
      </c>
      <c r="M205" s="1">
        <f>IF(F205="19 %",0.19,IF(F205="7 %",0.07,0))</f>
      </c>
      <c r="N205" s="1">
        <f>IF(G205="Firma",0,1)</f>
      </c>
      <c r="O205" s="1">
        <f>IF(L205=0,0,N205*E205)</f>
      </c>
      <c r="P205" s="1">
        <f>IF(L205=0,0,N205*ROUND(E205/(1+M205),2))</f>
      </c>
      <c r="Q205" s="1">
        <f>O205-P205</f>
      </c>
      <c r="R205" s="1">
        <f>IF(AND(A205="",E205="",C205="",D205=""),"",IF(NOT(ISNUMBER(A205)),"Datum fehlt; ",IF(YEAR(A205)&lt;&gt;Jahr,"Datum nicht in "&amp;Jahr&amp;"; ",""))&amp;IF(N(E205)=0,"Betrag fehlt; ","")&amp;IF(C205="","Kostenart fehlt; ","")&amp;IF(AND(N(E205)&lt;&gt;0,F205=""),"USt-Satz fehlt; ",""))</f>
      </c>
    </row>
    <row r="206" spans="1:18" x14ac:dyDescent="0.25">
      <c r="A206" s="33"/>
      <c r="B206" s="7"/>
      <c r="C206" s="7"/>
      <c r="D206" s="7"/>
      <c r="E206" s="34"/>
      <c r="F206" s="7"/>
      <c r="G206" s="7"/>
      <c r="H206" s="35">
        <f>IF(L206=0,"",ROUND(E206/(1+M206),2))</f>
      </c>
      <c r="I206" s="35">
        <f>IF(L206=0,"",E206-H206)</f>
      </c>
      <c r="J206" s="36">
        <f>IF(R206="","",LEFT(R206,LEN(R206)-2))</f>
      </c>
      <c r="K206" s="1"/>
      <c r="L206" s="1">
        <f>IF(OR(R206&lt;&gt;"",NOT(ISNUMBER(A206))),0,MONTH(A206))</f>
      </c>
      <c r="M206" s="1">
        <f>IF(F206="19 %",0.19,IF(F206="7 %",0.07,0))</f>
      </c>
      <c r="N206" s="1">
        <f>IF(G206="Firma",0,1)</f>
      </c>
      <c r="O206" s="1">
        <f>IF(L206=0,0,N206*E206)</f>
      </c>
      <c r="P206" s="1">
        <f>IF(L206=0,0,N206*ROUND(E206/(1+M206),2))</f>
      </c>
      <c r="Q206" s="1">
        <f>O206-P206</f>
      </c>
      <c r="R206" s="1">
        <f>IF(AND(A206="",E206="",C206="",D206=""),"",IF(NOT(ISNUMBER(A206)),"Datum fehlt; ",IF(YEAR(A206)&lt;&gt;Jahr,"Datum nicht in "&amp;Jahr&amp;"; ",""))&amp;IF(N(E206)=0,"Betrag fehlt; ","")&amp;IF(C206="","Kostenart fehlt; ","")&amp;IF(AND(N(E206)&lt;&gt;0,F206=""),"USt-Satz fehlt; ",""))</f>
      </c>
    </row>
    <row r="207" spans="1:18" x14ac:dyDescent="0.25">
      <c r="A207" s="33"/>
      <c r="B207" s="7"/>
      <c r="C207" s="7"/>
      <c r="D207" s="7"/>
      <c r="E207" s="34"/>
      <c r="F207" s="7"/>
      <c r="G207" s="7"/>
      <c r="H207" s="35">
        <f>IF(L207=0,"",ROUND(E207/(1+M207),2))</f>
      </c>
      <c r="I207" s="35">
        <f>IF(L207=0,"",E207-H207)</f>
      </c>
      <c r="J207" s="36">
        <f>IF(R207="","",LEFT(R207,LEN(R207)-2))</f>
      </c>
      <c r="K207" s="1"/>
      <c r="L207" s="1">
        <f>IF(OR(R207&lt;&gt;"",NOT(ISNUMBER(A207))),0,MONTH(A207))</f>
      </c>
      <c r="M207" s="1">
        <f>IF(F207="19 %",0.19,IF(F207="7 %",0.07,0))</f>
      </c>
      <c r="N207" s="1">
        <f>IF(G207="Firma",0,1)</f>
      </c>
      <c r="O207" s="1">
        <f>IF(L207=0,0,N207*E207)</f>
      </c>
      <c r="P207" s="1">
        <f>IF(L207=0,0,N207*ROUND(E207/(1+M207),2))</f>
      </c>
      <c r="Q207" s="1">
        <f>O207-P207</f>
      </c>
      <c r="R207" s="1">
        <f>IF(AND(A207="",E207="",C207="",D207=""),"",IF(NOT(ISNUMBER(A207)),"Datum fehlt; ",IF(YEAR(A207)&lt;&gt;Jahr,"Datum nicht in "&amp;Jahr&amp;"; ",""))&amp;IF(N(E207)=0,"Betrag fehlt; ","")&amp;IF(C207="","Kostenart fehlt; ","")&amp;IF(AND(N(E207)&lt;&gt;0,F207=""),"USt-Satz fehlt; ",""))</f>
      </c>
    </row>
    <row r="208" spans="1:18" x14ac:dyDescent="0.25">
      <c r="A208" s="33"/>
      <c r="B208" s="7"/>
      <c r="C208" s="7"/>
      <c r="D208" s="7"/>
      <c r="E208" s="34"/>
      <c r="F208" s="7"/>
      <c r="G208" s="7"/>
      <c r="H208" s="35">
        <f>IF(L208=0,"",ROUND(E208/(1+M208),2))</f>
      </c>
      <c r="I208" s="35">
        <f>IF(L208=0,"",E208-H208)</f>
      </c>
      <c r="J208" s="36">
        <f>IF(R208="","",LEFT(R208,LEN(R208)-2))</f>
      </c>
      <c r="K208" s="1"/>
      <c r="L208" s="1">
        <f>IF(OR(R208&lt;&gt;"",NOT(ISNUMBER(A208))),0,MONTH(A208))</f>
      </c>
      <c r="M208" s="1">
        <f>IF(F208="19 %",0.19,IF(F208="7 %",0.07,0))</f>
      </c>
      <c r="N208" s="1">
        <f>IF(G208="Firma",0,1)</f>
      </c>
      <c r="O208" s="1">
        <f>IF(L208=0,0,N208*E208)</f>
      </c>
      <c r="P208" s="1">
        <f>IF(L208=0,0,N208*ROUND(E208/(1+M208),2))</f>
      </c>
      <c r="Q208" s="1">
        <f>O208-P208</f>
      </c>
      <c r="R208" s="1">
        <f>IF(AND(A208="",E208="",C208="",D208=""),"",IF(NOT(ISNUMBER(A208)),"Datum fehlt; ",IF(YEAR(A208)&lt;&gt;Jahr,"Datum nicht in "&amp;Jahr&amp;"; ",""))&amp;IF(N(E208)=0,"Betrag fehlt; ","")&amp;IF(C208="","Kostenart fehlt; ","")&amp;IF(AND(N(E208)&lt;&gt;0,F208=""),"USt-Satz fehlt; ",""))</f>
      </c>
    </row>
    <row r="209" spans="1:18" x14ac:dyDescent="0.25">
      <c r="A209" s="33"/>
      <c r="B209" s="7"/>
      <c r="C209" s="7"/>
      <c r="D209" s="7"/>
      <c r="E209" s="34"/>
      <c r="F209" s="7"/>
      <c r="G209" s="7"/>
      <c r="H209" s="35">
        <f>IF(L209=0,"",ROUND(E209/(1+M209),2))</f>
      </c>
      <c r="I209" s="35">
        <f>IF(L209=0,"",E209-H209)</f>
      </c>
      <c r="J209" s="36">
        <f>IF(R209="","",LEFT(R209,LEN(R209)-2))</f>
      </c>
      <c r="K209" s="1"/>
      <c r="L209" s="1">
        <f>IF(OR(R209&lt;&gt;"",NOT(ISNUMBER(A209))),0,MONTH(A209))</f>
      </c>
      <c r="M209" s="1">
        <f>IF(F209="19 %",0.19,IF(F209="7 %",0.07,0))</f>
      </c>
      <c r="N209" s="1">
        <f>IF(G209="Firma",0,1)</f>
      </c>
      <c r="O209" s="1">
        <f>IF(L209=0,0,N209*E209)</f>
      </c>
      <c r="P209" s="1">
        <f>IF(L209=0,0,N209*ROUND(E209/(1+M209),2))</f>
      </c>
      <c r="Q209" s="1">
        <f>O209-P209</f>
      </c>
      <c r="R209" s="1">
        <f>IF(AND(A209="",E209="",C209="",D209=""),"",IF(NOT(ISNUMBER(A209)),"Datum fehlt; ",IF(YEAR(A209)&lt;&gt;Jahr,"Datum nicht in "&amp;Jahr&amp;"; ",""))&amp;IF(N(E209)=0,"Betrag fehlt; ","")&amp;IF(C209="","Kostenart fehlt; ","")&amp;IF(AND(N(E209)&lt;&gt;0,F209=""),"USt-Satz fehlt; ",""))</f>
      </c>
    </row>
    <row r="210" spans="1:18" x14ac:dyDescent="0.25">
      <c r="A210" s="33"/>
      <c r="B210" s="7"/>
      <c r="C210" s="7"/>
      <c r="D210" s="7"/>
      <c r="E210" s="34"/>
      <c r="F210" s="7"/>
      <c r="G210" s="7"/>
      <c r="H210" s="35">
        <f>IF(L210=0,"",ROUND(E210/(1+M210),2))</f>
      </c>
      <c r="I210" s="35">
        <f>IF(L210=0,"",E210-H210)</f>
      </c>
      <c r="J210" s="36">
        <f>IF(R210="","",LEFT(R210,LEN(R210)-2))</f>
      </c>
      <c r="K210" s="1"/>
      <c r="L210" s="1">
        <f>IF(OR(R210&lt;&gt;"",NOT(ISNUMBER(A210))),0,MONTH(A210))</f>
      </c>
      <c r="M210" s="1">
        <f>IF(F210="19 %",0.19,IF(F210="7 %",0.07,0))</f>
      </c>
      <c r="N210" s="1">
        <f>IF(G210="Firma",0,1)</f>
      </c>
      <c r="O210" s="1">
        <f>IF(L210=0,0,N210*E210)</f>
      </c>
      <c r="P210" s="1">
        <f>IF(L210=0,0,N210*ROUND(E210/(1+M210),2))</f>
      </c>
      <c r="Q210" s="1">
        <f>O210-P210</f>
      </c>
      <c r="R210" s="1">
        <f>IF(AND(A210="",E210="",C210="",D210=""),"",IF(NOT(ISNUMBER(A210)),"Datum fehlt; ",IF(YEAR(A210)&lt;&gt;Jahr,"Datum nicht in "&amp;Jahr&amp;"; ",""))&amp;IF(N(E210)=0,"Betrag fehlt; ","")&amp;IF(C210="","Kostenart fehlt; ","")&amp;IF(AND(N(E210)&lt;&gt;0,F210=""),"USt-Satz fehlt; ",""))</f>
      </c>
    </row>
    <row r="211" spans="1:18" x14ac:dyDescent="0.25">
      <c r="A211" s="33"/>
      <c r="B211" s="7"/>
      <c r="C211" s="7"/>
      <c r="D211" s="7"/>
      <c r="E211" s="34"/>
      <c r="F211" s="7"/>
      <c r="G211" s="7"/>
      <c r="H211" s="35">
        <f>IF(L211=0,"",ROUND(E211/(1+M211),2))</f>
      </c>
      <c r="I211" s="35">
        <f>IF(L211=0,"",E211-H211)</f>
      </c>
      <c r="J211" s="36">
        <f>IF(R211="","",LEFT(R211,LEN(R211)-2))</f>
      </c>
      <c r="K211" s="1"/>
      <c r="L211" s="1">
        <f>IF(OR(R211&lt;&gt;"",NOT(ISNUMBER(A211))),0,MONTH(A211))</f>
      </c>
      <c r="M211" s="1">
        <f>IF(F211="19 %",0.19,IF(F211="7 %",0.07,0))</f>
      </c>
      <c r="N211" s="1">
        <f>IF(G211="Firma",0,1)</f>
      </c>
      <c r="O211" s="1">
        <f>IF(L211=0,0,N211*E211)</f>
      </c>
      <c r="P211" s="1">
        <f>IF(L211=0,0,N211*ROUND(E211/(1+M211),2))</f>
      </c>
      <c r="Q211" s="1">
        <f>O211-P211</f>
      </c>
      <c r="R211" s="1">
        <f>IF(AND(A211="",E211="",C211="",D211=""),"",IF(NOT(ISNUMBER(A211)),"Datum fehlt; ",IF(YEAR(A211)&lt;&gt;Jahr,"Datum nicht in "&amp;Jahr&amp;"; ",""))&amp;IF(N(E211)=0,"Betrag fehlt; ","")&amp;IF(C211="","Kostenart fehlt; ","")&amp;IF(AND(N(E211)&lt;&gt;0,F211=""),"USt-Satz fehlt; ",""))</f>
      </c>
    </row>
    <row r="212" spans="1:18" x14ac:dyDescent="0.25">
      <c r="A212" s="33"/>
      <c r="B212" s="7"/>
      <c r="C212" s="7"/>
      <c r="D212" s="7"/>
      <c r="E212" s="34"/>
      <c r="F212" s="7"/>
      <c r="G212" s="7"/>
      <c r="H212" s="35">
        <f>IF(L212=0,"",ROUND(E212/(1+M212),2))</f>
      </c>
      <c r="I212" s="35">
        <f>IF(L212=0,"",E212-H212)</f>
      </c>
      <c r="J212" s="36">
        <f>IF(R212="","",LEFT(R212,LEN(R212)-2))</f>
      </c>
      <c r="K212" s="1"/>
      <c r="L212" s="1">
        <f>IF(OR(R212&lt;&gt;"",NOT(ISNUMBER(A212))),0,MONTH(A212))</f>
      </c>
      <c r="M212" s="1">
        <f>IF(F212="19 %",0.19,IF(F212="7 %",0.07,0))</f>
      </c>
      <c r="N212" s="1">
        <f>IF(G212="Firma",0,1)</f>
      </c>
      <c r="O212" s="1">
        <f>IF(L212=0,0,N212*E212)</f>
      </c>
      <c r="P212" s="1">
        <f>IF(L212=0,0,N212*ROUND(E212/(1+M212),2))</f>
      </c>
      <c r="Q212" s="1">
        <f>O212-P212</f>
      </c>
      <c r="R212" s="1">
        <f>IF(AND(A212="",E212="",C212="",D212=""),"",IF(NOT(ISNUMBER(A212)),"Datum fehlt; ",IF(YEAR(A212)&lt;&gt;Jahr,"Datum nicht in "&amp;Jahr&amp;"; ",""))&amp;IF(N(E212)=0,"Betrag fehlt; ","")&amp;IF(C212="","Kostenart fehlt; ","")&amp;IF(AND(N(E212)&lt;&gt;0,F212=""),"USt-Satz fehlt; ",""))</f>
      </c>
    </row>
    <row r="213" spans="1:18" x14ac:dyDescent="0.25">
      <c r="A213" s="33"/>
      <c r="B213" s="7"/>
      <c r="C213" s="7"/>
      <c r="D213" s="7"/>
      <c r="E213" s="34"/>
      <c r="F213" s="7"/>
      <c r="G213" s="7"/>
      <c r="H213" s="35">
        <f>IF(L213=0,"",ROUND(E213/(1+M213),2))</f>
      </c>
      <c r="I213" s="35">
        <f>IF(L213=0,"",E213-H213)</f>
      </c>
      <c r="J213" s="36">
        <f>IF(R213="","",LEFT(R213,LEN(R213)-2))</f>
      </c>
      <c r="K213" s="1"/>
      <c r="L213" s="1">
        <f>IF(OR(R213&lt;&gt;"",NOT(ISNUMBER(A213))),0,MONTH(A213))</f>
      </c>
      <c r="M213" s="1">
        <f>IF(F213="19 %",0.19,IF(F213="7 %",0.07,0))</f>
      </c>
      <c r="N213" s="1">
        <f>IF(G213="Firma",0,1)</f>
      </c>
      <c r="O213" s="1">
        <f>IF(L213=0,0,N213*E213)</f>
      </c>
      <c r="P213" s="1">
        <f>IF(L213=0,0,N213*ROUND(E213/(1+M213),2))</f>
      </c>
      <c r="Q213" s="1">
        <f>O213-P213</f>
      </c>
      <c r="R213" s="1">
        <f>IF(AND(A213="",E213="",C213="",D213=""),"",IF(NOT(ISNUMBER(A213)),"Datum fehlt; ",IF(YEAR(A213)&lt;&gt;Jahr,"Datum nicht in "&amp;Jahr&amp;"; ",""))&amp;IF(N(E213)=0,"Betrag fehlt; ","")&amp;IF(C213="","Kostenart fehlt; ","")&amp;IF(AND(N(E213)&lt;&gt;0,F213=""),"USt-Satz fehlt; ",""))</f>
      </c>
    </row>
    <row r="214" spans="1:18" x14ac:dyDescent="0.25">
      <c r="A214" s="33"/>
      <c r="B214" s="7"/>
      <c r="C214" s="7"/>
      <c r="D214" s="7"/>
      <c r="E214" s="34"/>
      <c r="F214" s="7"/>
      <c r="G214" s="7"/>
      <c r="H214" s="35">
        <f>IF(L214=0,"",ROUND(E214/(1+M214),2))</f>
      </c>
      <c r="I214" s="35">
        <f>IF(L214=0,"",E214-H214)</f>
      </c>
      <c r="J214" s="36">
        <f>IF(R214="","",LEFT(R214,LEN(R214)-2))</f>
      </c>
      <c r="K214" s="1"/>
      <c r="L214" s="1">
        <f>IF(OR(R214&lt;&gt;"",NOT(ISNUMBER(A214))),0,MONTH(A214))</f>
      </c>
      <c r="M214" s="1">
        <f>IF(F214="19 %",0.19,IF(F214="7 %",0.07,0))</f>
      </c>
      <c r="N214" s="1">
        <f>IF(G214="Firma",0,1)</f>
      </c>
      <c r="O214" s="1">
        <f>IF(L214=0,0,N214*E214)</f>
      </c>
      <c r="P214" s="1">
        <f>IF(L214=0,0,N214*ROUND(E214/(1+M214),2))</f>
      </c>
      <c r="Q214" s="1">
        <f>O214-P214</f>
      </c>
      <c r="R214" s="1">
        <f>IF(AND(A214="",E214="",C214="",D214=""),"",IF(NOT(ISNUMBER(A214)),"Datum fehlt; ",IF(YEAR(A214)&lt;&gt;Jahr,"Datum nicht in "&amp;Jahr&amp;"; ",""))&amp;IF(N(E214)=0,"Betrag fehlt; ","")&amp;IF(C214="","Kostenart fehlt; ","")&amp;IF(AND(N(E214)&lt;&gt;0,F214=""),"USt-Satz fehlt; ",""))</f>
      </c>
    </row>
    <row r="215" spans="1:18" x14ac:dyDescent="0.25">
      <c r="A215" s="33"/>
      <c r="B215" s="7"/>
      <c r="C215" s="7"/>
      <c r="D215" s="7"/>
      <c r="E215" s="34"/>
      <c r="F215" s="7"/>
      <c r="G215" s="7"/>
      <c r="H215" s="35">
        <f>IF(L215=0,"",ROUND(E215/(1+M215),2))</f>
      </c>
      <c r="I215" s="35">
        <f>IF(L215=0,"",E215-H215)</f>
      </c>
      <c r="J215" s="36">
        <f>IF(R215="","",LEFT(R215,LEN(R215)-2))</f>
      </c>
      <c r="K215" s="1"/>
      <c r="L215" s="1">
        <f>IF(OR(R215&lt;&gt;"",NOT(ISNUMBER(A215))),0,MONTH(A215))</f>
      </c>
      <c r="M215" s="1">
        <f>IF(F215="19 %",0.19,IF(F215="7 %",0.07,0))</f>
      </c>
      <c r="N215" s="1">
        <f>IF(G215="Firma",0,1)</f>
      </c>
      <c r="O215" s="1">
        <f>IF(L215=0,0,N215*E215)</f>
      </c>
      <c r="P215" s="1">
        <f>IF(L215=0,0,N215*ROUND(E215/(1+M215),2))</f>
      </c>
      <c r="Q215" s="1">
        <f>O215-P215</f>
      </c>
      <c r="R215" s="1">
        <f>IF(AND(A215="",E215="",C215="",D215=""),"",IF(NOT(ISNUMBER(A215)),"Datum fehlt; ",IF(YEAR(A215)&lt;&gt;Jahr,"Datum nicht in "&amp;Jahr&amp;"; ",""))&amp;IF(N(E215)=0,"Betrag fehlt; ","")&amp;IF(C215="","Kostenart fehlt; ","")&amp;IF(AND(N(E215)&lt;&gt;0,F215=""),"USt-Satz fehlt; ",""))</f>
      </c>
    </row>
    <row r="216" spans="1:18" x14ac:dyDescent="0.25">
      <c r="A216" s="33"/>
      <c r="B216" s="7"/>
      <c r="C216" s="7"/>
      <c r="D216" s="7"/>
      <c r="E216" s="34"/>
      <c r="F216" s="7"/>
      <c r="G216" s="7"/>
      <c r="H216" s="35">
        <f>IF(L216=0,"",ROUND(E216/(1+M216),2))</f>
      </c>
      <c r="I216" s="35">
        <f>IF(L216=0,"",E216-H216)</f>
      </c>
      <c r="J216" s="36">
        <f>IF(R216="","",LEFT(R216,LEN(R216)-2))</f>
      </c>
      <c r="K216" s="1"/>
      <c r="L216" s="1">
        <f>IF(OR(R216&lt;&gt;"",NOT(ISNUMBER(A216))),0,MONTH(A216))</f>
      </c>
      <c r="M216" s="1">
        <f>IF(F216="19 %",0.19,IF(F216="7 %",0.07,0))</f>
      </c>
      <c r="N216" s="1">
        <f>IF(G216="Firma",0,1)</f>
      </c>
      <c r="O216" s="1">
        <f>IF(L216=0,0,N216*E216)</f>
      </c>
      <c r="P216" s="1">
        <f>IF(L216=0,0,N216*ROUND(E216/(1+M216),2))</f>
      </c>
      <c r="Q216" s="1">
        <f>O216-P216</f>
      </c>
      <c r="R216" s="1">
        <f>IF(AND(A216="",E216="",C216="",D216=""),"",IF(NOT(ISNUMBER(A216)),"Datum fehlt; ",IF(YEAR(A216)&lt;&gt;Jahr,"Datum nicht in "&amp;Jahr&amp;"; ",""))&amp;IF(N(E216)=0,"Betrag fehlt; ","")&amp;IF(C216="","Kostenart fehlt; ","")&amp;IF(AND(N(E216)&lt;&gt;0,F216=""),"USt-Satz fehlt; ",""))</f>
      </c>
    </row>
    <row r="217" spans="1:18" x14ac:dyDescent="0.25">
      <c r="A217" s="33"/>
      <c r="B217" s="7"/>
      <c r="C217" s="7"/>
      <c r="D217" s="7"/>
      <c r="E217" s="34"/>
      <c r="F217" s="7"/>
      <c r="G217" s="7"/>
      <c r="H217" s="35">
        <f>IF(L217=0,"",ROUND(E217/(1+M217),2))</f>
      </c>
      <c r="I217" s="35">
        <f>IF(L217=0,"",E217-H217)</f>
      </c>
      <c r="J217" s="36">
        <f>IF(R217="","",LEFT(R217,LEN(R217)-2))</f>
      </c>
      <c r="K217" s="1"/>
      <c r="L217" s="1">
        <f>IF(OR(R217&lt;&gt;"",NOT(ISNUMBER(A217))),0,MONTH(A217))</f>
      </c>
      <c r="M217" s="1">
        <f>IF(F217="19 %",0.19,IF(F217="7 %",0.07,0))</f>
      </c>
      <c r="N217" s="1">
        <f>IF(G217="Firma",0,1)</f>
      </c>
      <c r="O217" s="1">
        <f>IF(L217=0,0,N217*E217)</f>
      </c>
      <c r="P217" s="1">
        <f>IF(L217=0,0,N217*ROUND(E217/(1+M217),2))</f>
      </c>
      <c r="Q217" s="1">
        <f>O217-P217</f>
      </c>
      <c r="R217" s="1">
        <f>IF(AND(A217="",E217="",C217="",D217=""),"",IF(NOT(ISNUMBER(A217)),"Datum fehlt; ",IF(YEAR(A217)&lt;&gt;Jahr,"Datum nicht in "&amp;Jahr&amp;"; ",""))&amp;IF(N(E217)=0,"Betrag fehlt; ","")&amp;IF(C217="","Kostenart fehlt; ","")&amp;IF(AND(N(E217)&lt;&gt;0,F217=""),"USt-Satz fehlt; ",""))</f>
      </c>
    </row>
    <row r="218" spans="1:18" x14ac:dyDescent="0.25">
      <c r="A218" s="33"/>
      <c r="B218" s="7"/>
      <c r="C218" s="7"/>
      <c r="D218" s="7"/>
      <c r="E218" s="34"/>
      <c r="F218" s="7"/>
      <c r="G218" s="7"/>
      <c r="H218" s="35">
        <f>IF(L218=0,"",ROUND(E218/(1+M218),2))</f>
      </c>
      <c r="I218" s="35">
        <f>IF(L218=0,"",E218-H218)</f>
      </c>
      <c r="J218" s="36">
        <f>IF(R218="","",LEFT(R218,LEN(R218)-2))</f>
      </c>
      <c r="K218" s="1"/>
      <c r="L218" s="1">
        <f>IF(OR(R218&lt;&gt;"",NOT(ISNUMBER(A218))),0,MONTH(A218))</f>
      </c>
      <c r="M218" s="1">
        <f>IF(F218="19 %",0.19,IF(F218="7 %",0.07,0))</f>
      </c>
      <c r="N218" s="1">
        <f>IF(G218="Firma",0,1)</f>
      </c>
      <c r="O218" s="1">
        <f>IF(L218=0,0,N218*E218)</f>
      </c>
      <c r="P218" s="1">
        <f>IF(L218=0,0,N218*ROUND(E218/(1+M218),2))</f>
      </c>
      <c r="Q218" s="1">
        <f>O218-P218</f>
      </c>
      <c r="R218" s="1">
        <f>IF(AND(A218="",E218="",C218="",D218=""),"",IF(NOT(ISNUMBER(A218)),"Datum fehlt; ",IF(YEAR(A218)&lt;&gt;Jahr,"Datum nicht in "&amp;Jahr&amp;"; ",""))&amp;IF(N(E218)=0,"Betrag fehlt; ","")&amp;IF(C218="","Kostenart fehlt; ","")&amp;IF(AND(N(E218)&lt;&gt;0,F218=""),"USt-Satz fehlt; ",""))</f>
      </c>
    </row>
    <row r="219" spans="1:18" x14ac:dyDescent="0.25">
      <c r="A219" s="33"/>
      <c r="B219" s="7"/>
      <c r="C219" s="7"/>
      <c r="D219" s="7"/>
      <c r="E219" s="34"/>
      <c r="F219" s="7"/>
      <c r="G219" s="7"/>
      <c r="H219" s="35">
        <f>IF(L219=0,"",ROUND(E219/(1+M219),2))</f>
      </c>
      <c r="I219" s="35">
        <f>IF(L219=0,"",E219-H219)</f>
      </c>
      <c r="J219" s="36">
        <f>IF(R219="","",LEFT(R219,LEN(R219)-2))</f>
      </c>
      <c r="K219" s="1"/>
      <c r="L219" s="1">
        <f>IF(OR(R219&lt;&gt;"",NOT(ISNUMBER(A219))),0,MONTH(A219))</f>
      </c>
      <c r="M219" s="1">
        <f>IF(F219="19 %",0.19,IF(F219="7 %",0.07,0))</f>
      </c>
      <c r="N219" s="1">
        <f>IF(G219="Firma",0,1)</f>
      </c>
      <c r="O219" s="1">
        <f>IF(L219=0,0,N219*E219)</f>
      </c>
      <c r="P219" s="1">
        <f>IF(L219=0,0,N219*ROUND(E219/(1+M219),2))</f>
      </c>
      <c r="Q219" s="1">
        <f>O219-P219</f>
      </c>
      <c r="R219" s="1">
        <f>IF(AND(A219="",E219="",C219="",D219=""),"",IF(NOT(ISNUMBER(A219)),"Datum fehlt; ",IF(YEAR(A219)&lt;&gt;Jahr,"Datum nicht in "&amp;Jahr&amp;"; ",""))&amp;IF(N(E219)=0,"Betrag fehlt; ","")&amp;IF(C219="","Kostenart fehlt; ","")&amp;IF(AND(N(E219)&lt;&gt;0,F219=""),"USt-Satz fehlt; ",""))</f>
      </c>
    </row>
    <row r="220" spans="1:18" x14ac:dyDescent="0.25">
      <c r="A220" s="33"/>
      <c r="B220" s="7"/>
      <c r="C220" s="7"/>
      <c r="D220" s="7"/>
      <c r="E220" s="34"/>
      <c r="F220" s="7"/>
      <c r="G220" s="7"/>
      <c r="H220" s="35">
        <f>IF(L220=0,"",ROUND(E220/(1+M220),2))</f>
      </c>
      <c r="I220" s="35">
        <f>IF(L220=0,"",E220-H220)</f>
      </c>
      <c r="J220" s="36">
        <f>IF(R220="","",LEFT(R220,LEN(R220)-2))</f>
      </c>
      <c r="K220" s="1"/>
      <c r="L220" s="1">
        <f>IF(OR(R220&lt;&gt;"",NOT(ISNUMBER(A220))),0,MONTH(A220))</f>
      </c>
      <c r="M220" s="1">
        <f>IF(F220="19 %",0.19,IF(F220="7 %",0.07,0))</f>
      </c>
      <c r="N220" s="1">
        <f>IF(G220="Firma",0,1)</f>
      </c>
      <c r="O220" s="1">
        <f>IF(L220=0,0,N220*E220)</f>
      </c>
      <c r="P220" s="1">
        <f>IF(L220=0,0,N220*ROUND(E220/(1+M220),2))</f>
      </c>
      <c r="Q220" s="1">
        <f>O220-P220</f>
      </c>
      <c r="R220" s="1">
        <f>IF(AND(A220="",E220="",C220="",D220=""),"",IF(NOT(ISNUMBER(A220)),"Datum fehlt; ",IF(YEAR(A220)&lt;&gt;Jahr,"Datum nicht in "&amp;Jahr&amp;"; ",""))&amp;IF(N(E220)=0,"Betrag fehlt; ","")&amp;IF(C220="","Kostenart fehlt; ","")&amp;IF(AND(N(E220)&lt;&gt;0,F220=""),"USt-Satz fehlt; ",""))</f>
      </c>
    </row>
    <row r="221" spans="1:18" x14ac:dyDescent="0.25">
      <c r="A221" s="33"/>
      <c r="B221" s="7"/>
      <c r="C221" s="7"/>
      <c r="D221" s="7"/>
      <c r="E221" s="34"/>
      <c r="F221" s="7"/>
      <c r="G221" s="7"/>
      <c r="H221" s="35">
        <f>IF(L221=0,"",ROUND(E221/(1+M221),2))</f>
      </c>
      <c r="I221" s="35">
        <f>IF(L221=0,"",E221-H221)</f>
      </c>
      <c r="J221" s="36">
        <f>IF(R221="","",LEFT(R221,LEN(R221)-2))</f>
      </c>
      <c r="K221" s="1"/>
      <c r="L221" s="1">
        <f>IF(OR(R221&lt;&gt;"",NOT(ISNUMBER(A221))),0,MONTH(A221))</f>
      </c>
      <c r="M221" s="1">
        <f>IF(F221="19 %",0.19,IF(F221="7 %",0.07,0))</f>
      </c>
      <c r="N221" s="1">
        <f>IF(G221="Firma",0,1)</f>
      </c>
      <c r="O221" s="1">
        <f>IF(L221=0,0,N221*E221)</f>
      </c>
      <c r="P221" s="1">
        <f>IF(L221=0,0,N221*ROUND(E221/(1+M221),2))</f>
      </c>
      <c r="Q221" s="1">
        <f>O221-P221</f>
      </c>
      <c r="R221" s="1">
        <f>IF(AND(A221="",E221="",C221="",D221=""),"",IF(NOT(ISNUMBER(A221)),"Datum fehlt; ",IF(YEAR(A221)&lt;&gt;Jahr,"Datum nicht in "&amp;Jahr&amp;"; ",""))&amp;IF(N(E221)=0,"Betrag fehlt; ","")&amp;IF(C221="","Kostenart fehlt; ","")&amp;IF(AND(N(E221)&lt;&gt;0,F221=""),"USt-Satz fehlt; ",""))</f>
      </c>
    </row>
    <row r="222" spans="1:18" x14ac:dyDescent="0.25">
      <c r="A222" s="33"/>
      <c r="B222" s="7"/>
      <c r="C222" s="7"/>
      <c r="D222" s="7"/>
      <c r="E222" s="34"/>
      <c r="F222" s="7"/>
      <c r="G222" s="7"/>
      <c r="H222" s="35">
        <f>IF(L222=0,"",ROUND(E222/(1+M222),2))</f>
      </c>
      <c r="I222" s="35">
        <f>IF(L222=0,"",E222-H222)</f>
      </c>
      <c r="J222" s="36">
        <f>IF(R222="","",LEFT(R222,LEN(R222)-2))</f>
      </c>
      <c r="K222" s="1"/>
      <c r="L222" s="1">
        <f>IF(OR(R222&lt;&gt;"",NOT(ISNUMBER(A222))),0,MONTH(A222))</f>
      </c>
      <c r="M222" s="1">
        <f>IF(F222="19 %",0.19,IF(F222="7 %",0.07,0))</f>
      </c>
      <c r="N222" s="1">
        <f>IF(G222="Firma",0,1)</f>
      </c>
      <c r="O222" s="1">
        <f>IF(L222=0,0,N222*E222)</f>
      </c>
      <c r="P222" s="1">
        <f>IF(L222=0,0,N222*ROUND(E222/(1+M222),2))</f>
      </c>
      <c r="Q222" s="1">
        <f>O222-P222</f>
      </c>
      <c r="R222" s="1">
        <f>IF(AND(A222="",E222="",C222="",D222=""),"",IF(NOT(ISNUMBER(A222)),"Datum fehlt; ",IF(YEAR(A222)&lt;&gt;Jahr,"Datum nicht in "&amp;Jahr&amp;"; ",""))&amp;IF(N(E222)=0,"Betrag fehlt; ","")&amp;IF(C222="","Kostenart fehlt; ","")&amp;IF(AND(N(E222)&lt;&gt;0,F222=""),"USt-Satz fehlt; ",""))</f>
      </c>
    </row>
    <row r="223" spans="1:18" x14ac:dyDescent="0.25">
      <c r="A223" s="33"/>
      <c r="B223" s="7"/>
      <c r="C223" s="7"/>
      <c r="D223" s="7"/>
      <c r="E223" s="34"/>
      <c r="F223" s="7"/>
      <c r="G223" s="7"/>
      <c r="H223" s="35">
        <f>IF(L223=0,"",ROUND(E223/(1+M223),2))</f>
      </c>
      <c r="I223" s="35">
        <f>IF(L223=0,"",E223-H223)</f>
      </c>
      <c r="J223" s="36">
        <f>IF(R223="","",LEFT(R223,LEN(R223)-2))</f>
      </c>
      <c r="K223" s="1"/>
      <c r="L223" s="1">
        <f>IF(OR(R223&lt;&gt;"",NOT(ISNUMBER(A223))),0,MONTH(A223))</f>
      </c>
      <c r="M223" s="1">
        <f>IF(F223="19 %",0.19,IF(F223="7 %",0.07,0))</f>
      </c>
      <c r="N223" s="1">
        <f>IF(G223="Firma",0,1)</f>
      </c>
      <c r="O223" s="1">
        <f>IF(L223=0,0,N223*E223)</f>
      </c>
      <c r="P223" s="1">
        <f>IF(L223=0,0,N223*ROUND(E223/(1+M223),2))</f>
      </c>
      <c r="Q223" s="1">
        <f>O223-P223</f>
      </c>
      <c r="R223" s="1">
        <f>IF(AND(A223="",E223="",C223="",D223=""),"",IF(NOT(ISNUMBER(A223)),"Datum fehlt; ",IF(YEAR(A223)&lt;&gt;Jahr,"Datum nicht in "&amp;Jahr&amp;"; ",""))&amp;IF(N(E223)=0,"Betrag fehlt; ","")&amp;IF(C223="","Kostenart fehlt; ","")&amp;IF(AND(N(E223)&lt;&gt;0,F223=""),"USt-Satz fehlt; ",""))</f>
      </c>
    </row>
    <row r="224" spans="1:18" x14ac:dyDescent="0.25">
      <c r="A224" s="33"/>
      <c r="B224" s="7"/>
      <c r="C224" s="7"/>
      <c r="D224" s="7"/>
      <c r="E224" s="34"/>
      <c r="F224" s="7"/>
      <c r="G224" s="7"/>
      <c r="H224" s="35">
        <f>IF(L224=0,"",ROUND(E224/(1+M224),2))</f>
      </c>
      <c r="I224" s="35">
        <f>IF(L224=0,"",E224-H224)</f>
      </c>
      <c r="J224" s="36">
        <f>IF(R224="","",LEFT(R224,LEN(R224)-2))</f>
      </c>
      <c r="K224" s="1"/>
      <c r="L224" s="1">
        <f>IF(OR(R224&lt;&gt;"",NOT(ISNUMBER(A224))),0,MONTH(A224))</f>
      </c>
      <c r="M224" s="1">
        <f>IF(F224="19 %",0.19,IF(F224="7 %",0.07,0))</f>
      </c>
      <c r="N224" s="1">
        <f>IF(G224="Firma",0,1)</f>
      </c>
      <c r="O224" s="1">
        <f>IF(L224=0,0,N224*E224)</f>
      </c>
      <c r="P224" s="1">
        <f>IF(L224=0,0,N224*ROUND(E224/(1+M224),2))</f>
      </c>
      <c r="Q224" s="1">
        <f>O224-P224</f>
      </c>
      <c r="R224" s="1">
        <f>IF(AND(A224="",E224="",C224="",D224=""),"",IF(NOT(ISNUMBER(A224)),"Datum fehlt; ",IF(YEAR(A224)&lt;&gt;Jahr,"Datum nicht in "&amp;Jahr&amp;"; ",""))&amp;IF(N(E224)=0,"Betrag fehlt; ","")&amp;IF(C224="","Kostenart fehlt; ","")&amp;IF(AND(N(E224)&lt;&gt;0,F224=""),"USt-Satz fehlt; ",""))</f>
      </c>
    </row>
    <row r="225" spans="1:18" x14ac:dyDescent="0.25">
      <c r="A225" s="33"/>
      <c r="B225" s="7"/>
      <c r="C225" s="7"/>
      <c r="D225" s="7"/>
      <c r="E225" s="34"/>
      <c r="F225" s="7"/>
      <c r="G225" s="7"/>
      <c r="H225" s="35">
        <f>IF(L225=0,"",ROUND(E225/(1+M225),2))</f>
      </c>
      <c r="I225" s="35">
        <f>IF(L225=0,"",E225-H225)</f>
      </c>
      <c r="J225" s="36">
        <f>IF(R225="","",LEFT(R225,LEN(R225)-2))</f>
      </c>
      <c r="K225" s="1"/>
      <c r="L225" s="1">
        <f>IF(OR(R225&lt;&gt;"",NOT(ISNUMBER(A225))),0,MONTH(A225))</f>
      </c>
      <c r="M225" s="1">
        <f>IF(F225="19 %",0.19,IF(F225="7 %",0.07,0))</f>
      </c>
      <c r="N225" s="1">
        <f>IF(G225="Firma",0,1)</f>
      </c>
      <c r="O225" s="1">
        <f>IF(L225=0,0,N225*E225)</f>
      </c>
      <c r="P225" s="1">
        <f>IF(L225=0,0,N225*ROUND(E225/(1+M225),2))</f>
      </c>
      <c r="Q225" s="1">
        <f>O225-P225</f>
      </c>
      <c r="R225" s="1">
        <f>IF(AND(A225="",E225="",C225="",D225=""),"",IF(NOT(ISNUMBER(A225)),"Datum fehlt; ",IF(YEAR(A225)&lt;&gt;Jahr,"Datum nicht in "&amp;Jahr&amp;"; ",""))&amp;IF(N(E225)=0,"Betrag fehlt; ","")&amp;IF(C225="","Kostenart fehlt; ","")&amp;IF(AND(N(E225)&lt;&gt;0,F225=""),"USt-Satz fehlt; ",""))</f>
      </c>
    </row>
    <row r="226" spans="1:18" x14ac:dyDescent="0.25">
      <c r="A226" s="33"/>
      <c r="B226" s="7"/>
      <c r="C226" s="7"/>
      <c r="D226" s="7"/>
      <c r="E226" s="34"/>
      <c r="F226" s="7"/>
      <c r="G226" s="7"/>
      <c r="H226" s="35">
        <f>IF(L226=0,"",ROUND(E226/(1+M226),2))</f>
      </c>
      <c r="I226" s="35">
        <f>IF(L226=0,"",E226-H226)</f>
      </c>
      <c r="J226" s="36">
        <f>IF(R226="","",LEFT(R226,LEN(R226)-2))</f>
      </c>
      <c r="K226" s="1"/>
      <c r="L226" s="1">
        <f>IF(OR(R226&lt;&gt;"",NOT(ISNUMBER(A226))),0,MONTH(A226))</f>
      </c>
      <c r="M226" s="1">
        <f>IF(F226="19 %",0.19,IF(F226="7 %",0.07,0))</f>
      </c>
      <c r="N226" s="1">
        <f>IF(G226="Firma",0,1)</f>
      </c>
      <c r="O226" s="1">
        <f>IF(L226=0,0,N226*E226)</f>
      </c>
      <c r="P226" s="1">
        <f>IF(L226=0,0,N226*ROUND(E226/(1+M226),2))</f>
      </c>
      <c r="Q226" s="1">
        <f>O226-P226</f>
      </c>
      <c r="R226" s="1">
        <f>IF(AND(A226="",E226="",C226="",D226=""),"",IF(NOT(ISNUMBER(A226)),"Datum fehlt; ",IF(YEAR(A226)&lt;&gt;Jahr,"Datum nicht in "&amp;Jahr&amp;"; ",""))&amp;IF(N(E226)=0,"Betrag fehlt; ","")&amp;IF(C226="","Kostenart fehlt; ","")&amp;IF(AND(N(E226)&lt;&gt;0,F226=""),"USt-Satz fehlt; ",""))</f>
      </c>
    </row>
    <row r="227" spans="1:18" x14ac:dyDescent="0.25">
      <c r="A227" s="33"/>
      <c r="B227" s="7"/>
      <c r="C227" s="7"/>
      <c r="D227" s="7"/>
      <c r="E227" s="34"/>
      <c r="F227" s="7"/>
      <c r="G227" s="7"/>
      <c r="H227" s="35">
        <f>IF(L227=0,"",ROUND(E227/(1+M227),2))</f>
      </c>
      <c r="I227" s="35">
        <f>IF(L227=0,"",E227-H227)</f>
      </c>
      <c r="J227" s="36">
        <f>IF(R227="","",LEFT(R227,LEN(R227)-2))</f>
      </c>
      <c r="K227" s="1"/>
      <c r="L227" s="1">
        <f>IF(OR(R227&lt;&gt;"",NOT(ISNUMBER(A227))),0,MONTH(A227))</f>
      </c>
      <c r="M227" s="1">
        <f>IF(F227="19 %",0.19,IF(F227="7 %",0.07,0))</f>
      </c>
      <c r="N227" s="1">
        <f>IF(G227="Firma",0,1)</f>
      </c>
      <c r="O227" s="1">
        <f>IF(L227=0,0,N227*E227)</f>
      </c>
      <c r="P227" s="1">
        <f>IF(L227=0,0,N227*ROUND(E227/(1+M227),2))</f>
      </c>
      <c r="Q227" s="1">
        <f>O227-P227</f>
      </c>
      <c r="R227" s="1">
        <f>IF(AND(A227="",E227="",C227="",D227=""),"",IF(NOT(ISNUMBER(A227)),"Datum fehlt; ",IF(YEAR(A227)&lt;&gt;Jahr,"Datum nicht in "&amp;Jahr&amp;"; ",""))&amp;IF(N(E227)=0,"Betrag fehlt; ","")&amp;IF(C227="","Kostenart fehlt; ","")&amp;IF(AND(N(E227)&lt;&gt;0,F227=""),"USt-Satz fehlt; ",""))</f>
      </c>
    </row>
    <row r="228" spans="1:18" x14ac:dyDescent="0.25">
      <c r="A228" s="33"/>
      <c r="B228" s="7"/>
      <c r="C228" s="7"/>
      <c r="D228" s="7"/>
      <c r="E228" s="34"/>
      <c r="F228" s="7"/>
      <c r="G228" s="7"/>
      <c r="H228" s="35">
        <f>IF(L228=0,"",ROUND(E228/(1+M228),2))</f>
      </c>
      <c r="I228" s="35">
        <f>IF(L228=0,"",E228-H228)</f>
      </c>
      <c r="J228" s="36">
        <f>IF(R228="","",LEFT(R228,LEN(R228)-2))</f>
      </c>
      <c r="K228" s="1"/>
      <c r="L228" s="1">
        <f>IF(OR(R228&lt;&gt;"",NOT(ISNUMBER(A228))),0,MONTH(A228))</f>
      </c>
      <c r="M228" s="1">
        <f>IF(F228="19 %",0.19,IF(F228="7 %",0.07,0))</f>
      </c>
      <c r="N228" s="1">
        <f>IF(G228="Firma",0,1)</f>
      </c>
      <c r="O228" s="1">
        <f>IF(L228=0,0,N228*E228)</f>
      </c>
      <c r="P228" s="1">
        <f>IF(L228=0,0,N228*ROUND(E228/(1+M228),2))</f>
      </c>
      <c r="Q228" s="1">
        <f>O228-P228</f>
      </c>
      <c r="R228" s="1">
        <f>IF(AND(A228="",E228="",C228="",D228=""),"",IF(NOT(ISNUMBER(A228)),"Datum fehlt; ",IF(YEAR(A228)&lt;&gt;Jahr,"Datum nicht in "&amp;Jahr&amp;"; ",""))&amp;IF(N(E228)=0,"Betrag fehlt; ","")&amp;IF(C228="","Kostenart fehlt; ","")&amp;IF(AND(N(E228)&lt;&gt;0,F228=""),"USt-Satz fehlt; ",""))</f>
      </c>
    </row>
    <row r="229" spans="1:18" x14ac:dyDescent="0.25">
      <c r="A229" s="33"/>
      <c r="B229" s="7"/>
      <c r="C229" s="7"/>
      <c r="D229" s="7"/>
      <c r="E229" s="34"/>
      <c r="F229" s="7"/>
      <c r="G229" s="7"/>
      <c r="H229" s="35">
        <f>IF(L229=0,"",ROUND(E229/(1+M229),2))</f>
      </c>
      <c r="I229" s="35">
        <f>IF(L229=0,"",E229-H229)</f>
      </c>
      <c r="J229" s="36">
        <f>IF(R229="","",LEFT(R229,LEN(R229)-2))</f>
      </c>
      <c r="K229" s="1"/>
      <c r="L229" s="1">
        <f>IF(OR(R229&lt;&gt;"",NOT(ISNUMBER(A229))),0,MONTH(A229))</f>
      </c>
      <c r="M229" s="1">
        <f>IF(F229="19 %",0.19,IF(F229="7 %",0.07,0))</f>
      </c>
      <c r="N229" s="1">
        <f>IF(G229="Firma",0,1)</f>
      </c>
      <c r="O229" s="1">
        <f>IF(L229=0,0,N229*E229)</f>
      </c>
      <c r="P229" s="1">
        <f>IF(L229=0,0,N229*ROUND(E229/(1+M229),2))</f>
      </c>
      <c r="Q229" s="1">
        <f>O229-P229</f>
      </c>
      <c r="R229" s="1">
        <f>IF(AND(A229="",E229="",C229="",D229=""),"",IF(NOT(ISNUMBER(A229)),"Datum fehlt; ",IF(YEAR(A229)&lt;&gt;Jahr,"Datum nicht in "&amp;Jahr&amp;"; ",""))&amp;IF(N(E229)=0,"Betrag fehlt; ","")&amp;IF(C229="","Kostenart fehlt; ","")&amp;IF(AND(N(E229)&lt;&gt;0,F229=""),"USt-Satz fehlt; ",""))</f>
      </c>
    </row>
    <row r="230" spans="1:18" x14ac:dyDescent="0.25">
      <c r="A230" s="33"/>
      <c r="B230" s="7"/>
      <c r="C230" s="7"/>
      <c r="D230" s="7"/>
      <c r="E230" s="34"/>
      <c r="F230" s="7"/>
      <c r="G230" s="7"/>
      <c r="H230" s="35">
        <f>IF(L230=0,"",ROUND(E230/(1+M230),2))</f>
      </c>
      <c r="I230" s="35">
        <f>IF(L230=0,"",E230-H230)</f>
      </c>
      <c r="J230" s="36">
        <f>IF(R230="","",LEFT(R230,LEN(R230)-2))</f>
      </c>
      <c r="K230" s="1"/>
      <c r="L230" s="1">
        <f>IF(OR(R230&lt;&gt;"",NOT(ISNUMBER(A230))),0,MONTH(A230))</f>
      </c>
      <c r="M230" s="1">
        <f>IF(F230="19 %",0.19,IF(F230="7 %",0.07,0))</f>
      </c>
      <c r="N230" s="1">
        <f>IF(G230="Firma",0,1)</f>
      </c>
      <c r="O230" s="1">
        <f>IF(L230=0,0,N230*E230)</f>
      </c>
      <c r="P230" s="1">
        <f>IF(L230=0,0,N230*ROUND(E230/(1+M230),2))</f>
      </c>
      <c r="Q230" s="1">
        <f>O230-P230</f>
      </c>
      <c r="R230" s="1">
        <f>IF(AND(A230="",E230="",C230="",D230=""),"",IF(NOT(ISNUMBER(A230)),"Datum fehlt; ",IF(YEAR(A230)&lt;&gt;Jahr,"Datum nicht in "&amp;Jahr&amp;"; ",""))&amp;IF(N(E230)=0,"Betrag fehlt; ","")&amp;IF(C230="","Kostenart fehlt; ","")&amp;IF(AND(N(E230)&lt;&gt;0,F230=""),"USt-Satz fehlt; ",""))</f>
      </c>
    </row>
    <row r="231" spans="1:18" x14ac:dyDescent="0.25">
      <c r="A231" s="33"/>
      <c r="B231" s="7"/>
      <c r="C231" s="7"/>
      <c r="D231" s="7"/>
      <c r="E231" s="34"/>
      <c r="F231" s="7"/>
      <c r="G231" s="7"/>
      <c r="H231" s="35">
        <f>IF(L231=0,"",ROUND(E231/(1+M231),2))</f>
      </c>
      <c r="I231" s="35">
        <f>IF(L231=0,"",E231-H231)</f>
      </c>
      <c r="J231" s="36">
        <f>IF(R231="","",LEFT(R231,LEN(R231)-2))</f>
      </c>
      <c r="K231" s="1"/>
      <c r="L231" s="1">
        <f>IF(OR(R231&lt;&gt;"",NOT(ISNUMBER(A231))),0,MONTH(A231))</f>
      </c>
      <c r="M231" s="1">
        <f>IF(F231="19 %",0.19,IF(F231="7 %",0.07,0))</f>
      </c>
      <c r="N231" s="1">
        <f>IF(G231="Firma",0,1)</f>
      </c>
      <c r="O231" s="1">
        <f>IF(L231=0,0,N231*E231)</f>
      </c>
      <c r="P231" s="1">
        <f>IF(L231=0,0,N231*ROUND(E231/(1+M231),2))</f>
      </c>
      <c r="Q231" s="1">
        <f>O231-P231</f>
      </c>
      <c r="R231" s="1">
        <f>IF(AND(A231="",E231="",C231="",D231=""),"",IF(NOT(ISNUMBER(A231)),"Datum fehlt; ",IF(YEAR(A231)&lt;&gt;Jahr,"Datum nicht in "&amp;Jahr&amp;"; ",""))&amp;IF(N(E231)=0,"Betrag fehlt; ","")&amp;IF(C231="","Kostenart fehlt; ","")&amp;IF(AND(N(E231)&lt;&gt;0,F231=""),"USt-Satz fehlt; ",""))</f>
      </c>
    </row>
    <row r="232" spans="1:18" x14ac:dyDescent="0.25">
      <c r="A232" s="33"/>
      <c r="B232" s="7"/>
      <c r="C232" s="7"/>
      <c r="D232" s="7"/>
      <c r="E232" s="34"/>
      <c r="F232" s="7"/>
      <c r="G232" s="7"/>
      <c r="H232" s="35">
        <f>IF(L232=0,"",ROUND(E232/(1+M232),2))</f>
      </c>
      <c r="I232" s="35">
        <f>IF(L232=0,"",E232-H232)</f>
      </c>
      <c r="J232" s="36">
        <f>IF(R232="","",LEFT(R232,LEN(R232)-2))</f>
      </c>
      <c r="K232" s="1"/>
      <c r="L232" s="1">
        <f>IF(OR(R232&lt;&gt;"",NOT(ISNUMBER(A232))),0,MONTH(A232))</f>
      </c>
      <c r="M232" s="1">
        <f>IF(F232="19 %",0.19,IF(F232="7 %",0.07,0))</f>
      </c>
      <c r="N232" s="1">
        <f>IF(G232="Firma",0,1)</f>
      </c>
      <c r="O232" s="1">
        <f>IF(L232=0,0,N232*E232)</f>
      </c>
      <c r="P232" s="1">
        <f>IF(L232=0,0,N232*ROUND(E232/(1+M232),2))</f>
      </c>
      <c r="Q232" s="1">
        <f>O232-P232</f>
      </c>
      <c r="R232" s="1">
        <f>IF(AND(A232="",E232="",C232="",D232=""),"",IF(NOT(ISNUMBER(A232)),"Datum fehlt; ",IF(YEAR(A232)&lt;&gt;Jahr,"Datum nicht in "&amp;Jahr&amp;"; ",""))&amp;IF(N(E232)=0,"Betrag fehlt; ","")&amp;IF(C232="","Kostenart fehlt; ","")&amp;IF(AND(N(E232)&lt;&gt;0,F232=""),"USt-Satz fehlt; ",""))</f>
      </c>
    </row>
    <row r="233" spans="1:18" x14ac:dyDescent="0.25">
      <c r="A233" s="33"/>
      <c r="B233" s="7"/>
      <c r="C233" s="7"/>
      <c r="D233" s="7"/>
      <c r="E233" s="34"/>
      <c r="F233" s="7"/>
      <c r="G233" s="7"/>
      <c r="H233" s="35">
        <f>IF(L233=0,"",ROUND(E233/(1+M233),2))</f>
      </c>
      <c r="I233" s="35">
        <f>IF(L233=0,"",E233-H233)</f>
      </c>
      <c r="J233" s="36">
        <f>IF(R233="","",LEFT(R233,LEN(R233)-2))</f>
      </c>
      <c r="K233" s="1"/>
      <c r="L233" s="1">
        <f>IF(OR(R233&lt;&gt;"",NOT(ISNUMBER(A233))),0,MONTH(A233))</f>
      </c>
      <c r="M233" s="1">
        <f>IF(F233="19 %",0.19,IF(F233="7 %",0.07,0))</f>
      </c>
      <c r="N233" s="1">
        <f>IF(G233="Firma",0,1)</f>
      </c>
      <c r="O233" s="1">
        <f>IF(L233=0,0,N233*E233)</f>
      </c>
      <c r="P233" s="1">
        <f>IF(L233=0,0,N233*ROUND(E233/(1+M233),2))</f>
      </c>
      <c r="Q233" s="1">
        <f>O233-P233</f>
      </c>
      <c r="R233" s="1">
        <f>IF(AND(A233="",E233="",C233="",D233=""),"",IF(NOT(ISNUMBER(A233)),"Datum fehlt; ",IF(YEAR(A233)&lt;&gt;Jahr,"Datum nicht in "&amp;Jahr&amp;"; ",""))&amp;IF(N(E233)=0,"Betrag fehlt; ","")&amp;IF(C233="","Kostenart fehlt; ","")&amp;IF(AND(N(E233)&lt;&gt;0,F233=""),"USt-Satz fehlt; ",""))</f>
      </c>
    </row>
    <row r="234" spans="1:18" x14ac:dyDescent="0.25">
      <c r="A234" s="33"/>
      <c r="B234" s="7"/>
      <c r="C234" s="7"/>
      <c r="D234" s="7"/>
      <c r="E234" s="34"/>
      <c r="F234" s="7"/>
      <c r="G234" s="7"/>
      <c r="H234" s="35">
        <f>IF(L234=0,"",ROUND(E234/(1+M234),2))</f>
      </c>
      <c r="I234" s="35">
        <f>IF(L234=0,"",E234-H234)</f>
      </c>
      <c r="J234" s="36">
        <f>IF(R234="","",LEFT(R234,LEN(R234)-2))</f>
      </c>
      <c r="K234" s="1"/>
      <c r="L234" s="1">
        <f>IF(OR(R234&lt;&gt;"",NOT(ISNUMBER(A234))),0,MONTH(A234))</f>
      </c>
      <c r="M234" s="1">
        <f>IF(F234="19 %",0.19,IF(F234="7 %",0.07,0))</f>
      </c>
      <c r="N234" s="1">
        <f>IF(G234="Firma",0,1)</f>
      </c>
      <c r="O234" s="1">
        <f>IF(L234=0,0,N234*E234)</f>
      </c>
      <c r="P234" s="1">
        <f>IF(L234=0,0,N234*ROUND(E234/(1+M234),2))</f>
      </c>
      <c r="Q234" s="1">
        <f>O234-P234</f>
      </c>
      <c r="R234" s="1">
        <f>IF(AND(A234="",E234="",C234="",D234=""),"",IF(NOT(ISNUMBER(A234)),"Datum fehlt; ",IF(YEAR(A234)&lt;&gt;Jahr,"Datum nicht in "&amp;Jahr&amp;"; ",""))&amp;IF(N(E234)=0,"Betrag fehlt; ","")&amp;IF(C234="","Kostenart fehlt; ","")&amp;IF(AND(N(E234)&lt;&gt;0,F234=""),"USt-Satz fehlt; ",""))</f>
      </c>
    </row>
    <row r="235" spans="1:18" x14ac:dyDescent="0.25">
      <c r="A235" s="33"/>
      <c r="B235" s="7"/>
      <c r="C235" s="7"/>
      <c r="D235" s="7"/>
      <c r="E235" s="34"/>
      <c r="F235" s="7"/>
      <c r="G235" s="7"/>
      <c r="H235" s="35">
        <f>IF(L235=0,"",ROUND(E235/(1+M235),2))</f>
      </c>
      <c r="I235" s="35">
        <f>IF(L235=0,"",E235-H235)</f>
      </c>
      <c r="J235" s="36">
        <f>IF(R235="","",LEFT(R235,LEN(R235)-2))</f>
      </c>
      <c r="K235" s="1"/>
      <c r="L235" s="1">
        <f>IF(OR(R235&lt;&gt;"",NOT(ISNUMBER(A235))),0,MONTH(A235))</f>
      </c>
      <c r="M235" s="1">
        <f>IF(F235="19 %",0.19,IF(F235="7 %",0.07,0))</f>
      </c>
      <c r="N235" s="1">
        <f>IF(G235="Firma",0,1)</f>
      </c>
      <c r="O235" s="1">
        <f>IF(L235=0,0,N235*E235)</f>
      </c>
      <c r="P235" s="1">
        <f>IF(L235=0,0,N235*ROUND(E235/(1+M235),2))</f>
      </c>
      <c r="Q235" s="1">
        <f>O235-P235</f>
      </c>
      <c r="R235" s="1">
        <f>IF(AND(A235="",E235="",C235="",D235=""),"",IF(NOT(ISNUMBER(A235)),"Datum fehlt; ",IF(YEAR(A235)&lt;&gt;Jahr,"Datum nicht in "&amp;Jahr&amp;"; ",""))&amp;IF(N(E235)=0,"Betrag fehlt; ","")&amp;IF(C235="","Kostenart fehlt; ","")&amp;IF(AND(N(E235)&lt;&gt;0,F235=""),"USt-Satz fehlt; ",""))</f>
      </c>
    </row>
    <row r="236" spans="1:18" x14ac:dyDescent="0.25">
      <c r="A236" s="33"/>
      <c r="B236" s="7"/>
      <c r="C236" s="7"/>
      <c r="D236" s="7"/>
      <c r="E236" s="34"/>
      <c r="F236" s="7"/>
      <c r="G236" s="7"/>
      <c r="H236" s="35">
        <f>IF(L236=0,"",ROUND(E236/(1+M236),2))</f>
      </c>
      <c r="I236" s="35">
        <f>IF(L236=0,"",E236-H236)</f>
      </c>
      <c r="J236" s="36">
        <f>IF(R236="","",LEFT(R236,LEN(R236)-2))</f>
      </c>
      <c r="K236" s="1"/>
      <c r="L236" s="1">
        <f>IF(OR(R236&lt;&gt;"",NOT(ISNUMBER(A236))),0,MONTH(A236))</f>
      </c>
      <c r="M236" s="1">
        <f>IF(F236="19 %",0.19,IF(F236="7 %",0.07,0))</f>
      </c>
      <c r="N236" s="1">
        <f>IF(G236="Firma",0,1)</f>
      </c>
      <c r="O236" s="1">
        <f>IF(L236=0,0,N236*E236)</f>
      </c>
      <c r="P236" s="1">
        <f>IF(L236=0,0,N236*ROUND(E236/(1+M236),2))</f>
      </c>
      <c r="Q236" s="1">
        <f>O236-P236</f>
      </c>
      <c r="R236" s="1">
        <f>IF(AND(A236="",E236="",C236="",D236=""),"",IF(NOT(ISNUMBER(A236)),"Datum fehlt; ",IF(YEAR(A236)&lt;&gt;Jahr,"Datum nicht in "&amp;Jahr&amp;"; ",""))&amp;IF(N(E236)=0,"Betrag fehlt; ","")&amp;IF(C236="","Kostenart fehlt; ","")&amp;IF(AND(N(E236)&lt;&gt;0,F236=""),"USt-Satz fehlt; ",""))</f>
      </c>
    </row>
    <row r="237" spans="1:18" x14ac:dyDescent="0.25">
      <c r="A237" s="33"/>
      <c r="B237" s="7"/>
      <c r="C237" s="7"/>
      <c r="D237" s="7"/>
      <c r="E237" s="34"/>
      <c r="F237" s="7"/>
      <c r="G237" s="7"/>
      <c r="H237" s="35">
        <f>IF(L237=0,"",ROUND(E237/(1+M237),2))</f>
      </c>
      <c r="I237" s="35">
        <f>IF(L237=0,"",E237-H237)</f>
      </c>
      <c r="J237" s="36">
        <f>IF(R237="","",LEFT(R237,LEN(R237)-2))</f>
      </c>
      <c r="K237" s="1"/>
      <c r="L237" s="1">
        <f>IF(OR(R237&lt;&gt;"",NOT(ISNUMBER(A237))),0,MONTH(A237))</f>
      </c>
      <c r="M237" s="1">
        <f>IF(F237="19 %",0.19,IF(F237="7 %",0.07,0))</f>
      </c>
      <c r="N237" s="1">
        <f>IF(G237="Firma",0,1)</f>
      </c>
      <c r="O237" s="1">
        <f>IF(L237=0,0,N237*E237)</f>
      </c>
      <c r="P237" s="1">
        <f>IF(L237=0,0,N237*ROUND(E237/(1+M237),2))</f>
      </c>
      <c r="Q237" s="1">
        <f>O237-P237</f>
      </c>
      <c r="R237" s="1">
        <f>IF(AND(A237="",E237="",C237="",D237=""),"",IF(NOT(ISNUMBER(A237)),"Datum fehlt; ",IF(YEAR(A237)&lt;&gt;Jahr,"Datum nicht in "&amp;Jahr&amp;"; ",""))&amp;IF(N(E237)=0,"Betrag fehlt; ","")&amp;IF(C237="","Kostenart fehlt; ","")&amp;IF(AND(N(E237)&lt;&gt;0,F237=""),"USt-Satz fehlt; ",""))</f>
      </c>
    </row>
    <row r="238" spans="1:18" x14ac:dyDescent="0.25">
      <c r="A238" s="33"/>
      <c r="B238" s="7"/>
      <c r="C238" s="7"/>
      <c r="D238" s="7"/>
      <c r="E238" s="34"/>
      <c r="F238" s="7"/>
      <c r="G238" s="7"/>
      <c r="H238" s="35">
        <f>IF(L238=0,"",ROUND(E238/(1+M238),2))</f>
      </c>
      <c r="I238" s="35">
        <f>IF(L238=0,"",E238-H238)</f>
      </c>
      <c r="J238" s="36">
        <f>IF(R238="","",LEFT(R238,LEN(R238)-2))</f>
      </c>
      <c r="K238" s="1"/>
      <c r="L238" s="1">
        <f>IF(OR(R238&lt;&gt;"",NOT(ISNUMBER(A238))),0,MONTH(A238))</f>
      </c>
      <c r="M238" s="1">
        <f>IF(F238="19 %",0.19,IF(F238="7 %",0.07,0))</f>
      </c>
      <c r="N238" s="1">
        <f>IF(G238="Firma",0,1)</f>
      </c>
      <c r="O238" s="1">
        <f>IF(L238=0,0,N238*E238)</f>
      </c>
      <c r="P238" s="1">
        <f>IF(L238=0,0,N238*ROUND(E238/(1+M238),2))</f>
      </c>
      <c r="Q238" s="1">
        <f>O238-P238</f>
      </c>
      <c r="R238" s="1">
        <f>IF(AND(A238="",E238="",C238="",D238=""),"",IF(NOT(ISNUMBER(A238)),"Datum fehlt; ",IF(YEAR(A238)&lt;&gt;Jahr,"Datum nicht in "&amp;Jahr&amp;"; ",""))&amp;IF(N(E238)=0,"Betrag fehlt; ","")&amp;IF(C238="","Kostenart fehlt; ","")&amp;IF(AND(N(E238)&lt;&gt;0,F238=""),"USt-Satz fehlt; ",""))</f>
      </c>
    </row>
    <row r="239" spans="1:18" x14ac:dyDescent="0.25">
      <c r="A239" s="33"/>
      <c r="B239" s="7"/>
      <c r="C239" s="7"/>
      <c r="D239" s="7"/>
      <c r="E239" s="34"/>
      <c r="F239" s="7"/>
      <c r="G239" s="7"/>
      <c r="H239" s="35">
        <f>IF(L239=0,"",ROUND(E239/(1+M239),2))</f>
      </c>
      <c r="I239" s="35">
        <f>IF(L239=0,"",E239-H239)</f>
      </c>
      <c r="J239" s="36">
        <f>IF(R239="","",LEFT(R239,LEN(R239)-2))</f>
      </c>
      <c r="K239" s="1"/>
      <c r="L239" s="1">
        <f>IF(OR(R239&lt;&gt;"",NOT(ISNUMBER(A239))),0,MONTH(A239))</f>
      </c>
      <c r="M239" s="1">
        <f>IF(F239="19 %",0.19,IF(F239="7 %",0.07,0))</f>
      </c>
      <c r="N239" s="1">
        <f>IF(G239="Firma",0,1)</f>
      </c>
      <c r="O239" s="1">
        <f>IF(L239=0,0,N239*E239)</f>
      </c>
      <c r="P239" s="1">
        <f>IF(L239=0,0,N239*ROUND(E239/(1+M239),2))</f>
      </c>
      <c r="Q239" s="1">
        <f>O239-P239</f>
      </c>
      <c r="R239" s="1">
        <f>IF(AND(A239="",E239="",C239="",D239=""),"",IF(NOT(ISNUMBER(A239)),"Datum fehlt; ",IF(YEAR(A239)&lt;&gt;Jahr,"Datum nicht in "&amp;Jahr&amp;"; ",""))&amp;IF(N(E239)=0,"Betrag fehlt; ","")&amp;IF(C239="","Kostenart fehlt; ","")&amp;IF(AND(N(E239)&lt;&gt;0,F239=""),"USt-Satz fehlt; ",""))</f>
      </c>
    </row>
    <row r="240" spans="1:18" x14ac:dyDescent="0.25">
      <c r="A240" s="33"/>
      <c r="B240" s="7"/>
      <c r="C240" s="7"/>
      <c r="D240" s="7"/>
      <c r="E240" s="34"/>
      <c r="F240" s="7"/>
      <c r="G240" s="7"/>
      <c r="H240" s="35">
        <f>IF(L240=0,"",ROUND(E240/(1+M240),2))</f>
      </c>
      <c r="I240" s="35">
        <f>IF(L240=0,"",E240-H240)</f>
      </c>
      <c r="J240" s="36">
        <f>IF(R240="","",LEFT(R240,LEN(R240)-2))</f>
      </c>
      <c r="K240" s="1"/>
      <c r="L240" s="1">
        <f>IF(OR(R240&lt;&gt;"",NOT(ISNUMBER(A240))),0,MONTH(A240))</f>
      </c>
      <c r="M240" s="1">
        <f>IF(F240="19 %",0.19,IF(F240="7 %",0.07,0))</f>
      </c>
      <c r="N240" s="1">
        <f>IF(G240="Firma",0,1)</f>
      </c>
      <c r="O240" s="1">
        <f>IF(L240=0,0,N240*E240)</f>
      </c>
      <c r="P240" s="1">
        <f>IF(L240=0,0,N240*ROUND(E240/(1+M240),2))</f>
      </c>
      <c r="Q240" s="1">
        <f>O240-P240</f>
      </c>
      <c r="R240" s="1">
        <f>IF(AND(A240="",E240="",C240="",D240=""),"",IF(NOT(ISNUMBER(A240)),"Datum fehlt; ",IF(YEAR(A240)&lt;&gt;Jahr,"Datum nicht in "&amp;Jahr&amp;"; ",""))&amp;IF(N(E240)=0,"Betrag fehlt; ","")&amp;IF(C240="","Kostenart fehlt; ","")&amp;IF(AND(N(E240)&lt;&gt;0,F240=""),"USt-Satz fehlt; ",""))</f>
      </c>
    </row>
    <row r="241" spans="1:18" x14ac:dyDescent="0.25">
      <c r="A241" s="33"/>
      <c r="B241" s="7"/>
      <c r="C241" s="7"/>
      <c r="D241" s="7"/>
      <c r="E241" s="34"/>
      <c r="F241" s="7"/>
      <c r="G241" s="7"/>
      <c r="H241" s="35">
        <f>IF(L241=0,"",ROUND(E241/(1+M241),2))</f>
      </c>
      <c r="I241" s="35">
        <f>IF(L241=0,"",E241-H241)</f>
      </c>
      <c r="J241" s="36">
        <f>IF(R241="","",LEFT(R241,LEN(R241)-2))</f>
      </c>
      <c r="K241" s="1"/>
      <c r="L241" s="1">
        <f>IF(OR(R241&lt;&gt;"",NOT(ISNUMBER(A241))),0,MONTH(A241))</f>
      </c>
      <c r="M241" s="1">
        <f>IF(F241="19 %",0.19,IF(F241="7 %",0.07,0))</f>
      </c>
      <c r="N241" s="1">
        <f>IF(G241="Firma",0,1)</f>
      </c>
      <c r="O241" s="1">
        <f>IF(L241=0,0,N241*E241)</f>
      </c>
      <c r="P241" s="1">
        <f>IF(L241=0,0,N241*ROUND(E241/(1+M241),2))</f>
      </c>
      <c r="Q241" s="1">
        <f>O241-P241</f>
      </c>
      <c r="R241" s="1">
        <f>IF(AND(A241="",E241="",C241="",D241=""),"",IF(NOT(ISNUMBER(A241)),"Datum fehlt; ",IF(YEAR(A241)&lt;&gt;Jahr,"Datum nicht in "&amp;Jahr&amp;"; ",""))&amp;IF(N(E241)=0,"Betrag fehlt; ","")&amp;IF(C241="","Kostenart fehlt; ","")&amp;IF(AND(N(E241)&lt;&gt;0,F241=""),"USt-Satz fehlt; ",""))</f>
      </c>
    </row>
    <row r="242" spans="1:18" x14ac:dyDescent="0.25">
      <c r="A242" s="33"/>
      <c r="B242" s="7"/>
      <c r="C242" s="7"/>
      <c r="D242" s="7"/>
      <c r="E242" s="34"/>
      <c r="F242" s="7"/>
      <c r="G242" s="7"/>
      <c r="H242" s="35">
        <f>IF(L242=0,"",ROUND(E242/(1+M242),2))</f>
      </c>
      <c r="I242" s="35">
        <f>IF(L242=0,"",E242-H242)</f>
      </c>
      <c r="J242" s="36">
        <f>IF(R242="","",LEFT(R242,LEN(R242)-2))</f>
      </c>
      <c r="K242" s="1"/>
      <c r="L242" s="1">
        <f>IF(OR(R242&lt;&gt;"",NOT(ISNUMBER(A242))),0,MONTH(A242))</f>
      </c>
      <c r="M242" s="1">
        <f>IF(F242="19 %",0.19,IF(F242="7 %",0.07,0))</f>
      </c>
      <c r="N242" s="1">
        <f>IF(G242="Firma",0,1)</f>
      </c>
      <c r="O242" s="1">
        <f>IF(L242=0,0,N242*E242)</f>
      </c>
      <c r="P242" s="1">
        <f>IF(L242=0,0,N242*ROUND(E242/(1+M242),2))</f>
      </c>
      <c r="Q242" s="1">
        <f>O242-P242</f>
      </c>
      <c r="R242" s="1">
        <f>IF(AND(A242="",E242="",C242="",D242=""),"",IF(NOT(ISNUMBER(A242)),"Datum fehlt; ",IF(YEAR(A242)&lt;&gt;Jahr,"Datum nicht in "&amp;Jahr&amp;"; ",""))&amp;IF(N(E242)=0,"Betrag fehlt; ","")&amp;IF(C242="","Kostenart fehlt; ","")&amp;IF(AND(N(E242)&lt;&gt;0,F242=""),"USt-Satz fehlt; ",""))</f>
      </c>
    </row>
    <row r="243" spans="1:18" x14ac:dyDescent="0.25">
      <c r="A243" s="33"/>
      <c r="B243" s="7"/>
      <c r="C243" s="7"/>
      <c r="D243" s="7"/>
      <c r="E243" s="34"/>
      <c r="F243" s="7"/>
      <c r="G243" s="7"/>
      <c r="H243" s="35">
        <f>IF(L243=0,"",ROUND(E243/(1+M243),2))</f>
      </c>
      <c r="I243" s="35">
        <f>IF(L243=0,"",E243-H243)</f>
      </c>
      <c r="J243" s="36">
        <f>IF(R243="","",LEFT(R243,LEN(R243)-2))</f>
      </c>
      <c r="K243" s="1"/>
      <c r="L243" s="1">
        <f>IF(OR(R243&lt;&gt;"",NOT(ISNUMBER(A243))),0,MONTH(A243))</f>
      </c>
      <c r="M243" s="1">
        <f>IF(F243="19 %",0.19,IF(F243="7 %",0.07,0))</f>
      </c>
      <c r="N243" s="1">
        <f>IF(G243="Firma",0,1)</f>
      </c>
      <c r="O243" s="1">
        <f>IF(L243=0,0,N243*E243)</f>
      </c>
      <c r="P243" s="1">
        <f>IF(L243=0,0,N243*ROUND(E243/(1+M243),2))</f>
      </c>
      <c r="Q243" s="1">
        <f>O243-P243</f>
      </c>
      <c r="R243" s="1">
        <f>IF(AND(A243="",E243="",C243="",D243=""),"",IF(NOT(ISNUMBER(A243)),"Datum fehlt; ",IF(YEAR(A243)&lt;&gt;Jahr,"Datum nicht in "&amp;Jahr&amp;"; ",""))&amp;IF(N(E243)=0,"Betrag fehlt; ","")&amp;IF(C243="","Kostenart fehlt; ","")&amp;IF(AND(N(E243)&lt;&gt;0,F243=""),"USt-Satz fehlt; ",""))</f>
      </c>
    </row>
    <row r="244" spans="1:18" x14ac:dyDescent="0.25">
      <c r="A244" s="33"/>
      <c r="B244" s="7"/>
      <c r="C244" s="7"/>
      <c r="D244" s="7"/>
      <c r="E244" s="34"/>
      <c r="F244" s="7"/>
      <c r="G244" s="7"/>
      <c r="H244" s="35">
        <f>IF(L244=0,"",ROUND(E244/(1+M244),2))</f>
      </c>
      <c r="I244" s="35">
        <f>IF(L244=0,"",E244-H244)</f>
      </c>
      <c r="J244" s="36">
        <f>IF(R244="","",LEFT(R244,LEN(R244)-2))</f>
      </c>
      <c r="K244" s="1"/>
      <c r="L244" s="1">
        <f>IF(OR(R244&lt;&gt;"",NOT(ISNUMBER(A244))),0,MONTH(A244))</f>
      </c>
      <c r="M244" s="1">
        <f>IF(F244="19 %",0.19,IF(F244="7 %",0.07,0))</f>
      </c>
      <c r="N244" s="1">
        <f>IF(G244="Firma",0,1)</f>
      </c>
      <c r="O244" s="1">
        <f>IF(L244=0,0,N244*E244)</f>
      </c>
      <c r="P244" s="1">
        <f>IF(L244=0,0,N244*ROUND(E244/(1+M244),2))</f>
      </c>
      <c r="Q244" s="1">
        <f>O244-P244</f>
      </c>
      <c r="R244" s="1">
        <f>IF(AND(A244="",E244="",C244="",D244=""),"",IF(NOT(ISNUMBER(A244)),"Datum fehlt; ",IF(YEAR(A244)&lt;&gt;Jahr,"Datum nicht in "&amp;Jahr&amp;"; ",""))&amp;IF(N(E244)=0,"Betrag fehlt; ","")&amp;IF(C244="","Kostenart fehlt; ","")&amp;IF(AND(N(E244)&lt;&gt;0,F244=""),"USt-Satz fehlt; ",""))</f>
      </c>
    </row>
    <row r="245" spans="1:18" x14ac:dyDescent="0.25">
      <c r="A245" s="33"/>
      <c r="B245" s="7"/>
      <c r="C245" s="7"/>
      <c r="D245" s="7"/>
      <c r="E245" s="34"/>
      <c r="F245" s="7"/>
      <c r="G245" s="7"/>
      <c r="H245" s="35">
        <f>IF(L245=0,"",ROUND(E245/(1+M245),2))</f>
      </c>
      <c r="I245" s="35">
        <f>IF(L245=0,"",E245-H245)</f>
      </c>
      <c r="J245" s="36">
        <f>IF(R245="","",LEFT(R245,LEN(R245)-2))</f>
      </c>
      <c r="K245" s="1"/>
      <c r="L245" s="1">
        <f>IF(OR(R245&lt;&gt;"",NOT(ISNUMBER(A245))),0,MONTH(A245))</f>
      </c>
      <c r="M245" s="1">
        <f>IF(F245="19 %",0.19,IF(F245="7 %",0.07,0))</f>
      </c>
      <c r="N245" s="1">
        <f>IF(G245="Firma",0,1)</f>
      </c>
      <c r="O245" s="1">
        <f>IF(L245=0,0,N245*E245)</f>
      </c>
      <c r="P245" s="1">
        <f>IF(L245=0,0,N245*ROUND(E245/(1+M245),2))</f>
      </c>
      <c r="Q245" s="1">
        <f>O245-P245</f>
      </c>
      <c r="R245" s="1">
        <f>IF(AND(A245="",E245="",C245="",D245=""),"",IF(NOT(ISNUMBER(A245)),"Datum fehlt; ",IF(YEAR(A245)&lt;&gt;Jahr,"Datum nicht in "&amp;Jahr&amp;"; ",""))&amp;IF(N(E245)=0,"Betrag fehlt; ","")&amp;IF(C245="","Kostenart fehlt; ","")&amp;IF(AND(N(E245)&lt;&gt;0,F245=""),"USt-Satz fehlt; ",""))</f>
      </c>
    </row>
    <row r="246" spans="1:18" x14ac:dyDescent="0.25">
      <c r="A246" s="33"/>
      <c r="B246" s="7"/>
      <c r="C246" s="7"/>
      <c r="D246" s="7"/>
      <c r="E246" s="34"/>
      <c r="F246" s="7"/>
      <c r="G246" s="7"/>
      <c r="H246" s="35">
        <f>IF(L246=0,"",ROUND(E246/(1+M246),2))</f>
      </c>
      <c r="I246" s="35">
        <f>IF(L246=0,"",E246-H246)</f>
      </c>
      <c r="J246" s="36">
        <f>IF(R246="","",LEFT(R246,LEN(R246)-2))</f>
      </c>
      <c r="K246" s="1"/>
      <c r="L246" s="1">
        <f>IF(OR(R246&lt;&gt;"",NOT(ISNUMBER(A246))),0,MONTH(A246))</f>
      </c>
      <c r="M246" s="1">
        <f>IF(F246="19 %",0.19,IF(F246="7 %",0.07,0))</f>
      </c>
      <c r="N246" s="1">
        <f>IF(G246="Firma",0,1)</f>
      </c>
      <c r="O246" s="1">
        <f>IF(L246=0,0,N246*E246)</f>
      </c>
      <c r="P246" s="1">
        <f>IF(L246=0,0,N246*ROUND(E246/(1+M246),2))</f>
      </c>
      <c r="Q246" s="1">
        <f>O246-P246</f>
      </c>
      <c r="R246" s="1">
        <f>IF(AND(A246="",E246="",C246="",D246=""),"",IF(NOT(ISNUMBER(A246)),"Datum fehlt; ",IF(YEAR(A246)&lt;&gt;Jahr,"Datum nicht in "&amp;Jahr&amp;"; ",""))&amp;IF(N(E246)=0,"Betrag fehlt; ","")&amp;IF(C246="","Kostenart fehlt; ","")&amp;IF(AND(N(E246)&lt;&gt;0,F246=""),"USt-Satz fehlt; ",""))</f>
      </c>
    </row>
    <row r="247" spans="1:18" x14ac:dyDescent="0.25">
      <c r="A247" s="33"/>
      <c r="B247" s="7"/>
      <c r="C247" s="7"/>
      <c r="D247" s="7"/>
      <c r="E247" s="34"/>
      <c r="F247" s="7"/>
      <c r="G247" s="7"/>
      <c r="H247" s="35">
        <f>IF(L247=0,"",ROUND(E247/(1+M247),2))</f>
      </c>
      <c r="I247" s="35">
        <f>IF(L247=0,"",E247-H247)</f>
      </c>
      <c r="J247" s="36">
        <f>IF(R247="","",LEFT(R247,LEN(R247)-2))</f>
      </c>
      <c r="K247" s="1"/>
      <c r="L247" s="1">
        <f>IF(OR(R247&lt;&gt;"",NOT(ISNUMBER(A247))),0,MONTH(A247))</f>
      </c>
      <c r="M247" s="1">
        <f>IF(F247="19 %",0.19,IF(F247="7 %",0.07,0))</f>
      </c>
      <c r="N247" s="1">
        <f>IF(G247="Firma",0,1)</f>
      </c>
      <c r="O247" s="1">
        <f>IF(L247=0,0,N247*E247)</f>
      </c>
      <c r="P247" s="1">
        <f>IF(L247=0,0,N247*ROUND(E247/(1+M247),2))</f>
      </c>
      <c r="Q247" s="1">
        <f>O247-P247</f>
      </c>
      <c r="R247" s="1">
        <f>IF(AND(A247="",E247="",C247="",D247=""),"",IF(NOT(ISNUMBER(A247)),"Datum fehlt; ",IF(YEAR(A247)&lt;&gt;Jahr,"Datum nicht in "&amp;Jahr&amp;"; ",""))&amp;IF(N(E247)=0,"Betrag fehlt; ","")&amp;IF(C247="","Kostenart fehlt; ","")&amp;IF(AND(N(E247)&lt;&gt;0,F247=""),"USt-Satz fehlt; ",""))</f>
      </c>
    </row>
    <row r="248" spans="1:18" x14ac:dyDescent="0.25">
      <c r="A248" s="33"/>
      <c r="B248" s="7"/>
      <c r="C248" s="7"/>
      <c r="D248" s="7"/>
      <c r="E248" s="34"/>
      <c r="F248" s="7"/>
      <c r="G248" s="7"/>
      <c r="H248" s="35">
        <f>IF(L248=0,"",ROUND(E248/(1+M248),2))</f>
      </c>
      <c r="I248" s="35">
        <f>IF(L248=0,"",E248-H248)</f>
      </c>
      <c r="J248" s="36">
        <f>IF(R248="","",LEFT(R248,LEN(R248)-2))</f>
      </c>
      <c r="K248" s="1"/>
      <c r="L248" s="1">
        <f>IF(OR(R248&lt;&gt;"",NOT(ISNUMBER(A248))),0,MONTH(A248))</f>
      </c>
      <c r="M248" s="1">
        <f>IF(F248="19 %",0.19,IF(F248="7 %",0.07,0))</f>
      </c>
      <c r="N248" s="1">
        <f>IF(G248="Firma",0,1)</f>
      </c>
      <c r="O248" s="1">
        <f>IF(L248=0,0,N248*E248)</f>
      </c>
      <c r="P248" s="1">
        <f>IF(L248=0,0,N248*ROUND(E248/(1+M248),2))</f>
      </c>
      <c r="Q248" s="1">
        <f>O248-P248</f>
      </c>
      <c r="R248" s="1">
        <f>IF(AND(A248="",E248="",C248="",D248=""),"",IF(NOT(ISNUMBER(A248)),"Datum fehlt; ",IF(YEAR(A248)&lt;&gt;Jahr,"Datum nicht in "&amp;Jahr&amp;"; ",""))&amp;IF(N(E248)=0,"Betrag fehlt; ","")&amp;IF(C248="","Kostenart fehlt; ","")&amp;IF(AND(N(E248)&lt;&gt;0,F248=""),"USt-Satz fehlt; ",""))</f>
      </c>
    </row>
    <row r="249" spans="1:18" x14ac:dyDescent="0.25">
      <c r="A249" s="33"/>
      <c r="B249" s="7"/>
      <c r="C249" s="7"/>
      <c r="D249" s="7"/>
      <c r="E249" s="34"/>
      <c r="F249" s="7"/>
      <c r="G249" s="7"/>
      <c r="H249" s="35">
        <f>IF(L249=0,"",ROUND(E249/(1+M249),2))</f>
      </c>
      <c r="I249" s="35">
        <f>IF(L249=0,"",E249-H249)</f>
      </c>
      <c r="J249" s="36">
        <f>IF(R249="","",LEFT(R249,LEN(R249)-2))</f>
      </c>
      <c r="K249" s="1"/>
      <c r="L249" s="1">
        <f>IF(OR(R249&lt;&gt;"",NOT(ISNUMBER(A249))),0,MONTH(A249))</f>
      </c>
      <c r="M249" s="1">
        <f>IF(F249="19 %",0.19,IF(F249="7 %",0.07,0))</f>
      </c>
      <c r="N249" s="1">
        <f>IF(G249="Firma",0,1)</f>
      </c>
      <c r="O249" s="1">
        <f>IF(L249=0,0,N249*E249)</f>
      </c>
      <c r="P249" s="1">
        <f>IF(L249=0,0,N249*ROUND(E249/(1+M249),2))</f>
      </c>
      <c r="Q249" s="1">
        <f>O249-P249</f>
      </c>
      <c r="R249" s="1">
        <f>IF(AND(A249="",E249="",C249="",D249=""),"",IF(NOT(ISNUMBER(A249)),"Datum fehlt; ",IF(YEAR(A249)&lt;&gt;Jahr,"Datum nicht in "&amp;Jahr&amp;"; ",""))&amp;IF(N(E249)=0,"Betrag fehlt; ","")&amp;IF(C249="","Kostenart fehlt; ","")&amp;IF(AND(N(E249)&lt;&gt;0,F249=""),"USt-Satz fehlt; ",""))</f>
      </c>
    </row>
    <row r="250" spans="1:18" x14ac:dyDescent="0.25">
      <c r="A250" s="33"/>
      <c r="B250" s="7"/>
      <c r="C250" s="7"/>
      <c r="D250" s="7"/>
      <c r="E250" s="34"/>
      <c r="F250" s="7"/>
      <c r="G250" s="7"/>
      <c r="H250" s="35">
        <f>IF(L250=0,"",ROUND(E250/(1+M250),2))</f>
      </c>
      <c r="I250" s="35">
        <f>IF(L250=0,"",E250-H250)</f>
      </c>
      <c r="J250" s="36">
        <f>IF(R250="","",LEFT(R250,LEN(R250)-2))</f>
      </c>
      <c r="K250" s="1"/>
      <c r="L250" s="1">
        <f>IF(OR(R250&lt;&gt;"",NOT(ISNUMBER(A250))),0,MONTH(A250))</f>
      </c>
      <c r="M250" s="1">
        <f>IF(F250="19 %",0.19,IF(F250="7 %",0.07,0))</f>
      </c>
      <c r="N250" s="1">
        <f>IF(G250="Firma",0,1)</f>
      </c>
      <c r="O250" s="1">
        <f>IF(L250=0,0,N250*E250)</f>
      </c>
      <c r="P250" s="1">
        <f>IF(L250=0,0,N250*ROUND(E250/(1+M250),2))</f>
      </c>
      <c r="Q250" s="1">
        <f>O250-P250</f>
      </c>
      <c r="R250" s="1">
        <f>IF(AND(A250="",E250="",C250="",D250=""),"",IF(NOT(ISNUMBER(A250)),"Datum fehlt; ",IF(YEAR(A250)&lt;&gt;Jahr,"Datum nicht in "&amp;Jahr&amp;"; ",""))&amp;IF(N(E250)=0,"Betrag fehlt; ","")&amp;IF(C250="","Kostenart fehlt; ","")&amp;IF(AND(N(E250)&lt;&gt;0,F250=""),"USt-Satz fehlt; ",""))</f>
      </c>
    </row>
    <row r="251" spans="1:18" x14ac:dyDescent="0.25">
      <c r="A251" s="33"/>
      <c r="B251" s="7"/>
      <c r="C251" s="7"/>
      <c r="D251" s="7"/>
      <c r="E251" s="34"/>
      <c r="F251" s="7"/>
      <c r="G251" s="7"/>
      <c r="H251" s="35">
        <f>IF(L251=0,"",ROUND(E251/(1+M251),2))</f>
      </c>
      <c r="I251" s="35">
        <f>IF(L251=0,"",E251-H251)</f>
      </c>
      <c r="J251" s="36">
        <f>IF(R251="","",LEFT(R251,LEN(R251)-2))</f>
      </c>
      <c r="K251" s="1"/>
      <c r="L251" s="1">
        <f>IF(OR(R251&lt;&gt;"",NOT(ISNUMBER(A251))),0,MONTH(A251))</f>
      </c>
      <c r="M251" s="1">
        <f>IF(F251="19 %",0.19,IF(F251="7 %",0.07,0))</f>
      </c>
      <c r="N251" s="1">
        <f>IF(G251="Firma",0,1)</f>
      </c>
      <c r="O251" s="1">
        <f>IF(L251=0,0,N251*E251)</f>
      </c>
      <c r="P251" s="1">
        <f>IF(L251=0,0,N251*ROUND(E251/(1+M251),2))</f>
      </c>
      <c r="Q251" s="1">
        <f>O251-P251</f>
      </c>
      <c r="R251" s="1">
        <f>IF(AND(A251="",E251="",C251="",D251=""),"",IF(NOT(ISNUMBER(A251)),"Datum fehlt; ",IF(YEAR(A251)&lt;&gt;Jahr,"Datum nicht in "&amp;Jahr&amp;"; ",""))&amp;IF(N(E251)=0,"Betrag fehlt; ","")&amp;IF(C251="","Kostenart fehlt; ","")&amp;IF(AND(N(E251)&lt;&gt;0,F251=""),"USt-Satz fehlt; ",""))</f>
      </c>
    </row>
    <row r="252" spans="1:18" x14ac:dyDescent="0.25">
      <c r="A252" s="33"/>
      <c r="B252" s="7"/>
      <c r="C252" s="7"/>
      <c r="D252" s="7"/>
      <c r="E252" s="34"/>
      <c r="F252" s="7"/>
      <c r="G252" s="7"/>
      <c r="H252" s="35">
        <f>IF(L252=0,"",ROUND(E252/(1+M252),2))</f>
      </c>
      <c r="I252" s="35">
        <f>IF(L252=0,"",E252-H252)</f>
      </c>
      <c r="J252" s="36">
        <f>IF(R252="","",LEFT(R252,LEN(R252)-2))</f>
      </c>
      <c r="K252" s="1"/>
      <c r="L252" s="1">
        <f>IF(OR(R252&lt;&gt;"",NOT(ISNUMBER(A252))),0,MONTH(A252))</f>
      </c>
      <c r="M252" s="1">
        <f>IF(F252="19 %",0.19,IF(F252="7 %",0.07,0))</f>
      </c>
      <c r="N252" s="1">
        <f>IF(G252="Firma",0,1)</f>
      </c>
      <c r="O252" s="1">
        <f>IF(L252=0,0,N252*E252)</f>
      </c>
      <c r="P252" s="1">
        <f>IF(L252=0,0,N252*ROUND(E252/(1+M252),2))</f>
      </c>
      <c r="Q252" s="1">
        <f>O252-P252</f>
      </c>
      <c r="R252" s="1">
        <f>IF(AND(A252="",E252="",C252="",D252=""),"",IF(NOT(ISNUMBER(A252)),"Datum fehlt; ",IF(YEAR(A252)&lt;&gt;Jahr,"Datum nicht in "&amp;Jahr&amp;"; ",""))&amp;IF(N(E252)=0,"Betrag fehlt; ","")&amp;IF(C252="","Kostenart fehlt; ","")&amp;IF(AND(N(E252)&lt;&gt;0,F252=""),"USt-Satz fehlt; ",""))</f>
      </c>
    </row>
    <row r="253" spans="1:18" x14ac:dyDescent="0.25">
      <c r="A253" s="33"/>
      <c r="B253" s="7"/>
      <c r="C253" s="7"/>
      <c r="D253" s="7"/>
      <c r="E253" s="34"/>
      <c r="F253" s="7"/>
      <c r="G253" s="7"/>
      <c r="H253" s="35">
        <f>IF(L253=0,"",ROUND(E253/(1+M253),2))</f>
      </c>
      <c r="I253" s="35">
        <f>IF(L253=0,"",E253-H253)</f>
      </c>
      <c r="J253" s="36">
        <f>IF(R253="","",LEFT(R253,LEN(R253)-2))</f>
      </c>
      <c r="K253" s="1"/>
      <c r="L253" s="1">
        <f>IF(OR(R253&lt;&gt;"",NOT(ISNUMBER(A253))),0,MONTH(A253))</f>
      </c>
      <c r="M253" s="1">
        <f>IF(F253="19 %",0.19,IF(F253="7 %",0.07,0))</f>
      </c>
      <c r="N253" s="1">
        <f>IF(G253="Firma",0,1)</f>
      </c>
      <c r="O253" s="1">
        <f>IF(L253=0,0,N253*E253)</f>
      </c>
      <c r="P253" s="1">
        <f>IF(L253=0,0,N253*ROUND(E253/(1+M253),2))</f>
      </c>
      <c r="Q253" s="1">
        <f>O253-P253</f>
      </c>
      <c r="R253" s="1">
        <f>IF(AND(A253="",E253="",C253="",D253=""),"",IF(NOT(ISNUMBER(A253)),"Datum fehlt; ",IF(YEAR(A253)&lt;&gt;Jahr,"Datum nicht in "&amp;Jahr&amp;"; ",""))&amp;IF(N(E253)=0,"Betrag fehlt; ","")&amp;IF(C253="","Kostenart fehlt; ","")&amp;IF(AND(N(E253)&lt;&gt;0,F253=""),"USt-Satz fehlt; ",""))</f>
      </c>
    </row>
    <row r="254" spans="1:18" x14ac:dyDescent="0.25">
      <c r="A254" s="33"/>
      <c r="B254" s="7"/>
      <c r="C254" s="7"/>
      <c r="D254" s="7"/>
      <c r="E254" s="34"/>
      <c r="F254" s="7"/>
      <c r="G254" s="7"/>
      <c r="H254" s="35">
        <f>IF(L254=0,"",ROUND(E254/(1+M254),2))</f>
      </c>
      <c r="I254" s="35">
        <f>IF(L254=0,"",E254-H254)</f>
      </c>
      <c r="J254" s="36">
        <f>IF(R254="","",LEFT(R254,LEN(R254)-2))</f>
      </c>
      <c r="K254" s="1"/>
      <c r="L254" s="1">
        <f>IF(OR(R254&lt;&gt;"",NOT(ISNUMBER(A254))),0,MONTH(A254))</f>
      </c>
      <c r="M254" s="1">
        <f>IF(F254="19 %",0.19,IF(F254="7 %",0.07,0))</f>
      </c>
      <c r="N254" s="1">
        <f>IF(G254="Firma",0,1)</f>
      </c>
      <c r="O254" s="1">
        <f>IF(L254=0,0,N254*E254)</f>
      </c>
      <c r="P254" s="1">
        <f>IF(L254=0,0,N254*ROUND(E254/(1+M254),2))</f>
      </c>
      <c r="Q254" s="1">
        <f>O254-P254</f>
      </c>
      <c r="R254" s="1">
        <f>IF(AND(A254="",E254="",C254="",D254=""),"",IF(NOT(ISNUMBER(A254)),"Datum fehlt; ",IF(YEAR(A254)&lt;&gt;Jahr,"Datum nicht in "&amp;Jahr&amp;"; ",""))&amp;IF(N(E254)=0,"Betrag fehlt; ","")&amp;IF(C254="","Kostenart fehlt; ","")&amp;IF(AND(N(E254)&lt;&gt;0,F254=""),"USt-Satz fehlt; ",""))</f>
      </c>
    </row>
    <row r="255" spans="1:18" x14ac:dyDescent="0.25">
      <c r="A255" s="33"/>
      <c r="B255" s="7"/>
      <c r="C255" s="7"/>
      <c r="D255" s="7"/>
      <c r="E255" s="34"/>
      <c r="F255" s="7"/>
      <c r="G255" s="7"/>
      <c r="H255" s="35">
        <f>IF(L255=0,"",ROUND(E255/(1+M255),2))</f>
      </c>
      <c r="I255" s="35">
        <f>IF(L255=0,"",E255-H255)</f>
      </c>
      <c r="J255" s="36">
        <f>IF(R255="","",LEFT(R255,LEN(R255)-2))</f>
      </c>
      <c r="K255" s="1"/>
      <c r="L255" s="1">
        <f>IF(OR(R255&lt;&gt;"",NOT(ISNUMBER(A255))),0,MONTH(A255))</f>
      </c>
      <c r="M255" s="1">
        <f>IF(F255="19 %",0.19,IF(F255="7 %",0.07,0))</f>
      </c>
      <c r="N255" s="1">
        <f>IF(G255="Firma",0,1)</f>
      </c>
      <c r="O255" s="1">
        <f>IF(L255=0,0,N255*E255)</f>
      </c>
      <c r="P255" s="1">
        <f>IF(L255=0,0,N255*ROUND(E255/(1+M255),2))</f>
      </c>
      <c r="Q255" s="1">
        <f>O255-P255</f>
      </c>
      <c r="R255" s="1">
        <f>IF(AND(A255="",E255="",C255="",D255=""),"",IF(NOT(ISNUMBER(A255)),"Datum fehlt; ",IF(YEAR(A255)&lt;&gt;Jahr,"Datum nicht in "&amp;Jahr&amp;"; ",""))&amp;IF(N(E255)=0,"Betrag fehlt; ","")&amp;IF(C255="","Kostenart fehlt; ","")&amp;IF(AND(N(E255)&lt;&gt;0,F255=""),"USt-Satz fehlt; ",""))</f>
      </c>
    </row>
    <row r="256" spans="1:18" x14ac:dyDescent="0.25">
      <c r="A256" s="33"/>
      <c r="B256" s="7"/>
      <c r="C256" s="7"/>
      <c r="D256" s="7"/>
      <c r="E256" s="34"/>
      <c r="F256" s="7"/>
      <c r="G256" s="7"/>
      <c r="H256" s="35">
        <f>IF(L256=0,"",ROUND(E256/(1+M256),2))</f>
      </c>
      <c r="I256" s="35">
        <f>IF(L256=0,"",E256-H256)</f>
      </c>
      <c r="J256" s="36">
        <f>IF(R256="","",LEFT(R256,LEN(R256)-2))</f>
      </c>
      <c r="K256" s="1"/>
      <c r="L256" s="1">
        <f>IF(OR(R256&lt;&gt;"",NOT(ISNUMBER(A256))),0,MONTH(A256))</f>
      </c>
      <c r="M256" s="1">
        <f>IF(F256="19 %",0.19,IF(F256="7 %",0.07,0))</f>
      </c>
      <c r="N256" s="1">
        <f>IF(G256="Firma",0,1)</f>
      </c>
      <c r="O256" s="1">
        <f>IF(L256=0,0,N256*E256)</f>
      </c>
      <c r="P256" s="1">
        <f>IF(L256=0,0,N256*ROUND(E256/(1+M256),2))</f>
      </c>
      <c r="Q256" s="1">
        <f>O256-P256</f>
      </c>
      <c r="R256" s="1">
        <f>IF(AND(A256="",E256="",C256="",D256=""),"",IF(NOT(ISNUMBER(A256)),"Datum fehlt; ",IF(YEAR(A256)&lt;&gt;Jahr,"Datum nicht in "&amp;Jahr&amp;"; ",""))&amp;IF(N(E256)=0,"Betrag fehlt; ","")&amp;IF(C256="","Kostenart fehlt; ","")&amp;IF(AND(N(E256)&lt;&gt;0,F256=""),"USt-Satz fehlt; ",""))</f>
      </c>
    </row>
    <row r="257" spans="1:18" x14ac:dyDescent="0.25">
      <c r="A257" s="33"/>
      <c r="B257" s="7"/>
      <c r="C257" s="7"/>
      <c r="D257" s="7"/>
      <c r="E257" s="34"/>
      <c r="F257" s="7"/>
      <c r="G257" s="7"/>
      <c r="H257" s="35">
        <f>IF(L257=0,"",ROUND(E257/(1+M257),2))</f>
      </c>
      <c r="I257" s="35">
        <f>IF(L257=0,"",E257-H257)</f>
      </c>
      <c r="J257" s="36">
        <f>IF(R257="","",LEFT(R257,LEN(R257)-2))</f>
      </c>
      <c r="K257" s="1"/>
      <c r="L257" s="1">
        <f>IF(OR(R257&lt;&gt;"",NOT(ISNUMBER(A257))),0,MONTH(A257))</f>
      </c>
      <c r="M257" s="1">
        <f>IF(F257="19 %",0.19,IF(F257="7 %",0.07,0))</f>
      </c>
      <c r="N257" s="1">
        <f>IF(G257="Firma",0,1)</f>
      </c>
      <c r="O257" s="1">
        <f>IF(L257=0,0,N257*E257)</f>
      </c>
      <c r="P257" s="1">
        <f>IF(L257=0,0,N257*ROUND(E257/(1+M257),2))</f>
      </c>
      <c r="Q257" s="1">
        <f>O257-P257</f>
      </c>
      <c r="R257" s="1">
        <f>IF(AND(A257="",E257="",C257="",D257=""),"",IF(NOT(ISNUMBER(A257)),"Datum fehlt; ",IF(YEAR(A257)&lt;&gt;Jahr,"Datum nicht in "&amp;Jahr&amp;"; ",""))&amp;IF(N(E257)=0,"Betrag fehlt; ","")&amp;IF(C257="","Kostenart fehlt; ","")&amp;IF(AND(N(E257)&lt;&gt;0,F257=""),"USt-Satz fehlt; ",""))</f>
      </c>
    </row>
    <row r="258" spans="1:18" x14ac:dyDescent="0.25">
      <c r="A258" s="33"/>
      <c r="B258" s="7"/>
      <c r="C258" s="7"/>
      <c r="D258" s="7"/>
      <c r="E258" s="34"/>
      <c r="F258" s="7"/>
      <c r="G258" s="7"/>
      <c r="H258" s="35">
        <f>IF(L258=0,"",ROUND(E258/(1+M258),2))</f>
      </c>
      <c r="I258" s="35">
        <f>IF(L258=0,"",E258-H258)</f>
      </c>
      <c r="J258" s="36">
        <f>IF(R258="","",LEFT(R258,LEN(R258)-2))</f>
      </c>
      <c r="K258" s="1"/>
      <c r="L258" s="1">
        <f>IF(OR(R258&lt;&gt;"",NOT(ISNUMBER(A258))),0,MONTH(A258))</f>
      </c>
      <c r="M258" s="1">
        <f>IF(F258="19 %",0.19,IF(F258="7 %",0.07,0))</f>
      </c>
      <c r="N258" s="1">
        <f>IF(G258="Firma",0,1)</f>
      </c>
      <c r="O258" s="1">
        <f>IF(L258=0,0,N258*E258)</f>
      </c>
      <c r="P258" s="1">
        <f>IF(L258=0,0,N258*ROUND(E258/(1+M258),2))</f>
      </c>
      <c r="Q258" s="1">
        <f>O258-P258</f>
      </c>
      <c r="R258" s="1">
        <f>IF(AND(A258="",E258="",C258="",D258=""),"",IF(NOT(ISNUMBER(A258)),"Datum fehlt; ",IF(YEAR(A258)&lt;&gt;Jahr,"Datum nicht in "&amp;Jahr&amp;"; ",""))&amp;IF(N(E258)=0,"Betrag fehlt; ","")&amp;IF(C258="","Kostenart fehlt; ","")&amp;IF(AND(N(E258)&lt;&gt;0,F258=""),"USt-Satz fehlt; ",""))</f>
      </c>
    </row>
    <row r="259" spans="1:18" x14ac:dyDescent="0.25">
      <c r="A259" s="33"/>
      <c r="B259" s="7"/>
      <c r="C259" s="7"/>
      <c r="D259" s="7"/>
      <c r="E259" s="34"/>
      <c r="F259" s="7"/>
      <c r="G259" s="7"/>
      <c r="H259" s="35">
        <f>IF(L259=0,"",ROUND(E259/(1+M259),2))</f>
      </c>
      <c r="I259" s="35">
        <f>IF(L259=0,"",E259-H259)</f>
      </c>
      <c r="J259" s="36">
        <f>IF(R259="","",LEFT(R259,LEN(R259)-2))</f>
      </c>
      <c r="K259" s="1"/>
      <c r="L259" s="1">
        <f>IF(OR(R259&lt;&gt;"",NOT(ISNUMBER(A259))),0,MONTH(A259))</f>
      </c>
      <c r="M259" s="1">
        <f>IF(F259="19 %",0.19,IF(F259="7 %",0.07,0))</f>
      </c>
      <c r="N259" s="1">
        <f>IF(G259="Firma",0,1)</f>
      </c>
      <c r="O259" s="1">
        <f>IF(L259=0,0,N259*E259)</f>
      </c>
      <c r="P259" s="1">
        <f>IF(L259=0,0,N259*ROUND(E259/(1+M259),2))</f>
      </c>
      <c r="Q259" s="1">
        <f>O259-P259</f>
      </c>
      <c r="R259" s="1">
        <f>IF(AND(A259="",E259="",C259="",D259=""),"",IF(NOT(ISNUMBER(A259)),"Datum fehlt; ",IF(YEAR(A259)&lt;&gt;Jahr,"Datum nicht in "&amp;Jahr&amp;"; ",""))&amp;IF(N(E259)=0,"Betrag fehlt; ","")&amp;IF(C259="","Kostenart fehlt; ","")&amp;IF(AND(N(E259)&lt;&gt;0,F259=""),"USt-Satz fehlt; ",""))</f>
      </c>
    </row>
    <row r="260" spans="1:18" x14ac:dyDescent="0.25">
      <c r="A260" s="33"/>
      <c r="B260" s="7"/>
      <c r="C260" s="7"/>
      <c r="D260" s="7"/>
      <c r="E260" s="34"/>
      <c r="F260" s="7"/>
      <c r="G260" s="7"/>
      <c r="H260" s="35">
        <f>IF(L260=0,"",ROUND(E260/(1+M260),2))</f>
      </c>
      <c r="I260" s="35">
        <f>IF(L260=0,"",E260-H260)</f>
      </c>
      <c r="J260" s="36">
        <f>IF(R260="","",LEFT(R260,LEN(R260)-2))</f>
      </c>
      <c r="K260" s="1"/>
      <c r="L260" s="1">
        <f>IF(OR(R260&lt;&gt;"",NOT(ISNUMBER(A260))),0,MONTH(A260))</f>
      </c>
      <c r="M260" s="1">
        <f>IF(F260="19 %",0.19,IF(F260="7 %",0.07,0))</f>
      </c>
      <c r="N260" s="1">
        <f>IF(G260="Firma",0,1)</f>
      </c>
      <c r="O260" s="1">
        <f>IF(L260=0,0,N260*E260)</f>
      </c>
      <c r="P260" s="1">
        <f>IF(L260=0,0,N260*ROUND(E260/(1+M260),2))</f>
      </c>
      <c r="Q260" s="1">
        <f>O260-P260</f>
      </c>
      <c r="R260" s="1">
        <f>IF(AND(A260="",E260="",C260="",D260=""),"",IF(NOT(ISNUMBER(A260)),"Datum fehlt; ",IF(YEAR(A260)&lt;&gt;Jahr,"Datum nicht in "&amp;Jahr&amp;"; ",""))&amp;IF(N(E260)=0,"Betrag fehlt; ","")&amp;IF(C260="","Kostenart fehlt; ","")&amp;IF(AND(N(E260)&lt;&gt;0,F260=""),"USt-Satz fehlt; ",""))</f>
      </c>
    </row>
    <row r="261" spans="1:18" x14ac:dyDescent="0.25">
      <c r="A261" s="33"/>
      <c r="B261" s="7"/>
      <c r="C261" s="7"/>
      <c r="D261" s="7"/>
      <c r="E261" s="34"/>
      <c r="F261" s="7"/>
      <c r="G261" s="7"/>
      <c r="H261" s="35">
        <f>IF(L261=0,"",ROUND(E261/(1+M261),2))</f>
      </c>
      <c r="I261" s="35">
        <f>IF(L261=0,"",E261-H261)</f>
      </c>
      <c r="J261" s="36">
        <f>IF(R261="","",LEFT(R261,LEN(R261)-2))</f>
      </c>
      <c r="K261" s="1"/>
      <c r="L261" s="1">
        <f>IF(OR(R261&lt;&gt;"",NOT(ISNUMBER(A261))),0,MONTH(A261))</f>
      </c>
      <c r="M261" s="1">
        <f>IF(F261="19 %",0.19,IF(F261="7 %",0.07,0))</f>
      </c>
      <c r="N261" s="1">
        <f>IF(G261="Firma",0,1)</f>
      </c>
      <c r="O261" s="1">
        <f>IF(L261=0,0,N261*E261)</f>
      </c>
      <c r="P261" s="1">
        <f>IF(L261=0,0,N261*ROUND(E261/(1+M261),2))</f>
      </c>
      <c r="Q261" s="1">
        <f>O261-P261</f>
      </c>
      <c r="R261" s="1">
        <f>IF(AND(A261="",E261="",C261="",D261=""),"",IF(NOT(ISNUMBER(A261)),"Datum fehlt; ",IF(YEAR(A261)&lt;&gt;Jahr,"Datum nicht in "&amp;Jahr&amp;"; ",""))&amp;IF(N(E261)=0,"Betrag fehlt; ","")&amp;IF(C261="","Kostenart fehlt; ","")&amp;IF(AND(N(E261)&lt;&gt;0,F261=""),"USt-Satz fehlt; ",""))</f>
      </c>
    </row>
    <row r="262" spans="1:18" x14ac:dyDescent="0.25">
      <c r="A262" s="33"/>
      <c r="B262" s="7"/>
      <c r="C262" s="7"/>
      <c r="D262" s="7"/>
      <c r="E262" s="34"/>
      <c r="F262" s="7"/>
      <c r="G262" s="7"/>
      <c r="H262" s="35">
        <f>IF(L262=0,"",ROUND(E262/(1+M262),2))</f>
      </c>
      <c r="I262" s="35">
        <f>IF(L262=0,"",E262-H262)</f>
      </c>
      <c r="J262" s="36">
        <f>IF(R262="","",LEFT(R262,LEN(R262)-2))</f>
      </c>
      <c r="K262" s="1"/>
      <c r="L262" s="1">
        <f>IF(OR(R262&lt;&gt;"",NOT(ISNUMBER(A262))),0,MONTH(A262))</f>
      </c>
      <c r="M262" s="1">
        <f>IF(F262="19 %",0.19,IF(F262="7 %",0.07,0))</f>
      </c>
      <c r="N262" s="1">
        <f>IF(G262="Firma",0,1)</f>
      </c>
      <c r="O262" s="1">
        <f>IF(L262=0,0,N262*E262)</f>
      </c>
      <c r="P262" s="1">
        <f>IF(L262=0,0,N262*ROUND(E262/(1+M262),2))</f>
      </c>
      <c r="Q262" s="1">
        <f>O262-P262</f>
      </c>
      <c r="R262" s="1">
        <f>IF(AND(A262="",E262="",C262="",D262=""),"",IF(NOT(ISNUMBER(A262)),"Datum fehlt; ",IF(YEAR(A262)&lt;&gt;Jahr,"Datum nicht in "&amp;Jahr&amp;"; ",""))&amp;IF(N(E262)=0,"Betrag fehlt; ","")&amp;IF(C262="","Kostenart fehlt; ","")&amp;IF(AND(N(E262)&lt;&gt;0,F262=""),"USt-Satz fehlt; ",""))</f>
      </c>
    </row>
    <row r="263" spans="1:18" x14ac:dyDescent="0.25">
      <c r="A263" s="33"/>
      <c r="B263" s="7"/>
      <c r="C263" s="7"/>
      <c r="D263" s="7"/>
      <c r="E263" s="34"/>
      <c r="F263" s="7"/>
      <c r="G263" s="7"/>
      <c r="H263" s="35">
        <f>IF(L263=0,"",ROUND(E263/(1+M263),2))</f>
      </c>
      <c r="I263" s="35">
        <f>IF(L263=0,"",E263-H263)</f>
      </c>
      <c r="J263" s="36">
        <f>IF(R263="","",LEFT(R263,LEN(R263)-2))</f>
      </c>
      <c r="K263" s="1"/>
      <c r="L263" s="1">
        <f>IF(OR(R263&lt;&gt;"",NOT(ISNUMBER(A263))),0,MONTH(A263))</f>
      </c>
      <c r="M263" s="1">
        <f>IF(F263="19 %",0.19,IF(F263="7 %",0.07,0))</f>
      </c>
      <c r="N263" s="1">
        <f>IF(G263="Firma",0,1)</f>
      </c>
      <c r="O263" s="1">
        <f>IF(L263=0,0,N263*E263)</f>
      </c>
      <c r="P263" s="1">
        <f>IF(L263=0,0,N263*ROUND(E263/(1+M263),2))</f>
      </c>
      <c r="Q263" s="1">
        <f>O263-P263</f>
      </c>
      <c r="R263" s="1">
        <f>IF(AND(A263="",E263="",C263="",D263=""),"",IF(NOT(ISNUMBER(A263)),"Datum fehlt; ",IF(YEAR(A263)&lt;&gt;Jahr,"Datum nicht in "&amp;Jahr&amp;"; ",""))&amp;IF(N(E263)=0,"Betrag fehlt; ","")&amp;IF(C263="","Kostenart fehlt; ","")&amp;IF(AND(N(E263)&lt;&gt;0,F263=""),"USt-Satz fehlt; ",""))</f>
      </c>
    </row>
    <row r="264" spans="1:18" x14ac:dyDescent="0.25">
      <c r="A264" s="33"/>
      <c r="B264" s="7"/>
      <c r="C264" s="7"/>
      <c r="D264" s="7"/>
      <c r="E264" s="34"/>
      <c r="F264" s="7"/>
      <c r="G264" s="7"/>
      <c r="H264" s="35">
        <f>IF(L264=0,"",ROUND(E264/(1+M264),2))</f>
      </c>
      <c r="I264" s="35">
        <f>IF(L264=0,"",E264-H264)</f>
      </c>
      <c r="J264" s="36">
        <f>IF(R264="","",LEFT(R264,LEN(R264)-2))</f>
      </c>
      <c r="K264" s="1"/>
      <c r="L264" s="1">
        <f>IF(OR(R264&lt;&gt;"",NOT(ISNUMBER(A264))),0,MONTH(A264))</f>
      </c>
      <c r="M264" s="1">
        <f>IF(F264="19 %",0.19,IF(F264="7 %",0.07,0))</f>
      </c>
      <c r="N264" s="1">
        <f>IF(G264="Firma",0,1)</f>
      </c>
      <c r="O264" s="1">
        <f>IF(L264=0,0,N264*E264)</f>
      </c>
      <c r="P264" s="1">
        <f>IF(L264=0,0,N264*ROUND(E264/(1+M264),2))</f>
      </c>
      <c r="Q264" s="1">
        <f>O264-P264</f>
      </c>
      <c r="R264" s="1">
        <f>IF(AND(A264="",E264="",C264="",D264=""),"",IF(NOT(ISNUMBER(A264)),"Datum fehlt; ",IF(YEAR(A264)&lt;&gt;Jahr,"Datum nicht in "&amp;Jahr&amp;"; ",""))&amp;IF(N(E264)=0,"Betrag fehlt; ","")&amp;IF(C264="","Kostenart fehlt; ","")&amp;IF(AND(N(E264)&lt;&gt;0,F264=""),"USt-Satz fehlt; ",""))</f>
      </c>
    </row>
    <row r="265" spans="1:18" x14ac:dyDescent="0.25">
      <c r="A265" s="33"/>
      <c r="B265" s="7"/>
      <c r="C265" s="7"/>
      <c r="D265" s="7"/>
      <c r="E265" s="34"/>
      <c r="F265" s="7"/>
      <c r="G265" s="7"/>
      <c r="H265" s="35">
        <f>IF(L265=0,"",ROUND(E265/(1+M265),2))</f>
      </c>
      <c r="I265" s="35">
        <f>IF(L265=0,"",E265-H265)</f>
      </c>
      <c r="J265" s="36">
        <f>IF(R265="","",LEFT(R265,LEN(R265)-2))</f>
      </c>
      <c r="K265" s="1"/>
      <c r="L265" s="1">
        <f>IF(OR(R265&lt;&gt;"",NOT(ISNUMBER(A265))),0,MONTH(A265))</f>
      </c>
      <c r="M265" s="1">
        <f>IF(F265="19 %",0.19,IF(F265="7 %",0.07,0))</f>
      </c>
      <c r="N265" s="1">
        <f>IF(G265="Firma",0,1)</f>
      </c>
      <c r="O265" s="1">
        <f>IF(L265=0,0,N265*E265)</f>
      </c>
      <c r="P265" s="1">
        <f>IF(L265=0,0,N265*ROUND(E265/(1+M265),2))</f>
      </c>
      <c r="Q265" s="1">
        <f>O265-P265</f>
      </c>
      <c r="R265" s="1">
        <f>IF(AND(A265="",E265="",C265="",D265=""),"",IF(NOT(ISNUMBER(A265)),"Datum fehlt; ",IF(YEAR(A265)&lt;&gt;Jahr,"Datum nicht in "&amp;Jahr&amp;"; ",""))&amp;IF(N(E265)=0,"Betrag fehlt; ","")&amp;IF(C265="","Kostenart fehlt; ","")&amp;IF(AND(N(E265)&lt;&gt;0,F265=""),"USt-Satz fehlt; ",""))</f>
      </c>
    </row>
    <row r="266" spans="1:18" x14ac:dyDescent="0.25">
      <c r="A266" s="33"/>
      <c r="B266" s="7"/>
      <c r="C266" s="7"/>
      <c r="D266" s="7"/>
      <c r="E266" s="34"/>
      <c r="F266" s="7"/>
      <c r="G266" s="7"/>
      <c r="H266" s="35">
        <f>IF(L266=0,"",ROUND(E266/(1+M266),2))</f>
      </c>
      <c r="I266" s="35">
        <f>IF(L266=0,"",E266-H266)</f>
      </c>
      <c r="J266" s="36">
        <f>IF(R266="","",LEFT(R266,LEN(R266)-2))</f>
      </c>
      <c r="K266" s="1"/>
      <c r="L266" s="1">
        <f>IF(OR(R266&lt;&gt;"",NOT(ISNUMBER(A266))),0,MONTH(A266))</f>
      </c>
      <c r="M266" s="1">
        <f>IF(F266="19 %",0.19,IF(F266="7 %",0.07,0))</f>
      </c>
      <c r="N266" s="1">
        <f>IF(G266="Firma",0,1)</f>
      </c>
      <c r="O266" s="1">
        <f>IF(L266=0,0,N266*E266)</f>
      </c>
      <c r="P266" s="1">
        <f>IF(L266=0,0,N266*ROUND(E266/(1+M266),2))</f>
      </c>
      <c r="Q266" s="1">
        <f>O266-P266</f>
      </c>
      <c r="R266" s="1">
        <f>IF(AND(A266="",E266="",C266="",D266=""),"",IF(NOT(ISNUMBER(A266)),"Datum fehlt; ",IF(YEAR(A266)&lt;&gt;Jahr,"Datum nicht in "&amp;Jahr&amp;"; ",""))&amp;IF(N(E266)=0,"Betrag fehlt; ","")&amp;IF(C266="","Kostenart fehlt; ","")&amp;IF(AND(N(E266)&lt;&gt;0,F266=""),"USt-Satz fehlt; ",""))</f>
      </c>
    </row>
    <row r="267" spans="1:18" x14ac:dyDescent="0.25">
      <c r="A267" s="33"/>
      <c r="B267" s="7"/>
      <c r="C267" s="7"/>
      <c r="D267" s="7"/>
      <c r="E267" s="34"/>
      <c r="F267" s="7"/>
      <c r="G267" s="7"/>
      <c r="H267" s="35">
        <f>IF(L267=0,"",ROUND(E267/(1+M267),2))</f>
      </c>
      <c r="I267" s="35">
        <f>IF(L267=0,"",E267-H267)</f>
      </c>
      <c r="J267" s="36">
        <f>IF(R267="","",LEFT(R267,LEN(R267)-2))</f>
      </c>
      <c r="K267" s="1"/>
      <c r="L267" s="1">
        <f>IF(OR(R267&lt;&gt;"",NOT(ISNUMBER(A267))),0,MONTH(A267))</f>
      </c>
      <c r="M267" s="1">
        <f>IF(F267="19 %",0.19,IF(F267="7 %",0.07,0))</f>
      </c>
      <c r="N267" s="1">
        <f>IF(G267="Firma",0,1)</f>
      </c>
      <c r="O267" s="1">
        <f>IF(L267=0,0,N267*E267)</f>
      </c>
      <c r="P267" s="1">
        <f>IF(L267=0,0,N267*ROUND(E267/(1+M267),2))</f>
      </c>
      <c r="Q267" s="1">
        <f>O267-P267</f>
      </c>
      <c r="R267" s="1">
        <f>IF(AND(A267="",E267="",C267="",D267=""),"",IF(NOT(ISNUMBER(A267)),"Datum fehlt; ",IF(YEAR(A267)&lt;&gt;Jahr,"Datum nicht in "&amp;Jahr&amp;"; ",""))&amp;IF(N(E267)=0,"Betrag fehlt; ","")&amp;IF(C267="","Kostenart fehlt; ","")&amp;IF(AND(N(E267)&lt;&gt;0,F267=""),"USt-Satz fehlt; ",""))</f>
      </c>
    </row>
    <row r="268" spans="1:18" x14ac:dyDescent="0.25">
      <c r="A268" s="33"/>
      <c r="B268" s="7"/>
      <c r="C268" s="7"/>
      <c r="D268" s="7"/>
      <c r="E268" s="34"/>
      <c r="F268" s="7"/>
      <c r="G268" s="7"/>
      <c r="H268" s="35">
        <f>IF(L268=0,"",ROUND(E268/(1+M268),2))</f>
      </c>
      <c r="I268" s="35">
        <f>IF(L268=0,"",E268-H268)</f>
      </c>
      <c r="J268" s="36">
        <f>IF(R268="","",LEFT(R268,LEN(R268)-2))</f>
      </c>
      <c r="K268" s="1"/>
      <c r="L268" s="1">
        <f>IF(OR(R268&lt;&gt;"",NOT(ISNUMBER(A268))),0,MONTH(A268))</f>
      </c>
      <c r="M268" s="1">
        <f>IF(F268="19 %",0.19,IF(F268="7 %",0.07,0))</f>
      </c>
      <c r="N268" s="1">
        <f>IF(G268="Firma",0,1)</f>
      </c>
      <c r="O268" s="1">
        <f>IF(L268=0,0,N268*E268)</f>
      </c>
      <c r="P268" s="1">
        <f>IF(L268=0,0,N268*ROUND(E268/(1+M268),2))</f>
      </c>
      <c r="Q268" s="1">
        <f>O268-P268</f>
      </c>
      <c r="R268" s="1">
        <f>IF(AND(A268="",E268="",C268="",D268=""),"",IF(NOT(ISNUMBER(A268)),"Datum fehlt; ",IF(YEAR(A268)&lt;&gt;Jahr,"Datum nicht in "&amp;Jahr&amp;"; ",""))&amp;IF(N(E268)=0,"Betrag fehlt; ","")&amp;IF(C268="","Kostenart fehlt; ","")&amp;IF(AND(N(E268)&lt;&gt;0,F268=""),"USt-Satz fehlt; ",""))</f>
      </c>
    </row>
    <row r="269" spans="1:18" x14ac:dyDescent="0.25">
      <c r="A269" s="33"/>
      <c r="B269" s="7"/>
      <c r="C269" s="7"/>
      <c r="D269" s="7"/>
      <c r="E269" s="34"/>
      <c r="F269" s="7"/>
      <c r="G269" s="7"/>
      <c r="H269" s="35">
        <f>IF(L269=0,"",ROUND(E269/(1+M269),2))</f>
      </c>
      <c r="I269" s="35">
        <f>IF(L269=0,"",E269-H269)</f>
      </c>
      <c r="J269" s="36">
        <f>IF(R269="","",LEFT(R269,LEN(R269)-2))</f>
      </c>
      <c r="K269" s="1"/>
      <c r="L269" s="1">
        <f>IF(OR(R269&lt;&gt;"",NOT(ISNUMBER(A269))),0,MONTH(A269))</f>
      </c>
      <c r="M269" s="1">
        <f>IF(F269="19 %",0.19,IF(F269="7 %",0.07,0))</f>
      </c>
      <c r="N269" s="1">
        <f>IF(G269="Firma",0,1)</f>
      </c>
      <c r="O269" s="1">
        <f>IF(L269=0,0,N269*E269)</f>
      </c>
      <c r="P269" s="1">
        <f>IF(L269=0,0,N269*ROUND(E269/(1+M269),2))</f>
      </c>
      <c r="Q269" s="1">
        <f>O269-P269</f>
      </c>
      <c r="R269" s="1">
        <f>IF(AND(A269="",E269="",C269="",D269=""),"",IF(NOT(ISNUMBER(A269)),"Datum fehlt; ",IF(YEAR(A269)&lt;&gt;Jahr,"Datum nicht in "&amp;Jahr&amp;"; ",""))&amp;IF(N(E269)=0,"Betrag fehlt; ","")&amp;IF(C269="","Kostenart fehlt; ","")&amp;IF(AND(N(E269)&lt;&gt;0,F269=""),"USt-Satz fehlt; ",""))</f>
      </c>
    </row>
    <row r="270" spans="1:18" x14ac:dyDescent="0.25">
      <c r="A270" s="33"/>
      <c r="B270" s="7"/>
      <c r="C270" s="7"/>
      <c r="D270" s="7"/>
      <c r="E270" s="34"/>
      <c r="F270" s="7"/>
      <c r="G270" s="7"/>
      <c r="H270" s="35">
        <f>IF(L270=0,"",ROUND(E270/(1+M270),2))</f>
      </c>
      <c r="I270" s="35">
        <f>IF(L270=0,"",E270-H270)</f>
      </c>
      <c r="J270" s="36">
        <f>IF(R270="","",LEFT(R270,LEN(R270)-2))</f>
      </c>
      <c r="K270" s="1"/>
      <c r="L270" s="1">
        <f>IF(OR(R270&lt;&gt;"",NOT(ISNUMBER(A270))),0,MONTH(A270))</f>
      </c>
      <c r="M270" s="1">
        <f>IF(F270="19 %",0.19,IF(F270="7 %",0.07,0))</f>
      </c>
      <c r="N270" s="1">
        <f>IF(G270="Firma",0,1)</f>
      </c>
      <c r="O270" s="1">
        <f>IF(L270=0,0,N270*E270)</f>
      </c>
      <c r="P270" s="1">
        <f>IF(L270=0,0,N270*ROUND(E270/(1+M270),2))</f>
      </c>
      <c r="Q270" s="1">
        <f>O270-P270</f>
      </c>
      <c r="R270" s="1">
        <f>IF(AND(A270="",E270="",C270="",D270=""),"",IF(NOT(ISNUMBER(A270)),"Datum fehlt; ",IF(YEAR(A270)&lt;&gt;Jahr,"Datum nicht in "&amp;Jahr&amp;"; ",""))&amp;IF(N(E270)=0,"Betrag fehlt; ","")&amp;IF(C270="","Kostenart fehlt; ","")&amp;IF(AND(N(E270)&lt;&gt;0,F270=""),"USt-Satz fehlt; ",""))</f>
      </c>
    </row>
    <row r="271" spans="1:18" x14ac:dyDescent="0.25">
      <c r="A271" s="33"/>
      <c r="B271" s="7"/>
      <c r="C271" s="7"/>
      <c r="D271" s="7"/>
      <c r="E271" s="34"/>
      <c r="F271" s="7"/>
      <c r="G271" s="7"/>
      <c r="H271" s="35">
        <f>IF(L271=0,"",ROUND(E271/(1+M271),2))</f>
      </c>
      <c r="I271" s="35">
        <f>IF(L271=0,"",E271-H271)</f>
      </c>
      <c r="J271" s="36">
        <f>IF(R271="","",LEFT(R271,LEN(R271)-2))</f>
      </c>
      <c r="K271" s="1"/>
      <c r="L271" s="1">
        <f>IF(OR(R271&lt;&gt;"",NOT(ISNUMBER(A271))),0,MONTH(A271))</f>
      </c>
      <c r="M271" s="1">
        <f>IF(F271="19 %",0.19,IF(F271="7 %",0.07,0))</f>
      </c>
      <c r="N271" s="1">
        <f>IF(G271="Firma",0,1)</f>
      </c>
      <c r="O271" s="1">
        <f>IF(L271=0,0,N271*E271)</f>
      </c>
      <c r="P271" s="1">
        <f>IF(L271=0,0,N271*ROUND(E271/(1+M271),2))</f>
      </c>
      <c r="Q271" s="1">
        <f>O271-P271</f>
      </c>
      <c r="R271" s="1">
        <f>IF(AND(A271="",E271="",C271="",D271=""),"",IF(NOT(ISNUMBER(A271)),"Datum fehlt; ",IF(YEAR(A271)&lt;&gt;Jahr,"Datum nicht in "&amp;Jahr&amp;"; ",""))&amp;IF(N(E271)=0,"Betrag fehlt; ","")&amp;IF(C271="","Kostenart fehlt; ","")&amp;IF(AND(N(E271)&lt;&gt;0,F271=""),"USt-Satz fehlt; ",""))</f>
      </c>
    </row>
    <row r="272" spans="1:18" x14ac:dyDescent="0.25">
      <c r="A272" s="33"/>
      <c r="B272" s="7"/>
      <c r="C272" s="7"/>
      <c r="D272" s="7"/>
      <c r="E272" s="34"/>
      <c r="F272" s="7"/>
      <c r="G272" s="7"/>
      <c r="H272" s="35">
        <f>IF(L272=0,"",ROUND(E272/(1+M272),2))</f>
      </c>
      <c r="I272" s="35">
        <f>IF(L272=0,"",E272-H272)</f>
      </c>
      <c r="J272" s="36">
        <f>IF(R272="","",LEFT(R272,LEN(R272)-2))</f>
      </c>
      <c r="K272" s="1"/>
      <c r="L272" s="1">
        <f>IF(OR(R272&lt;&gt;"",NOT(ISNUMBER(A272))),0,MONTH(A272))</f>
      </c>
      <c r="M272" s="1">
        <f>IF(F272="19 %",0.19,IF(F272="7 %",0.07,0))</f>
      </c>
      <c r="N272" s="1">
        <f>IF(G272="Firma",0,1)</f>
      </c>
      <c r="O272" s="1">
        <f>IF(L272=0,0,N272*E272)</f>
      </c>
      <c r="P272" s="1">
        <f>IF(L272=0,0,N272*ROUND(E272/(1+M272),2))</f>
      </c>
      <c r="Q272" s="1">
        <f>O272-P272</f>
      </c>
      <c r="R272" s="1">
        <f>IF(AND(A272="",E272="",C272="",D272=""),"",IF(NOT(ISNUMBER(A272)),"Datum fehlt; ",IF(YEAR(A272)&lt;&gt;Jahr,"Datum nicht in "&amp;Jahr&amp;"; ",""))&amp;IF(N(E272)=0,"Betrag fehlt; ","")&amp;IF(C272="","Kostenart fehlt; ","")&amp;IF(AND(N(E272)&lt;&gt;0,F272=""),"USt-Satz fehlt; ",""))</f>
      </c>
    </row>
    <row r="273" spans="1:18" x14ac:dyDescent="0.25">
      <c r="A273" s="33"/>
      <c r="B273" s="7"/>
      <c r="C273" s="7"/>
      <c r="D273" s="7"/>
      <c r="E273" s="34"/>
      <c r="F273" s="7"/>
      <c r="G273" s="7"/>
      <c r="H273" s="35">
        <f>IF(L273=0,"",ROUND(E273/(1+M273),2))</f>
      </c>
      <c r="I273" s="35">
        <f>IF(L273=0,"",E273-H273)</f>
      </c>
      <c r="J273" s="36">
        <f>IF(R273="","",LEFT(R273,LEN(R273)-2))</f>
      </c>
      <c r="K273" s="1"/>
      <c r="L273" s="1">
        <f>IF(OR(R273&lt;&gt;"",NOT(ISNUMBER(A273))),0,MONTH(A273))</f>
      </c>
      <c r="M273" s="1">
        <f>IF(F273="19 %",0.19,IF(F273="7 %",0.07,0))</f>
      </c>
      <c r="N273" s="1">
        <f>IF(G273="Firma",0,1)</f>
      </c>
      <c r="O273" s="1">
        <f>IF(L273=0,0,N273*E273)</f>
      </c>
      <c r="P273" s="1">
        <f>IF(L273=0,0,N273*ROUND(E273/(1+M273),2))</f>
      </c>
      <c r="Q273" s="1">
        <f>O273-P273</f>
      </c>
      <c r="R273" s="1">
        <f>IF(AND(A273="",E273="",C273="",D273=""),"",IF(NOT(ISNUMBER(A273)),"Datum fehlt; ",IF(YEAR(A273)&lt;&gt;Jahr,"Datum nicht in "&amp;Jahr&amp;"; ",""))&amp;IF(N(E273)=0,"Betrag fehlt; ","")&amp;IF(C273="","Kostenart fehlt; ","")&amp;IF(AND(N(E273)&lt;&gt;0,F273=""),"USt-Satz fehlt; ",""))</f>
      </c>
    </row>
    <row r="274" spans="1:18" x14ac:dyDescent="0.25">
      <c r="A274" s="33"/>
      <c r="B274" s="7"/>
      <c r="C274" s="7"/>
      <c r="D274" s="7"/>
      <c r="E274" s="34"/>
      <c r="F274" s="7"/>
      <c r="G274" s="7"/>
      <c r="H274" s="35">
        <f>IF(L274=0,"",ROUND(E274/(1+M274),2))</f>
      </c>
      <c r="I274" s="35">
        <f>IF(L274=0,"",E274-H274)</f>
      </c>
      <c r="J274" s="36">
        <f>IF(R274="","",LEFT(R274,LEN(R274)-2))</f>
      </c>
      <c r="K274" s="1"/>
      <c r="L274" s="1">
        <f>IF(OR(R274&lt;&gt;"",NOT(ISNUMBER(A274))),0,MONTH(A274))</f>
      </c>
      <c r="M274" s="1">
        <f>IF(F274="19 %",0.19,IF(F274="7 %",0.07,0))</f>
      </c>
      <c r="N274" s="1">
        <f>IF(G274="Firma",0,1)</f>
      </c>
      <c r="O274" s="1">
        <f>IF(L274=0,0,N274*E274)</f>
      </c>
      <c r="P274" s="1">
        <f>IF(L274=0,0,N274*ROUND(E274/(1+M274),2))</f>
      </c>
      <c r="Q274" s="1">
        <f>O274-P274</f>
      </c>
      <c r="R274" s="1">
        <f>IF(AND(A274="",E274="",C274="",D274=""),"",IF(NOT(ISNUMBER(A274)),"Datum fehlt; ",IF(YEAR(A274)&lt;&gt;Jahr,"Datum nicht in "&amp;Jahr&amp;"; ",""))&amp;IF(N(E274)=0,"Betrag fehlt; ","")&amp;IF(C274="","Kostenart fehlt; ","")&amp;IF(AND(N(E274)&lt;&gt;0,F274=""),"USt-Satz fehlt; ",""))</f>
      </c>
    </row>
    <row r="275" spans="1:18" x14ac:dyDescent="0.25">
      <c r="A275" s="33"/>
      <c r="B275" s="7"/>
      <c r="C275" s="7"/>
      <c r="D275" s="7"/>
      <c r="E275" s="34"/>
      <c r="F275" s="7"/>
      <c r="G275" s="7"/>
      <c r="H275" s="35">
        <f>IF(L275=0,"",ROUND(E275/(1+M275),2))</f>
      </c>
      <c r="I275" s="35">
        <f>IF(L275=0,"",E275-H275)</f>
      </c>
      <c r="J275" s="36">
        <f>IF(R275="","",LEFT(R275,LEN(R275)-2))</f>
      </c>
      <c r="K275" s="1"/>
      <c r="L275" s="1">
        <f>IF(OR(R275&lt;&gt;"",NOT(ISNUMBER(A275))),0,MONTH(A275))</f>
      </c>
      <c r="M275" s="1">
        <f>IF(F275="19 %",0.19,IF(F275="7 %",0.07,0))</f>
      </c>
      <c r="N275" s="1">
        <f>IF(G275="Firma",0,1)</f>
      </c>
      <c r="O275" s="1">
        <f>IF(L275=0,0,N275*E275)</f>
      </c>
      <c r="P275" s="1">
        <f>IF(L275=0,0,N275*ROUND(E275/(1+M275),2))</f>
      </c>
      <c r="Q275" s="1">
        <f>O275-P275</f>
      </c>
      <c r="R275" s="1">
        <f>IF(AND(A275="",E275="",C275="",D275=""),"",IF(NOT(ISNUMBER(A275)),"Datum fehlt; ",IF(YEAR(A275)&lt;&gt;Jahr,"Datum nicht in "&amp;Jahr&amp;"; ",""))&amp;IF(N(E275)=0,"Betrag fehlt; ","")&amp;IF(C275="","Kostenart fehlt; ","")&amp;IF(AND(N(E275)&lt;&gt;0,F275=""),"USt-Satz fehlt; ",""))</f>
      </c>
    </row>
    <row r="276" spans="1:18" x14ac:dyDescent="0.25">
      <c r="A276" s="33"/>
      <c r="B276" s="7"/>
      <c r="C276" s="7"/>
      <c r="D276" s="7"/>
      <c r="E276" s="34"/>
      <c r="F276" s="7"/>
      <c r="G276" s="7"/>
      <c r="H276" s="35">
        <f>IF(L276=0,"",ROUND(E276/(1+M276),2))</f>
      </c>
      <c r="I276" s="35">
        <f>IF(L276=0,"",E276-H276)</f>
      </c>
      <c r="J276" s="36">
        <f>IF(R276="","",LEFT(R276,LEN(R276)-2))</f>
      </c>
      <c r="K276" s="1"/>
      <c r="L276" s="1">
        <f>IF(OR(R276&lt;&gt;"",NOT(ISNUMBER(A276))),0,MONTH(A276))</f>
      </c>
      <c r="M276" s="1">
        <f>IF(F276="19 %",0.19,IF(F276="7 %",0.07,0))</f>
      </c>
      <c r="N276" s="1">
        <f>IF(G276="Firma",0,1)</f>
      </c>
      <c r="O276" s="1">
        <f>IF(L276=0,0,N276*E276)</f>
      </c>
      <c r="P276" s="1">
        <f>IF(L276=0,0,N276*ROUND(E276/(1+M276),2))</f>
      </c>
      <c r="Q276" s="1">
        <f>O276-P276</f>
      </c>
      <c r="R276" s="1">
        <f>IF(AND(A276="",E276="",C276="",D276=""),"",IF(NOT(ISNUMBER(A276)),"Datum fehlt; ",IF(YEAR(A276)&lt;&gt;Jahr,"Datum nicht in "&amp;Jahr&amp;"; ",""))&amp;IF(N(E276)=0,"Betrag fehlt; ","")&amp;IF(C276="","Kostenart fehlt; ","")&amp;IF(AND(N(E276)&lt;&gt;0,F276=""),"USt-Satz fehlt; ",""))</f>
      </c>
    </row>
    <row r="277" spans="1:18" x14ac:dyDescent="0.25">
      <c r="A277" s="33"/>
      <c r="B277" s="7"/>
      <c r="C277" s="7"/>
      <c r="D277" s="7"/>
      <c r="E277" s="34"/>
      <c r="F277" s="7"/>
      <c r="G277" s="7"/>
      <c r="H277" s="35">
        <f>IF(L277=0,"",ROUND(E277/(1+M277),2))</f>
      </c>
      <c r="I277" s="35">
        <f>IF(L277=0,"",E277-H277)</f>
      </c>
      <c r="J277" s="36">
        <f>IF(R277="","",LEFT(R277,LEN(R277)-2))</f>
      </c>
      <c r="K277" s="1"/>
      <c r="L277" s="1">
        <f>IF(OR(R277&lt;&gt;"",NOT(ISNUMBER(A277))),0,MONTH(A277))</f>
      </c>
      <c r="M277" s="1">
        <f>IF(F277="19 %",0.19,IF(F277="7 %",0.07,0))</f>
      </c>
      <c r="N277" s="1">
        <f>IF(G277="Firma",0,1)</f>
      </c>
      <c r="O277" s="1">
        <f>IF(L277=0,0,N277*E277)</f>
      </c>
      <c r="P277" s="1">
        <f>IF(L277=0,0,N277*ROUND(E277/(1+M277),2))</f>
      </c>
      <c r="Q277" s="1">
        <f>O277-P277</f>
      </c>
      <c r="R277" s="1">
        <f>IF(AND(A277="",E277="",C277="",D277=""),"",IF(NOT(ISNUMBER(A277)),"Datum fehlt; ",IF(YEAR(A277)&lt;&gt;Jahr,"Datum nicht in "&amp;Jahr&amp;"; ",""))&amp;IF(N(E277)=0,"Betrag fehlt; ","")&amp;IF(C277="","Kostenart fehlt; ","")&amp;IF(AND(N(E277)&lt;&gt;0,F277=""),"USt-Satz fehlt; ",""))</f>
      </c>
    </row>
    <row r="278" spans="1:18" x14ac:dyDescent="0.25">
      <c r="A278" s="33"/>
      <c r="B278" s="7"/>
      <c r="C278" s="7"/>
      <c r="D278" s="7"/>
      <c r="E278" s="34"/>
      <c r="F278" s="7"/>
      <c r="G278" s="7"/>
      <c r="H278" s="35">
        <f>IF(L278=0,"",ROUND(E278/(1+M278),2))</f>
      </c>
      <c r="I278" s="35">
        <f>IF(L278=0,"",E278-H278)</f>
      </c>
      <c r="J278" s="36">
        <f>IF(R278="","",LEFT(R278,LEN(R278)-2))</f>
      </c>
      <c r="K278" s="1"/>
      <c r="L278" s="1">
        <f>IF(OR(R278&lt;&gt;"",NOT(ISNUMBER(A278))),0,MONTH(A278))</f>
      </c>
      <c r="M278" s="1">
        <f>IF(F278="19 %",0.19,IF(F278="7 %",0.07,0))</f>
      </c>
      <c r="N278" s="1">
        <f>IF(G278="Firma",0,1)</f>
      </c>
      <c r="O278" s="1">
        <f>IF(L278=0,0,N278*E278)</f>
      </c>
      <c r="P278" s="1">
        <f>IF(L278=0,0,N278*ROUND(E278/(1+M278),2))</f>
      </c>
      <c r="Q278" s="1">
        <f>O278-P278</f>
      </c>
      <c r="R278" s="1">
        <f>IF(AND(A278="",E278="",C278="",D278=""),"",IF(NOT(ISNUMBER(A278)),"Datum fehlt; ",IF(YEAR(A278)&lt;&gt;Jahr,"Datum nicht in "&amp;Jahr&amp;"; ",""))&amp;IF(N(E278)=0,"Betrag fehlt; ","")&amp;IF(C278="","Kostenart fehlt; ","")&amp;IF(AND(N(E278)&lt;&gt;0,F278=""),"USt-Satz fehlt; ",""))</f>
      </c>
    </row>
    <row r="279" spans="1:18" x14ac:dyDescent="0.25">
      <c r="A279" s="33"/>
      <c r="B279" s="7"/>
      <c r="C279" s="7"/>
      <c r="D279" s="7"/>
      <c r="E279" s="34"/>
      <c r="F279" s="7"/>
      <c r="G279" s="7"/>
      <c r="H279" s="35">
        <f>IF(L279=0,"",ROUND(E279/(1+M279),2))</f>
      </c>
      <c r="I279" s="35">
        <f>IF(L279=0,"",E279-H279)</f>
      </c>
      <c r="J279" s="36">
        <f>IF(R279="","",LEFT(R279,LEN(R279)-2))</f>
      </c>
      <c r="K279" s="1"/>
      <c r="L279" s="1">
        <f>IF(OR(R279&lt;&gt;"",NOT(ISNUMBER(A279))),0,MONTH(A279))</f>
      </c>
      <c r="M279" s="1">
        <f>IF(F279="19 %",0.19,IF(F279="7 %",0.07,0))</f>
      </c>
      <c r="N279" s="1">
        <f>IF(G279="Firma",0,1)</f>
      </c>
      <c r="O279" s="1">
        <f>IF(L279=0,0,N279*E279)</f>
      </c>
      <c r="P279" s="1">
        <f>IF(L279=0,0,N279*ROUND(E279/(1+M279),2))</f>
      </c>
      <c r="Q279" s="1">
        <f>O279-P279</f>
      </c>
      <c r="R279" s="1">
        <f>IF(AND(A279="",E279="",C279="",D279=""),"",IF(NOT(ISNUMBER(A279)),"Datum fehlt; ",IF(YEAR(A279)&lt;&gt;Jahr,"Datum nicht in "&amp;Jahr&amp;"; ",""))&amp;IF(N(E279)=0,"Betrag fehlt; ","")&amp;IF(C279="","Kostenart fehlt; ","")&amp;IF(AND(N(E279)&lt;&gt;0,F279=""),"USt-Satz fehlt; ",""))</f>
      </c>
    </row>
    <row r="280" spans="1:18" x14ac:dyDescent="0.25">
      <c r="A280" s="33"/>
      <c r="B280" s="7"/>
      <c r="C280" s="7"/>
      <c r="D280" s="7"/>
      <c r="E280" s="34"/>
      <c r="F280" s="7"/>
      <c r="G280" s="7"/>
      <c r="H280" s="35">
        <f>IF(L280=0,"",ROUND(E280/(1+M280),2))</f>
      </c>
      <c r="I280" s="35">
        <f>IF(L280=0,"",E280-H280)</f>
      </c>
      <c r="J280" s="36">
        <f>IF(R280="","",LEFT(R280,LEN(R280)-2))</f>
      </c>
      <c r="K280" s="1"/>
      <c r="L280" s="1">
        <f>IF(OR(R280&lt;&gt;"",NOT(ISNUMBER(A280))),0,MONTH(A280))</f>
      </c>
      <c r="M280" s="1">
        <f>IF(F280="19 %",0.19,IF(F280="7 %",0.07,0))</f>
      </c>
      <c r="N280" s="1">
        <f>IF(G280="Firma",0,1)</f>
      </c>
      <c r="O280" s="1">
        <f>IF(L280=0,0,N280*E280)</f>
      </c>
      <c r="P280" s="1">
        <f>IF(L280=0,0,N280*ROUND(E280/(1+M280),2))</f>
      </c>
      <c r="Q280" s="1">
        <f>O280-P280</f>
      </c>
      <c r="R280" s="1">
        <f>IF(AND(A280="",E280="",C280="",D280=""),"",IF(NOT(ISNUMBER(A280)),"Datum fehlt; ",IF(YEAR(A280)&lt;&gt;Jahr,"Datum nicht in "&amp;Jahr&amp;"; ",""))&amp;IF(N(E280)=0,"Betrag fehlt; ","")&amp;IF(C280="","Kostenart fehlt; ","")&amp;IF(AND(N(E280)&lt;&gt;0,F280=""),"USt-Satz fehlt; ",""))</f>
      </c>
    </row>
    <row r="281" spans="1:18" x14ac:dyDescent="0.25">
      <c r="A281" s="33"/>
      <c r="B281" s="7"/>
      <c r="C281" s="7"/>
      <c r="D281" s="7"/>
      <c r="E281" s="34"/>
      <c r="F281" s="7"/>
      <c r="G281" s="7"/>
      <c r="H281" s="35">
        <f>IF(L281=0,"",ROUND(E281/(1+M281),2))</f>
      </c>
      <c r="I281" s="35">
        <f>IF(L281=0,"",E281-H281)</f>
      </c>
      <c r="J281" s="36">
        <f>IF(R281="","",LEFT(R281,LEN(R281)-2))</f>
      </c>
      <c r="K281" s="1"/>
      <c r="L281" s="1">
        <f>IF(OR(R281&lt;&gt;"",NOT(ISNUMBER(A281))),0,MONTH(A281))</f>
      </c>
      <c r="M281" s="1">
        <f>IF(F281="19 %",0.19,IF(F281="7 %",0.07,0))</f>
      </c>
      <c r="N281" s="1">
        <f>IF(G281="Firma",0,1)</f>
      </c>
      <c r="O281" s="1">
        <f>IF(L281=0,0,N281*E281)</f>
      </c>
      <c r="P281" s="1">
        <f>IF(L281=0,0,N281*ROUND(E281/(1+M281),2))</f>
      </c>
      <c r="Q281" s="1">
        <f>O281-P281</f>
      </c>
      <c r="R281" s="1">
        <f>IF(AND(A281="",E281="",C281="",D281=""),"",IF(NOT(ISNUMBER(A281)),"Datum fehlt; ",IF(YEAR(A281)&lt;&gt;Jahr,"Datum nicht in "&amp;Jahr&amp;"; ",""))&amp;IF(N(E281)=0,"Betrag fehlt; ","")&amp;IF(C281="","Kostenart fehlt; ","")&amp;IF(AND(N(E281)&lt;&gt;0,F281=""),"USt-Satz fehlt; ",""))</f>
      </c>
    </row>
    <row r="282" spans="1:18" x14ac:dyDescent="0.25">
      <c r="A282" s="33"/>
      <c r="B282" s="7"/>
      <c r="C282" s="7"/>
      <c r="D282" s="7"/>
      <c r="E282" s="34"/>
      <c r="F282" s="7"/>
      <c r="G282" s="7"/>
      <c r="H282" s="35">
        <f>IF(L282=0,"",ROUND(E282/(1+M282),2))</f>
      </c>
      <c r="I282" s="35">
        <f>IF(L282=0,"",E282-H282)</f>
      </c>
      <c r="J282" s="36">
        <f>IF(R282="","",LEFT(R282,LEN(R282)-2))</f>
      </c>
      <c r="K282" s="1"/>
      <c r="L282" s="1">
        <f>IF(OR(R282&lt;&gt;"",NOT(ISNUMBER(A282))),0,MONTH(A282))</f>
      </c>
      <c r="M282" s="1">
        <f>IF(F282="19 %",0.19,IF(F282="7 %",0.07,0))</f>
      </c>
      <c r="N282" s="1">
        <f>IF(G282="Firma",0,1)</f>
      </c>
      <c r="O282" s="1">
        <f>IF(L282=0,0,N282*E282)</f>
      </c>
      <c r="P282" s="1">
        <f>IF(L282=0,0,N282*ROUND(E282/(1+M282),2))</f>
      </c>
      <c r="Q282" s="1">
        <f>O282-P282</f>
      </c>
      <c r="R282" s="1">
        <f>IF(AND(A282="",E282="",C282="",D282=""),"",IF(NOT(ISNUMBER(A282)),"Datum fehlt; ",IF(YEAR(A282)&lt;&gt;Jahr,"Datum nicht in "&amp;Jahr&amp;"; ",""))&amp;IF(N(E282)=0,"Betrag fehlt; ","")&amp;IF(C282="","Kostenart fehlt; ","")&amp;IF(AND(N(E282)&lt;&gt;0,F282=""),"USt-Satz fehlt; ",""))</f>
      </c>
    </row>
    <row r="283" spans="1:18" x14ac:dyDescent="0.25">
      <c r="A283" s="33"/>
      <c r="B283" s="7"/>
      <c r="C283" s="7"/>
      <c r="D283" s="7"/>
      <c r="E283" s="34"/>
      <c r="F283" s="7"/>
      <c r="G283" s="7"/>
      <c r="H283" s="35">
        <f>IF(L283=0,"",ROUND(E283/(1+M283),2))</f>
      </c>
      <c r="I283" s="35">
        <f>IF(L283=0,"",E283-H283)</f>
      </c>
      <c r="J283" s="36">
        <f>IF(R283="","",LEFT(R283,LEN(R283)-2))</f>
      </c>
      <c r="K283" s="1"/>
      <c r="L283" s="1">
        <f>IF(OR(R283&lt;&gt;"",NOT(ISNUMBER(A283))),0,MONTH(A283))</f>
      </c>
      <c r="M283" s="1">
        <f>IF(F283="19 %",0.19,IF(F283="7 %",0.07,0))</f>
      </c>
      <c r="N283" s="1">
        <f>IF(G283="Firma",0,1)</f>
      </c>
      <c r="O283" s="1">
        <f>IF(L283=0,0,N283*E283)</f>
      </c>
      <c r="P283" s="1">
        <f>IF(L283=0,0,N283*ROUND(E283/(1+M283),2))</f>
      </c>
      <c r="Q283" s="1">
        <f>O283-P283</f>
      </c>
      <c r="R283" s="1">
        <f>IF(AND(A283="",E283="",C283="",D283=""),"",IF(NOT(ISNUMBER(A283)),"Datum fehlt; ",IF(YEAR(A283)&lt;&gt;Jahr,"Datum nicht in "&amp;Jahr&amp;"; ",""))&amp;IF(N(E283)=0,"Betrag fehlt; ","")&amp;IF(C283="","Kostenart fehlt; ","")&amp;IF(AND(N(E283)&lt;&gt;0,F283=""),"USt-Satz fehlt; ",""))</f>
      </c>
    </row>
    <row r="284" spans="1:18" x14ac:dyDescent="0.25">
      <c r="A284" s="33"/>
      <c r="B284" s="7"/>
      <c r="C284" s="7"/>
      <c r="D284" s="7"/>
      <c r="E284" s="34"/>
      <c r="F284" s="7"/>
      <c r="G284" s="7"/>
      <c r="H284" s="35">
        <f>IF(L284=0,"",ROUND(E284/(1+M284),2))</f>
      </c>
      <c r="I284" s="35">
        <f>IF(L284=0,"",E284-H284)</f>
      </c>
      <c r="J284" s="36">
        <f>IF(R284="","",LEFT(R284,LEN(R284)-2))</f>
      </c>
      <c r="K284" s="1"/>
      <c r="L284" s="1">
        <f>IF(OR(R284&lt;&gt;"",NOT(ISNUMBER(A284))),0,MONTH(A284))</f>
      </c>
      <c r="M284" s="1">
        <f>IF(F284="19 %",0.19,IF(F284="7 %",0.07,0))</f>
      </c>
      <c r="N284" s="1">
        <f>IF(G284="Firma",0,1)</f>
      </c>
      <c r="O284" s="1">
        <f>IF(L284=0,0,N284*E284)</f>
      </c>
      <c r="P284" s="1">
        <f>IF(L284=0,0,N284*ROUND(E284/(1+M284),2))</f>
      </c>
      <c r="Q284" s="1">
        <f>O284-P284</f>
      </c>
      <c r="R284" s="1">
        <f>IF(AND(A284="",E284="",C284="",D284=""),"",IF(NOT(ISNUMBER(A284)),"Datum fehlt; ",IF(YEAR(A284)&lt;&gt;Jahr,"Datum nicht in "&amp;Jahr&amp;"; ",""))&amp;IF(N(E284)=0,"Betrag fehlt; ","")&amp;IF(C284="","Kostenart fehlt; ","")&amp;IF(AND(N(E284)&lt;&gt;0,F284=""),"USt-Satz fehlt; ",""))</f>
      </c>
    </row>
    <row r="285" spans="1:18" x14ac:dyDescent="0.25">
      <c r="A285" s="33"/>
      <c r="B285" s="7"/>
      <c r="C285" s="7"/>
      <c r="D285" s="7"/>
      <c r="E285" s="34"/>
      <c r="F285" s="7"/>
      <c r="G285" s="7"/>
      <c r="H285" s="35">
        <f>IF(L285=0,"",ROUND(E285/(1+M285),2))</f>
      </c>
      <c r="I285" s="35">
        <f>IF(L285=0,"",E285-H285)</f>
      </c>
      <c r="J285" s="36">
        <f>IF(R285="","",LEFT(R285,LEN(R285)-2))</f>
      </c>
      <c r="K285" s="1"/>
      <c r="L285" s="1">
        <f>IF(OR(R285&lt;&gt;"",NOT(ISNUMBER(A285))),0,MONTH(A285))</f>
      </c>
      <c r="M285" s="1">
        <f>IF(F285="19 %",0.19,IF(F285="7 %",0.07,0))</f>
      </c>
      <c r="N285" s="1">
        <f>IF(G285="Firma",0,1)</f>
      </c>
      <c r="O285" s="1">
        <f>IF(L285=0,0,N285*E285)</f>
      </c>
      <c r="P285" s="1">
        <f>IF(L285=0,0,N285*ROUND(E285/(1+M285),2))</f>
      </c>
      <c r="Q285" s="1">
        <f>O285-P285</f>
      </c>
      <c r="R285" s="1">
        <f>IF(AND(A285="",E285="",C285="",D285=""),"",IF(NOT(ISNUMBER(A285)),"Datum fehlt; ",IF(YEAR(A285)&lt;&gt;Jahr,"Datum nicht in "&amp;Jahr&amp;"; ",""))&amp;IF(N(E285)=0,"Betrag fehlt; ","")&amp;IF(C285="","Kostenart fehlt; ","")&amp;IF(AND(N(E285)&lt;&gt;0,F285=""),"USt-Satz fehlt; ",""))</f>
      </c>
    </row>
    <row r="286" spans="1:18" x14ac:dyDescent="0.25">
      <c r="A286" s="33"/>
      <c r="B286" s="7"/>
      <c r="C286" s="7"/>
      <c r="D286" s="7"/>
      <c r="E286" s="34"/>
      <c r="F286" s="7"/>
      <c r="G286" s="7"/>
      <c r="H286" s="35">
        <f>IF(L286=0,"",ROUND(E286/(1+M286),2))</f>
      </c>
      <c r="I286" s="35">
        <f>IF(L286=0,"",E286-H286)</f>
      </c>
      <c r="J286" s="36">
        <f>IF(R286="","",LEFT(R286,LEN(R286)-2))</f>
      </c>
      <c r="K286" s="1"/>
      <c r="L286" s="1">
        <f>IF(OR(R286&lt;&gt;"",NOT(ISNUMBER(A286))),0,MONTH(A286))</f>
      </c>
      <c r="M286" s="1">
        <f>IF(F286="19 %",0.19,IF(F286="7 %",0.07,0))</f>
      </c>
      <c r="N286" s="1">
        <f>IF(G286="Firma",0,1)</f>
      </c>
      <c r="O286" s="1">
        <f>IF(L286=0,0,N286*E286)</f>
      </c>
      <c r="P286" s="1">
        <f>IF(L286=0,0,N286*ROUND(E286/(1+M286),2))</f>
      </c>
      <c r="Q286" s="1">
        <f>O286-P286</f>
      </c>
      <c r="R286" s="1">
        <f>IF(AND(A286="",E286="",C286="",D286=""),"",IF(NOT(ISNUMBER(A286)),"Datum fehlt; ",IF(YEAR(A286)&lt;&gt;Jahr,"Datum nicht in "&amp;Jahr&amp;"; ",""))&amp;IF(N(E286)=0,"Betrag fehlt; ","")&amp;IF(C286="","Kostenart fehlt; ","")&amp;IF(AND(N(E286)&lt;&gt;0,F286=""),"USt-Satz fehlt; ",""))</f>
      </c>
    </row>
    <row r="287" spans="1:18" x14ac:dyDescent="0.25">
      <c r="A287" s="33"/>
      <c r="B287" s="7"/>
      <c r="C287" s="7"/>
      <c r="D287" s="7"/>
      <c r="E287" s="34"/>
      <c r="F287" s="7"/>
      <c r="G287" s="7"/>
      <c r="H287" s="35">
        <f>IF(L287=0,"",ROUND(E287/(1+M287),2))</f>
      </c>
      <c r="I287" s="35">
        <f>IF(L287=0,"",E287-H287)</f>
      </c>
      <c r="J287" s="36">
        <f>IF(R287="","",LEFT(R287,LEN(R287)-2))</f>
      </c>
      <c r="K287" s="1"/>
      <c r="L287" s="1">
        <f>IF(OR(R287&lt;&gt;"",NOT(ISNUMBER(A287))),0,MONTH(A287))</f>
      </c>
      <c r="M287" s="1">
        <f>IF(F287="19 %",0.19,IF(F287="7 %",0.07,0))</f>
      </c>
      <c r="N287" s="1">
        <f>IF(G287="Firma",0,1)</f>
      </c>
      <c r="O287" s="1">
        <f>IF(L287=0,0,N287*E287)</f>
      </c>
      <c r="P287" s="1">
        <f>IF(L287=0,0,N287*ROUND(E287/(1+M287),2))</f>
      </c>
      <c r="Q287" s="1">
        <f>O287-P287</f>
      </c>
      <c r="R287" s="1">
        <f>IF(AND(A287="",E287="",C287="",D287=""),"",IF(NOT(ISNUMBER(A287)),"Datum fehlt; ",IF(YEAR(A287)&lt;&gt;Jahr,"Datum nicht in "&amp;Jahr&amp;"; ",""))&amp;IF(N(E287)=0,"Betrag fehlt; ","")&amp;IF(C287="","Kostenart fehlt; ","")&amp;IF(AND(N(E287)&lt;&gt;0,F287=""),"USt-Satz fehlt; ",""))</f>
      </c>
    </row>
    <row r="288" spans="1:18" x14ac:dyDescent="0.25">
      <c r="A288" s="33"/>
      <c r="B288" s="7"/>
      <c r="C288" s="7"/>
      <c r="D288" s="7"/>
      <c r="E288" s="34"/>
      <c r="F288" s="7"/>
      <c r="G288" s="7"/>
      <c r="H288" s="35">
        <f>IF(L288=0,"",ROUND(E288/(1+M288),2))</f>
      </c>
      <c r="I288" s="35">
        <f>IF(L288=0,"",E288-H288)</f>
      </c>
      <c r="J288" s="36">
        <f>IF(R288="","",LEFT(R288,LEN(R288)-2))</f>
      </c>
      <c r="K288" s="1"/>
      <c r="L288" s="1">
        <f>IF(OR(R288&lt;&gt;"",NOT(ISNUMBER(A288))),0,MONTH(A288))</f>
      </c>
      <c r="M288" s="1">
        <f>IF(F288="19 %",0.19,IF(F288="7 %",0.07,0))</f>
      </c>
      <c r="N288" s="1">
        <f>IF(G288="Firma",0,1)</f>
      </c>
      <c r="O288" s="1">
        <f>IF(L288=0,0,N288*E288)</f>
      </c>
      <c r="P288" s="1">
        <f>IF(L288=0,0,N288*ROUND(E288/(1+M288),2))</f>
      </c>
      <c r="Q288" s="1">
        <f>O288-P288</f>
      </c>
      <c r="R288" s="1">
        <f>IF(AND(A288="",E288="",C288="",D288=""),"",IF(NOT(ISNUMBER(A288)),"Datum fehlt; ",IF(YEAR(A288)&lt;&gt;Jahr,"Datum nicht in "&amp;Jahr&amp;"; ",""))&amp;IF(N(E288)=0,"Betrag fehlt; ","")&amp;IF(C288="","Kostenart fehlt; ","")&amp;IF(AND(N(E288)&lt;&gt;0,F288=""),"USt-Satz fehlt; ",""))</f>
      </c>
    </row>
    <row r="289" spans="1:18" x14ac:dyDescent="0.25">
      <c r="A289" s="33"/>
      <c r="B289" s="7"/>
      <c r="C289" s="7"/>
      <c r="D289" s="7"/>
      <c r="E289" s="34"/>
      <c r="F289" s="7"/>
      <c r="G289" s="7"/>
      <c r="H289" s="35">
        <f>IF(L289=0,"",ROUND(E289/(1+M289),2))</f>
      </c>
      <c r="I289" s="35">
        <f>IF(L289=0,"",E289-H289)</f>
      </c>
      <c r="J289" s="36">
        <f>IF(R289="","",LEFT(R289,LEN(R289)-2))</f>
      </c>
      <c r="K289" s="1"/>
      <c r="L289" s="1">
        <f>IF(OR(R289&lt;&gt;"",NOT(ISNUMBER(A289))),0,MONTH(A289))</f>
      </c>
      <c r="M289" s="1">
        <f>IF(F289="19 %",0.19,IF(F289="7 %",0.07,0))</f>
      </c>
      <c r="N289" s="1">
        <f>IF(G289="Firma",0,1)</f>
      </c>
      <c r="O289" s="1">
        <f>IF(L289=0,0,N289*E289)</f>
      </c>
      <c r="P289" s="1">
        <f>IF(L289=0,0,N289*ROUND(E289/(1+M289),2))</f>
      </c>
      <c r="Q289" s="1">
        <f>O289-P289</f>
      </c>
      <c r="R289" s="1">
        <f>IF(AND(A289="",E289="",C289="",D289=""),"",IF(NOT(ISNUMBER(A289)),"Datum fehlt; ",IF(YEAR(A289)&lt;&gt;Jahr,"Datum nicht in "&amp;Jahr&amp;"; ",""))&amp;IF(N(E289)=0,"Betrag fehlt; ","")&amp;IF(C289="","Kostenart fehlt; ","")&amp;IF(AND(N(E289)&lt;&gt;0,F289=""),"USt-Satz fehlt; ",""))</f>
      </c>
    </row>
    <row r="290" spans="1:18" x14ac:dyDescent="0.25">
      <c r="A290" s="33"/>
      <c r="B290" s="7"/>
      <c r="C290" s="7"/>
      <c r="D290" s="7"/>
      <c r="E290" s="34"/>
      <c r="F290" s="7"/>
      <c r="G290" s="7"/>
      <c r="H290" s="35">
        <f>IF(L290=0,"",ROUND(E290/(1+M290),2))</f>
      </c>
      <c r="I290" s="35">
        <f>IF(L290=0,"",E290-H290)</f>
      </c>
      <c r="J290" s="36">
        <f>IF(R290="","",LEFT(R290,LEN(R290)-2))</f>
      </c>
      <c r="K290" s="1"/>
      <c r="L290" s="1">
        <f>IF(OR(R290&lt;&gt;"",NOT(ISNUMBER(A290))),0,MONTH(A290))</f>
      </c>
      <c r="M290" s="1">
        <f>IF(F290="19 %",0.19,IF(F290="7 %",0.07,0))</f>
      </c>
      <c r="N290" s="1">
        <f>IF(G290="Firma",0,1)</f>
      </c>
      <c r="O290" s="1">
        <f>IF(L290=0,0,N290*E290)</f>
      </c>
      <c r="P290" s="1">
        <f>IF(L290=0,0,N290*ROUND(E290/(1+M290),2))</f>
      </c>
      <c r="Q290" s="1">
        <f>O290-P290</f>
      </c>
      <c r="R290" s="1">
        <f>IF(AND(A290="",E290="",C290="",D290=""),"",IF(NOT(ISNUMBER(A290)),"Datum fehlt; ",IF(YEAR(A290)&lt;&gt;Jahr,"Datum nicht in "&amp;Jahr&amp;"; ",""))&amp;IF(N(E290)=0,"Betrag fehlt; ","")&amp;IF(C290="","Kostenart fehlt; ","")&amp;IF(AND(N(E290)&lt;&gt;0,F290=""),"USt-Satz fehlt; ",""))</f>
      </c>
    </row>
    <row r="291" spans="1:18" x14ac:dyDescent="0.25">
      <c r="A291" s="33"/>
      <c r="B291" s="7"/>
      <c r="C291" s="7"/>
      <c r="D291" s="7"/>
      <c r="E291" s="34"/>
      <c r="F291" s="7"/>
      <c r="G291" s="7"/>
      <c r="H291" s="35">
        <f>IF(L291=0,"",ROUND(E291/(1+M291),2))</f>
      </c>
      <c r="I291" s="35">
        <f>IF(L291=0,"",E291-H291)</f>
      </c>
      <c r="J291" s="36">
        <f>IF(R291="","",LEFT(R291,LEN(R291)-2))</f>
      </c>
      <c r="K291" s="1"/>
      <c r="L291" s="1">
        <f>IF(OR(R291&lt;&gt;"",NOT(ISNUMBER(A291))),0,MONTH(A291))</f>
      </c>
      <c r="M291" s="1">
        <f>IF(F291="19 %",0.19,IF(F291="7 %",0.07,0))</f>
      </c>
      <c r="N291" s="1">
        <f>IF(G291="Firma",0,1)</f>
      </c>
      <c r="O291" s="1">
        <f>IF(L291=0,0,N291*E291)</f>
      </c>
      <c r="P291" s="1">
        <f>IF(L291=0,0,N291*ROUND(E291/(1+M291),2))</f>
      </c>
      <c r="Q291" s="1">
        <f>O291-P291</f>
      </c>
      <c r="R291" s="1">
        <f>IF(AND(A291="",E291="",C291="",D291=""),"",IF(NOT(ISNUMBER(A291)),"Datum fehlt; ",IF(YEAR(A291)&lt;&gt;Jahr,"Datum nicht in "&amp;Jahr&amp;"; ",""))&amp;IF(N(E291)=0,"Betrag fehlt; ","")&amp;IF(C291="","Kostenart fehlt; ","")&amp;IF(AND(N(E291)&lt;&gt;0,F291=""),"USt-Satz fehlt; ",""))</f>
      </c>
    </row>
    <row r="292" spans="1:18" x14ac:dyDescent="0.25">
      <c r="A292" s="33"/>
      <c r="B292" s="7"/>
      <c r="C292" s="7"/>
      <c r="D292" s="7"/>
      <c r="E292" s="34"/>
      <c r="F292" s="7"/>
      <c r="G292" s="7"/>
      <c r="H292" s="35">
        <f>IF(L292=0,"",ROUND(E292/(1+M292),2))</f>
      </c>
      <c r="I292" s="35">
        <f>IF(L292=0,"",E292-H292)</f>
      </c>
      <c r="J292" s="36">
        <f>IF(R292="","",LEFT(R292,LEN(R292)-2))</f>
      </c>
      <c r="K292" s="1"/>
      <c r="L292" s="1">
        <f>IF(OR(R292&lt;&gt;"",NOT(ISNUMBER(A292))),0,MONTH(A292))</f>
      </c>
      <c r="M292" s="1">
        <f>IF(F292="19 %",0.19,IF(F292="7 %",0.07,0))</f>
      </c>
      <c r="N292" s="1">
        <f>IF(G292="Firma",0,1)</f>
      </c>
      <c r="O292" s="1">
        <f>IF(L292=0,0,N292*E292)</f>
      </c>
      <c r="P292" s="1">
        <f>IF(L292=0,0,N292*ROUND(E292/(1+M292),2))</f>
      </c>
      <c r="Q292" s="1">
        <f>O292-P292</f>
      </c>
      <c r="R292" s="1">
        <f>IF(AND(A292="",E292="",C292="",D292=""),"",IF(NOT(ISNUMBER(A292)),"Datum fehlt; ",IF(YEAR(A292)&lt;&gt;Jahr,"Datum nicht in "&amp;Jahr&amp;"; ",""))&amp;IF(N(E292)=0,"Betrag fehlt; ","")&amp;IF(C292="","Kostenart fehlt; ","")&amp;IF(AND(N(E292)&lt;&gt;0,F292=""),"USt-Satz fehlt; ",""))</f>
      </c>
    </row>
    <row r="293" spans="1:18" x14ac:dyDescent="0.25">
      <c r="A293" s="33"/>
      <c r="B293" s="7"/>
      <c r="C293" s="7"/>
      <c r="D293" s="7"/>
      <c r="E293" s="34"/>
      <c r="F293" s="7"/>
      <c r="G293" s="7"/>
      <c r="H293" s="35">
        <f>IF(L293=0,"",ROUND(E293/(1+M293),2))</f>
      </c>
      <c r="I293" s="35">
        <f>IF(L293=0,"",E293-H293)</f>
      </c>
      <c r="J293" s="36">
        <f>IF(R293="","",LEFT(R293,LEN(R293)-2))</f>
      </c>
      <c r="K293" s="1"/>
      <c r="L293" s="1">
        <f>IF(OR(R293&lt;&gt;"",NOT(ISNUMBER(A293))),0,MONTH(A293))</f>
      </c>
      <c r="M293" s="1">
        <f>IF(F293="19 %",0.19,IF(F293="7 %",0.07,0))</f>
      </c>
      <c r="N293" s="1">
        <f>IF(G293="Firma",0,1)</f>
      </c>
      <c r="O293" s="1">
        <f>IF(L293=0,0,N293*E293)</f>
      </c>
      <c r="P293" s="1">
        <f>IF(L293=0,0,N293*ROUND(E293/(1+M293),2))</f>
      </c>
      <c r="Q293" s="1">
        <f>O293-P293</f>
      </c>
      <c r="R293" s="1">
        <f>IF(AND(A293="",E293="",C293="",D293=""),"",IF(NOT(ISNUMBER(A293)),"Datum fehlt; ",IF(YEAR(A293)&lt;&gt;Jahr,"Datum nicht in "&amp;Jahr&amp;"; ",""))&amp;IF(N(E293)=0,"Betrag fehlt; ","")&amp;IF(C293="","Kostenart fehlt; ","")&amp;IF(AND(N(E293)&lt;&gt;0,F293=""),"USt-Satz fehlt; ",""))</f>
      </c>
    </row>
    <row r="294" spans="1:18" x14ac:dyDescent="0.25">
      <c r="A294" s="33"/>
      <c r="B294" s="7"/>
      <c r="C294" s="7"/>
      <c r="D294" s="7"/>
      <c r="E294" s="34"/>
      <c r="F294" s="7"/>
      <c r="G294" s="7"/>
      <c r="H294" s="35">
        <f>IF(L294=0,"",ROUND(E294/(1+M294),2))</f>
      </c>
      <c r="I294" s="35">
        <f>IF(L294=0,"",E294-H294)</f>
      </c>
      <c r="J294" s="36">
        <f>IF(R294="","",LEFT(R294,LEN(R294)-2))</f>
      </c>
      <c r="K294" s="1"/>
      <c r="L294" s="1">
        <f>IF(OR(R294&lt;&gt;"",NOT(ISNUMBER(A294))),0,MONTH(A294))</f>
      </c>
      <c r="M294" s="1">
        <f>IF(F294="19 %",0.19,IF(F294="7 %",0.07,0))</f>
      </c>
      <c r="N294" s="1">
        <f>IF(G294="Firma",0,1)</f>
      </c>
      <c r="O294" s="1">
        <f>IF(L294=0,0,N294*E294)</f>
      </c>
      <c r="P294" s="1">
        <f>IF(L294=0,0,N294*ROUND(E294/(1+M294),2))</f>
      </c>
      <c r="Q294" s="1">
        <f>O294-P294</f>
      </c>
      <c r="R294" s="1">
        <f>IF(AND(A294="",E294="",C294="",D294=""),"",IF(NOT(ISNUMBER(A294)),"Datum fehlt; ",IF(YEAR(A294)&lt;&gt;Jahr,"Datum nicht in "&amp;Jahr&amp;"; ",""))&amp;IF(N(E294)=0,"Betrag fehlt; ","")&amp;IF(C294="","Kostenart fehlt; ","")&amp;IF(AND(N(E294)&lt;&gt;0,F294=""),"USt-Satz fehlt; ",""))</f>
      </c>
    </row>
    <row r="295" spans="1:18" x14ac:dyDescent="0.25">
      <c r="A295" s="33"/>
      <c r="B295" s="7"/>
      <c r="C295" s="7"/>
      <c r="D295" s="7"/>
      <c r="E295" s="34"/>
      <c r="F295" s="7"/>
      <c r="G295" s="7"/>
      <c r="H295" s="35">
        <f>IF(L295=0,"",ROUND(E295/(1+M295),2))</f>
      </c>
      <c r="I295" s="35">
        <f>IF(L295=0,"",E295-H295)</f>
      </c>
      <c r="J295" s="36">
        <f>IF(R295="","",LEFT(R295,LEN(R295)-2))</f>
      </c>
      <c r="K295" s="1"/>
      <c r="L295" s="1">
        <f>IF(OR(R295&lt;&gt;"",NOT(ISNUMBER(A295))),0,MONTH(A295))</f>
      </c>
      <c r="M295" s="1">
        <f>IF(F295="19 %",0.19,IF(F295="7 %",0.07,0))</f>
      </c>
      <c r="N295" s="1">
        <f>IF(G295="Firma",0,1)</f>
      </c>
      <c r="O295" s="1">
        <f>IF(L295=0,0,N295*E295)</f>
      </c>
      <c r="P295" s="1">
        <f>IF(L295=0,0,N295*ROUND(E295/(1+M295),2))</f>
      </c>
      <c r="Q295" s="1">
        <f>O295-P295</f>
      </c>
      <c r="R295" s="1">
        <f>IF(AND(A295="",E295="",C295="",D295=""),"",IF(NOT(ISNUMBER(A295)),"Datum fehlt; ",IF(YEAR(A295)&lt;&gt;Jahr,"Datum nicht in "&amp;Jahr&amp;"; ",""))&amp;IF(N(E295)=0,"Betrag fehlt; ","")&amp;IF(C295="","Kostenart fehlt; ","")&amp;IF(AND(N(E295)&lt;&gt;0,F295=""),"USt-Satz fehlt; ",""))</f>
      </c>
    </row>
    <row r="296" spans="1:18" x14ac:dyDescent="0.25">
      <c r="A296" s="33"/>
      <c r="B296" s="7"/>
      <c r="C296" s="7"/>
      <c r="D296" s="7"/>
      <c r="E296" s="34"/>
      <c r="F296" s="7"/>
      <c r="G296" s="7"/>
      <c r="H296" s="35">
        <f>IF(L296=0,"",ROUND(E296/(1+M296),2))</f>
      </c>
      <c r="I296" s="35">
        <f>IF(L296=0,"",E296-H296)</f>
      </c>
      <c r="J296" s="36">
        <f>IF(R296="","",LEFT(R296,LEN(R296)-2))</f>
      </c>
      <c r="K296" s="1"/>
      <c r="L296" s="1">
        <f>IF(OR(R296&lt;&gt;"",NOT(ISNUMBER(A296))),0,MONTH(A296))</f>
      </c>
      <c r="M296" s="1">
        <f>IF(F296="19 %",0.19,IF(F296="7 %",0.07,0))</f>
      </c>
      <c r="N296" s="1">
        <f>IF(G296="Firma",0,1)</f>
      </c>
      <c r="O296" s="1">
        <f>IF(L296=0,0,N296*E296)</f>
      </c>
      <c r="P296" s="1">
        <f>IF(L296=0,0,N296*ROUND(E296/(1+M296),2))</f>
      </c>
      <c r="Q296" s="1">
        <f>O296-P296</f>
      </c>
      <c r="R296" s="1">
        <f>IF(AND(A296="",E296="",C296="",D296=""),"",IF(NOT(ISNUMBER(A296)),"Datum fehlt; ",IF(YEAR(A296)&lt;&gt;Jahr,"Datum nicht in "&amp;Jahr&amp;"; ",""))&amp;IF(N(E296)=0,"Betrag fehlt; ","")&amp;IF(C296="","Kostenart fehlt; ","")&amp;IF(AND(N(E296)&lt;&gt;0,F296=""),"USt-Satz fehlt; ",""))</f>
      </c>
    </row>
    <row r="297" spans="1:18" x14ac:dyDescent="0.25">
      <c r="A297" s="33"/>
      <c r="B297" s="7"/>
      <c r="C297" s="7"/>
      <c r="D297" s="7"/>
      <c r="E297" s="34"/>
      <c r="F297" s="7"/>
      <c r="G297" s="7"/>
      <c r="H297" s="35">
        <f>IF(L297=0,"",ROUND(E297/(1+M297),2))</f>
      </c>
      <c r="I297" s="35">
        <f>IF(L297=0,"",E297-H297)</f>
      </c>
      <c r="J297" s="36">
        <f>IF(R297="","",LEFT(R297,LEN(R297)-2))</f>
      </c>
      <c r="K297" s="1"/>
      <c r="L297" s="1">
        <f>IF(OR(R297&lt;&gt;"",NOT(ISNUMBER(A297))),0,MONTH(A297))</f>
      </c>
      <c r="M297" s="1">
        <f>IF(F297="19 %",0.19,IF(F297="7 %",0.07,0))</f>
      </c>
      <c r="N297" s="1">
        <f>IF(G297="Firma",0,1)</f>
      </c>
      <c r="O297" s="1">
        <f>IF(L297=0,0,N297*E297)</f>
      </c>
      <c r="P297" s="1">
        <f>IF(L297=0,0,N297*ROUND(E297/(1+M297),2))</f>
      </c>
      <c r="Q297" s="1">
        <f>O297-P297</f>
      </c>
      <c r="R297" s="1">
        <f>IF(AND(A297="",E297="",C297="",D297=""),"",IF(NOT(ISNUMBER(A297)),"Datum fehlt; ",IF(YEAR(A297)&lt;&gt;Jahr,"Datum nicht in "&amp;Jahr&amp;"; ",""))&amp;IF(N(E297)=0,"Betrag fehlt; ","")&amp;IF(C297="","Kostenart fehlt; ","")&amp;IF(AND(N(E297)&lt;&gt;0,F297=""),"USt-Satz fehlt; ",""))</f>
      </c>
    </row>
    <row r="298" spans="1:18" x14ac:dyDescent="0.25">
      <c r="A298" s="33"/>
      <c r="B298" s="7"/>
      <c r="C298" s="7"/>
      <c r="D298" s="7"/>
      <c r="E298" s="34"/>
      <c r="F298" s="7"/>
      <c r="G298" s="7"/>
      <c r="H298" s="35">
        <f>IF(L298=0,"",ROUND(E298/(1+M298),2))</f>
      </c>
      <c r="I298" s="35">
        <f>IF(L298=0,"",E298-H298)</f>
      </c>
      <c r="J298" s="36">
        <f>IF(R298="","",LEFT(R298,LEN(R298)-2))</f>
      </c>
      <c r="K298" s="1"/>
      <c r="L298" s="1">
        <f>IF(OR(R298&lt;&gt;"",NOT(ISNUMBER(A298))),0,MONTH(A298))</f>
      </c>
      <c r="M298" s="1">
        <f>IF(F298="19 %",0.19,IF(F298="7 %",0.07,0))</f>
      </c>
      <c r="N298" s="1">
        <f>IF(G298="Firma",0,1)</f>
      </c>
      <c r="O298" s="1">
        <f>IF(L298=0,0,N298*E298)</f>
      </c>
      <c r="P298" s="1">
        <f>IF(L298=0,0,N298*ROUND(E298/(1+M298),2))</f>
      </c>
      <c r="Q298" s="1">
        <f>O298-P298</f>
      </c>
      <c r="R298" s="1">
        <f>IF(AND(A298="",E298="",C298="",D298=""),"",IF(NOT(ISNUMBER(A298)),"Datum fehlt; ",IF(YEAR(A298)&lt;&gt;Jahr,"Datum nicht in "&amp;Jahr&amp;"; ",""))&amp;IF(N(E298)=0,"Betrag fehlt; ","")&amp;IF(C298="","Kostenart fehlt; ","")&amp;IF(AND(N(E298)&lt;&gt;0,F298=""),"USt-Satz fehlt; ",""))</f>
      </c>
    </row>
    <row r="299" spans="1:18" x14ac:dyDescent="0.25">
      <c r="A299" s="33"/>
      <c r="B299" s="7"/>
      <c r="C299" s="7"/>
      <c r="D299" s="7"/>
      <c r="E299" s="34"/>
      <c r="F299" s="7"/>
      <c r="G299" s="7"/>
      <c r="H299" s="35">
        <f>IF(L299=0,"",ROUND(E299/(1+M299),2))</f>
      </c>
      <c r="I299" s="35">
        <f>IF(L299=0,"",E299-H299)</f>
      </c>
      <c r="J299" s="36">
        <f>IF(R299="","",LEFT(R299,LEN(R299)-2))</f>
      </c>
      <c r="K299" s="1"/>
      <c r="L299" s="1">
        <f>IF(OR(R299&lt;&gt;"",NOT(ISNUMBER(A299))),0,MONTH(A299))</f>
      </c>
      <c r="M299" s="1">
        <f>IF(F299="19 %",0.19,IF(F299="7 %",0.07,0))</f>
      </c>
      <c r="N299" s="1">
        <f>IF(G299="Firma",0,1)</f>
      </c>
      <c r="O299" s="1">
        <f>IF(L299=0,0,N299*E299)</f>
      </c>
      <c r="P299" s="1">
        <f>IF(L299=0,0,N299*ROUND(E299/(1+M299),2))</f>
      </c>
      <c r="Q299" s="1">
        <f>O299-P299</f>
      </c>
      <c r="R299" s="1">
        <f>IF(AND(A299="",E299="",C299="",D299=""),"",IF(NOT(ISNUMBER(A299)),"Datum fehlt; ",IF(YEAR(A299)&lt;&gt;Jahr,"Datum nicht in "&amp;Jahr&amp;"; ",""))&amp;IF(N(E299)=0,"Betrag fehlt; ","")&amp;IF(C299="","Kostenart fehlt; ","")&amp;IF(AND(N(E299)&lt;&gt;0,F299=""),"USt-Satz fehlt; ",""))</f>
      </c>
    </row>
    <row r="300" spans="1:18" x14ac:dyDescent="0.25">
      <c r="A300" s="33"/>
      <c r="B300" s="7"/>
      <c r="C300" s="7"/>
      <c r="D300" s="7"/>
      <c r="E300" s="34"/>
      <c r="F300" s="7"/>
      <c r="G300" s="7"/>
      <c r="H300" s="35">
        <f>IF(L300=0,"",ROUND(E300/(1+M300),2))</f>
      </c>
      <c r="I300" s="35">
        <f>IF(L300=0,"",E300-H300)</f>
      </c>
      <c r="J300" s="36">
        <f>IF(R300="","",LEFT(R300,LEN(R300)-2))</f>
      </c>
      <c r="K300" s="1"/>
      <c r="L300" s="1">
        <f>IF(OR(R300&lt;&gt;"",NOT(ISNUMBER(A300))),0,MONTH(A300))</f>
      </c>
      <c r="M300" s="1">
        <f>IF(F300="19 %",0.19,IF(F300="7 %",0.07,0))</f>
      </c>
      <c r="N300" s="1">
        <f>IF(G300="Firma",0,1)</f>
      </c>
      <c r="O300" s="1">
        <f>IF(L300=0,0,N300*E300)</f>
      </c>
      <c r="P300" s="1">
        <f>IF(L300=0,0,N300*ROUND(E300/(1+M300),2))</f>
      </c>
      <c r="Q300" s="1">
        <f>O300-P300</f>
      </c>
      <c r="R300" s="1">
        <f>IF(AND(A300="",E300="",C300="",D300=""),"",IF(NOT(ISNUMBER(A300)),"Datum fehlt; ",IF(YEAR(A300)&lt;&gt;Jahr,"Datum nicht in "&amp;Jahr&amp;"; ",""))&amp;IF(N(E300)=0,"Betrag fehlt; ","")&amp;IF(C300="","Kostenart fehlt; ","")&amp;IF(AND(N(E300)&lt;&gt;0,F300=""),"USt-Satz fehlt; ",""))</f>
      </c>
    </row>
    <row r="301" spans="1:18" x14ac:dyDescent="0.25">
      <c r="A301" s="33"/>
      <c r="B301" s="7"/>
      <c r="C301" s="7"/>
      <c r="D301" s="7"/>
      <c r="E301" s="34"/>
      <c r="F301" s="7"/>
      <c r="G301" s="7"/>
      <c r="H301" s="35">
        <f>IF(L301=0,"",ROUND(E301/(1+M301),2))</f>
      </c>
      <c r="I301" s="35">
        <f>IF(L301=0,"",E301-H301)</f>
      </c>
      <c r="J301" s="36">
        <f>IF(R301="","",LEFT(R301,LEN(R301)-2))</f>
      </c>
      <c r="K301" s="1"/>
      <c r="L301" s="1">
        <f>IF(OR(R301&lt;&gt;"",NOT(ISNUMBER(A301))),0,MONTH(A301))</f>
      </c>
      <c r="M301" s="1">
        <f>IF(F301="19 %",0.19,IF(F301="7 %",0.07,0))</f>
      </c>
      <c r="N301" s="1">
        <f>IF(G301="Firma",0,1)</f>
      </c>
      <c r="O301" s="1">
        <f>IF(L301=0,0,N301*E301)</f>
      </c>
      <c r="P301" s="1">
        <f>IF(L301=0,0,N301*ROUND(E301/(1+M301),2))</f>
      </c>
      <c r="Q301" s="1">
        <f>O301-P301</f>
      </c>
      <c r="R301" s="1">
        <f>IF(AND(A301="",E301="",C301="",D301=""),"",IF(NOT(ISNUMBER(A301)),"Datum fehlt; ",IF(YEAR(A301)&lt;&gt;Jahr,"Datum nicht in "&amp;Jahr&amp;"; ",""))&amp;IF(N(E301)=0,"Betrag fehlt; ","")&amp;IF(C301="","Kostenart fehlt; ","")&amp;IF(AND(N(E301)&lt;&gt;0,F301=""),"USt-Satz fehlt; ",""))</f>
      </c>
    </row>
    <row r="302" spans="1:18" x14ac:dyDescent="0.25">
      <c r="A302" s="33"/>
      <c r="B302" s="7"/>
      <c r="C302" s="7"/>
      <c r="D302" s="7"/>
      <c r="E302" s="34"/>
      <c r="F302" s="7"/>
      <c r="G302" s="7"/>
      <c r="H302" s="35">
        <f>IF(L302=0,"",ROUND(E302/(1+M302),2))</f>
      </c>
      <c r="I302" s="35">
        <f>IF(L302=0,"",E302-H302)</f>
      </c>
      <c r="J302" s="36">
        <f>IF(R302="","",LEFT(R302,LEN(R302)-2))</f>
      </c>
      <c r="K302" s="1"/>
      <c r="L302" s="1">
        <f>IF(OR(R302&lt;&gt;"",NOT(ISNUMBER(A302))),0,MONTH(A302))</f>
      </c>
      <c r="M302" s="1">
        <f>IF(F302="19 %",0.19,IF(F302="7 %",0.07,0))</f>
      </c>
      <c r="N302" s="1">
        <f>IF(G302="Firma",0,1)</f>
      </c>
      <c r="O302" s="1">
        <f>IF(L302=0,0,N302*E302)</f>
      </c>
      <c r="P302" s="1">
        <f>IF(L302=0,0,N302*ROUND(E302/(1+M302),2))</f>
      </c>
      <c r="Q302" s="1">
        <f>O302-P302</f>
      </c>
      <c r="R302" s="1">
        <f>IF(AND(A302="",E302="",C302="",D302=""),"",IF(NOT(ISNUMBER(A302)),"Datum fehlt; ",IF(YEAR(A302)&lt;&gt;Jahr,"Datum nicht in "&amp;Jahr&amp;"; ",""))&amp;IF(N(E302)=0,"Betrag fehlt; ","")&amp;IF(C302="","Kostenart fehlt; ","")&amp;IF(AND(N(E302)&lt;&gt;0,F302=""),"USt-Satz fehlt; ",""))</f>
      </c>
    </row>
    <row r="303" spans="1:18" x14ac:dyDescent="0.25">
      <c r="A303" s="33"/>
      <c r="B303" s="7"/>
      <c r="C303" s="7"/>
      <c r="D303" s="7"/>
      <c r="E303" s="34"/>
      <c r="F303" s="7"/>
      <c r="G303" s="7"/>
      <c r="H303" s="35">
        <f>IF(L303=0,"",ROUND(E303/(1+M303),2))</f>
      </c>
      <c r="I303" s="35">
        <f>IF(L303=0,"",E303-H303)</f>
      </c>
      <c r="J303" s="36">
        <f>IF(R303="","",LEFT(R303,LEN(R303)-2))</f>
      </c>
      <c r="K303" s="1"/>
      <c r="L303" s="1">
        <f>IF(OR(R303&lt;&gt;"",NOT(ISNUMBER(A303))),0,MONTH(A303))</f>
      </c>
      <c r="M303" s="1">
        <f>IF(F303="19 %",0.19,IF(F303="7 %",0.07,0))</f>
      </c>
      <c r="N303" s="1">
        <f>IF(G303="Firma",0,1)</f>
      </c>
      <c r="O303" s="1">
        <f>IF(L303=0,0,N303*E303)</f>
      </c>
      <c r="P303" s="1">
        <f>IF(L303=0,0,N303*ROUND(E303/(1+M303),2))</f>
      </c>
      <c r="Q303" s="1">
        <f>O303-P303</f>
      </c>
      <c r="R303" s="1">
        <f>IF(AND(A303="",E303="",C303="",D303=""),"",IF(NOT(ISNUMBER(A303)),"Datum fehlt; ",IF(YEAR(A303)&lt;&gt;Jahr,"Datum nicht in "&amp;Jahr&amp;"; ",""))&amp;IF(N(E303)=0,"Betrag fehlt; ","")&amp;IF(C303="","Kostenart fehlt; ","")&amp;IF(AND(N(E303)&lt;&gt;0,F303=""),"USt-Satz fehlt; ",""))</f>
      </c>
    </row>
    <row r="304" spans="1:18" x14ac:dyDescent="0.25">
      <c r="A304" s="33"/>
      <c r="B304" s="7"/>
      <c r="C304" s="7"/>
      <c r="D304" s="7"/>
      <c r="E304" s="34"/>
      <c r="F304" s="7"/>
      <c r="G304" s="7"/>
      <c r="H304" s="35">
        <f>IF(L304=0,"",ROUND(E304/(1+M304),2))</f>
      </c>
      <c r="I304" s="35">
        <f>IF(L304=0,"",E304-H304)</f>
      </c>
      <c r="J304" s="36">
        <f>IF(R304="","",LEFT(R304,LEN(R304)-2))</f>
      </c>
      <c r="K304" s="1"/>
      <c r="L304" s="1">
        <f>IF(OR(R304&lt;&gt;"",NOT(ISNUMBER(A304))),0,MONTH(A304))</f>
      </c>
      <c r="M304" s="1">
        <f>IF(F304="19 %",0.19,IF(F304="7 %",0.07,0))</f>
      </c>
      <c r="N304" s="1">
        <f>IF(G304="Firma",0,1)</f>
      </c>
      <c r="O304" s="1">
        <f>IF(L304=0,0,N304*E304)</f>
      </c>
      <c r="P304" s="1">
        <f>IF(L304=0,0,N304*ROUND(E304/(1+M304),2))</f>
      </c>
      <c r="Q304" s="1">
        <f>O304-P304</f>
      </c>
      <c r="R304" s="1">
        <f>IF(AND(A304="",E304="",C304="",D304=""),"",IF(NOT(ISNUMBER(A304)),"Datum fehlt; ",IF(YEAR(A304)&lt;&gt;Jahr,"Datum nicht in "&amp;Jahr&amp;"; ",""))&amp;IF(N(E304)=0,"Betrag fehlt; ","")&amp;IF(C304="","Kostenart fehlt; ","")&amp;IF(AND(N(E304)&lt;&gt;0,F304=""),"USt-Satz fehlt; ",""))</f>
      </c>
    </row>
  </sheetData>
  <sheetProtection sheet="1" formatCells="0" formatColumns="0" formatRows="0"/>
  <dataValidations count="10">
    <dataValidation type="date" allowBlank="1" showErrorMessage="1" errorTitle="Datum" error="Bitte ein Datum eintragen, z. B. 05.03.2026." sqref="A10:A304">
      <formula1>36526</formula1>
      <formula2>73050</formula2>
    </dataValidation>
    <dataValidation type="date" allowBlank="1" showErrorMessage="1" errorTitle="Datum" error="Bitte ein Datum eintragen, z. B. 05.03.2026." sqref="A5:A304">
      <formula1>36526</formula1>
      <formula2>73050</formula2>
    </dataValidation>
    <dataValidation type="list" allowBlank="1" showErrorMessage="1" errorTitle="Kostenart" error="Bitte aus der Liste wählen." sqref="C10:C304">
      <formula1>"Übernachtung,Fahrtkosten,Nebenkosten"</formula1>
    </dataValidation>
    <dataValidation type="list" allowBlank="1" showErrorMessage="1" errorTitle="Kostenart" error="Bitte aus der Liste wählen." sqref="C5:C304">
      <formula1>"Übernachtung,Fahrtkosten,Nebenkosten"</formula1>
    </dataValidation>
    <dataValidation type="decimal" allowBlank="1" showErrorMessage="1" errorTitle="Betrag" error="Bitte den Bruttobetrag in Euro eintragen." sqref="E10:E304">
      <formula1>-99999</formula1>
      <formula2>99999</formula2>
    </dataValidation>
    <dataValidation type="decimal" allowBlank="1" showErrorMessage="1" errorTitle="Betrag" error="Bitte den Bruttobetrag in Euro eintragen." sqref="E5:E304">
      <formula1>-99999</formula1>
      <formula2>99999</formula2>
    </dataValidation>
    <dataValidation type="list" allowBlank="1" showErrorMessage="1" errorTitle="USt-Satz" error="Bitte aus der Liste wählen." sqref="F10:F304">
      <formula1>"19 %,7 %,0 %"</formula1>
    </dataValidation>
    <dataValidation type="list" allowBlank="1" showErrorMessage="1" errorTitle="USt-Satz" error="Bitte aus der Liste wählen." sqref="F5:F304">
      <formula1>"19 %,7 %,0 %"</formula1>
    </dataValidation>
    <dataValidation type="list" allowBlank="1" showErrorMessage="1" errorTitle="Bezahlt von" error="Bitte aus der Liste wählen." sqref="G10:G304">
      <formula1>"Mitarbeiter,Firma"</formula1>
    </dataValidation>
    <dataValidation type="list" allowBlank="1" showErrorMessage="1" errorTitle="Bezahlt von" error="Bitte aus der Liste wählen." sqref="G5:G304">
      <formula1>"Mitarbeiter,Firma"</formula1>
    </dataValidation>
  </dataValidations>
  <pageMargins left="0.7" right="0.7" top="0.75" bottom="0.75" header="0.3" footer="0.3"/>
  <pageSetup paperSize="9" orientation="landscape" horizontalDpi="4294967295" verticalDpi="4294967295" scale="100" fitToWidth="1" fitToHeight="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8"/>
  <sheetViews>
    <sheetView workbookViewId="0" showGridLines="0"/>
  </sheetViews>
  <sheetFormatPr defaultRowHeight="15" outlineLevelRow="0" outlineLevelCol="0" x14ac:dyDescent="55"/>
  <cols>
    <col min="1" max="1" width="13" customWidth="1"/>
    <col min="4" max="9" width="13" customWidth="1"/>
    <col min="10" max="10" width="12" customWidth="1"/>
    <col min="11" max="11" width="13" customWidth="1"/>
  </cols>
  <sheetData>
    <row r="1" spans="1:1" x14ac:dyDescent="0.25">
      <c r="A1" s="5">
        <f>"Reisekosten "&amp;Jahr&amp;IF(MitarbeiterName="",""," · "&amp;MitarbeiterName)</f>
      </c>
    </row>
    <row r="3" ht="28" customHeight="1" spans="1:11" x14ac:dyDescent="0.25">
      <c r="A3" s="12" t="s">
        <v>95</v>
      </c>
      <c r="B3" s="12" t="s">
        <v>96</v>
      </c>
      <c r="C3" s="12" t="s">
        <v>97</v>
      </c>
      <c r="D3" s="12" t="s">
        <v>71</v>
      </c>
      <c r="E3" s="12" t="s">
        <v>98</v>
      </c>
      <c r="F3" s="12" t="s">
        <v>99</v>
      </c>
      <c r="G3" s="12" t="s">
        <v>100</v>
      </c>
      <c r="H3" s="12" t="s">
        <v>101</v>
      </c>
      <c r="I3" s="12" t="s">
        <v>102</v>
      </c>
      <c r="J3" s="12" t="s">
        <v>103</v>
      </c>
      <c r="K3" s="12" t="s">
        <v>104</v>
      </c>
    </row>
    <row r="4" spans="1:11" x14ac:dyDescent="0.25">
      <c r="A4" s="13" t="s">
        <v>105</v>
      </c>
      <c r="B4" s="37">
        <f>'Januar'!T37</f>
      </c>
      <c r="C4" s="38">
        <f>'Januar'!U37</f>
      </c>
      <c r="D4" s="35">
        <f>'Januar'!G38</f>
      </c>
      <c r="E4" s="35">
        <f>'Januar'!G39</f>
      </c>
      <c r="F4" s="35">
        <f>'Januar'!G40</f>
      </c>
      <c r="G4" s="35">
        <f>'Januar'!G41</f>
      </c>
      <c r="H4" s="35">
        <f>'Januar'!G42</f>
      </c>
      <c r="I4" s="35">
        <f>'Januar'!G43</f>
      </c>
      <c r="J4" s="35">
        <f>N('Januar'!G44)</f>
      </c>
      <c r="K4" s="35">
        <f>'Januar'!G45</f>
      </c>
    </row>
    <row r="5" spans="1:11" x14ac:dyDescent="0.25">
      <c r="A5" s="13" t="s">
        <v>106</v>
      </c>
      <c r="B5" s="37">
        <f>'Februar'!T37</f>
      </c>
      <c r="C5" s="38">
        <f>'Februar'!U37</f>
      </c>
      <c r="D5" s="35">
        <f>'Februar'!G38</f>
      </c>
      <c r="E5" s="35">
        <f>'Februar'!G39</f>
      </c>
      <c r="F5" s="35">
        <f>'Februar'!G40</f>
      </c>
      <c r="G5" s="35">
        <f>'Februar'!G41</f>
      </c>
      <c r="H5" s="35">
        <f>'Februar'!G42</f>
      </c>
      <c r="I5" s="35">
        <f>'Februar'!G43</f>
      </c>
      <c r="J5" s="35">
        <f>N('Februar'!G44)</f>
      </c>
      <c r="K5" s="35">
        <f>'Februar'!G45</f>
      </c>
    </row>
    <row r="6" spans="1:11" x14ac:dyDescent="0.25">
      <c r="A6" s="13" t="s">
        <v>107</v>
      </c>
      <c r="B6" s="37">
        <f>'März'!T37</f>
      </c>
      <c r="C6" s="38">
        <f>'März'!U37</f>
      </c>
      <c r="D6" s="35">
        <f>'März'!G38</f>
      </c>
      <c r="E6" s="35">
        <f>'März'!G39</f>
      </c>
      <c r="F6" s="35">
        <f>'März'!G40</f>
      </c>
      <c r="G6" s="35">
        <f>'März'!G41</f>
      </c>
      <c r="H6" s="35">
        <f>'März'!G42</f>
      </c>
      <c r="I6" s="35">
        <f>'März'!G43</f>
      </c>
      <c r="J6" s="35">
        <f>N('März'!G44)</f>
      </c>
      <c r="K6" s="35">
        <f>'März'!G45</f>
      </c>
    </row>
    <row r="7" spans="1:11" x14ac:dyDescent="0.25">
      <c r="A7" s="13" t="s">
        <v>108</v>
      </c>
      <c r="B7" s="37">
        <f>'April'!T37</f>
      </c>
      <c r="C7" s="38">
        <f>'April'!U37</f>
      </c>
      <c r="D7" s="35">
        <f>'April'!G38</f>
      </c>
      <c r="E7" s="35">
        <f>'April'!G39</f>
      </c>
      <c r="F7" s="35">
        <f>'April'!G40</f>
      </c>
      <c r="G7" s="35">
        <f>'April'!G41</f>
      </c>
      <c r="H7" s="35">
        <f>'April'!G42</f>
      </c>
      <c r="I7" s="35">
        <f>'April'!G43</f>
      </c>
      <c r="J7" s="35">
        <f>N('April'!G44)</f>
      </c>
      <c r="K7" s="35">
        <f>'April'!G45</f>
      </c>
    </row>
    <row r="8" spans="1:11" x14ac:dyDescent="0.25">
      <c r="A8" s="13" t="s">
        <v>109</v>
      </c>
      <c r="B8" s="37">
        <f>'Mai'!T37</f>
      </c>
      <c r="C8" s="38">
        <f>'Mai'!U37</f>
      </c>
      <c r="D8" s="35">
        <f>'Mai'!G38</f>
      </c>
      <c r="E8" s="35">
        <f>'Mai'!G39</f>
      </c>
      <c r="F8" s="35">
        <f>'Mai'!G40</f>
      </c>
      <c r="G8" s="35">
        <f>'Mai'!G41</f>
      </c>
      <c r="H8" s="35">
        <f>'Mai'!G42</f>
      </c>
      <c r="I8" s="35">
        <f>'Mai'!G43</f>
      </c>
      <c r="J8" s="35">
        <f>N('Mai'!G44)</f>
      </c>
      <c r="K8" s="35">
        <f>'Mai'!G45</f>
      </c>
    </row>
    <row r="9" spans="1:11" x14ac:dyDescent="0.25">
      <c r="A9" s="13" t="s">
        <v>110</v>
      </c>
      <c r="B9" s="37">
        <f>'Juni'!T37</f>
      </c>
      <c r="C9" s="38">
        <f>'Juni'!U37</f>
      </c>
      <c r="D9" s="35">
        <f>'Juni'!G38</f>
      </c>
      <c r="E9" s="35">
        <f>'Juni'!G39</f>
      </c>
      <c r="F9" s="35">
        <f>'Juni'!G40</f>
      </c>
      <c r="G9" s="35">
        <f>'Juni'!G41</f>
      </c>
      <c r="H9" s="35">
        <f>'Juni'!G42</f>
      </c>
      <c r="I9" s="35">
        <f>'Juni'!G43</f>
      </c>
      <c r="J9" s="35">
        <f>N('Juni'!G44)</f>
      </c>
      <c r="K9" s="35">
        <f>'Juni'!G45</f>
      </c>
    </row>
    <row r="10" spans="1:11" x14ac:dyDescent="0.25">
      <c r="A10" s="13" t="s">
        <v>111</v>
      </c>
      <c r="B10" s="37">
        <f>'Juli'!T37</f>
      </c>
      <c r="C10" s="38">
        <f>'Juli'!U37</f>
      </c>
      <c r="D10" s="35">
        <f>'Juli'!G38</f>
      </c>
      <c r="E10" s="35">
        <f>'Juli'!G39</f>
      </c>
      <c r="F10" s="35">
        <f>'Juli'!G40</f>
      </c>
      <c r="G10" s="35">
        <f>'Juli'!G41</f>
      </c>
      <c r="H10" s="35">
        <f>'Juli'!G42</f>
      </c>
      <c r="I10" s="35">
        <f>'Juli'!G43</f>
      </c>
      <c r="J10" s="35">
        <f>N('Juli'!G44)</f>
      </c>
      <c r="K10" s="35">
        <f>'Juli'!G45</f>
      </c>
    </row>
    <row r="11" spans="1:11" x14ac:dyDescent="0.25">
      <c r="A11" s="13" t="s">
        <v>112</v>
      </c>
      <c r="B11" s="37">
        <f>'August'!T37</f>
      </c>
      <c r="C11" s="38">
        <f>'August'!U37</f>
      </c>
      <c r="D11" s="35">
        <f>'August'!G38</f>
      </c>
      <c r="E11" s="35">
        <f>'August'!G39</f>
      </c>
      <c r="F11" s="35">
        <f>'August'!G40</f>
      </c>
      <c r="G11" s="35">
        <f>'August'!G41</f>
      </c>
      <c r="H11" s="35">
        <f>'August'!G42</f>
      </c>
      <c r="I11" s="35">
        <f>'August'!G43</f>
      </c>
      <c r="J11" s="35">
        <f>N('August'!G44)</f>
      </c>
      <c r="K11" s="35">
        <f>'August'!G45</f>
      </c>
    </row>
    <row r="12" spans="1:11" x14ac:dyDescent="0.25">
      <c r="A12" s="13" t="s">
        <v>113</v>
      </c>
      <c r="B12" s="37">
        <f>'September'!T37</f>
      </c>
      <c r="C12" s="38">
        <f>'September'!U37</f>
      </c>
      <c r="D12" s="35">
        <f>'September'!G38</f>
      </c>
      <c r="E12" s="35">
        <f>'September'!G39</f>
      </c>
      <c r="F12" s="35">
        <f>'September'!G40</f>
      </c>
      <c r="G12" s="35">
        <f>'September'!G41</f>
      </c>
      <c r="H12" s="35">
        <f>'September'!G42</f>
      </c>
      <c r="I12" s="35">
        <f>'September'!G43</f>
      </c>
      <c r="J12" s="35">
        <f>N('September'!G44)</f>
      </c>
      <c r="K12" s="35">
        <f>'September'!G45</f>
      </c>
    </row>
    <row r="13" spans="1:11" x14ac:dyDescent="0.25">
      <c r="A13" s="13" t="s">
        <v>114</v>
      </c>
      <c r="B13" s="37">
        <f>'Oktober'!T37</f>
      </c>
      <c r="C13" s="38">
        <f>'Oktober'!U37</f>
      </c>
      <c r="D13" s="35">
        <f>'Oktober'!G38</f>
      </c>
      <c r="E13" s="35">
        <f>'Oktober'!G39</f>
      </c>
      <c r="F13" s="35">
        <f>'Oktober'!G40</f>
      </c>
      <c r="G13" s="35">
        <f>'Oktober'!G41</f>
      </c>
      <c r="H13" s="35">
        <f>'Oktober'!G42</f>
      </c>
      <c r="I13" s="35">
        <f>'Oktober'!G43</f>
      </c>
      <c r="J13" s="35">
        <f>N('Oktober'!G44)</f>
      </c>
      <c r="K13" s="35">
        <f>'Oktober'!G45</f>
      </c>
    </row>
    <row r="14" spans="1:11" x14ac:dyDescent="0.25">
      <c r="A14" s="13" t="s">
        <v>115</v>
      </c>
      <c r="B14" s="37">
        <f>'November'!T37</f>
      </c>
      <c r="C14" s="38">
        <f>'November'!U37</f>
      </c>
      <c r="D14" s="35">
        <f>'November'!G38</f>
      </c>
      <c r="E14" s="35">
        <f>'November'!G39</f>
      </c>
      <c r="F14" s="35">
        <f>'November'!G40</f>
      </c>
      <c r="G14" s="35">
        <f>'November'!G41</f>
      </c>
      <c r="H14" s="35">
        <f>'November'!G42</f>
      </c>
      <c r="I14" s="35">
        <f>'November'!G43</f>
      </c>
      <c r="J14" s="35">
        <f>N('November'!G44)</f>
      </c>
      <c r="K14" s="35">
        <f>'November'!G45</f>
      </c>
    </row>
    <row r="15" spans="1:11" x14ac:dyDescent="0.25">
      <c r="A15" s="13" t="s">
        <v>116</v>
      </c>
      <c r="B15" s="37">
        <f>'Dezember'!T37</f>
      </c>
      <c r="C15" s="38">
        <f>'Dezember'!U37</f>
      </c>
      <c r="D15" s="35">
        <f>'Dezember'!G38</f>
      </c>
      <c r="E15" s="35">
        <f>'Dezember'!G39</f>
      </c>
      <c r="F15" s="35">
        <f>'Dezember'!G40</f>
      </c>
      <c r="G15" s="35">
        <f>'Dezember'!G41</f>
      </c>
      <c r="H15" s="35">
        <f>'Dezember'!G42</f>
      </c>
      <c r="I15" s="35">
        <f>'Dezember'!G43</f>
      </c>
      <c r="J15" s="35">
        <f>N('Dezember'!G44)</f>
      </c>
      <c r="K15" s="35">
        <f>'Dezember'!G45</f>
      </c>
    </row>
    <row r="16" spans="1:11" x14ac:dyDescent="0.25">
      <c r="A16" s="39" t="s">
        <v>117</v>
      </c>
      <c r="B16" s="40">
        <f>SUM(B4:B15)</f>
      </c>
      <c r="C16" s="41">
        <f>SUM(C4:C15)</f>
      </c>
      <c r="D16" s="42">
        <f>SUM(D4:D15)</f>
      </c>
      <c r="E16" s="42">
        <f>SUM(E4:E15)</f>
      </c>
      <c r="F16" s="42">
        <f>SUM(F4:F15)</f>
      </c>
      <c r="G16" s="42">
        <f>SUM(G4:G15)</f>
      </c>
      <c r="H16" s="42">
        <f>SUM(H4:H15)</f>
      </c>
      <c r="I16" s="42">
        <f>SUM(I4:I15)</f>
      </c>
      <c r="J16" s="42">
        <f>SUM(J4:J15)</f>
      </c>
      <c r="K16" s="42">
        <f>SUM(K4:K15)</f>
      </c>
    </row>
    <row r="18" spans="1:1" x14ac:dyDescent="0.25">
      <c r="A18" s="8" t="s">
        <v>118</v>
      </c>
    </row>
  </sheetData>
  <sheetProtection sheet="1" formatCells="0" formatColumns="0" formatRows="0"/>
  <pageMargins left="0.7" right="0.7" top="0.75" bottom="0.75" header="0.3" footer="0.3"/>
  <pageSetup paperSize="9" orientation="landscape"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8"/>
  <sheetViews>
    <sheetView workbookViewId="0" showGridLines="0">
      <pane ySplit="3" topLeftCell="A4" activePane="bottomLeft" state="frozen"/>
      <selection pane="bottomLeft"/>
    </sheetView>
  </sheetViews>
  <sheetFormatPr defaultRowHeight="15" outlineLevelRow="0" outlineLevelCol="0" x14ac:dyDescent="55"/>
  <cols>
    <col min="1" max="1" width="58" customWidth="1"/>
    <col min="2" max="2" width="14" customWidth="1"/>
    <col min="3" max="3" width="20" customWidth="1"/>
    <col min="4" max="4" width="16" customWidth="1"/>
  </cols>
  <sheetData>
    <row r="1" spans="1:1" x14ac:dyDescent="0.25">
      <c r="A1" s="43" t="s">
        <v>119</v>
      </c>
    </row>
    <row r="2" spans="1:1" x14ac:dyDescent="0.25">
      <c r="A2" s="8" t="s">
        <v>120</v>
      </c>
    </row>
    <row r="3" ht="30" customHeight="1" spans="1:4" x14ac:dyDescent="0.25">
      <c r="A3" s="12" t="s">
        <v>121</v>
      </c>
      <c r="B3" s="12" t="s">
        <v>122</v>
      </c>
      <c r="C3" s="12" t="s">
        <v>123</v>
      </c>
      <c r="D3" s="12" t="s">
        <v>98</v>
      </c>
    </row>
    <row r="4" spans="1:4" x14ac:dyDescent="0.25">
      <c r="A4" s="44" t="s">
        <v>124</v>
      </c>
      <c r="B4" s="44">
        <v>28</v>
      </c>
      <c r="C4" s="44">
        <v>14</v>
      </c>
      <c r="D4" s="44">
        <v>20</v>
      </c>
    </row>
    <row r="5" spans="1:4" x14ac:dyDescent="0.25">
      <c r="A5" s="13" t="s">
        <v>125</v>
      </c>
      <c r="B5" s="13">
        <v>50</v>
      </c>
      <c r="C5" s="13">
        <v>33</v>
      </c>
      <c r="D5" s="13">
        <v>112</v>
      </c>
    </row>
    <row r="6" spans="1:4" x14ac:dyDescent="0.25">
      <c r="A6" s="13" t="s">
        <v>126</v>
      </c>
      <c r="B6" s="13">
        <v>44</v>
      </c>
      <c r="C6" s="13">
        <v>29</v>
      </c>
      <c r="D6" s="13">
        <v>159</v>
      </c>
    </row>
    <row r="7" spans="1:4" x14ac:dyDescent="0.25">
      <c r="A7" s="13" t="s">
        <v>127</v>
      </c>
      <c r="B7" s="13">
        <v>42</v>
      </c>
      <c r="C7" s="13">
        <v>28</v>
      </c>
      <c r="D7" s="13">
        <v>166</v>
      </c>
    </row>
    <row r="8" spans="1:4" x14ac:dyDescent="0.25">
      <c r="A8" s="13" t="s">
        <v>128</v>
      </c>
      <c r="B8" s="13">
        <v>33</v>
      </c>
      <c r="C8" s="13">
        <v>22</v>
      </c>
      <c r="D8" s="13">
        <v>116</v>
      </c>
    </row>
    <row r="9" spans="1:4" x14ac:dyDescent="0.25">
      <c r="A9" s="13" t="s">
        <v>129</v>
      </c>
      <c r="B9" s="13">
        <v>47</v>
      </c>
      <c r="C9" s="13">
        <v>32</v>
      </c>
      <c r="D9" s="13">
        <v>120</v>
      </c>
    </row>
    <row r="10" spans="1:4" x14ac:dyDescent="0.25">
      <c r="A10" s="13" t="s">
        <v>130</v>
      </c>
      <c r="B10" s="13">
        <v>45</v>
      </c>
      <c r="C10" s="13">
        <v>30</v>
      </c>
      <c r="D10" s="13">
        <v>135</v>
      </c>
    </row>
    <row r="11" spans="1:4" x14ac:dyDescent="0.25">
      <c r="A11" s="13" t="s">
        <v>131</v>
      </c>
      <c r="B11" s="13">
        <v>40</v>
      </c>
      <c r="C11" s="13">
        <v>27</v>
      </c>
      <c r="D11" s="13">
        <v>368</v>
      </c>
    </row>
    <row r="12" spans="1:4" x14ac:dyDescent="0.25">
      <c r="A12" s="13" t="s">
        <v>132</v>
      </c>
      <c r="B12" s="13">
        <v>42</v>
      </c>
      <c r="C12" s="13">
        <v>28</v>
      </c>
      <c r="D12" s="13">
        <v>119</v>
      </c>
    </row>
    <row r="13" spans="1:4" x14ac:dyDescent="0.25">
      <c r="A13" s="13" t="s">
        <v>133</v>
      </c>
      <c r="B13" s="13">
        <v>29</v>
      </c>
      <c r="C13" s="13">
        <v>20</v>
      </c>
      <c r="D13" s="13">
        <v>107</v>
      </c>
    </row>
    <row r="14" spans="1:4" x14ac:dyDescent="0.25">
      <c r="A14" s="13" t="s">
        <v>134</v>
      </c>
      <c r="B14" s="13">
        <v>44</v>
      </c>
      <c r="C14" s="13">
        <v>29</v>
      </c>
      <c r="D14" s="13">
        <v>88</v>
      </c>
    </row>
    <row r="15" spans="1:4" x14ac:dyDescent="0.25">
      <c r="A15" s="13" t="s">
        <v>135</v>
      </c>
      <c r="B15" s="13">
        <v>74</v>
      </c>
      <c r="C15" s="13">
        <v>49</v>
      </c>
      <c r="D15" s="13">
        <v>186</v>
      </c>
    </row>
    <row r="16" spans="1:4" x14ac:dyDescent="0.25">
      <c r="A16" s="13" t="s">
        <v>136</v>
      </c>
      <c r="B16" s="13">
        <v>57</v>
      </c>
      <c r="C16" s="13">
        <v>38</v>
      </c>
      <c r="D16" s="13">
        <v>173</v>
      </c>
    </row>
    <row r="17" spans="1:4" x14ac:dyDescent="0.25">
      <c r="A17" s="13" t="s">
        <v>137</v>
      </c>
      <c r="B17" s="13">
        <v>57</v>
      </c>
      <c r="C17" s="13">
        <v>38</v>
      </c>
      <c r="D17" s="13">
        <v>173</v>
      </c>
    </row>
    <row r="18" spans="1:4" x14ac:dyDescent="0.25">
      <c r="A18" s="13" t="s">
        <v>138</v>
      </c>
      <c r="B18" s="13">
        <v>48</v>
      </c>
      <c r="C18" s="13">
        <v>32</v>
      </c>
      <c r="D18" s="13">
        <v>153</v>
      </c>
    </row>
    <row r="19" spans="1:4" x14ac:dyDescent="0.25">
      <c r="A19" s="13" t="s">
        <v>139</v>
      </c>
      <c r="B19" s="13">
        <v>46</v>
      </c>
      <c r="C19" s="13">
        <v>31</v>
      </c>
      <c r="D19" s="13">
        <v>189</v>
      </c>
    </row>
    <row r="20" spans="1:4" x14ac:dyDescent="0.25">
      <c r="A20" s="13" t="s">
        <v>140</v>
      </c>
      <c r="B20" s="13">
        <v>54</v>
      </c>
      <c r="C20" s="13">
        <v>36</v>
      </c>
      <c r="D20" s="13">
        <v>206</v>
      </c>
    </row>
    <row r="21" spans="1:4" x14ac:dyDescent="0.25">
      <c r="A21" s="13" t="s">
        <v>141</v>
      </c>
      <c r="B21" s="13">
        <v>59</v>
      </c>
      <c r="C21" s="13">
        <v>40</v>
      </c>
      <c r="D21" s="13">
        <v>141</v>
      </c>
    </row>
    <row r="22" spans="1:4" x14ac:dyDescent="0.25">
      <c r="A22" s="13" t="s">
        <v>142</v>
      </c>
      <c r="B22" s="13">
        <v>40</v>
      </c>
      <c r="C22" s="13">
        <v>27</v>
      </c>
      <c r="D22" s="13">
        <v>168</v>
      </c>
    </row>
    <row r="23" spans="1:4" x14ac:dyDescent="0.25">
      <c r="A23" s="13" t="s">
        <v>143</v>
      </c>
      <c r="B23" s="13">
        <v>27</v>
      </c>
      <c r="C23" s="13">
        <v>18</v>
      </c>
      <c r="D23" s="13">
        <v>176</v>
      </c>
    </row>
    <row r="24" spans="1:4" x14ac:dyDescent="0.25">
      <c r="A24" s="13" t="s">
        <v>144</v>
      </c>
      <c r="B24" s="13">
        <v>46</v>
      </c>
      <c r="C24" s="13">
        <v>31</v>
      </c>
      <c r="D24" s="13">
        <v>108</v>
      </c>
    </row>
    <row r="25" spans="1:4" x14ac:dyDescent="0.25">
      <c r="A25" s="13" t="s">
        <v>145</v>
      </c>
      <c r="B25" s="13">
        <v>32</v>
      </c>
      <c r="C25" s="13">
        <v>21</v>
      </c>
      <c r="D25" s="13">
        <v>109</v>
      </c>
    </row>
    <row r="26" spans="1:4" x14ac:dyDescent="0.25">
      <c r="A26" s="13" t="s">
        <v>146</v>
      </c>
      <c r="B26" s="13">
        <v>40</v>
      </c>
      <c r="C26" s="13">
        <v>27</v>
      </c>
      <c r="D26" s="13">
        <v>105</v>
      </c>
    </row>
    <row r="27" spans="1:4" x14ac:dyDescent="0.25">
      <c r="A27" s="13" t="s">
        <v>147</v>
      </c>
      <c r="B27" s="13">
        <v>51</v>
      </c>
      <c r="C27" s="13">
        <v>34</v>
      </c>
      <c r="D27" s="13">
        <v>88</v>
      </c>
    </row>
    <row r="28" spans="1:4" x14ac:dyDescent="0.25">
      <c r="A28" s="13" t="s">
        <v>148</v>
      </c>
      <c r="B28" s="13">
        <v>69</v>
      </c>
      <c r="C28" s="13">
        <v>46</v>
      </c>
      <c r="D28" s="13">
        <v>140</v>
      </c>
    </row>
    <row r="29" spans="1:4" x14ac:dyDescent="0.25">
      <c r="A29" s="13" t="s">
        <v>149</v>
      </c>
      <c r="B29" s="13">
        <v>46</v>
      </c>
      <c r="C29" s="13">
        <v>31</v>
      </c>
      <c r="D29" s="13">
        <v>151</v>
      </c>
    </row>
    <row r="30" spans="1:4" x14ac:dyDescent="0.25">
      <c r="A30" s="13" t="s">
        <v>150</v>
      </c>
      <c r="B30" s="13">
        <v>46</v>
      </c>
      <c r="C30" s="13">
        <v>31</v>
      </c>
      <c r="D30" s="13">
        <v>88</v>
      </c>
    </row>
    <row r="31" spans="1:4" x14ac:dyDescent="0.25">
      <c r="A31" s="13" t="s">
        <v>151</v>
      </c>
      <c r="B31" s="13">
        <v>45</v>
      </c>
      <c r="C31" s="13">
        <v>30</v>
      </c>
      <c r="D31" s="13">
        <v>110</v>
      </c>
    </row>
    <row r="32" spans="1:4" x14ac:dyDescent="0.25">
      <c r="A32" s="13" t="s">
        <v>152</v>
      </c>
      <c r="B32" s="13">
        <v>38</v>
      </c>
      <c r="C32" s="13">
        <v>25</v>
      </c>
      <c r="D32" s="13">
        <v>109</v>
      </c>
    </row>
    <row r="33" spans="1:4" x14ac:dyDescent="0.25">
      <c r="A33" s="13" t="s">
        <v>153</v>
      </c>
      <c r="B33" s="13">
        <v>39</v>
      </c>
      <c r="C33" s="13">
        <v>26</v>
      </c>
      <c r="D33" s="13">
        <v>230</v>
      </c>
    </row>
    <row r="34" spans="1:4" x14ac:dyDescent="0.25">
      <c r="A34" s="13" t="s">
        <v>154</v>
      </c>
      <c r="B34" s="13">
        <v>58</v>
      </c>
      <c r="C34" s="13">
        <v>39</v>
      </c>
      <c r="D34" s="13">
        <v>102</v>
      </c>
    </row>
    <row r="35" spans="1:4" x14ac:dyDescent="0.25">
      <c r="A35" s="13" t="s">
        <v>155</v>
      </c>
      <c r="B35" s="13">
        <v>44</v>
      </c>
      <c r="C35" s="13">
        <v>29</v>
      </c>
      <c r="D35" s="13">
        <v>154</v>
      </c>
    </row>
    <row r="36" spans="1:4" x14ac:dyDescent="0.25">
      <c r="A36" s="13" t="s">
        <v>156</v>
      </c>
      <c r="B36" s="13">
        <v>83</v>
      </c>
      <c r="C36" s="13">
        <v>56</v>
      </c>
      <c r="D36" s="13">
        <v>209</v>
      </c>
    </row>
    <row r="37" spans="1:4" x14ac:dyDescent="0.25">
      <c r="A37" s="13" t="s">
        <v>157</v>
      </c>
      <c r="B37" s="13">
        <v>57</v>
      </c>
      <c r="C37" s="13">
        <v>38</v>
      </c>
      <c r="D37" s="13">
        <v>184</v>
      </c>
    </row>
    <row r="38" spans="1:4" x14ac:dyDescent="0.25">
      <c r="A38" s="13" t="s">
        <v>158</v>
      </c>
      <c r="B38" s="13">
        <v>48</v>
      </c>
      <c r="C38" s="13">
        <v>32</v>
      </c>
      <c r="D38" s="13">
        <v>142</v>
      </c>
    </row>
    <row r="39" spans="1:4" x14ac:dyDescent="0.25">
      <c r="A39" s="13" t="s">
        <v>159</v>
      </c>
      <c r="B39" s="13">
        <v>48</v>
      </c>
      <c r="C39" s="13">
        <v>32</v>
      </c>
      <c r="D39" s="13">
        <v>142</v>
      </c>
    </row>
    <row r="40" spans="1:4" x14ac:dyDescent="0.25">
      <c r="A40" s="13" t="s">
        <v>160</v>
      </c>
      <c r="B40" s="13">
        <v>60</v>
      </c>
      <c r="C40" s="13">
        <v>40</v>
      </c>
      <c r="D40" s="13">
        <v>127</v>
      </c>
    </row>
    <row r="41" spans="1:4" x14ac:dyDescent="0.25">
      <c r="A41" s="13" t="s">
        <v>161</v>
      </c>
      <c r="B41" s="13">
        <v>60</v>
      </c>
      <c r="C41" s="13">
        <v>40</v>
      </c>
      <c r="D41" s="13">
        <v>171</v>
      </c>
    </row>
    <row r="42" spans="1:4" x14ac:dyDescent="0.25">
      <c r="A42" s="13" t="s">
        <v>162</v>
      </c>
      <c r="B42" s="13">
        <v>75</v>
      </c>
      <c r="C42" s="13">
        <v>50</v>
      </c>
      <c r="D42" s="13">
        <v>183</v>
      </c>
    </row>
    <row r="43" spans="1:4" x14ac:dyDescent="0.25">
      <c r="A43" s="13" t="s">
        <v>163</v>
      </c>
      <c r="B43" s="13">
        <v>50</v>
      </c>
      <c r="C43" s="13">
        <v>33</v>
      </c>
      <c r="D43" s="13">
        <v>167</v>
      </c>
    </row>
    <row r="44" spans="1:4" x14ac:dyDescent="0.25">
      <c r="A44" s="13" t="s">
        <v>164</v>
      </c>
      <c r="B44" s="13">
        <v>77</v>
      </c>
      <c r="C44" s="13">
        <v>52</v>
      </c>
      <c r="D44" s="13">
        <v>255</v>
      </c>
    </row>
    <row r="45" spans="1:4" x14ac:dyDescent="0.25">
      <c r="A45" s="13" t="s">
        <v>165</v>
      </c>
      <c r="B45" s="13">
        <v>27</v>
      </c>
      <c r="C45" s="13">
        <v>18</v>
      </c>
      <c r="D45" s="13">
        <v>103</v>
      </c>
    </row>
    <row r="46" spans="1:4" x14ac:dyDescent="0.25">
      <c r="A46" s="13" t="s">
        <v>166</v>
      </c>
      <c r="B46" s="13">
        <v>65</v>
      </c>
      <c r="C46" s="13">
        <v>44</v>
      </c>
      <c r="D46" s="13">
        <v>161</v>
      </c>
    </row>
    <row r="47" spans="1:4" x14ac:dyDescent="0.25">
      <c r="A47" s="13" t="s">
        <v>167</v>
      </c>
      <c r="B47" s="13">
        <v>46</v>
      </c>
      <c r="C47" s="13">
        <v>31</v>
      </c>
      <c r="D47" s="13">
        <v>78</v>
      </c>
    </row>
    <row r="48" spans="1:4" x14ac:dyDescent="0.25">
      <c r="A48" s="13" t="s">
        <v>168</v>
      </c>
      <c r="B48" s="13">
        <v>39</v>
      </c>
      <c r="C48" s="13">
        <v>26</v>
      </c>
      <c r="D48" s="13">
        <v>125</v>
      </c>
    </row>
    <row r="49" spans="1:4" x14ac:dyDescent="0.25">
      <c r="A49" s="13" t="s">
        <v>169</v>
      </c>
      <c r="B49" s="13">
        <v>32</v>
      </c>
      <c r="C49" s="13">
        <v>21</v>
      </c>
      <c r="D49" s="13">
        <v>183</v>
      </c>
    </row>
    <row r="50" spans="1:4" x14ac:dyDescent="0.25">
      <c r="A50" s="13" t="s">
        <v>170</v>
      </c>
      <c r="B50" s="13">
        <v>54</v>
      </c>
      <c r="C50" s="13">
        <v>36</v>
      </c>
      <c r="D50" s="13">
        <v>171</v>
      </c>
    </row>
    <row r="51" spans="1:4" x14ac:dyDescent="0.25">
      <c r="A51" s="13" t="s">
        <v>171</v>
      </c>
      <c r="B51" s="13">
        <v>58</v>
      </c>
      <c r="C51" s="13">
        <v>39</v>
      </c>
      <c r="D51" s="13">
        <v>159</v>
      </c>
    </row>
    <row r="52" spans="1:4" x14ac:dyDescent="0.25">
      <c r="A52" s="13" t="s">
        <v>172</v>
      </c>
      <c r="B52" s="13">
        <v>53</v>
      </c>
      <c r="C52" s="13">
        <v>36</v>
      </c>
      <c r="D52" s="13">
        <v>105</v>
      </c>
    </row>
    <row r="53" spans="1:4" x14ac:dyDescent="0.25">
      <c r="A53" s="13" t="s">
        <v>173</v>
      </c>
      <c r="B53" s="13">
        <v>64</v>
      </c>
      <c r="C53" s="13">
        <v>43</v>
      </c>
      <c r="D53" s="13">
        <v>263</v>
      </c>
    </row>
    <row r="54" spans="1:4" x14ac:dyDescent="0.25">
      <c r="A54" s="13" t="s">
        <v>174</v>
      </c>
      <c r="B54" s="13">
        <v>40</v>
      </c>
      <c r="C54" s="13">
        <v>27</v>
      </c>
      <c r="D54" s="13">
        <v>161</v>
      </c>
    </row>
    <row r="55" spans="1:4" x14ac:dyDescent="0.25">
      <c r="A55" s="13" t="s">
        <v>175</v>
      </c>
      <c r="B55" s="13">
        <v>45</v>
      </c>
      <c r="C55" s="13">
        <v>30</v>
      </c>
      <c r="D55" s="13">
        <v>87</v>
      </c>
    </row>
    <row r="56" spans="1:4" x14ac:dyDescent="0.25">
      <c r="A56" s="13" t="s">
        <v>176</v>
      </c>
      <c r="B56" s="13">
        <v>46</v>
      </c>
      <c r="C56" s="13">
        <v>31</v>
      </c>
      <c r="D56" s="13">
        <v>203</v>
      </c>
    </row>
    <row r="57" spans="1:4" x14ac:dyDescent="0.25">
      <c r="A57" s="13" t="s">
        <v>177</v>
      </c>
      <c r="B57" s="13">
        <v>40</v>
      </c>
      <c r="C57" s="13">
        <v>27</v>
      </c>
      <c r="D57" s="13">
        <v>139</v>
      </c>
    </row>
    <row r="58" spans="1:4" x14ac:dyDescent="0.25">
      <c r="A58" s="13" t="s">
        <v>178</v>
      </c>
      <c r="B58" s="13">
        <v>36</v>
      </c>
      <c r="C58" s="13">
        <v>24</v>
      </c>
      <c r="D58" s="13">
        <v>150</v>
      </c>
    </row>
    <row r="59" spans="1:4" x14ac:dyDescent="0.25">
      <c r="A59" s="13" t="s">
        <v>179</v>
      </c>
      <c r="B59" s="13">
        <v>46</v>
      </c>
      <c r="C59" s="13">
        <v>31</v>
      </c>
      <c r="D59" s="13">
        <v>124</v>
      </c>
    </row>
    <row r="60" spans="1:4" x14ac:dyDescent="0.25">
      <c r="A60" s="13" t="s">
        <v>180</v>
      </c>
      <c r="B60" s="13">
        <v>59</v>
      </c>
      <c r="C60" s="13">
        <v>40</v>
      </c>
      <c r="D60" s="13">
        <v>140</v>
      </c>
    </row>
    <row r="61" spans="1:4" x14ac:dyDescent="0.25">
      <c r="A61" s="13" t="s">
        <v>181</v>
      </c>
      <c r="B61" s="13">
        <v>32</v>
      </c>
      <c r="C61" s="13">
        <v>21</v>
      </c>
      <c r="D61" s="13">
        <v>113</v>
      </c>
    </row>
    <row r="62" spans="1:4" x14ac:dyDescent="0.25">
      <c r="A62" s="13" t="s">
        <v>182</v>
      </c>
      <c r="B62" s="13">
        <v>57</v>
      </c>
      <c r="C62" s="13">
        <v>38</v>
      </c>
      <c r="D62" s="13">
        <v>198</v>
      </c>
    </row>
    <row r="63" spans="1:4" x14ac:dyDescent="0.25">
      <c r="A63" s="13" t="s">
        <v>183</v>
      </c>
      <c r="B63" s="13">
        <v>42</v>
      </c>
      <c r="C63" s="13">
        <v>28</v>
      </c>
      <c r="D63" s="13">
        <v>155</v>
      </c>
    </row>
    <row r="64" spans="1:4" x14ac:dyDescent="0.25">
      <c r="A64" s="13" t="s">
        <v>184</v>
      </c>
      <c r="B64" s="13">
        <v>22</v>
      </c>
      <c r="C64" s="13">
        <v>15</v>
      </c>
      <c r="D64" s="13">
        <v>80</v>
      </c>
    </row>
    <row r="65" spans="1:4" x14ac:dyDescent="0.25">
      <c r="A65" s="13" t="s">
        <v>185</v>
      </c>
      <c r="B65" s="13">
        <v>32</v>
      </c>
      <c r="C65" s="13">
        <v>21</v>
      </c>
      <c r="D65" s="13">
        <v>167</v>
      </c>
    </row>
    <row r="66" spans="1:4" x14ac:dyDescent="0.25">
      <c r="A66" s="13" t="s">
        <v>186</v>
      </c>
      <c r="B66" s="13">
        <v>53</v>
      </c>
      <c r="C66" s="13">
        <v>36</v>
      </c>
      <c r="D66" s="13">
        <v>218</v>
      </c>
    </row>
    <row r="67" spans="1:4" x14ac:dyDescent="0.25">
      <c r="A67" s="13" t="s">
        <v>187</v>
      </c>
      <c r="B67" s="13">
        <v>46</v>
      </c>
      <c r="C67" s="13">
        <v>31</v>
      </c>
      <c r="D67" s="13">
        <v>211</v>
      </c>
    </row>
    <row r="68" spans="1:4" x14ac:dyDescent="0.25">
      <c r="A68" s="13" t="s">
        <v>188</v>
      </c>
      <c r="B68" s="13">
        <v>22</v>
      </c>
      <c r="C68" s="13">
        <v>15</v>
      </c>
      <c r="D68" s="13">
        <v>80</v>
      </c>
    </row>
    <row r="69" spans="1:4" x14ac:dyDescent="0.25">
      <c r="A69" s="13" t="s">
        <v>189</v>
      </c>
      <c r="B69" s="13">
        <v>45</v>
      </c>
      <c r="C69" s="13">
        <v>30</v>
      </c>
      <c r="D69" s="13">
        <v>179</v>
      </c>
    </row>
    <row r="70" spans="1:4" x14ac:dyDescent="0.25">
      <c r="A70" s="13" t="s">
        <v>190</v>
      </c>
      <c r="B70" s="13">
        <v>33</v>
      </c>
      <c r="C70" s="13">
        <v>22</v>
      </c>
      <c r="D70" s="13">
        <v>196</v>
      </c>
    </row>
    <row r="71" spans="1:4" x14ac:dyDescent="0.25">
      <c r="A71" s="13" t="s">
        <v>191</v>
      </c>
      <c r="B71" s="13">
        <v>64</v>
      </c>
      <c r="C71" s="13">
        <v>43</v>
      </c>
      <c r="D71" s="13">
        <v>164</v>
      </c>
    </row>
    <row r="72" spans="1:4" x14ac:dyDescent="0.25">
      <c r="A72" s="13" t="s">
        <v>192</v>
      </c>
      <c r="B72" s="13">
        <v>62</v>
      </c>
      <c r="C72" s="13">
        <v>41</v>
      </c>
      <c r="D72" s="13">
        <v>187</v>
      </c>
    </row>
    <row r="73" spans="1:4" x14ac:dyDescent="0.25">
      <c r="A73" s="13" t="s">
        <v>193</v>
      </c>
      <c r="B73" s="13">
        <v>59</v>
      </c>
      <c r="C73" s="13">
        <v>40</v>
      </c>
      <c r="D73" s="13">
        <v>268</v>
      </c>
    </row>
    <row r="74" spans="1:4" x14ac:dyDescent="0.25">
      <c r="A74" s="13" t="s">
        <v>194</v>
      </c>
      <c r="B74" s="13">
        <v>42</v>
      </c>
      <c r="C74" s="13">
        <v>28</v>
      </c>
      <c r="D74" s="13">
        <v>191</v>
      </c>
    </row>
    <row r="75" spans="1:4" x14ac:dyDescent="0.25">
      <c r="A75" s="13" t="s">
        <v>195</v>
      </c>
      <c r="B75" s="13">
        <v>48</v>
      </c>
      <c r="C75" s="13">
        <v>32</v>
      </c>
      <c r="D75" s="13">
        <v>150</v>
      </c>
    </row>
    <row r="76" spans="1:4" x14ac:dyDescent="0.25">
      <c r="A76" s="13" t="s">
        <v>196</v>
      </c>
      <c r="B76" s="13">
        <v>42</v>
      </c>
      <c r="C76" s="13">
        <v>28</v>
      </c>
      <c r="D76" s="13">
        <v>150</v>
      </c>
    </row>
    <row r="77" spans="1:4" x14ac:dyDescent="0.25">
      <c r="A77" s="13" t="s">
        <v>197</v>
      </c>
      <c r="B77" s="13">
        <v>39</v>
      </c>
      <c r="C77" s="13">
        <v>26</v>
      </c>
      <c r="D77" s="13">
        <v>171</v>
      </c>
    </row>
    <row r="78" spans="1:4" x14ac:dyDescent="0.25">
      <c r="A78" s="13" t="s">
        <v>198</v>
      </c>
      <c r="B78" s="13">
        <v>50</v>
      </c>
      <c r="C78" s="13">
        <v>33</v>
      </c>
      <c r="D78" s="13">
        <v>285</v>
      </c>
    </row>
    <row r="79" spans="1:4" x14ac:dyDescent="0.25">
      <c r="A79" s="13" t="s">
        <v>199</v>
      </c>
      <c r="B79" s="13">
        <v>33</v>
      </c>
      <c r="C79" s="13">
        <v>22</v>
      </c>
      <c r="D79" s="13">
        <v>141</v>
      </c>
    </row>
    <row r="80" spans="1:4" x14ac:dyDescent="0.25">
      <c r="A80" s="13" t="s">
        <v>200</v>
      </c>
      <c r="B80" s="13">
        <v>33</v>
      </c>
      <c r="C80" s="13">
        <v>22</v>
      </c>
      <c r="D80" s="13">
        <v>141</v>
      </c>
    </row>
    <row r="81" spans="1:4" x14ac:dyDescent="0.25">
      <c r="A81" s="13" t="s">
        <v>201</v>
      </c>
      <c r="B81" s="13">
        <v>57</v>
      </c>
      <c r="C81" s="13">
        <v>38</v>
      </c>
      <c r="D81" s="13">
        <v>134</v>
      </c>
    </row>
    <row r="82" spans="1:4" x14ac:dyDescent="0.25">
      <c r="A82" s="13" t="s">
        <v>202</v>
      </c>
      <c r="B82" s="13">
        <v>42</v>
      </c>
      <c r="C82" s="13">
        <v>28</v>
      </c>
      <c r="D82" s="13">
        <v>108</v>
      </c>
    </row>
    <row r="83" spans="1:4" x14ac:dyDescent="0.25">
      <c r="A83" s="13" t="s">
        <v>203</v>
      </c>
      <c r="B83" s="13">
        <v>56</v>
      </c>
      <c r="C83" s="13">
        <v>37</v>
      </c>
      <c r="D83" s="13">
        <v>275</v>
      </c>
    </row>
    <row r="84" spans="1:4" x14ac:dyDescent="0.25">
      <c r="A84" s="13" t="s">
        <v>204</v>
      </c>
      <c r="B84" s="13">
        <v>62</v>
      </c>
      <c r="C84" s="13">
        <v>41</v>
      </c>
      <c r="D84" s="13">
        <v>214</v>
      </c>
    </row>
    <row r="85" spans="1:4" x14ac:dyDescent="0.25">
      <c r="A85" s="13" t="s">
        <v>205</v>
      </c>
      <c r="B85" s="13">
        <v>54</v>
      </c>
      <c r="C85" s="13">
        <v>36</v>
      </c>
      <c r="D85" s="13">
        <v>392</v>
      </c>
    </row>
    <row r="86" spans="1:4" x14ac:dyDescent="0.25">
      <c r="A86" s="13" t="s">
        <v>206</v>
      </c>
      <c r="B86" s="13">
        <v>63</v>
      </c>
      <c r="C86" s="13">
        <v>42</v>
      </c>
      <c r="D86" s="13">
        <v>304</v>
      </c>
    </row>
    <row r="87" spans="1:4" x14ac:dyDescent="0.25">
      <c r="A87" s="13" t="s">
        <v>207</v>
      </c>
      <c r="B87" s="13">
        <v>54</v>
      </c>
      <c r="C87" s="13">
        <v>36</v>
      </c>
      <c r="D87" s="13">
        <v>214</v>
      </c>
    </row>
    <row r="88" spans="1:4" x14ac:dyDescent="0.25">
      <c r="A88" s="13" t="s">
        <v>208</v>
      </c>
      <c r="B88" s="13">
        <v>38</v>
      </c>
      <c r="C88" s="13">
        <v>25</v>
      </c>
      <c r="D88" s="13">
        <v>90</v>
      </c>
    </row>
    <row r="89" spans="1:4" x14ac:dyDescent="0.25">
      <c r="A89" s="13" t="s">
        <v>209</v>
      </c>
      <c r="B89" s="13">
        <v>33</v>
      </c>
      <c r="C89" s="13">
        <v>22</v>
      </c>
      <c r="D89" s="13">
        <v>108</v>
      </c>
    </row>
    <row r="90" spans="1:4" x14ac:dyDescent="0.25">
      <c r="A90" s="13" t="s">
        <v>210</v>
      </c>
      <c r="B90" s="13">
        <v>81</v>
      </c>
      <c r="C90" s="13">
        <v>54</v>
      </c>
      <c r="D90" s="13">
        <v>128</v>
      </c>
    </row>
    <row r="91" spans="1:4" x14ac:dyDescent="0.25">
      <c r="A91" s="13" t="s">
        <v>211</v>
      </c>
      <c r="B91" s="13">
        <v>48</v>
      </c>
      <c r="C91" s="13">
        <v>32</v>
      </c>
      <c r="D91" s="13">
        <v>217</v>
      </c>
    </row>
    <row r="92" spans="1:4" x14ac:dyDescent="0.25">
      <c r="A92" s="13" t="s">
        <v>212</v>
      </c>
      <c r="B92" s="13">
        <v>35</v>
      </c>
      <c r="C92" s="13">
        <v>24</v>
      </c>
      <c r="D92" s="13">
        <v>80</v>
      </c>
    </row>
    <row r="93" spans="1:4" x14ac:dyDescent="0.25">
      <c r="A93" s="13" t="s">
        <v>213</v>
      </c>
      <c r="B93" s="13">
        <v>34</v>
      </c>
      <c r="C93" s="13">
        <v>23</v>
      </c>
      <c r="D93" s="13">
        <v>123</v>
      </c>
    </row>
    <row r="94" spans="1:4" x14ac:dyDescent="0.25">
      <c r="A94" s="13" t="s">
        <v>214</v>
      </c>
      <c r="B94" s="13">
        <v>53</v>
      </c>
      <c r="C94" s="13">
        <v>36</v>
      </c>
      <c r="D94" s="13">
        <v>215</v>
      </c>
    </row>
    <row r="95" spans="1:4" x14ac:dyDescent="0.25">
      <c r="A95" s="13" t="s">
        <v>215</v>
      </c>
      <c r="B95" s="13">
        <v>65</v>
      </c>
      <c r="C95" s="13">
        <v>44</v>
      </c>
      <c r="D95" s="13">
        <v>337</v>
      </c>
    </row>
    <row r="96" spans="1:4" x14ac:dyDescent="0.25">
      <c r="A96" s="13" t="s">
        <v>216</v>
      </c>
      <c r="B96" s="13">
        <v>39</v>
      </c>
      <c r="C96" s="13">
        <v>26</v>
      </c>
      <c r="D96" s="13">
        <v>130</v>
      </c>
    </row>
    <row r="97" spans="1:4" x14ac:dyDescent="0.25">
      <c r="A97" s="13" t="s">
        <v>217</v>
      </c>
      <c r="B97" s="13">
        <v>24</v>
      </c>
      <c r="C97" s="13">
        <v>16</v>
      </c>
      <c r="D97" s="13">
        <v>71</v>
      </c>
    </row>
    <row r="98" spans="1:4" x14ac:dyDescent="0.25">
      <c r="A98" s="13" t="s">
        <v>218</v>
      </c>
      <c r="B98" s="13">
        <v>46</v>
      </c>
      <c r="C98" s="13">
        <v>31</v>
      </c>
      <c r="D98" s="13">
        <v>191</v>
      </c>
    </row>
    <row r="99" spans="1:4" x14ac:dyDescent="0.25">
      <c r="A99" s="13" t="s">
        <v>219</v>
      </c>
      <c r="B99" s="13">
        <v>51</v>
      </c>
      <c r="C99" s="13">
        <v>34</v>
      </c>
      <c r="D99" s="13">
        <v>170</v>
      </c>
    </row>
    <row r="100" spans="1:4" x14ac:dyDescent="0.25">
      <c r="A100" s="13" t="s">
        <v>220</v>
      </c>
      <c r="B100" s="13">
        <v>63</v>
      </c>
      <c r="C100" s="13">
        <v>42</v>
      </c>
      <c r="D100" s="13">
        <v>224</v>
      </c>
    </row>
    <row r="101" spans="1:4" x14ac:dyDescent="0.25">
      <c r="A101" s="13" t="s">
        <v>221</v>
      </c>
      <c r="B101" s="13">
        <v>35</v>
      </c>
      <c r="C101" s="13">
        <v>24</v>
      </c>
      <c r="D101" s="13">
        <v>71</v>
      </c>
    </row>
    <row r="102" spans="1:4" x14ac:dyDescent="0.25">
      <c r="A102" s="13" t="s">
        <v>222</v>
      </c>
      <c r="B102" s="13">
        <v>28</v>
      </c>
      <c r="C102" s="13">
        <v>19</v>
      </c>
      <c r="D102" s="13">
        <v>104</v>
      </c>
    </row>
    <row r="103" spans="1:4" x14ac:dyDescent="0.25">
      <c r="A103" s="13" t="s">
        <v>223</v>
      </c>
      <c r="B103" s="13">
        <v>46</v>
      </c>
      <c r="C103" s="13">
        <v>31</v>
      </c>
      <c r="D103" s="13">
        <v>119</v>
      </c>
    </row>
    <row r="104" spans="1:4" x14ac:dyDescent="0.25">
      <c r="A104" s="13" t="s">
        <v>224</v>
      </c>
      <c r="B104" s="13">
        <v>69</v>
      </c>
      <c r="C104" s="13">
        <v>46</v>
      </c>
      <c r="D104" s="13">
        <v>146</v>
      </c>
    </row>
    <row r="105" spans="1:4" x14ac:dyDescent="0.25">
      <c r="A105" s="13" t="s">
        <v>225</v>
      </c>
      <c r="B105" s="13">
        <v>65</v>
      </c>
      <c r="C105" s="13">
        <v>44</v>
      </c>
      <c r="D105" s="13">
        <v>173</v>
      </c>
    </row>
    <row r="106" spans="1:4" x14ac:dyDescent="0.25">
      <c r="A106" s="13" t="s">
        <v>226</v>
      </c>
      <c r="B106" s="13">
        <v>57</v>
      </c>
      <c r="C106" s="13">
        <v>38</v>
      </c>
      <c r="D106" s="13">
        <v>234</v>
      </c>
    </row>
    <row r="107" spans="1:4" x14ac:dyDescent="0.25">
      <c r="A107" s="13" t="s">
        <v>227</v>
      </c>
      <c r="B107" s="13">
        <v>48</v>
      </c>
      <c r="C107" s="13">
        <v>32</v>
      </c>
      <c r="D107" s="13">
        <v>124</v>
      </c>
    </row>
    <row r="108" spans="1:4" x14ac:dyDescent="0.25">
      <c r="A108" s="13" t="s">
        <v>228</v>
      </c>
      <c r="B108" s="13">
        <v>63</v>
      </c>
      <c r="C108" s="13">
        <v>42</v>
      </c>
      <c r="D108" s="13">
        <v>139</v>
      </c>
    </row>
    <row r="109" spans="1:4" x14ac:dyDescent="0.25">
      <c r="A109" s="13" t="s">
        <v>229</v>
      </c>
      <c r="B109" s="13">
        <v>33</v>
      </c>
      <c r="C109" s="13">
        <v>22</v>
      </c>
      <c r="D109" s="13">
        <v>116</v>
      </c>
    </row>
    <row r="110" spans="1:4" x14ac:dyDescent="0.25">
      <c r="A110" s="13" t="s">
        <v>230</v>
      </c>
      <c r="B110" s="13">
        <v>41</v>
      </c>
      <c r="C110" s="13">
        <v>28</v>
      </c>
      <c r="D110" s="13">
        <v>109</v>
      </c>
    </row>
    <row r="111" spans="1:4" x14ac:dyDescent="0.25">
      <c r="A111" s="13" t="s">
        <v>231</v>
      </c>
      <c r="B111" s="13">
        <v>36</v>
      </c>
      <c r="C111" s="13">
        <v>24</v>
      </c>
      <c r="D111" s="13">
        <v>86</v>
      </c>
    </row>
    <row r="112" spans="1:4" x14ac:dyDescent="0.25">
      <c r="A112" s="13" t="s">
        <v>232</v>
      </c>
      <c r="B112" s="13">
        <v>70</v>
      </c>
      <c r="C112" s="13">
        <v>47</v>
      </c>
      <c r="D112" s="13">
        <v>200</v>
      </c>
    </row>
    <row r="113" spans="1:4" x14ac:dyDescent="0.25">
      <c r="A113" s="13" t="s">
        <v>233</v>
      </c>
      <c r="B113" s="13">
        <v>42</v>
      </c>
      <c r="C113" s="13">
        <v>28</v>
      </c>
      <c r="D113" s="13">
        <v>141</v>
      </c>
    </row>
    <row r="114" spans="1:4" x14ac:dyDescent="0.25">
      <c r="A114" s="13" t="s">
        <v>234</v>
      </c>
      <c r="B114" s="13">
        <v>59</v>
      </c>
      <c r="C114" s="13">
        <v>40</v>
      </c>
      <c r="D114" s="13">
        <v>191</v>
      </c>
    </row>
    <row r="115" spans="1:4" x14ac:dyDescent="0.25">
      <c r="A115" s="13" t="s">
        <v>235</v>
      </c>
      <c r="B115" s="13">
        <v>41</v>
      </c>
      <c r="C115" s="13">
        <v>28</v>
      </c>
      <c r="D115" s="13">
        <v>87</v>
      </c>
    </row>
    <row r="116" spans="1:4" x14ac:dyDescent="0.25">
      <c r="A116" s="13" t="s">
        <v>236</v>
      </c>
      <c r="B116" s="13">
        <v>45</v>
      </c>
      <c r="C116" s="13">
        <v>30</v>
      </c>
      <c r="D116" s="13">
        <v>112</v>
      </c>
    </row>
    <row r="117" spans="1:4" x14ac:dyDescent="0.25">
      <c r="A117" s="13" t="s">
        <v>237</v>
      </c>
      <c r="B117" s="13">
        <v>35</v>
      </c>
      <c r="C117" s="13">
        <v>24</v>
      </c>
      <c r="D117" s="13">
        <v>86</v>
      </c>
    </row>
    <row r="118" spans="1:4" x14ac:dyDescent="0.25">
      <c r="A118" s="13" t="s">
        <v>238</v>
      </c>
      <c r="B118" s="13">
        <v>44</v>
      </c>
      <c r="C118" s="13">
        <v>29</v>
      </c>
      <c r="D118" s="13">
        <v>172</v>
      </c>
    </row>
    <row r="119" spans="1:4" x14ac:dyDescent="0.25">
      <c r="A119" s="13" t="s">
        <v>239</v>
      </c>
      <c r="B119" s="13">
        <v>40</v>
      </c>
      <c r="C119" s="13">
        <v>27</v>
      </c>
      <c r="D119" s="13">
        <v>337</v>
      </c>
    </row>
    <row r="120" spans="1:4" x14ac:dyDescent="0.25">
      <c r="A120" s="13" t="s">
        <v>240</v>
      </c>
      <c r="B120" s="13">
        <v>26</v>
      </c>
      <c r="C120" s="13">
        <v>17</v>
      </c>
      <c r="D120" s="13">
        <v>73</v>
      </c>
    </row>
    <row r="121" spans="1:4" x14ac:dyDescent="0.25">
      <c r="A121" s="13" t="s">
        <v>241</v>
      </c>
      <c r="B121" s="13">
        <v>52</v>
      </c>
      <c r="C121" s="13">
        <v>35</v>
      </c>
      <c r="D121" s="13">
        <v>187</v>
      </c>
    </row>
    <row r="122" spans="1:4" x14ac:dyDescent="0.25">
      <c r="A122" s="13" t="s">
        <v>242</v>
      </c>
      <c r="B122" s="13">
        <v>23</v>
      </c>
      <c r="C122" s="13">
        <v>16</v>
      </c>
      <c r="D122" s="13">
        <v>92</v>
      </c>
    </row>
    <row r="123" spans="1:4" x14ac:dyDescent="0.25">
      <c r="A123" s="13" t="s">
        <v>243</v>
      </c>
      <c r="B123" s="13">
        <v>32</v>
      </c>
      <c r="C123" s="13">
        <v>21</v>
      </c>
      <c r="D123" s="13">
        <v>85</v>
      </c>
    </row>
    <row r="124" spans="1:4" x14ac:dyDescent="0.25">
      <c r="A124" s="13" t="s">
        <v>244</v>
      </c>
      <c r="B124" s="13">
        <v>51</v>
      </c>
      <c r="C124" s="13">
        <v>34</v>
      </c>
      <c r="D124" s="13">
        <v>208</v>
      </c>
    </row>
    <row r="125" spans="1:4" x14ac:dyDescent="0.25">
      <c r="A125" s="13" t="s">
        <v>245</v>
      </c>
      <c r="B125" s="13">
        <v>23</v>
      </c>
      <c r="C125" s="13">
        <v>16</v>
      </c>
      <c r="D125" s="13">
        <v>103</v>
      </c>
    </row>
    <row r="126" spans="1:4" x14ac:dyDescent="0.25">
      <c r="A126" s="13" t="s">
        <v>246</v>
      </c>
      <c r="B126" s="13">
        <v>28</v>
      </c>
      <c r="C126" s="13">
        <v>19</v>
      </c>
      <c r="D126" s="13">
        <v>146</v>
      </c>
    </row>
    <row r="127" spans="1:4" x14ac:dyDescent="0.25">
      <c r="A127" s="13" t="s">
        <v>247</v>
      </c>
      <c r="B127" s="13">
        <v>33</v>
      </c>
      <c r="C127" s="13">
        <v>22</v>
      </c>
      <c r="D127" s="13">
        <v>125</v>
      </c>
    </row>
    <row r="128" spans="1:4" x14ac:dyDescent="0.25">
      <c r="A128" s="13" t="s">
        <v>248</v>
      </c>
      <c r="B128" s="13">
        <v>58</v>
      </c>
      <c r="C128" s="13">
        <v>39</v>
      </c>
      <c r="D128" s="13">
        <v>148</v>
      </c>
    </row>
    <row r="129" spans="1:4" x14ac:dyDescent="0.25">
      <c r="A129" s="13" t="s">
        <v>249</v>
      </c>
      <c r="B129" s="13">
        <v>46</v>
      </c>
      <c r="C129" s="13">
        <v>31</v>
      </c>
      <c r="D129" s="13">
        <v>105</v>
      </c>
    </row>
    <row r="130" spans="1:4" x14ac:dyDescent="0.25">
      <c r="A130" s="13" t="s">
        <v>250</v>
      </c>
      <c r="B130" s="13">
        <v>58</v>
      </c>
      <c r="C130" s="13">
        <v>39</v>
      </c>
      <c r="D130" s="13">
        <v>167</v>
      </c>
    </row>
    <row r="131" spans="1:4" x14ac:dyDescent="0.25">
      <c r="A131" s="13" t="s">
        <v>251</v>
      </c>
      <c r="B131" s="13">
        <v>42</v>
      </c>
      <c r="C131" s="13">
        <v>28</v>
      </c>
      <c r="D131" s="13">
        <v>131</v>
      </c>
    </row>
    <row r="132" spans="1:4" x14ac:dyDescent="0.25">
      <c r="A132" s="13" t="s">
        <v>252</v>
      </c>
      <c r="B132" s="13">
        <v>52</v>
      </c>
      <c r="C132" s="13">
        <v>35</v>
      </c>
      <c r="D132" s="13">
        <v>202</v>
      </c>
    </row>
    <row r="133" spans="1:4" x14ac:dyDescent="0.25">
      <c r="A133" s="13" t="s">
        <v>253</v>
      </c>
      <c r="B133" s="13">
        <v>27</v>
      </c>
      <c r="C133" s="13">
        <v>18</v>
      </c>
      <c r="D133" s="13">
        <v>89</v>
      </c>
    </row>
    <row r="134" spans="1:4" x14ac:dyDescent="0.25">
      <c r="A134" s="13" t="s">
        <v>254</v>
      </c>
      <c r="B134" s="13">
        <v>75</v>
      </c>
      <c r="C134" s="13">
        <v>50</v>
      </c>
      <c r="D134" s="13">
        <v>139</v>
      </c>
    </row>
    <row r="135" spans="1:4" x14ac:dyDescent="0.25">
      <c r="A135" s="13" t="s">
        <v>255</v>
      </c>
      <c r="B135" s="13">
        <v>50</v>
      </c>
      <c r="C135" s="13">
        <v>33</v>
      </c>
      <c r="D135" s="13">
        <v>117</v>
      </c>
    </row>
    <row r="136" spans="1:4" x14ac:dyDescent="0.25">
      <c r="A136" s="13" t="s">
        <v>256</v>
      </c>
      <c r="B136" s="13">
        <v>64</v>
      </c>
      <c r="C136" s="13">
        <v>43</v>
      </c>
      <c r="D136" s="13">
        <v>141</v>
      </c>
    </row>
    <row r="137" spans="1:4" x14ac:dyDescent="0.25">
      <c r="A137" s="13" t="s">
        <v>257</v>
      </c>
      <c r="B137" s="13">
        <v>41</v>
      </c>
      <c r="C137" s="13">
        <v>28</v>
      </c>
      <c r="D137" s="13">
        <v>199</v>
      </c>
    </row>
    <row r="138" spans="1:4" x14ac:dyDescent="0.25">
      <c r="A138" s="13" t="s">
        <v>258</v>
      </c>
      <c r="B138" s="13">
        <v>51</v>
      </c>
      <c r="C138" s="13">
        <v>34</v>
      </c>
      <c r="D138" s="13">
        <v>193</v>
      </c>
    </row>
    <row r="139" spans="1:4" x14ac:dyDescent="0.25">
      <c r="A139" s="13" t="s">
        <v>259</v>
      </c>
      <c r="B139" s="13">
        <v>41</v>
      </c>
      <c r="C139" s="13">
        <v>28</v>
      </c>
      <c r="D139" s="13">
        <v>82</v>
      </c>
    </row>
    <row r="140" spans="1:4" x14ac:dyDescent="0.25">
      <c r="A140" s="13" t="s">
        <v>260</v>
      </c>
      <c r="B140" s="13">
        <v>59</v>
      </c>
      <c r="C140" s="13">
        <v>40</v>
      </c>
      <c r="D140" s="13">
        <v>159</v>
      </c>
    </row>
    <row r="141" spans="1:4" x14ac:dyDescent="0.25">
      <c r="A141" s="13" t="s">
        <v>261</v>
      </c>
      <c r="B141" s="13">
        <v>39</v>
      </c>
      <c r="C141" s="13">
        <v>26</v>
      </c>
      <c r="D141" s="13">
        <v>124</v>
      </c>
    </row>
    <row r="142" spans="1:4" x14ac:dyDescent="0.25">
      <c r="A142" s="13" t="s">
        <v>262</v>
      </c>
      <c r="B142" s="13">
        <v>52</v>
      </c>
      <c r="C142" s="13">
        <v>35</v>
      </c>
      <c r="D142" s="13">
        <v>128</v>
      </c>
    </row>
    <row r="143" spans="1:4" x14ac:dyDescent="0.25">
      <c r="A143" s="13" t="s">
        <v>263</v>
      </c>
      <c r="B143" s="13">
        <v>41</v>
      </c>
      <c r="C143" s="13">
        <v>28</v>
      </c>
      <c r="D143" s="13">
        <v>140</v>
      </c>
    </row>
    <row r="144" spans="1:4" x14ac:dyDescent="0.25">
      <c r="A144" s="13" t="s">
        <v>264</v>
      </c>
      <c r="B144" s="13">
        <v>34</v>
      </c>
      <c r="C144" s="13">
        <v>23</v>
      </c>
      <c r="D144" s="13">
        <v>124</v>
      </c>
    </row>
    <row r="145" spans="1:4" x14ac:dyDescent="0.25">
      <c r="A145" s="13" t="s">
        <v>265</v>
      </c>
      <c r="B145" s="13">
        <v>40</v>
      </c>
      <c r="C145" s="13">
        <v>27</v>
      </c>
      <c r="D145" s="13">
        <v>143</v>
      </c>
    </row>
    <row r="146" spans="1:4" x14ac:dyDescent="0.25">
      <c r="A146" s="13" t="s">
        <v>266</v>
      </c>
      <c r="B146" s="13">
        <v>34</v>
      </c>
      <c r="C146" s="13">
        <v>23</v>
      </c>
      <c r="D146" s="13">
        <v>124</v>
      </c>
    </row>
    <row r="147" spans="1:4" x14ac:dyDescent="0.25">
      <c r="A147" s="13" t="s">
        <v>267</v>
      </c>
      <c r="B147" s="13">
        <v>32</v>
      </c>
      <c r="C147" s="13">
        <v>21</v>
      </c>
      <c r="D147" s="13">
        <v>111</v>
      </c>
    </row>
    <row r="148" spans="1:4" x14ac:dyDescent="0.25">
      <c r="A148" s="13" t="s">
        <v>268</v>
      </c>
      <c r="B148" s="13">
        <v>44</v>
      </c>
      <c r="C148" s="13">
        <v>29</v>
      </c>
      <c r="D148" s="13">
        <v>117</v>
      </c>
    </row>
    <row r="149" spans="1:4" x14ac:dyDescent="0.25">
      <c r="A149" s="13" t="s">
        <v>269</v>
      </c>
      <c r="B149" s="13">
        <v>38</v>
      </c>
      <c r="C149" s="13">
        <v>25</v>
      </c>
      <c r="D149" s="13">
        <v>103</v>
      </c>
    </row>
    <row r="150" spans="1:4" x14ac:dyDescent="0.25">
      <c r="A150" s="13" t="s">
        <v>270</v>
      </c>
      <c r="B150" s="13">
        <v>30</v>
      </c>
      <c r="C150" s="13">
        <v>20</v>
      </c>
      <c r="D150" s="13">
        <v>235</v>
      </c>
    </row>
    <row r="151" spans="1:4" x14ac:dyDescent="0.25">
      <c r="A151" s="13" t="s">
        <v>271</v>
      </c>
      <c r="B151" s="13">
        <v>28</v>
      </c>
      <c r="C151" s="13">
        <v>19</v>
      </c>
      <c r="D151" s="13">
        <v>133</v>
      </c>
    </row>
    <row r="152" spans="1:4" x14ac:dyDescent="0.25">
      <c r="A152" s="13" t="s">
        <v>272</v>
      </c>
      <c r="B152" s="13">
        <v>28</v>
      </c>
      <c r="C152" s="13">
        <v>19</v>
      </c>
      <c r="D152" s="13">
        <v>133</v>
      </c>
    </row>
    <row r="153" spans="1:4" x14ac:dyDescent="0.25">
      <c r="A153" s="13" t="s">
        <v>273</v>
      </c>
      <c r="B153" s="13">
        <v>38</v>
      </c>
      <c r="C153" s="13">
        <v>25</v>
      </c>
      <c r="D153" s="13">
        <v>105</v>
      </c>
    </row>
    <row r="154" spans="1:4" x14ac:dyDescent="0.25">
      <c r="A154" s="13" t="s">
        <v>274</v>
      </c>
      <c r="B154" s="13">
        <v>39</v>
      </c>
      <c r="C154" s="13">
        <v>26</v>
      </c>
      <c r="D154" s="13">
        <v>105</v>
      </c>
    </row>
    <row r="155" spans="1:4" x14ac:dyDescent="0.25">
      <c r="A155" s="13" t="s">
        <v>275</v>
      </c>
      <c r="B155" s="13">
        <v>34</v>
      </c>
      <c r="C155" s="13">
        <v>23</v>
      </c>
      <c r="D155" s="13">
        <v>79</v>
      </c>
    </row>
    <row r="156" spans="1:4" x14ac:dyDescent="0.25">
      <c r="A156" s="13" t="s">
        <v>276</v>
      </c>
      <c r="B156" s="13">
        <v>36</v>
      </c>
      <c r="C156" s="13">
        <v>24</v>
      </c>
      <c r="D156" s="13">
        <v>147</v>
      </c>
    </row>
    <row r="157" spans="1:4" x14ac:dyDescent="0.25">
      <c r="A157" s="13" t="s">
        <v>277</v>
      </c>
      <c r="B157" s="13">
        <v>57</v>
      </c>
      <c r="C157" s="13">
        <v>38</v>
      </c>
      <c r="D157" s="13">
        <v>181</v>
      </c>
    </row>
    <row r="158" spans="1:4" x14ac:dyDescent="0.25">
      <c r="A158" s="13" t="s">
        <v>278</v>
      </c>
      <c r="B158" s="13">
        <v>56</v>
      </c>
      <c r="C158" s="13">
        <v>37</v>
      </c>
      <c r="D158" s="13">
        <v>186</v>
      </c>
    </row>
    <row r="159" spans="1:4" x14ac:dyDescent="0.25">
      <c r="A159" s="13" t="s">
        <v>279</v>
      </c>
      <c r="B159" s="13">
        <v>56</v>
      </c>
      <c r="C159" s="13">
        <v>37</v>
      </c>
      <c r="D159" s="13">
        <v>181</v>
      </c>
    </row>
    <row r="160" spans="1:4" x14ac:dyDescent="0.25">
      <c r="A160" s="13" t="s">
        <v>280</v>
      </c>
      <c r="B160" s="13">
        <v>66</v>
      </c>
      <c r="C160" s="13">
        <v>44</v>
      </c>
      <c r="D160" s="13">
        <v>140</v>
      </c>
    </row>
    <row r="161" spans="1:4" x14ac:dyDescent="0.25">
      <c r="A161" s="13" t="s">
        <v>281</v>
      </c>
      <c r="B161" s="13">
        <v>82</v>
      </c>
      <c r="C161" s="13">
        <v>55</v>
      </c>
      <c r="D161" s="13">
        <v>195</v>
      </c>
    </row>
    <row r="162" spans="1:4" x14ac:dyDescent="0.25">
      <c r="A162" s="13" t="s">
        <v>282</v>
      </c>
      <c r="B162" s="13">
        <v>70</v>
      </c>
      <c r="C162" s="13">
        <v>47</v>
      </c>
      <c r="D162" s="13">
        <v>197</v>
      </c>
    </row>
    <row r="163" spans="1:4" x14ac:dyDescent="0.25">
      <c r="A163" s="13" t="s">
        <v>283</v>
      </c>
      <c r="B163" s="13">
        <v>70</v>
      </c>
      <c r="C163" s="13">
        <v>47</v>
      </c>
      <c r="D163" s="13">
        <v>195</v>
      </c>
    </row>
    <row r="164" spans="1:4" x14ac:dyDescent="0.25">
      <c r="A164" s="13" t="s">
        <v>284</v>
      </c>
      <c r="B164" s="13">
        <v>48</v>
      </c>
      <c r="C164" s="13">
        <v>32</v>
      </c>
      <c r="D164" s="13">
        <v>160</v>
      </c>
    </row>
    <row r="165" spans="1:4" x14ac:dyDescent="0.25">
      <c r="A165" s="13" t="s">
        <v>285</v>
      </c>
      <c r="B165" s="13">
        <v>27</v>
      </c>
      <c r="C165" s="13">
        <v>18</v>
      </c>
      <c r="D165" s="13">
        <v>97</v>
      </c>
    </row>
    <row r="166" spans="1:4" x14ac:dyDescent="0.25">
      <c r="A166" s="13" t="s">
        <v>286</v>
      </c>
      <c r="B166" s="13">
        <v>57</v>
      </c>
      <c r="C166" s="13">
        <v>38</v>
      </c>
      <c r="D166" s="13">
        <v>145</v>
      </c>
    </row>
    <row r="167" spans="1:4" x14ac:dyDescent="0.25">
      <c r="A167" s="13" t="s">
        <v>287</v>
      </c>
      <c r="B167" s="13">
        <v>63</v>
      </c>
      <c r="C167" s="13">
        <v>42</v>
      </c>
      <c r="D167" s="13">
        <v>198</v>
      </c>
    </row>
    <row r="168" spans="1:4" x14ac:dyDescent="0.25">
      <c r="A168" s="13" t="s">
        <v>288</v>
      </c>
      <c r="B168" s="13">
        <v>71</v>
      </c>
      <c r="C168" s="13">
        <v>48</v>
      </c>
      <c r="D168" s="13">
        <v>277</v>
      </c>
    </row>
    <row r="169" spans="1:4" x14ac:dyDescent="0.25">
      <c r="A169" s="13" t="s">
        <v>289</v>
      </c>
      <c r="B169" s="13">
        <v>33</v>
      </c>
      <c r="C169" s="13">
        <v>22</v>
      </c>
      <c r="D169" s="13">
        <v>121</v>
      </c>
    </row>
    <row r="170" spans="1:4" x14ac:dyDescent="0.25">
      <c r="A170" s="13" t="s">
        <v>290</v>
      </c>
      <c r="B170" s="13">
        <v>38</v>
      </c>
      <c r="C170" s="13">
        <v>25</v>
      </c>
      <c r="D170" s="13">
        <v>126</v>
      </c>
    </row>
    <row r="171" spans="1:4" x14ac:dyDescent="0.25">
      <c r="A171" s="13" t="s">
        <v>291</v>
      </c>
      <c r="B171" s="13">
        <v>34</v>
      </c>
      <c r="C171" s="13">
        <v>23</v>
      </c>
      <c r="D171" s="13">
        <v>144</v>
      </c>
    </row>
    <row r="172" spans="1:4" x14ac:dyDescent="0.25">
      <c r="A172" s="13" t="s">
        <v>292</v>
      </c>
      <c r="B172" s="13">
        <v>36</v>
      </c>
      <c r="C172" s="13">
        <v>24</v>
      </c>
      <c r="D172" s="13">
        <v>103</v>
      </c>
    </row>
    <row r="173" spans="1:4" x14ac:dyDescent="0.25">
      <c r="A173" s="13" t="s">
        <v>293</v>
      </c>
      <c r="B173" s="13">
        <v>42</v>
      </c>
      <c r="C173" s="13">
        <v>28</v>
      </c>
      <c r="D173" s="13">
        <v>131</v>
      </c>
    </row>
    <row r="174" spans="1:4" x14ac:dyDescent="0.25">
      <c r="A174" s="13" t="s">
        <v>294</v>
      </c>
      <c r="B174" s="13">
        <v>44</v>
      </c>
      <c r="C174" s="13">
        <v>29</v>
      </c>
      <c r="D174" s="13">
        <v>142</v>
      </c>
    </row>
    <row r="175" spans="1:4" x14ac:dyDescent="0.25">
      <c r="A175" s="13" t="s">
        <v>295</v>
      </c>
      <c r="B175" s="13">
        <v>34</v>
      </c>
      <c r="C175" s="13">
        <v>23</v>
      </c>
      <c r="D175" s="13">
        <v>103</v>
      </c>
    </row>
    <row r="176" spans="1:4" x14ac:dyDescent="0.25">
      <c r="A176" s="13" t="s">
        <v>296</v>
      </c>
      <c r="B176" s="13">
        <v>36</v>
      </c>
      <c r="C176" s="13">
        <v>24</v>
      </c>
      <c r="D176" s="13">
        <v>112</v>
      </c>
    </row>
    <row r="177" spans="1:4" x14ac:dyDescent="0.25">
      <c r="A177" s="13" t="s">
        <v>297</v>
      </c>
      <c r="B177" s="13">
        <v>33</v>
      </c>
      <c r="C177" s="13">
        <v>22</v>
      </c>
      <c r="D177" s="13">
        <v>130</v>
      </c>
    </row>
    <row r="178" spans="1:4" x14ac:dyDescent="0.25">
      <c r="A178" s="13" t="s">
        <v>298</v>
      </c>
      <c r="B178" s="13">
        <v>36</v>
      </c>
      <c r="C178" s="13">
        <v>24</v>
      </c>
      <c r="D178" s="13">
        <v>129</v>
      </c>
    </row>
    <row r="179" spans="1:4" x14ac:dyDescent="0.25">
      <c r="A179" s="13" t="s">
        <v>299</v>
      </c>
      <c r="B179" s="13">
        <v>29</v>
      </c>
      <c r="C179" s="13">
        <v>20</v>
      </c>
      <c r="D179" s="13">
        <v>109</v>
      </c>
    </row>
    <row r="180" spans="1:4" x14ac:dyDescent="0.25">
      <c r="A180" s="13" t="s">
        <v>300</v>
      </c>
      <c r="B180" s="13">
        <v>51</v>
      </c>
      <c r="C180" s="13">
        <v>34</v>
      </c>
      <c r="D180" s="13">
        <v>159</v>
      </c>
    </row>
    <row r="181" spans="1:4" x14ac:dyDescent="0.25">
      <c r="A181" s="13" t="s">
        <v>301</v>
      </c>
      <c r="B181" s="13">
        <v>27</v>
      </c>
      <c r="C181" s="13">
        <v>18</v>
      </c>
      <c r="D181" s="13">
        <v>85</v>
      </c>
    </row>
    <row r="182" spans="1:4" x14ac:dyDescent="0.25">
      <c r="A182" s="13" t="s">
        <v>302</v>
      </c>
      <c r="B182" s="13">
        <v>51</v>
      </c>
      <c r="C182" s="13">
        <v>34</v>
      </c>
      <c r="D182" s="13">
        <v>174</v>
      </c>
    </row>
    <row r="183" spans="1:4" x14ac:dyDescent="0.25">
      <c r="A183" s="13" t="s">
        <v>303</v>
      </c>
      <c r="B183" s="13">
        <v>44</v>
      </c>
      <c r="C183" s="13">
        <v>29</v>
      </c>
      <c r="D183" s="13">
        <v>97</v>
      </c>
    </row>
    <row r="184" spans="1:4" x14ac:dyDescent="0.25">
      <c r="A184" s="13" t="s">
        <v>304</v>
      </c>
      <c r="B184" s="13">
        <v>36</v>
      </c>
      <c r="C184" s="13">
        <v>24</v>
      </c>
      <c r="D184" s="13">
        <v>114</v>
      </c>
    </row>
    <row r="185" spans="1:4" x14ac:dyDescent="0.25">
      <c r="A185" s="13" t="s">
        <v>305</v>
      </c>
      <c r="B185" s="13">
        <v>36</v>
      </c>
      <c r="C185" s="13">
        <v>24</v>
      </c>
      <c r="D185" s="13">
        <v>144</v>
      </c>
    </row>
    <row r="186" spans="1:4" x14ac:dyDescent="0.25">
      <c r="A186" s="13" t="s">
        <v>306</v>
      </c>
      <c r="B186" s="13">
        <v>29</v>
      </c>
      <c r="C186" s="13">
        <v>20</v>
      </c>
      <c r="D186" s="13">
        <v>102</v>
      </c>
    </row>
    <row r="187" spans="1:4" x14ac:dyDescent="0.25">
      <c r="A187" s="13" t="s">
        <v>307</v>
      </c>
      <c r="B187" s="13">
        <v>66</v>
      </c>
      <c r="C187" s="13">
        <v>44</v>
      </c>
      <c r="D187" s="13">
        <v>203</v>
      </c>
    </row>
    <row r="188" spans="1:4" x14ac:dyDescent="0.25">
      <c r="A188" s="13" t="s">
        <v>308</v>
      </c>
      <c r="B188" s="13">
        <v>42</v>
      </c>
      <c r="C188" s="13">
        <v>28</v>
      </c>
      <c r="D188" s="13">
        <v>155</v>
      </c>
    </row>
    <row r="189" spans="1:4" x14ac:dyDescent="0.25">
      <c r="A189" s="13" t="s">
        <v>309</v>
      </c>
      <c r="B189" s="13">
        <v>32</v>
      </c>
      <c r="C189" s="13">
        <v>21</v>
      </c>
      <c r="D189" s="13">
        <v>77</v>
      </c>
    </row>
    <row r="190" spans="1:4" x14ac:dyDescent="0.25">
      <c r="A190" s="13" t="s">
        <v>310</v>
      </c>
      <c r="B190" s="13">
        <v>32</v>
      </c>
      <c r="C190" s="13">
        <v>21</v>
      </c>
      <c r="D190" s="13">
        <v>110</v>
      </c>
    </row>
    <row r="191" spans="1:4" x14ac:dyDescent="0.25">
      <c r="A191" s="13" t="s">
        <v>311</v>
      </c>
      <c r="B191" s="13">
        <v>44</v>
      </c>
      <c r="C191" s="13">
        <v>29</v>
      </c>
      <c r="D191" s="13">
        <v>120</v>
      </c>
    </row>
    <row r="192" spans="1:4" x14ac:dyDescent="0.25">
      <c r="A192" s="13" t="s">
        <v>312</v>
      </c>
      <c r="B192" s="13">
        <v>24</v>
      </c>
      <c r="C192" s="13">
        <v>16</v>
      </c>
      <c r="D192" s="13">
        <v>107</v>
      </c>
    </row>
    <row r="193" spans="1:4" x14ac:dyDescent="0.25">
      <c r="A193" s="13" t="s">
        <v>313</v>
      </c>
      <c r="B193" s="13">
        <v>40</v>
      </c>
      <c r="C193" s="13">
        <v>27</v>
      </c>
      <c r="D193" s="13">
        <v>144</v>
      </c>
    </row>
    <row r="194" spans="1:4" x14ac:dyDescent="0.25">
      <c r="A194" s="13" t="s">
        <v>314</v>
      </c>
      <c r="B194" s="13">
        <v>28</v>
      </c>
      <c r="C194" s="13">
        <v>19</v>
      </c>
      <c r="D194" s="13">
        <v>135</v>
      </c>
    </row>
    <row r="195" spans="1:4" x14ac:dyDescent="0.25">
      <c r="A195" s="13" t="s">
        <v>315</v>
      </c>
      <c r="B195" s="13">
        <v>45</v>
      </c>
      <c r="C195" s="13">
        <v>30</v>
      </c>
      <c r="D195" s="13">
        <v>207</v>
      </c>
    </row>
    <row r="196" spans="1:4" x14ac:dyDescent="0.25">
      <c r="A196" s="13" t="s">
        <v>316</v>
      </c>
      <c r="B196" s="13">
        <v>33</v>
      </c>
      <c r="C196" s="13">
        <v>22</v>
      </c>
      <c r="D196" s="13">
        <v>180</v>
      </c>
    </row>
    <row r="197" spans="1:4" x14ac:dyDescent="0.25">
      <c r="A197" s="13" t="s">
        <v>317</v>
      </c>
      <c r="B197" s="13">
        <v>32</v>
      </c>
      <c r="C197" s="13">
        <v>21</v>
      </c>
      <c r="D197" s="13">
        <v>85</v>
      </c>
    </row>
    <row r="198" spans="1:4" x14ac:dyDescent="0.25">
      <c r="A198" s="13" t="s">
        <v>318</v>
      </c>
      <c r="B198" s="13">
        <v>40</v>
      </c>
      <c r="C198" s="13">
        <v>27</v>
      </c>
      <c r="D198" s="13">
        <v>113</v>
      </c>
    </row>
    <row r="199" spans="1:4" x14ac:dyDescent="0.25">
      <c r="A199" s="13" t="s">
        <v>319</v>
      </c>
      <c r="B199" s="13">
        <v>32</v>
      </c>
      <c r="C199" s="13">
        <v>21</v>
      </c>
      <c r="D199" s="13">
        <v>133</v>
      </c>
    </row>
    <row r="200" spans="1:4" x14ac:dyDescent="0.25">
      <c r="A200" s="13" t="s">
        <v>320</v>
      </c>
      <c r="B200" s="13">
        <v>48</v>
      </c>
      <c r="C200" s="13">
        <v>32</v>
      </c>
      <c r="D200" s="13">
        <v>150</v>
      </c>
    </row>
    <row r="201" spans="1:4" x14ac:dyDescent="0.25">
      <c r="A201" s="13" t="s">
        <v>321</v>
      </c>
      <c r="B201" s="13">
        <v>51</v>
      </c>
      <c r="C201" s="13">
        <v>34</v>
      </c>
      <c r="D201" s="13">
        <v>178</v>
      </c>
    </row>
    <row r="202" spans="1:4" x14ac:dyDescent="0.25">
      <c r="A202" s="13" t="s">
        <v>322</v>
      </c>
      <c r="B202" s="13">
        <v>81</v>
      </c>
      <c r="C202" s="13">
        <v>54</v>
      </c>
      <c r="D202" s="13">
        <v>169</v>
      </c>
    </row>
    <row r="203" spans="1:4" x14ac:dyDescent="0.25">
      <c r="A203" s="13" t="s">
        <v>323</v>
      </c>
      <c r="B203" s="13">
        <v>77</v>
      </c>
      <c r="C203" s="13">
        <v>52</v>
      </c>
      <c r="D203" s="13">
        <v>182</v>
      </c>
    </row>
    <row r="204" spans="1:4" x14ac:dyDescent="0.25">
      <c r="A204" s="13" t="s">
        <v>324</v>
      </c>
      <c r="B204" s="13">
        <v>63</v>
      </c>
      <c r="C204" s="13">
        <v>42</v>
      </c>
      <c r="D204" s="13">
        <v>333</v>
      </c>
    </row>
    <row r="205" spans="1:4" x14ac:dyDescent="0.25">
      <c r="A205" s="13" t="s">
        <v>325</v>
      </c>
      <c r="B205" s="13">
        <v>65</v>
      </c>
      <c r="C205" s="13">
        <v>44</v>
      </c>
      <c r="D205" s="13">
        <v>233</v>
      </c>
    </row>
    <row r="206" spans="1:4" x14ac:dyDescent="0.25">
      <c r="A206" s="13" t="s">
        <v>326</v>
      </c>
      <c r="B206" s="13">
        <v>62</v>
      </c>
      <c r="C206" s="13">
        <v>41</v>
      </c>
      <c r="D206" s="13">
        <v>204</v>
      </c>
    </row>
    <row r="207" spans="1:4" x14ac:dyDescent="0.25">
      <c r="A207" s="13" t="s">
        <v>327</v>
      </c>
      <c r="B207" s="13">
        <v>64</v>
      </c>
      <c r="C207" s="13">
        <v>43</v>
      </c>
      <c r="D207" s="13">
        <v>262</v>
      </c>
    </row>
    <row r="208" spans="1:4" x14ac:dyDescent="0.25">
      <c r="A208" s="13" t="s">
        <v>328</v>
      </c>
      <c r="B208" s="13">
        <v>65</v>
      </c>
      <c r="C208" s="13">
        <v>44</v>
      </c>
      <c r="D208" s="13">
        <v>256</v>
      </c>
    </row>
    <row r="209" spans="1:4" x14ac:dyDescent="0.25">
      <c r="A209" s="13" t="s">
        <v>329</v>
      </c>
      <c r="B209" s="13">
        <v>66</v>
      </c>
      <c r="C209" s="13">
        <v>44</v>
      </c>
      <c r="D209" s="13">
        <v>308</v>
      </c>
    </row>
    <row r="210" spans="1:4" x14ac:dyDescent="0.25">
      <c r="A210" s="13" t="s">
        <v>330</v>
      </c>
      <c r="B210" s="13">
        <v>59</v>
      </c>
      <c r="C210" s="13">
        <v>40</v>
      </c>
      <c r="D210" s="13">
        <v>327</v>
      </c>
    </row>
    <row r="211" spans="1:4" x14ac:dyDescent="0.25">
      <c r="A211" s="13" t="s">
        <v>331</v>
      </c>
      <c r="B211" s="13">
        <v>66</v>
      </c>
      <c r="C211" s="13">
        <v>44</v>
      </c>
      <c r="D211" s="13">
        <v>203</v>
      </c>
    </row>
    <row r="212" spans="1:4" x14ac:dyDescent="0.25">
      <c r="A212" s="13" t="s">
        <v>332</v>
      </c>
      <c r="B212" s="13">
        <v>59</v>
      </c>
      <c r="C212" s="13">
        <v>40</v>
      </c>
      <c r="D212" s="13">
        <v>182</v>
      </c>
    </row>
    <row r="213" spans="1:4" x14ac:dyDescent="0.25">
      <c r="A213" s="13" t="s">
        <v>333</v>
      </c>
      <c r="B213" s="13">
        <v>66</v>
      </c>
      <c r="C213" s="13">
        <v>44</v>
      </c>
      <c r="D213" s="13">
        <v>163</v>
      </c>
    </row>
    <row r="214" spans="1:4" x14ac:dyDescent="0.25">
      <c r="A214" s="13" t="s">
        <v>334</v>
      </c>
      <c r="B214" s="13">
        <v>52</v>
      </c>
      <c r="C214" s="13">
        <v>35</v>
      </c>
      <c r="D214" s="13">
        <v>99</v>
      </c>
    </row>
    <row r="215" spans="1:4" x14ac:dyDescent="0.25">
      <c r="A215" s="13" t="s">
        <v>335</v>
      </c>
      <c r="B215" s="13">
        <v>36</v>
      </c>
      <c r="C215" s="13">
        <v>24</v>
      </c>
      <c r="D215" s="13">
        <v>111</v>
      </c>
    </row>
    <row r="216" spans="1:4" x14ac:dyDescent="0.25">
      <c r="A216" s="13" t="s">
        <v>336</v>
      </c>
      <c r="B216" s="13">
        <v>21</v>
      </c>
      <c r="C216" s="13">
        <v>14</v>
      </c>
      <c r="D216" s="13">
        <v>148</v>
      </c>
    </row>
    <row r="217" spans="1:4" x14ac:dyDescent="0.25">
      <c r="A217" s="13" t="s">
        <v>337</v>
      </c>
      <c r="B217" s="13">
        <v>53</v>
      </c>
      <c r="C217" s="13">
        <v>36</v>
      </c>
      <c r="D217" s="13">
        <v>210</v>
      </c>
    </row>
    <row r="218" spans="1:4" x14ac:dyDescent="0.25">
      <c r="A218" s="13" t="s">
        <v>338</v>
      </c>
      <c r="B218" s="13">
        <v>42</v>
      </c>
      <c r="C218" s="13">
        <v>28</v>
      </c>
      <c r="D218" s="13">
        <v>125</v>
      </c>
    </row>
  </sheetData>
  <sheetProtection sheet="1" formatCells="0" formatColumns="0" formatRows="0"/>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Anleitung</vt:lpstr>
      <vt:lpstr>Einstellungen</vt:lpstr>
      <vt:lpstr>Januar</vt:lpstr>
      <vt:lpstr>Februar</vt:lpstr>
      <vt:lpstr>März</vt:lpstr>
      <vt:lpstr>April</vt:lpstr>
      <vt:lpstr>Mai</vt:lpstr>
      <vt:lpstr>Juni</vt:lpstr>
      <vt:lpstr>Juli</vt:lpstr>
      <vt:lpstr>August</vt:lpstr>
      <vt:lpstr>September</vt:lpstr>
      <vt:lpstr>Oktober</vt:lpstr>
      <vt:lpstr>November</vt:lpstr>
      <vt:lpstr>Dezember</vt:lpstr>
      <vt:lpstr>Belege</vt:lpstr>
      <vt:lpstr>Jahresübersicht</vt:lpstr>
      <vt:lpstr>Pauschalen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DispatchPing</dc:creator>
  <dc:title>Reisekostenabrechnung 2026</dc:title>
  <dc:subject/>
  <dc:description/>
  <cp:keywords/>
  <cp:category/>
  <cp:lastModifiedBy>Unknown</cp:lastModifiedBy>
  <dcterms:created xsi:type="dcterms:W3CDTF">2025-10-01T00:00:00Z</dcterms:created>
  <dcterms:modified xsi:type="dcterms:W3CDTF">2025-10-01T00:00:00Z</dcterms:modified>
</cp:coreProperties>
</file>