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Einstellungen" state="visible" r:id="rId5"/>
    <sheet sheetId="3" name="Januar" state="visible" r:id="rId6"/>
    <sheet sheetId="4" name="Februar" state="visible" r:id="rId7"/>
    <sheet sheetId="5" name="März" state="visible" r:id="rId8"/>
    <sheet sheetId="6" name="April" state="visible" r:id="rId9"/>
    <sheet sheetId="7" name="Mai" state="visible" r:id="rId10"/>
    <sheet sheetId="8" name="Juni" state="visible" r:id="rId11"/>
    <sheet sheetId="9" name="Juli" state="visible" r:id="rId12"/>
    <sheet sheetId="10" name="August" state="visible" r:id="rId13"/>
    <sheet sheetId="11" name="September" state="visible" r:id="rId14"/>
    <sheet sheetId="12" name="Oktober" state="visible" r:id="rId15"/>
    <sheet sheetId="13" name="November" state="visible" r:id="rId16"/>
    <sheet sheetId="14" name="Dezember" state="visible" r:id="rId17"/>
    <sheet sheetId="15" name="Jahresübersicht" state="visible" r:id="rId18"/>
    <sheet sheetId="16" name="Feiertage" state="visible" r:id="rId19"/>
    <sheet sheetId="17" name="Hilfswerte" state="hidden" r:id="rId20"/>
  </sheets>
  <definedNames>
    <definedName name="MitarbeiterName">Einstellungen!$B$3</definedName>
    <definedName name="Personalnummer">Einstellungen!$B$4</definedName>
    <definedName name="Firma">Einstellungen!$B$5</definedName>
    <definedName name="Jahr">Einstellungen!$B$6</definedName>
    <definedName name="Bundesland">Einstellungen!$B$7</definedName>
    <definedName name="SollMo">Einstellungen!$B$10</definedName>
    <definedName name="SollDi">Einstellungen!$B$11</definedName>
    <definedName name="SollMi">Einstellungen!$B$12</definedName>
    <definedName name="SollDo">Einstellungen!$B$13</definedName>
    <definedName name="SollFr">Einstellungen!$B$14</definedName>
    <definedName name="SollSa">Einstellungen!$B$15</definedName>
    <definedName name="SollSo">Einstellungen!$B$16</definedName>
    <definedName name="Uebertrag">Einstellungen!$B$19</definedName>
    <definedName name="Urlaubsanspruch">Einstellungen!$B$20</definedName>
    <definedName name="Resturlaub">Einstellungen!$B$21</definedName>
    <definedName name="Ostern">Hilfswerte!$B$18</definedName>
    <definedName name="Land">Hilfswerte!$B$20</definedName>
    <definedName name="FeiertagDaten">Feiertage!$O$4:$O$28</definedName>
    <definedName name="FeiertagNamen">Feiertage!$A$4:$A$28</definedName>
    <definedName name="_xlnm.Print_Area" localSheetId="1">'Einstellungen'!$A1:$C21</definedName>
    <definedName name="_xlnm.Print_Area" localSheetId="2">'Januar'!$A1:$N50</definedName>
    <definedName name="_xlnm.Print_Area" localSheetId="3">'Februar'!$A1:$N50</definedName>
    <definedName name="_xlnm.Print_Area" localSheetId="4">'März'!$A1:$N50</definedName>
    <definedName name="_xlnm.Print_Area" localSheetId="5">'April'!$A1:$N50</definedName>
    <definedName name="_xlnm.Print_Area" localSheetId="6">'Mai'!$A1:$N50</definedName>
    <definedName name="_xlnm.Print_Area" localSheetId="7">'Juni'!$A1:$N50</definedName>
    <definedName name="_xlnm.Print_Area" localSheetId="8">'Juli'!$A1:$N50</definedName>
    <definedName name="_xlnm.Print_Area" localSheetId="9">'August'!$A1:$N50</definedName>
    <definedName name="_xlnm.Print_Area" localSheetId="10">'September'!$A1:$N50</definedName>
    <definedName name="_xlnm.Print_Area" localSheetId="11">'Oktober'!$A1:$N50</definedName>
    <definedName name="_xlnm.Print_Area" localSheetId="12">'November'!$A1:$N50</definedName>
    <definedName name="_xlnm.Print_Area" localSheetId="13">'Dezember'!$A1:$N50</definedName>
  </definedNames>
  <calcPr calcId="171027" fullCalcOnLoad="1"/>
</workbook>
</file>

<file path=xl/sharedStrings.xml><?xml version="1.0" encoding="utf-8"?>
<sst xmlns="http://schemas.openxmlformats.org/spreadsheetml/2006/main" count="532" uniqueCount="178">
  <si>
    <t>Zeiterfassung 2026: Excel-Vorlage</t>
  </si>
  <si>
    <t>Eine Datei je Mitarbeiter und Jahr. Grau hinterlegte Zellen rechnen selbst, hellblaue füllen Sie aus.</t>
  </si>
  <si>
    <t>So geht's</t>
  </si>
  <si>
    <t>1. Blatt „Einstellungen“: Name, Jahr, Bundesland des Arbeitsorts und die Soll-Arbeitszeit je Wochentag eintragen (z. B. 8:00 von Montag bis Freitag). Optional: Übertrag aus dem Vorjahr und Urlaubsanspruch.</t>
  </si>
  <si>
    <t>2. Im Monatsblatt je Tag Beginn, Ende und Pause in Minuten eintragen. Bei geteiltem Dienst den zweiten Block in „Beginn 2“ und „Ende 2“; die Lücke dazwischen zählt als Pause.</t>
  </si>
  <si>
    <t>3. Abwesenheiten aus der Liste wählen: Urlaub, halber Urlaubstag, Krank und „Bezahlt frei“ zählen den Soll des Tages als gearbeitet; Freizeitausgleich baut Überstunden ab; „Unbezahlt“ setzt den Soll auf 0.</t>
  </si>
  <si>
    <t>4. Feiertage stehen automatisch im Kalender und haben keinen Soll. Einzelne Feiertage lassen sich im Blatt „Feiertage“ an- oder abschalten, eigene (z. B. ein örtlicher Feiertag) unten ergänzen.</t>
  </si>
  <si>
    <t>5. Rechts stehen Ist, Soll und Saldo. Der Soll eines Tages zählt, sobald der Tag erreicht ist oder etwas für ihn eingetragen ist: Im laufenden Monat steht so der Saldo bis heute. Er wird von Monat zu Monat übertragen; die Jahresübersicht zeigt alle Monate und den Resturlaub.</t>
  </si>
  <si>
    <t>6. Zum Abgeben das Monatsblatt drucken oder als PDF speichern: Es passt auf eine Seite (A4 quer), mit Feldern für die Unterschriften.</t>
  </si>
  <si>
    <t>Nachtschicht: Endet die Arbeit nach Mitternacht, einfach die Uhrzeit eintragen (z. B. 22:00 bis 6:00); sie zählt zum Tag des Beginns.</t>
  </si>
  <si>
    <t>Fahrzeit: „davon Fahrzeit“ ist ein Teil der Arbeitszeit (Fahrten zwischen Einsätzen), keine zusätzliche Zeit. Sie wird je Monat summiert.</t>
  </si>
  <si>
    <t>Was die Datei prüft (Spalte „Hinweis“)</t>
  </si>
  <si>
    <t>Pause unter 30 Minuten bei mehr als 6 Stunden Arbeit, unter 45 Minuten bei mehr als 9 Stunden (§ 4 ArbZG); mehr als 10 Stunden an einem Tag (§ 3 ArbZG); weniger als 11 Stunden Ruhezeit seit dem Ende des Vortags (§ 5 ArbZG); fehlender Beginn oder fehlendes Ende; Abwesenheit und Arbeitszeit am selben Tag.</t>
  </si>
  <si>
    <t>Nicht geprüft werden Ausnahmen aus Tarifverträgen, der Ausgleich auf 8 Stunden im Schnitt (6 Monate), die Lage der Pausen und Sonderregeln für Jugendliche. Die Hinweise sind eine Hilfe, keine Rechtsprüfung.</t>
  </si>
  <si>
    <t>Rechtlicher Rahmen (Stand Oktober 2026)</t>
  </si>
  <si>
    <t>Arbeitgeber müssen Beginn, Ende und Dauer der täglichen Arbeitszeit erfassen (BAG, Beschluss vom 13.09.2022, 1 ABR 22/21). Eine bestimmte Form ist nicht vorgeschrieben; Excel ist zulässig. Ein Entwurf des Bundesarbeitsministeriums sieht eine elektronische Erfassung am selben Tag vor, beschlossen ist er nicht.</t>
  </si>
  <si>
    <t>Bei Minijobs und in den Branchen nach § 2a SchwarzArbG (z. B. Bau, Gebäudereinigung) muss die Aufzeichnung spätestens am siebten Tag danach vorliegen (§ 17 MiLoG). Aufbewahren: mindestens zwei Jahre (§ 16 Abs. 2 ArbZG, § 17 MiLoG).</t>
  </si>
  <si>
    <t>Die Blätter sind ohne Passwort geschützt, damit keine Formel versehentlich überschrieben wird (Überprüfen → Blattschutz aufheben). Die Datei enthält keine Makros.</t>
  </si>
  <si>
    <t>Mehr Werkzeuge und die Einsatzplanung für Servicetechniker: dispatchping.com</t>
  </si>
  <si>
    <t>Einstellungen</t>
  </si>
  <si>
    <t>Name</t>
  </si>
  <si>
    <t>Steht oben auf jedem Monatsblatt.</t>
  </si>
  <si>
    <t>Personalnummer</t>
  </si>
  <si>
    <t>Optional.</t>
  </si>
  <si>
    <t>Firma</t>
  </si>
  <si>
    <t>Jahr</t>
  </si>
  <si>
    <t>Ein anderes Jahr eintragen: Kalender und Feiertage stellen sich um.</t>
  </si>
  <si>
    <t>Bundesland (Arbeitsort)</t>
  </si>
  <si>
    <t>Bestimmt die Feiertage. Maßgeblich ist der Arbeitsort, nicht der Wohnort.</t>
  </si>
  <si>
    <t>Soll-Arbeitszeit je Wochentag (hh:mm)</t>
  </si>
  <si>
    <t>Montag</t>
  </si>
  <si>
    <t>Laut Arbeitsvertrag, z. B. 8:00. Freie Tage leer lassen.</t>
  </si>
  <si>
    <t>Dienstag</t>
  </si>
  <si>
    <t/>
  </si>
  <si>
    <t>Mittwoch</t>
  </si>
  <si>
    <t>Donnerstag</t>
  </si>
  <si>
    <t>Freitag</t>
  </si>
  <si>
    <t>Samstag</t>
  </si>
  <si>
    <t>Sonntag</t>
  </si>
  <si>
    <t>Wochenstunden</t>
  </si>
  <si>
    <t>Übertrag Zeitsaldo aus dem Vorjahr (Stunden)</t>
  </si>
  <si>
    <t>Als Dezimalzahl: 12,5 für +12:30, -3,25 für −3:15. Leer: 0.</t>
  </si>
  <si>
    <t>Urlaubsanspruch im Jahr (Tage)</t>
  </si>
  <si>
    <t>Laut Arbeitsvertrag.</t>
  </si>
  <si>
    <t>Resturlaub aus dem Vorjahr (Tage)</t>
  </si>
  <si>
    <t>Datum</t>
  </si>
  <si>
    <t>Tag</t>
  </si>
  <si>
    <t>Beginn</t>
  </si>
  <si>
    <t>Ende</t>
  </si>
  <si>
    <t>Beginn 2</t>
  </si>
  <si>
    <t>Ende 2</t>
  </si>
  <si>
    <t>Pause (Min.)</t>
  </si>
  <si>
    <t>Abwesenheit</t>
  </si>
  <si>
    <t>davon Fahrzeit</t>
  </si>
  <si>
    <t>Einsatzort / Notiz</t>
  </si>
  <si>
    <t>Ist</t>
  </si>
  <si>
    <t>Soll</t>
  </si>
  <si>
    <t>Saldo</t>
  </si>
  <si>
    <t>Hinweis (§ ArbZG)</t>
  </si>
  <si>
    <t>Summe des Monats</t>
  </si>
  <si>
    <t>Std.:Min.</t>
  </si>
  <si>
    <t>dezimal</t>
  </si>
  <si>
    <t>Ist (inkl. Urlaub, Krank, bezahlt frei)</t>
  </si>
  <si>
    <t>Urlaubstage</t>
  </si>
  <si>
    <t>Krankheitstage (Arbeitstage)</t>
  </si>
  <si>
    <t>Saldo des Monats</t>
  </si>
  <si>
    <t>Fahrzeit</t>
  </si>
  <si>
    <t>Übertrag aus dem Vormonat</t>
  </si>
  <si>
    <t>Saldo gesamt</t>
  </si>
  <si>
    <t>Datum, Unterschrift Mitarbeiter/in</t>
  </si>
  <si>
    <t>Datum, Unterschrift Arbeitgeber</t>
  </si>
  <si>
    <t>Monat</t>
  </si>
  <si>
    <t>Saldo Monat</t>
  </si>
  <si>
    <t>Saldo gesamt (dezimal)</t>
  </si>
  <si>
    <t>Krankheitstage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</si>
  <si>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</si>
  <si>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</si>
  <si>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</si>
  <si>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</si>
  <si>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</si>
  <si>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</si>
  <si>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</si>
  <si>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</si>
  <si>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</si>
  <si>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</si>
  <si>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</si>
  <si>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</si>
  <si>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Urlaub (Tage)</t>
  </si>
  <si>
    <t>Urlaubsanspruch</t>
  </si>
  <si>
    <t>Resturlaub Vorjahr</t>
  </si>
  <si>
    <t>Genommen</t>
  </si>
  <si>
    <t>Verbleibend</t>
  </si>
  <si>
    <t>„Anpassen“: ja oder nein überschreibt die Vorgabe für das Bundesland (z. B. für einen örtlichen Feiertag). Leer: Vorgabe.</t>
  </si>
  <si>
    <t>Feiertag</t>
  </si>
  <si>
    <t>Gilt in</t>
  </si>
  <si>
    <t>Vorgabe</t>
  </si>
  <si>
    <t>Anpassen</t>
  </si>
  <si>
    <t>Gilt</t>
  </si>
  <si>
    <t>Hinweis</t>
  </si>
  <si>
    <t>Neujahr</t>
  </si>
  <si>
    <t>alle</t>
  </si>
  <si>
    <t>Heilige Drei Könige</t>
  </si>
  <si>
    <t>BW,BY,ST</t>
  </si>
  <si>
    <t>Internationaler Frauentag</t>
  </si>
  <si>
    <t>BE,MV</t>
  </si>
  <si>
    <t>Karfreitag</t>
  </si>
  <si>
    <t>Ostersonntag</t>
  </si>
  <si>
    <t>BB</t>
  </si>
  <si>
    <t>Ostermontag</t>
  </si>
  <si>
    <t>Tag der Arbeit</t>
  </si>
  <si>
    <t>Christi Himmelfahrt</t>
  </si>
  <si>
    <t>Pfingstsonntag</t>
  </si>
  <si>
    <t>Pfingstmontag</t>
  </si>
  <si>
    <t>Fronleichnam</t>
  </si>
  <si>
    <t>BW,BY,HE,NW,RP,SL</t>
  </si>
  <si>
    <t>In Sachsen und Thüringen nur in einzelnen Gemeinden: dort auf „ja“ stellen.</t>
  </si>
  <si>
    <t>Augsburger Friedensfest</t>
  </si>
  <si>
    <t>nur örtlich</t>
  </si>
  <si>
    <t>Nur im Stadtgebiet Augsburg: dort auf „ja“ stellen.</t>
  </si>
  <si>
    <t>Mariä Himmelfahrt</t>
  </si>
  <si>
    <t>BY,SL</t>
  </si>
  <si>
    <t>In Bayern nur in Gemeinden mit überwiegend katholischer Bevölkerung (rund 1.700 von 2.050): sonst auf „nein“ stellen.</t>
  </si>
  <si>
    <t>Weltkindertag</t>
  </si>
  <si>
    <t>TH</t>
  </si>
  <si>
    <t>Tag der Deutschen Einheit</t>
  </si>
  <si>
    <t>Reformationstag</t>
  </si>
  <si>
    <t>BB,HB,HH,MV,NI,SN,ST,SH,TH</t>
  </si>
  <si>
    <t>Allerheiligen</t>
  </si>
  <si>
    <t>BW,BY,NW,RP,SL</t>
  </si>
  <si>
    <t>Buß- und Bettag</t>
  </si>
  <si>
    <t>SN</t>
  </si>
  <si>
    <t>1. Weihnachtstag</t>
  </si>
  <si>
    <t>2. Weihnachtstag</t>
  </si>
  <si>
    <t>eigener Feiertag</t>
  </si>
  <si>
    <t>Ostern (Gauß)</t>
  </si>
  <si>
    <t>Bundesland</t>
  </si>
  <si>
    <t>a</t>
  </si>
  <si>
    <t>Baden-Württemberg</t>
  </si>
  <si>
    <t>BW</t>
  </si>
  <si>
    <t>b</t>
  </si>
  <si>
    <t>Bayern</t>
  </si>
  <si>
    <t>BY</t>
  </si>
  <si>
    <t>c</t>
  </si>
  <si>
    <t>Berlin</t>
  </si>
  <si>
    <t>BE</t>
  </si>
  <si>
    <t>d</t>
  </si>
  <si>
    <t>Brandenburg</t>
  </si>
  <si>
    <t>e</t>
  </si>
  <si>
    <t>Bremen</t>
  </si>
  <si>
    <t>HB</t>
  </si>
  <si>
    <t>f</t>
  </si>
  <si>
    <t>Hamburg</t>
  </si>
  <si>
    <t>HH</t>
  </si>
  <si>
    <t>g</t>
  </si>
  <si>
    <t>Hessen</t>
  </si>
  <si>
    <t>HE</t>
  </si>
  <si>
    <t>h</t>
  </si>
  <si>
    <t>Mecklenburg-Vorpommern</t>
  </si>
  <si>
    <t>MV</t>
  </si>
  <si>
    <t>i</t>
  </si>
  <si>
    <t>Niedersachsen</t>
  </si>
  <si>
    <t>NI</t>
  </si>
  <si>
    <t>k</t>
  </si>
  <si>
    <t>Nordrhein-Westfalen</t>
  </si>
  <si>
    <t>NW</t>
  </si>
  <si>
    <t>l</t>
  </si>
  <si>
    <t>Rheinland-Pfalz</t>
  </si>
  <si>
    <t>RP</t>
  </si>
  <si>
    <t>m</t>
  </si>
  <si>
    <t>Saarland</t>
  </si>
  <si>
    <t>SL</t>
  </si>
  <si>
    <t>Sachsen</t>
  </si>
  <si>
    <t>Sachsen-Anhalt</t>
  </si>
  <si>
    <t>ST</t>
  </si>
  <si>
    <t>Schleswig-Holstein</t>
  </si>
  <si>
    <t>SH</t>
  </si>
  <si>
    <t>Thüringen</t>
  </si>
  <si>
    <t>Kürzel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</si>
</sst>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h]:mm"/>
    <numFmt numFmtId="165" formatCode="0.0"/>
    <numFmt numFmtId="166" formatCode="dd.mm."/>
    <numFmt numFmtId="167" formatCode="hh:mm"/>
    <numFmt numFmtId="168" formatCode="dd.mm.yyyy"/>
    <numFmt numFmtId="169" formatCode="&quot;ja&quot;;;&quot;nein&quot;"/>
  </numFmts>
  <fonts count="13" x14ac:knownFonts="1">
    <font>
      <color theme="1"/>
      <family val="2"/>
      <scheme val="minor"/>
      <sz val="11"/>
      <name val="Calibri"/>
    </font>
    <font>
      <sz val="10"/>
      <name val="Calibri"/>
    </font>
    <font>
      <b/>
      <color rgb="FF1F2933"/>
      <sz val="16"/>
      <name val="Calibri"/>
    </font>
    <font>
      <color rgb="FF1F2933"/>
      <sz val="10"/>
      <name val="Calibri"/>
    </font>
    <font>
      <b/>
      <color rgb="FF1F2933"/>
      <sz val="11"/>
      <name val="Calibri"/>
    </font>
    <font>
      <b/>
      <color rgb="FF1F2933"/>
      <sz val="14"/>
      <name val="Calibri"/>
    </font>
    <font>
      <color rgb="FF616E7C"/>
      <sz val="9"/>
      <name val="Calibri"/>
    </font>
    <font>
      <b/>
      <color rgb="FF1F2933"/>
      <sz val="10"/>
      <name val="Calibri"/>
    </font>
    <font>
      <b/>
      <sz val="10"/>
      <name val="Calibri"/>
    </font>
    <font>
      <b/>
      <color rgb="FFB42318"/>
      <sz val="9"/>
      <name val="Calibri"/>
    </font>
    <font>
      <b/>
      <color rgb="FF1F2933"/>
      <sz val="9"/>
      <name val="Calibri"/>
    </font>
    <font>
      <color rgb="FF1F2933"/>
      <sz val="8"/>
      <name val="Calibri"/>
    </font>
    <font>
      <color rgb="FF616E7C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8FD"/>
      </patternFill>
    </fill>
    <fill>
      <patternFill patternType="solid">
        <fgColor rgb="FFEEF1F4"/>
      </patternFill>
    </fill>
  </fills>
  <borders count="4">
    <border>
      <left/>
      <right/>
      <top/>
      <bottom/>
      <diagonal/>
    </border>
    <border>
      <left style="thin">
        <color rgb="FFD3D8DE"/>
      </left>
      <right style="thin">
        <color rgb="FFD3D8DE"/>
      </right>
      <top style="thin">
        <color rgb="FFD3D8DE"/>
      </top>
      <bottom style="thin">
        <color rgb="FFD3D8DE"/>
      </bottom>
      <diagonal/>
    </border>
    <border>
      <left/>
      <right/>
      <top style="medium">
        <color rgb="FF1F2933"/>
      </top>
      <bottom/>
      <diagonal/>
    </border>
    <border>
      <left/>
      <right/>
      <top style="thin">
        <color rgb="FF1F2933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0" borderId="0" xfId="0" applyFont="1"/>
    <xf numFmtId="0" fontId="1" fillId="2" borderId="1" xfId="0" applyFont="1" applyFill="1" applyBorder="1" applyProtection="1">
      <protection locked="0"/>
    </xf>
    <xf numFmtId="0" fontId="6" fillId="0" borderId="0" xfId="0" applyFont="1"/>
    <xf numFmtId="1" fontId="1" fillId="2" borderId="1" xfId="0" applyNumberFormat="1" applyFont="1" applyFill="1" applyBorder="1" applyProtection="1">
      <protection locked="0"/>
    </xf>
    <xf numFmtId="0" fontId="7" fillId="0" borderId="0" xfId="0" applyFont="1"/>
    <xf numFmtId="164" fontId="1" fillId="2" borderId="1" xfId="0" applyNumberFormat="1" applyFont="1" applyFill="1" applyBorder="1" applyProtection="1">
      <protection locked="0"/>
    </xf>
    <xf numFmtId="164" fontId="8" fillId="0" borderId="0" xfId="0" applyNumberFormat="1" applyFont="1"/>
    <xf numFmtId="2" fontId="1" fillId="2" borderId="1" xfId="0" applyNumberFormat="1" applyFont="1" applyFill="1" applyBorder="1" applyProtection="1">
      <protection locked="0"/>
    </xf>
    <xf numFmtId="165" fontId="1" fillId="2" borderId="1" xfId="0" applyNumberFormat="1" applyFont="1" applyFill="1" applyBorder="1" applyProtection="1">
      <protection locked="0"/>
    </xf>
    <xf numFmtId="0" fontId="9" fillId="0" borderId="0" xfId="0" applyFont="1"/>
    <xf numFmtId="0" fontId="10" fillId="3" borderId="1" xfId="0" applyFont="1" applyFill="1" applyBorder="1" applyAlignment="1">
      <alignment vertical="center" wrapText="1"/>
    </xf>
    <xf numFmtId="166" fontId="1" fillId="0" borderId="1" xfId="0" applyNumberFormat="1" applyFont="1" applyBorder="1"/>
    <xf numFmtId="0" fontId="1" fillId="0" borderId="1" xfId="0" applyFont="1" applyBorder="1"/>
    <xf numFmtId="167" fontId="1" fillId="2" borderId="1" xfId="0" applyNumberFormat="1" applyFont="1" applyFill="1" applyBorder="1" applyProtection="1">
      <protection locked="0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1" fillId="0" borderId="1" xfId="0" applyFont="1" applyBorder="1" applyAlignment="1">
      <alignment shrinkToFit="1"/>
    </xf>
    <xf numFmtId="164" fontId="8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12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/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8" fillId="0" borderId="0" xfId="0" applyNumberFormat="1" applyFont="1"/>
    <xf numFmtId="0" fontId="0" fillId="0" borderId="3" xfId="0" applyBorder="1"/>
    <xf numFmtId="0" fontId="12" fillId="0" borderId="0" xfId="0" applyFont="1"/>
    <xf numFmtId="2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8" fillId="0" borderId="2" xfId="0" applyFont="1" applyBorder="1"/>
    <xf numFmtId="2" fontId="8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8" fillId="0" borderId="0" xfId="0" applyFont="1"/>
    <xf numFmtId="165" fontId="1" fillId="0" borderId="0" xfId="0" applyNumberFormat="1" applyFont="1"/>
    <xf numFmtId="165" fontId="8" fillId="0" borderId="0" xfId="0" applyNumberFormat="1" applyFont="1"/>
    <xf numFmtId="168" fontId="1" fillId="0" borderId="1" xfId="0" applyNumberFormat="1" applyFont="1" applyBorder="1"/>
    <xf numFmtId="169" fontId="1" fillId="0" borderId="1" xfId="0" applyNumberFormat="1" applyFont="1" applyBorder="1"/>
    <xf numFmtId="169" fontId="8" fillId="0" borderId="1" xfId="0" applyNumberFormat="1" applyFont="1" applyBorder="1"/>
    <xf numFmtId="168" fontId="1" fillId="2" borderId="1" xfId="0" applyNumberFormat="1" applyFont="1" applyFill="1" applyBorder="1" applyProtection="1">
      <protection locked="0"/>
    </xf>
    <xf numFmtId="168" fontId="1" fillId="0" borderId="0" xfId="0" applyNumberFormat="1" applyFont="1"/>
  </cellXfs>
  <cellStyles count="1">
    <cellStyle name="Normal" xfId="0" builtinId="0"/>
  </cellStyles>
  <dxfs count="108"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E5E7EB"/>
      </font>
      <fill>
        <patternFill patternType="solid">
          <bgColor rgb="FFE5E7EB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DF3E1"/>
        </patternFill>
      </fill>
    </dxf>
    <dxf>
      <font>
        <b/>
        <color rgb="FFB42318"/>
      </font>
      <fill>
        <patternFill patternType="solid">
          <bgColor rgb="FFF3F4F6"/>
        </patternFill>
      </fill>
    </dxf>
    <dxf>
      <font>
        <b/>
        <color rgb="FFB42318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2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1:2" x14ac:dyDescent="0.25">
      <c r="A2" s="1"/>
      <c r="B2" s="2" t="s">
        <v>0</v>
      </c>
    </row>
    <row r="3" spans="1:2" x14ac:dyDescent="0.25">
      <c r="A3" s="1"/>
      <c r="B3" s="3" t="s">
        <v>1</v>
      </c>
    </row>
    <row r="4" ht="24" customHeight="1" spans="1:2" x14ac:dyDescent="0.25">
      <c r="A4" s="1"/>
      <c r="B4" s="4" t="s">
        <v>2</v>
      </c>
    </row>
    <row r="5" spans="1:2" x14ac:dyDescent="0.25">
      <c r="A5" s="1"/>
      <c r="B5" s="3" t="s">
        <v>3</v>
      </c>
    </row>
    <row r="6" spans="1:2" x14ac:dyDescent="0.25">
      <c r="A6" s="1"/>
      <c r="B6" s="3" t="s">
        <v>4</v>
      </c>
    </row>
    <row r="7" spans="1:2" x14ac:dyDescent="0.25">
      <c r="A7" s="1"/>
      <c r="B7" s="3" t="s">
        <v>5</v>
      </c>
    </row>
    <row r="8" spans="1:2" x14ac:dyDescent="0.25">
      <c r="A8" s="1"/>
      <c r="B8" s="3" t="s">
        <v>6</v>
      </c>
    </row>
    <row r="9" spans="1:2" x14ac:dyDescent="0.25">
      <c r="A9" s="1"/>
      <c r="B9" s="3" t="s">
        <v>7</v>
      </c>
    </row>
    <row r="10" spans="1:2" x14ac:dyDescent="0.25">
      <c r="A10" s="1"/>
      <c r="B10" s="3" t="s">
        <v>8</v>
      </c>
    </row>
    <row r="11" spans="1:2" x14ac:dyDescent="0.25">
      <c r="A11" s="1"/>
      <c r="B11" s="3" t="s">
        <v>9</v>
      </c>
    </row>
    <row r="12" spans="1:2" x14ac:dyDescent="0.25">
      <c r="A12" s="1"/>
      <c r="B12" s="3" t="s">
        <v>10</v>
      </c>
    </row>
    <row r="13" ht="24" customHeight="1" spans="1:2" x14ac:dyDescent="0.25">
      <c r="A13" s="1"/>
      <c r="B13" s="4" t="s">
        <v>11</v>
      </c>
    </row>
    <row r="14" spans="1:2" x14ac:dyDescent="0.25">
      <c r="A14" s="1"/>
      <c r="B14" s="3" t="s">
        <v>12</v>
      </c>
    </row>
    <row r="15" spans="1:2" x14ac:dyDescent="0.25">
      <c r="A15" s="1"/>
      <c r="B15" s="3" t="s">
        <v>13</v>
      </c>
    </row>
    <row r="16" ht="24" customHeight="1" spans="1:2" x14ac:dyDescent="0.25">
      <c r="A16" s="1"/>
      <c r="B16" s="4" t="s">
        <v>14</v>
      </c>
    </row>
    <row r="17" spans="1:2" x14ac:dyDescent="0.25">
      <c r="A17" s="1"/>
      <c r="B17" s="3" t="s">
        <v>15</v>
      </c>
    </row>
    <row r="18" spans="1:2" x14ac:dyDescent="0.25">
      <c r="A18" s="1"/>
      <c r="B18" s="3" t="s">
        <v>16</v>
      </c>
    </row>
    <row r="19" spans="1:2" x14ac:dyDescent="0.25">
      <c r="A19" s="1"/>
      <c r="B19" s="3" t="s">
        <v>17</v>
      </c>
    </row>
    <row r="20" spans="1:2" x14ac:dyDescent="0.25">
      <c r="A20" s="1"/>
      <c r="B20" s="3" t="s">
        <v>18</v>
      </c>
    </row>
  </sheetData>
  <sheetProtection sheet="1" formatCells="0" formatColumns="0" formatRows="0"/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26" customWidth="1"/>
    <col min="3" max="3" width="70" customWidth="1"/>
  </cols>
  <sheetData>
    <row r="1" spans="1:1" x14ac:dyDescent="0.25">
      <c r="A1" s="5" t="s">
        <v>19</v>
      </c>
    </row>
    <row r="3" spans="1:3" x14ac:dyDescent="0.25">
      <c r="A3" s="6" t="s">
        <v>20</v>
      </c>
      <c r="B3" s="7"/>
      <c r="C3" s="8" t="s">
        <v>21</v>
      </c>
    </row>
    <row r="4" spans="1:3" x14ac:dyDescent="0.25">
      <c r="A4" s="6" t="s">
        <v>22</v>
      </c>
      <c r="B4" s="7"/>
      <c r="C4" s="8" t="s">
        <v>23</v>
      </c>
    </row>
    <row r="5" spans="1:3" x14ac:dyDescent="0.25">
      <c r="A5" s="6" t="s">
        <v>24</v>
      </c>
      <c r="B5" s="7"/>
      <c r="C5" s="8" t="s">
        <v>23</v>
      </c>
    </row>
    <row r="6" spans="1:3" x14ac:dyDescent="0.25">
      <c r="A6" s="6" t="s">
        <v>25</v>
      </c>
      <c r="B6" s="9">
        <v>2026</v>
      </c>
      <c r="C6" s="8" t="s">
        <v>26</v>
      </c>
    </row>
    <row r="7" spans="1:3" x14ac:dyDescent="0.25">
      <c r="A7" s="6" t="s">
        <v>27</v>
      </c>
      <c r="B7" s="7"/>
      <c r="C7" s="8" t="s">
        <v>28</v>
      </c>
    </row>
    <row r="9" spans="1:1" x14ac:dyDescent="0.25">
      <c r="A9" s="10" t="s">
        <v>29</v>
      </c>
    </row>
    <row r="10" spans="1:3" x14ac:dyDescent="0.25">
      <c r="A10" s="6" t="s">
        <v>30</v>
      </c>
      <c r="B10" s="11"/>
      <c r="C10" s="8" t="s">
        <v>31</v>
      </c>
    </row>
    <row r="11" spans="1:3" x14ac:dyDescent="0.25">
      <c r="A11" s="6" t="s">
        <v>32</v>
      </c>
      <c r="B11" s="11"/>
      <c r="C11" s="8" t="s">
        <v>33</v>
      </c>
    </row>
    <row r="12" spans="1:3" x14ac:dyDescent="0.25">
      <c r="A12" s="6" t="s">
        <v>34</v>
      </c>
      <c r="B12" s="11"/>
      <c r="C12" s="8" t="s">
        <v>33</v>
      </c>
    </row>
    <row r="13" spans="1:3" x14ac:dyDescent="0.25">
      <c r="A13" s="6" t="s">
        <v>35</v>
      </c>
      <c r="B13" s="11"/>
      <c r="C13" s="8" t="s">
        <v>33</v>
      </c>
    </row>
    <row r="14" spans="1:3" x14ac:dyDescent="0.25">
      <c r="A14" s="6" t="s">
        <v>36</v>
      </c>
      <c r="B14" s="11"/>
      <c r="C14" s="8" t="s">
        <v>33</v>
      </c>
    </row>
    <row r="15" spans="1:3" x14ac:dyDescent="0.25">
      <c r="A15" s="6" t="s">
        <v>37</v>
      </c>
      <c r="B15" s="11"/>
      <c r="C15" s="8" t="s">
        <v>33</v>
      </c>
    </row>
    <row r="16" spans="1:3" x14ac:dyDescent="0.25">
      <c r="A16" s="6" t="s">
        <v>38</v>
      </c>
      <c r="B16" s="11"/>
      <c r="C16" s="8" t="s">
        <v>33</v>
      </c>
    </row>
    <row r="17" spans="1:2" x14ac:dyDescent="0.25">
      <c r="A17" s="10" t="s">
        <v>39</v>
      </c>
      <c r="B17" s="12">
        <f>SUM(B10:B16)</f>
      </c>
    </row>
    <row r="19" spans="1:3" x14ac:dyDescent="0.25">
      <c r="A19" s="6" t="s">
        <v>40</v>
      </c>
      <c r="B19" s="13"/>
      <c r="C19" s="8" t="s">
        <v>41</v>
      </c>
    </row>
    <row r="20" spans="1:3" x14ac:dyDescent="0.25">
      <c r="A20" s="6" t="s">
        <v>42</v>
      </c>
      <c r="B20" s="14"/>
      <c r="C20" s="8" t="s">
        <v>43</v>
      </c>
    </row>
    <row r="21" spans="1:3" x14ac:dyDescent="0.25">
      <c r="A21" s="6" t="s">
        <v>44</v>
      </c>
      <c r="B21" s="14"/>
      <c r="C21" s="8" t="s">
        <v>23</v>
      </c>
    </row>
  </sheetData>
  <sheetProtection sheet="1" formatCells="0" formatColumns="0" formatRows="0"/>
  <dataValidations count="4">
    <dataValidation type="decimal" allowBlank="1" showErrorMessage="1" errorTitle="Soll-Arbeitszeit" error="Bitte als Stunden:Minuten eintragen, z. B. 8:00 oder 7:42." sqref="B10:B16">
      <formula1>0</formula1>
      <formula2>1</formula2>
    </dataValidation>
    <dataValidation type="decimal" allowBlank="1" showErrorMessage="1" errorTitle="Übertrag" error="Bitte Stunden als Zahl eintragen, z. B. 12,5 oder -3,25." sqref="B19">
      <formula1>-9999</formula1>
      <formula2>9999</formula2>
    </dataValidation>
    <dataValidation type="whole" showErrorMessage="1" errorTitle="Jahr" error="Bitte ein Jahr zwischen 2000 und 2099 eintragen." sqref="B6">
      <formula1>2000</formula1>
      <formula2>2099</formula2>
    </dataValidation>
    <dataValidation type="list" allowBlank="1" showErrorMessage="1" errorTitle="Bundesland" error="Bitte ein Bundesland aus der Liste wählen." sqref="B7">
      <formula1>Hilfswerte!$D$4:$D$19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Januar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IF(MONTH(DATE(Jahr,1,1))=1,DATE(Jahr,1,1),"")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IF(OR(V5="",0=0),"",ROUND((V5-0)*1440,0))</f>
      </c>
      <c r="X5" s="1">
        <f>MAX(0,N(U5))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IF(MONTH(DATE(Jahr,1,2))=1,DATE(Jahr,1,2),"")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IF(MONTH(DATE(Jahr,1,3))=1,DATE(Jahr,1,3),"")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IF(MONTH(DATE(Jahr,1,4))=1,DATE(Jahr,1,4),"")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IF(MONTH(DATE(Jahr,1,5))=1,DATE(Jahr,1,5),"")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IF(MONTH(DATE(Jahr,1,6))=1,DATE(Jahr,1,6),"")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IF(MONTH(DATE(Jahr,1,7))=1,DATE(Jahr,1,7),"")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IF(MONTH(DATE(Jahr,1,8))=1,DATE(Jahr,1,8),"")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IF(MONTH(DATE(Jahr,1,9))=1,DATE(Jahr,1,9),"")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IF(MONTH(DATE(Jahr,1,10))=1,DATE(Jahr,1,10),"")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IF(MONTH(DATE(Jahr,1,11))=1,DATE(Jahr,1,11),"")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IF(MONTH(DATE(Jahr,1,12))=1,DATE(Jahr,1,12),"")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IF(MONTH(DATE(Jahr,1,13))=1,DATE(Jahr,1,13),"")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IF(MONTH(DATE(Jahr,1,14))=1,DATE(Jahr,1,14),"")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IF(MONTH(DATE(Jahr,1,15))=1,DATE(Jahr,1,15),"")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IF(MONTH(DATE(Jahr,1,16))=1,DATE(Jahr,1,16),"")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IF(MONTH(DATE(Jahr,1,17))=1,DATE(Jahr,1,17),"")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IF(MONTH(DATE(Jahr,1,18))=1,DATE(Jahr,1,18),"")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IF(MONTH(DATE(Jahr,1,19))=1,DATE(Jahr,1,19),"")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IF(MONTH(DATE(Jahr,1,20))=1,DATE(Jahr,1,20),"")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IF(MONTH(DATE(Jahr,1,21))=1,DATE(Jahr,1,21),"")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IF(MONTH(DATE(Jahr,1,22))=1,DATE(Jahr,1,22),"")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IF(MONTH(DATE(Jahr,1,23))=1,DATE(Jahr,1,23),"")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IF(MONTH(DATE(Jahr,1,24))=1,DATE(Jahr,1,24),"")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IF(MONTH(DATE(Jahr,1,25))=1,DATE(Jahr,1,25),"")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IF(MONTH(DATE(Jahr,1,26))=1,DATE(Jahr,1,26),"")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IF(MONTH(DATE(Jahr,1,27))=1,DATE(Jahr,1,27),"")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IF(MONTH(DATE(Jahr,1,28))=1,DATE(Jahr,1,28),"")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IF(MONTH(DATE(Jahr,1,29))=1,DATE(Jahr,1,29),"")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IF(MONTH(DATE(Jahr,1,30))=1,DATE(Jahr,1,30),"")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IF(MONTH(DATE(Jahr,1,31))=1,DATE(Jahr,1,31),"")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N(Uebertrag)/24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0" priority="1">
      <formula>$A5=""</formula>
    </cfRule>
    <cfRule type="expression" dxfId="1" priority="2">
      <formula>$Q5&lt;&gt;""</formula>
    </cfRule>
    <cfRule type="expression" dxfId="2" priority="3">
      <formula>WEEKDAY($A5,2)&gt;5</formula>
    </cfRule>
  </conditionalFormatting>
  <conditionalFormatting sqref="N5:N35">
    <cfRule type="expression" dxfId="3" priority="4">
      <formula>$A5=""</formula>
    </cfRule>
    <cfRule type="expression" dxfId="4" priority="5">
      <formula>AND($Z5&lt;&gt;"",$Q5&lt;&gt;"")</formula>
    </cfRule>
    <cfRule type="expression" dxfId="5" priority="6">
      <formula>AND($Z5&lt;&gt;"",WEEKDAY($A5,2)&gt;5)</formula>
    </cfRule>
    <cfRule type="expression" dxfId="6" priority="7">
      <formula>$Z5&lt;&gt;""</formula>
    </cfRule>
    <cfRule type="expression" dxfId="7" priority="8">
      <formula>$Q5&lt;&gt;""</formula>
    </cfRule>
    <cfRule type="expression" dxfId="8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Februar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IF(MONTH(DATE(Jahr,2,1))=2,DATE(Jahr,2,1),"")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IF(OR(V5="",'Januar'!$X$35=0),"",ROUND((V5-'Januar'!$X$35)*1440,0))</f>
      </c>
      <c r="X5" s="1">
        <f>MAX('Januar'!$X$35,N(U5))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IF(MONTH(DATE(Jahr,2,2))=2,DATE(Jahr,2,2),"")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IF(MONTH(DATE(Jahr,2,3))=2,DATE(Jahr,2,3),"")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IF(MONTH(DATE(Jahr,2,4))=2,DATE(Jahr,2,4),"")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IF(MONTH(DATE(Jahr,2,5))=2,DATE(Jahr,2,5),"")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IF(MONTH(DATE(Jahr,2,6))=2,DATE(Jahr,2,6),"")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IF(MONTH(DATE(Jahr,2,7))=2,DATE(Jahr,2,7),"")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IF(MONTH(DATE(Jahr,2,8))=2,DATE(Jahr,2,8),"")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IF(MONTH(DATE(Jahr,2,9))=2,DATE(Jahr,2,9),"")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IF(MONTH(DATE(Jahr,2,10))=2,DATE(Jahr,2,10),"")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IF(MONTH(DATE(Jahr,2,11))=2,DATE(Jahr,2,11),"")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IF(MONTH(DATE(Jahr,2,12))=2,DATE(Jahr,2,12),"")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IF(MONTH(DATE(Jahr,2,13))=2,DATE(Jahr,2,13),"")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IF(MONTH(DATE(Jahr,2,14))=2,DATE(Jahr,2,14),"")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IF(MONTH(DATE(Jahr,2,15))=2,DATE(Jahr,2,15),"")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IF(MONTH(DATE(Jahr,2,16))=2,DATE(Jahr,2,16),"")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IF(MONTH(DATE(Jahr,2,17))=2,DATE(Jahr,2,17),"")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IF(MONTH(DATE(Jahr,2,18))=2,DATE(Jahr,2,18),"")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IF(MONTH(DATE(Jahr,2,19))=2,DATE(Jahr,2,19),"")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IF(MONTH(DATE(Jahr,2,20))=2,DATE(Jahr,2,20),"")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IF(MONTH(DATE(Jahr,2,21))=2,DATE(Jahr,2,21),"")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IF(MONTH(DATE(Jahr,2,22))=2,DATE(Jahr,2,22),"")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IF(MONTH(DATE(Jahr,2,23))=2,DATE(Jahr,2,23),"")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IF(MONTH(DATE(Jahr,2,24))=2,DATE(Jahr,2,24),"")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IF(MONTH(DATE(Jahr,2,25))=2,DATE(Jahr,2,25),"")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IF(MONTH(DATE(Jahr,2,26))=2,DATE(Jahr,2,26),"")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IF(MONTH(DATE(Jahr,2,27))=2,DATE(Jahr,2,27),"")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IF(MONTH(DATE(Jahr,2,28))=2,DATE(Jahr,2,28),"")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IF(MONTH(DATE(Jahr,2,29))=2,DATE(Jahr,2,29),"")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IF(MONTH(DATE(Jahr,2,30))=2,DATE(Jahr,2,30),"")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IF(MONTH(DATE(Jahr,2,31))=2,DATE(Jahr,2,31),"")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'Januar'!$T$41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9" priority="1">
      <formula>$A5=""</formula>
    </cfRule>
    <cfRule type="expression" dxfId="10" priority="2">
      <formula>$Q5&lt;&gt;""</formula>
    </cfRule>
    <cfRule type="expression" dxfId="11" priority="3">
      <formula>WEEKDAY($A5,2)&gt;5</formula>
    </cfRule>
  </conditionalFormatting>
  <conditionalFormatting sqref="N5:N35">
    <cfRule type="expression" dxfId="12" priority="4">
      <formula>$A5=""</formula>
    </cfRule>
    <cfRule type="expression" dxfId="13" priority="5">
      <formula>AND($Z5&lt;&gt;"",$Q5&lt;&gt;"")</formula>
    </cfRule>
    <cfRule type="expression" dxfId="14" priority="6">
      <formula>AND($Z5&lt;&gt;"",WEEKDAY($A5,2)&gt;5)</formula>
    </cfRule>
    <cfRule type="expression" dxfId="15" priority="7">
      <formula>$Z5&lt;&gt;""</formula>
    </cfRule>
    <cfRule type="expression" dxfId="16" priority="8">
      <formula>$Q5&lt;&gt;""</formula>
    </cfRule>
    <cfRule type="expression" dxfId="17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März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IF(MONTH(DATE(Jahr,3,1))=3,DATE(Jahr,3,1),"")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IF(OR(V5="",'Februar'!$X$35=0),"",ROUND((V5-'Februar'!$X$35)*1440,0))</f>
      </c>
      <c r="X5" s="1">
        <f>MAX('Februar'!$X$35,N(U5))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IF(MONTH(DATE(Jahr,3,2))=3,DATE(Jahr,3,2),"")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IF(MONTH(DATE(Jahr,3,3))=3,DATE(Jahr,3,3),"")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IF(MONTH(DATE(Jahr,3,4))=3,DATE(Jahr,3,4),"")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IF(MONTH(DATE(Jahr,3,5))=3,DATE(Jahr,3,5),"")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IF(MONTH(DATE(Jahr,3,6))=3,DATE(Jahr,3,6),"")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IF(MONTH(DATE(Jahr,3,7))=3,DATE(Jahr,3,7),"")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IF(MONTH(DATE(Jahr,3,8))=3,DATE(Jahr,3,8),"")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IF(MONTH(DATE(Jahr,3,9))=3,DATE(Jahr,3,9),"")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IF(MONTH(DATE(Jahr,3,10))=3,DATE(Jahr,3,10),"")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IF(MONTH(DATE(Jahr,3,11))=3,DATE(Jahr,3,11),"")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IF(MONTH(DATE(Jahr,3,12))=3,DATE(Jahr,3,12),"")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IF(MONTH(DATE(Jahr,3,13))=3,DATE(Jahr,3,13),"")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IF(MONTH(DATE(Jahr,3,14))=3,DATE(Jahr,3,14),"")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IF(MONTH(DATE(Jahr,3,15))=3,DATE(Jahr,3,15),"")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IF(MONTH(DATE(Jahr,3,16))=3,DATE(Jahr,3,16),"")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IF(MONTH(DATE(Jahr,3,17))=3,DATE(Jahr,3,17),"")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IF(MONTH(DATE(Jahr,3,18))=3,DATE(Jahr,3,18),"")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IF(MONTH(DATE(Jahr,3,19))=3,DATE(Jahr,3,19),"")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IF(MONTH(DATE(Jahr,3,20))=3,DATE(Jahr,3,20),"")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IF(MONTH(DATE(Jahr,3,21))=3,DATE(Jahr,3,21),"")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IF(MONTH(DATE(Jahr,3,22))=3,DATE(Jahr,3,22),"")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IF(MONTH(DATE(Jahr,3,23))=3,DATE(Jahr,3,23),"")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IF(MONTH(DATE(Jahr,3,24))=3,DATE(Jahr,3,24),"")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IF(MONTH(DATE(Jahr,3,25))=3,DATE(Jahr,3,25),"")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IF(MONTH(DATE(Jahr,3,26))=3,DATE(Jahr,3,26),"")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IF(MONTH(DATE(Jahr,3,27))=3,DATE(Jahr,3,27),"")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IF(MONTH(DATE(Jahr,3,28))=3,DATE(Jahr,3,28),"")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IF(MONTH(DATE(Jahr,3,29))=3,DATE(Jahr,3,29),"")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IF(MONTH(DATE(Jahr,3,30))=3,DATE(Jahr,3,30),"")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IF(MONTH(DATE(Jahr,3,31))=3,DATE(Jahr,3,31),"")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'Februar'!$T$41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18" priority="1">
      <formula>$A5=""</formula>
    </cfRule>
    <cfRule type="expression" dxfId="19" priority="2">
      <formula>$Q5&lt;&gt;""</formula>
    </cfRule>
    <cfRule type="expression" dxfId="20" priority="3">
      <formula>WEEKDAY($A5,2)&gt;5</formula>
    </cfRule>
  </conditionalFormatting>
  <conditionalFormatting sqref="N5:N35">
    <cfRule type="expression" dxfId="21" priority="4">
      <formula>$A5=""</formula>
    </cfRule>
    <cfRule type="expression" dxfId="22" priority="5">
      <formula>AND($Z5&lt;&gt;"",$Q5&lt;&gt;"")</formula>
    </cfRule>
    <cfRule type="expression" dxfId="23" priority="6">
      <formula>AND($Z5&lt;&gt;"",WEEKDAY($A5,2)&gt;5)</formula>
    </cfRule>
    <cfRule type="expression" dxfId="24" priority="7">
      <formula>$Z5&lt;&gt;""</formula>
    </cfRule>
    <cfRule type="expression" dxfId="25" priority="8">
      <formula>$Q5&lt;&gt;""</formula>
    </cfRule>
    <cfRule type="expression" dxfId="26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April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IF(MONTH(DATE(Jahr,4,1))=4,DATE(Jahr,4,1),"")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IF(OR(V5="",'März'!$X$35=0),"",ROUND((V5-'März'!$X$35)*1440,0))</f>
      </c>
      <c r="X5" s="1">
        <f>MAX('März'!$X$35,N(U5))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IF(MONTH(DATE(Jahr,4,2))=4,DATE(Jahr,4,2),"")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IF(MONTH(DATE(Jahr,4,3))=4,DATE(Jahr,4,3),"")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IF(MONTH(DATE(Jahr,4,4))=4,DATE(Jahr,4,4),"")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IF(MONTH(DATE(Jahr,4,5))=4,DATE(Jahr,4,5),"")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IF(MONTH(DATE(Jahr,4,6))=4,DATE(Jahr,4,6),"")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IF(MONTH(DATE(Jahr,4,7))=4,DATE(Jahr,4,7),"")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IF(MONTH(DATE(Jahr,4,8))=4,DATE(Jahr,4,8),"")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IF(MONTH(DATE(Jahr,4,9))=4,DATE(Jahr,4,9),"")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IF(MONTH(DATE(Jahr,4,10))=4,DATE(Jahr,4,10),"")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IF(MONTH(DATE(Jahr,4,11))=4,DATE(Jahr,4,11),"")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IF(MONTH(DATE(Jahr,4,12))=4,DATE(Jahr,4,12),"")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IF(MONTH(DATE(Jahr,4,13))=4,DATE(Jahr,4,13),"")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IF(MONTH(DATE(Jahr,4,14))=4,DATE(Jahr,4,14),"")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IF(MONTH(DATE(Jahr,4,15))=4,DATE(Jahr,4,15),"")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IF(MONTH(DATE(Jahr,4,16))=4,DATE(Jahr,4,16),"")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IF(MONTH(DATE(Jahr,4,17))=4,DATE(Jahr,4,17),"")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IF(MONTH(DATE(Jahr,4,18))=4,DATE(Jahr,4,18),"")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IF(MONTH(DATE(Jahr,4,19))=4,DATE(Jahr,4,19),"")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IF(MONTH(DATE(Jahr,4,20))=4,DATE(Jahr,4,20),"")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IF(MONTH(DATE(Jahr,4,21))=4,DATE(Jahr,4,21),"")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IF(MONTH(DATE(Jahr,4,22))=4,DATE(Jahr,4,22),"")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IF(MONTH(DATE(Jahr,4,23))=4,DATE(Jahr,4,23),"")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IF(MONTH(DATE(Jahr,4,24))=4,DATE(Jahr,4,24),"")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IF(MONTH(DATE(Jahr,4,25))=4,DATE(Jahr,4,25),"")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IF(MONTH(DATE(Jahr,4,26))=4,DATE(Jahr,4,26),"")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IF(MONTH(DATE(Jahr,4,27))=4,DATE(Jahr,4,27),"")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IF(MONTH(DATE(Jahr,4,28))=4,DATE(Jahr,4,28),"")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IF(MONTH(DATE(Jahr,4,29))=4,DATE(Jahr,4,29),"")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IF(MONTH(DATE(Jahr,4,30))=4,DATE(Jahr,4,30),"")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IF(MONTH(DATE(Jahr,4,31))=4,DATE(Jahr,4,31),"")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'März'!$T$41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27" priority="1">
      <formula>$A5=""</formula>
    </cfRule>
    <cfRule type="expression" dxfId="28" priority="2">
      <formula>$Q5&lt;&gt;""</formula>
    </cfRule>
    <cfRule type="expression" dxfId="29" priority="3">
      <formula>WEEKDAY($A5,2)&gt;5</formula>
    </cfRule>
  </conditionalFormatting>
  <conditionalFormatting sqref="N5:N35">
    <cfRule type="expression" dxfId="30" priority="4">
      <formula>$A5=""</formula>
    </cfRule>
    <cfRule type="expression" dxfId="31" priority="5">
      <formula>AND($Z5&lt;&gt;"",$Q5&lt;&gt;"")</formula>
    </cfRule>
    <cfRule type="expression" dxfId="32" priority="6">
      <formula>AND($Z5&lt;&gt;"",WEEKDAY($A5,2)&gt;5)</formula>
    </cfRule>
    <cfRule type="expression" dxfId="33" priority="7">
      <formula>$Z5&lt;&gt;""</formula>
    </cfRule>
    <cfRule type="expression" dxfId="34" priority="8">
      <formula>$Q5&lt;&gt;""</formula>
    </cfRule>
    <cfRule type="expression" dxfId="35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Mai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IF(MONTH(DATE(Jahr,5,1))=5,DATE(Jahr,5,1),"")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IF(OR(V5="",'April'!$X$35=0),"",ROUND((V5-'April'!$X$35)*1440,0))</f>
      </c>
      <c r="X5" s="1">
        <f>MAX('April'!$X$35,N(U5))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IF(MONTH(DATE(Jahr,5,2))=5,DATE(Jahr,5,2),"")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IF(MONTH(DATE(Jahr,5,3))=5,DATE(Jahr,5,3),"")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IF(MONTH(DATE(Jahr,5,4))=5,DATE(Jahr,5,4),"")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IF(MONTH(DATE(Jahr,5,5))=5,DATE(Jahr,5,5),"")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IF(MONTH(DATE(Jahr,5,6))=5,DATE(Jahr,5,6),"")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IF(MONTH(DATE(Jahr,5,7))=5,DATE(Jahr,5,7),"")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IF(MONTH(DATE(Jahr,5,8))=5,DATE(Jahr,5,8),"")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IF(MONTH(DATE(Jahr,5,9))=5,DATE(Jahr,5,9),"")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IF(MONTH(DATE(Jahr,5,10))=5,DATE(Jahr,5,10),"")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IF(MONTH(DATE(Jahr,5,11))=5,DATE(Jahr,5,11),"")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IF(MONTH(DATE(Jahr,5,12))=5,DATE(Jahr,5,12),"")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IF(MONTH(DATE(Jahr,5,13))=5,DATE(Jahr,5,13),"")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IF(MONTH(DATE(Jahr,5,14))=5,DATE(Jahr,5,14),"")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IF(MONTH(DATE(Jahr,5,15))=5,DATE(Jahr,5,15),"")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IF(MONTH(DATE(Jahr,5,16))=5,DATE(Jahr,5,16),"")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IF(MONTH(DATE(Jahr,5,17))=5,DATE(Jahr,5,17),"")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IF(MONTH(DATE(Jahr,5,18))=5,DATE(Jahr,5,18),"")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IF(MONTH(DATE(Jahr,5,19))=5,DATE(Jahr,5,19),"")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IF(MONTH(DATE(Jahr,5,20))=5,DATE(Jahr,5,20),"")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IF(MONTH(DATE(Jahr,5,21))=5,DATE(Jahr,5,21),"")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IF(MONTH(DATE(Jahr,5,22))=5,DATE(Jahr,5,22),"")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IF(MONTH(DATE(Jahr,5,23))=5,DATE(Jahr,5,23),"")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IF(MONTH(DATE(Jahr,5,24))=5,DATE(Jahr,5,24),"")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IF(MONTH(DATE(Jahr,5,25))=5,DATE(Jahr,5,25),"")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IF(MONTH(DATE(Jahr,5,26))=5,DATE(Jahr,5,26),"")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IF(MONTH(DATE(Jahr,5,27))=5,DATE(Jahr,5,27),"")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IF(MONTH(DATE(Jahr,5,28))=5,DATE(Jahr,5,28),"")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IF(MONTH(DATE(Jahr,5,29))=5,DATE(Jahr,5,29),"")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IF(MONTH(DATE(Jahr,5,30))=5,DATE(Jahr,5,30),"")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IF(MONTH(DATE(Jahr,5,31))=5,DATE(Jahr,5,31),"")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'April'!$T$41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36" priority="1">
      <formula>$A5=""</formula>
    </cfRule>
    <cfRule type="expression" dxfId="37" priority="2">
      <formula>$Q5&lt;&gt;""</formula>
    </cfRule>
    <cfRule type="expression" dxfId="38" priority="3">
      <formula>WEEKDAY($A5,2)&gt;5</formula>
    </cfRule>
  </conditionalFormatting>
  <conditionalFormatting sqref="N5:N35">
    <cfRule type="expression" dxfId="39" priority="4">
      <formula>$A5=""</formula>
    </cfRule>
    <cfRule type="expression" dxfId="40" priority="5">
      <formula>AND($Z5&lt;&gt;"",$Q5&lt;&gt;"")</formula>
    </cfRule>
    <cfRule type="expression" dxfId="41" priority="6">
      <formula>AND($Z5&lt;&gt;"",WEEKDAY($A5,2)&gt;5)</formula>
    </cfRule>
    <cfRule type="expression" dxfId="42" priority="7">
      <formula>$Z5&lt;&gt;""</formula>
    </cfRule>
    <cfRule type="expression" dxfId="43" priority="8">
      <formula>$Q5&lt;&gt;""</formula>
    </cfRule>
    <cfRule type="expression" dxfId="44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Juni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IF(MONTH(DATE(Jahr,6,1))=6,DATE(Jahr,6,1),"")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IF(OR(V5="",'Mai'!$X$35=0),"",ROUND((V5-'Mai'!$X$35)*1440,0))</f>
      </c>
      <c r="X5" s="1">
        <f>MAX('Mai'!$X$35,N(U5))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IF(MONTH(DATE(Jahr,6,2))=6,DATE(Jahr,6,2),"")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IF(MONTH(DATE(Jahr,6,3))=6,DATE(Jahr,6,3),"")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IF(MONTH(DATE(Jahr,6,4))=6,DATE(Jahr,6,4),"")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IF(MONTH(DATE(Jahr,6,5))=6,DATE(Jahr,6,5),"")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IF(MONTH(DATE(Jahr,6,6))=6,DATE(Jahr,6,6),"")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IF(MONTH(DATE(Jahr,6,7))=6,DATE(Jahr,6,7),"")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IF(MONTH(DATE(Jahr,6,8))=6,DATE(Jahr,6,8),"")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IF(MONTH(DATE(Jahr,6,9))=6,DATE(Jahr,6,9),"")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IF(MONTH(DATE(Jahr,6,10))=6,DATE(Jahr,6,10),"")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IF(MONTH(DATE(Jahr,6,11))=6,DATE(Jahr,6,11),"")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IF(MONTH(DATE(Jahr,6,12))=6,DATE(Jahr,6,12),"")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IF(MONTH(DATE(Jahr,6,13))=6,DATE(Jahr,6,13),"")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IF(MONTH(DATE(Jahr,6,14))=6,DATE(Jahr,6,14),"")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IF(MONTH(DATE(Jahr,6,15))=6,DATE(Jahr,6,15),"")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IF(MONTH(DATE(Jahr,6,16))=6,DATE(Jahr,6,16),"")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IF(MONTH(DATE(Jahr,6,17))=6,DATE(Jahr,6,17),"")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IF(MONTH(DATE(Jahr,6,18))=6,DATE(Jahr,6,18),"")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IF(MONTH(DATE(Jahr,6,19))=6,DATE(Jahr,6,19),"")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IF(MONTH(DATE(Jahr,6,20))=6,DATE(Jahr,6,20),"")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IF(MONTH(DATE(Jahr,6,21))=6,DATE(Jahr,6,21),"")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IF(MONTH(DATE(Jahr,6,22))=6,DATE(Jahr,6,22),"")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IF(MONTH(DATE(Jahr,6,23))=6,DATE(Jahr,6,23),"")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IF(MONTH(DATE(Jahr,6,24))=6,DATE(Jahr,6,24),"")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IF(MONTH(DATE(Jahr,6,25))=6,DATE(Jahr,6,25),"")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IF(MONTH(DATE(Jahr,6,26))=6,DATE(Jahr,6,26),"")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IF(MONTH(DATE(Jahr,6,27))=6,DATE(Jahr,6,27),"")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IF(MONTH(DATE(Jahr,6,28))=6,DATE(Jahr,6,28),"")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IF(MONTH(DATE(Jahr,6,29))=6,DATE(Jahr,6,29),"")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IF(MONTH(DATE(Jahr,6,30))=6,DATE(Jahr,6,30),"")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IF(MONTH(DATE(Jahr,6,31))=6,DATE(Jahr,6,31),"")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'Mai'!$T$41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45" priority="1">
      <formula>$A5=""</formula>
    </cfRule>
    <cfRule type="expression" dxfId="46" priority="2">
      <formula>$Q5&lt;&gt;""</formula>
    </cfRule>
    <cfRule type="expression" dxfId="47" priority="3">
      <formula>WEEKDAY($A5,2)&gt;5</formula>
    </cfRule>
  </conditionalFormatting>
  <conditionalFormatting sqref="N5:N35">
    <cfRule type="expression" dxfId="48" priority="4">
      <formula>$A5=""</formula>
    </cfRule>
    <cfRule type="expression" dxfId="49" priority="5">
      <formula>AND($Z5&lt;&gt;"",$Q5&lt;&gt;"")</formula>
    </cfRule>
    <cfRule type="expression" dxfId="50" priority="6">
      <formula>AND($Z5&lt;&gt;"",WEEKDAY($A5,2)&gt;5)</formula>
    </cfRule>
    <cfRule type="expression" dxfId="51" priority="7">
      <formula>$Z5&lt;&gt;""</formula>
    </cfRule>
    <cfRule type="expression" dxfId="52" priority="8">
      <formula>$Q5&lt;&gt;""</formula>
    </cfRule>
    <cfRule type="expression" dxfId="53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Juli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IF(MONTH(DATE(Jahr,7,1))=7,DATE(Jahr,7,1),"")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IF(OR(V5="",'Juni'!$X$35=0),"",ROUND((V5-'Juni'!$X$35)*1440,0))</f>
      </c>
      <c r="X5" s="1">
        <f>MAX('Juni'!$X$35,N(U5))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IF(MONTH(DATE(Jahr,7,2))=7,DATE(Jahr,7,2),"")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IF(MONTH(DATE(Jahr,7,3))=7,DATE(Jahr,7,3),"")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IF(MONTH(DATE(Jahr,7,4))=7,DATE(Jahr,7,4),"")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IF(MONTH(DATE(Jahr,7,5))=7,DATE(Jahr,7,5),"")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IF(MONTH(DATE(Jahr,7,6))=7,DATE(Jahr,7,6),"")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IF(MONTH(DATE(Jahr,7,7))=7,DATE(Jahr,7,7),"")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IF(MONTH(DATE(Jahr,7,8))=7,DATE(Jahr,7,8),"")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IF(MONTH(DATE(Jahr,7,9))=7,DATE(Jahr,7,9),"")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IF(MONTH(DATE(Jahr,7,10))=7,DATE(Jahr,7,10),"")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IF(MONTH(DATE(Jahr,7,11))=7,DATE(Jahr,7,11),"")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IF(MONTH(DATE(Jahr,7,12))=7,DATE(Jahr,7,12),"")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IF(MONTH(DATE(Jahr,7,13))=7,DATE(Jahr,7,13),"")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IF(MONTH(DATE(Jahr,7,14))=7,DATE(Jahr,7,14),"")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IF(MONTH(DATE(Jahr,7,15))=7,DATE(Jahr,7,15),"")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IF(MONTH(DATE(Jahr,7,16))=7,DATE(Jahr,7,16),"")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IF(MONTH(DATE(Jahr,7,17))=7,DATE(Jahr,7,17),"")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IF(MONTH(DATE(Jahr,7,18))=7,DATE(Jahr,7,18),"")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IF(MONTH(DATE(Jahr,7,19))=7,DATE(Jahr,7,19),"")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IF(MONTH(DATE(Jahr,7,20))=7,DATE(Jahr,7,20),"")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IF(MONTH(DATE(Jahr,7,21))=7,DATE(Jahr,7,21),"")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IF(MONTH(DATE(Jahr,7,22))=7,DATE(Jahr,7,22),"")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IF(MONTH(DATE(Jahr,7,23))=7,DATE(Jahr,7,23),"")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IF(MONTH(DATE(Jahr,7,24))=7,DATE(Jahr,7,24),"")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IF(MONTH(DATE(Jahr,7,25))=7,DATE(Jahr,7,25),"")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IF(MONTH(DATE(Jahr,7,26))=7,DATE(Jahr,7,26),"")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IF(MONTH(DATE(Jahr,7,27))=7,DATE(Jahr,7,27),"")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IF(MONTH(DATE(Jahr,7,28))=7,DATE(Jahr,7,28),"")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IF(MONTH(DATE(Jahr,7,29))=7,DATE(Jahr,7,29),"")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IF(MONTH(DATE(Jahr,7,30))=7,DATE(Jahr,7,30),"")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IF(MONTH(DATE(Jahr,7,31))=7,DATE(Jahr,7,31),"")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'Juni'!$T$41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54" priority="1">
      <formula>$A5=""</formula>
    </cfRule>
    <cfRule type="expression" dxfId="55" priority="2">
      <formula>$Q5&lt;&gt;""</formula>
    </cfRule>
    <cfRule type="expression" dxfId="56" priority="3">
      <formula>WEEKDAY($A5,2)&gt;5</formula>
    </cfRule>
  </conditionalFormatting>
  <conditionalFormatting sqref="N5:N35">
    <cfRule type="expression" dxfId="57" priority="4">
      <formula>$A5=""</formula>
    </cfRule>
    <cfRule type="expression" dxfId="58" priority="5">
      <formula>AND($Z5&lt;&gt;"",$Q5&lt;&gt;"")</formula>
    </cfRule>
    <cfRule type="expression" dxfId="59" priority="6">
      <formula>AND($Z5&lt;&gt;"",WEEKDAY($A5,2)&gt;5)</formula>
    </cfRule>
    <cfRule type="expression" dxfId="60" priority="7">
      <formula>$Z5&lt;&gt;""</formula>
    </cfRule>
    <cfRule type="expression" dxfId="61" priority="8">
      <formula>$Q5&lt;&gt;""</formula>
    </cfRule>
    <cfRule type="expression" dxfId="62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August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IF(MONTH(DATE(Jahr,8,1))=8,DATE(Jahr,8,1),"")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IF(OR(V5="",'Juli'!$X$35=0),"",ROUND((V5-'Juli'!$X$35)*1440,0))</f>
      </c>
      <c r="X5" s="1">
        <f>MAX('Juli'!$X$35,N(U5))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IF(MONTH(DATE(Jahr,8,2))=8,DATE(Jahr,8,2),"")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IF(MONTH(DATE(Jahr,8,3))=8,DATE(Jahr,8,3),"")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IF(MONTH(DATE(Jahr,8,4))=8,DATE(Jahr,8,4),"")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IF(MONTH(DATE(Jahr,8,5))=8,DATE(Jahr,8,5),"")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IF(MONTH(DATE(Jahr,8,6))=8,DATE(Jahr,8,6),"")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IF(MONTH(DATE(Jahr,8,7))=8,DATE(Jahr,8,7),"")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IF(MONTH(DATE(Jahr,8,8))=8,DATE(Jahr,8,8),"")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IF(MONTH(DATE(Jahr,8,9))=8,DATE(Jahr,8,9),"")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IF(MONTH(DATE(Jahr,8,10))=8,DATE(Jahr,8,10),"")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IF(MONTH(DATE(Jahr,8,11))=8,DATE(Jahr,8,11),"")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IF(MONTH(DATE(Jahr,8,12))=8,DATE(Jahr,8,12),"")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IF(MONTH(DATE(Jahr,8,13))=8,DATE(Jahr,8,13),"")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IF(MONTH(DATE(Jahr,8,14))=8,DATE(Jahr,8,14),"")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IF(MONTH(DATE(Jahr,8,15))=8,DATE(Jahr,8,15),"")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IF(MONTH(DATE(Jahr,8,16))=8,DATE(Jahr,8,16),"")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IF(MONTH(DATE(Jahr,8,17))=8,DATE(Jahr,8,17),"")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IF(MONTH(DATE(Jahr,8,18))=8,DATE(Jahr,8,18),"")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IF(MONTH(DATE(Jahr,8,19))=8,DATE(Jahr,8,19),"")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IF(MONTH(DATE(Jahr,8,20))=8,DATE(Jahr,8,20),"")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IF(MONTH(DATE(Jahr,8,21))=8,DATE(Jahr,8,21),"")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IF(MONTH(DATE(Jahr,8,22))=8,DATE(Jahr,8,22),"")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IF(MONTH(DATE(Jahr,8,23))=8,DATE(Jahr,8,23),"")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IF(MONTH(DATE(Jahr,8,24))=8,DATE(Jahr,8,24),"")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IF(MONTH(DATE(Jahr,8,25))=8,DATE(Jahr,8,25),"")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IF(MONTH(DATE(Jahr,8,26))=8,DATE(Jahr,8,26),"")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IF(MONTH(DATE(Jahr,8,27))=8,DATE(Jahr,8,27),"")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IF(MONTH(DATE(Jahr,8,28))=8,DATE(Jahr,8,28),"")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IF(MONTH(DATE(Jahr,8,29))=8,DATE(Jahr,8,29),"")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IF(MONTH(DATE(Jahr,8,30))=8,DATE(Jahr,8,30),"")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IF(MONTH(DATE(Jahr,8,31))=8,DATE(Jahr,8,31),"")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'Juli'!$T$41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63" priority="1">
      <formula>$A5=""</formula>
    </cfRule>
    <cfRule type="expression" dxfId="64" priority="2">
      <formula>$Q5&lt;&gt;""</formula>
    </cfRule>
    <cfRule type="expression" dxfId="65" priority="3">
      <formula>WEEKDAY($A5,2)&gt;5</formula>
    </cfRule>
  </conditionalFormatting>
  <conditionalFormatting sqref="N5:N35">
    <cfRule type="expression" dxfId="66" priority="4">
      <formula>$A5=""</formula>
    </cfRule>
    <cfRule type="expression" dxfId="67" priority="5">
      <formula>AND($Z5&lt;&gt;"",$Q5&lt;&gt;"")</formula>
    </cfRule>
    <cfRule type="expression" dxfId="68" priority="6">
      <formula>AND($Z5&lt;&gt;"",WEEKDAY($A5,2)&gt;5)</formula>
    </cfRule>
    <cfRule type="expression" dxfId="69" priority="7">
      <formula>$Z5&lt;&gt;""</formula>
    </cfRule>
    <cfRule type="expression" dxfId="70" priority="8">
      <formula>$Q5&lt;&gt;""</formula>
    </cfRule>
    <cfRule type="expression" dxfId="71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September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IF(MONTH(DATE(Jahr,9,1))=9,DATE(Jahr,9,1),"")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IF(OR(V5="",'August'!$X$35=0),"",ROUND((V5-'August'!$X$35)*1440,0))</f>
      </c>
      <c r="X5" s="1">
        <f>MAX('August'!$X$35,N(U5))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IF(MONTH(DATE(Jahr,9,2))=9,DATE(Jahr,9,2),"")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IF(MONTH(DATE(Jahr,9,3))=9,DATE(Jahr,9,3),"")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IF(MONTH(DATE(Jahr,9,4))=9,DATE(Jahr,9,4),"")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IF(MONTH(DATE(Jahr,9,5))=9,DATE(Jahr,9,5),"")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IF(MONTH(DATE(Jahr,9,6))=9,DATE(Jahr,9,6),"")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IF(MONTH(DATE(Jahr,9,7))=9,DATE(Jahr,9,7),"")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IF(MONTH(DATE(Jahr,9,8))=9,DATE(Jahr,9,8),"")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IF(MONTH(DATE(Jahr,9,9))=9,DATE(Jahr,9,9),"")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IF(MONTH(DATE(Jahr,9,10))=9,DATE(Jahr,9,10),"")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IF(MONTH(DATE(Jahr,9,11))=9,DATE(Jahr,9,11),"")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IF(MONTH(DATE(Jahr,9,12))=9,DATE(Jahr,9,12),"")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IF(MONTH(DATE(Jahr,9,13))=9,DATE(Jahr,9,13),"")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IF(MONTH(DATE(Jahr,9,14))=9,DATE(Jahr,9,14),"")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IF(MONTH(DATE(Jahr,9,15))=9,DATE(Jahr,9,15),"")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IF(MONTH(DATE(Jahr,9,16))=9,DATE(Jahr,9,16),"")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IF(MONTH(DATE(Jahr,9,17))=9,DATE(Jahr,9,17),"")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IF(MONTH(DATE(Jahr,9,18))=9,DATE(Jahr,9,18),"")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IF(MONTH(DATE(Jahr,9,19))=9,DATE(Jahr,9,19),"")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IF(MONTH(DATE(Jahr,9,20))=9,DATE(Jahr,9,20),"")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IF(MONTH(DATE(Jahr,9,21))=9,DATE(Jahr,9,21),"")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IF(MONTH(DATE(Jahr,9,22))=9,DATE(Jahr,9,22),"")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IF(MONTH(DATE(Jahr,9,23))=9,DATE(Jahr,9,23),"")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IF(MONTH(DATE(Jahr,9,24))=9,DATE(Jahr,9,24),"")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IF(MONTH(DATE(Jahr,9,25))=9,DATE(Jahr,9,25),"")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IF(MONTH(DATE(Jahr,9,26))=9,DATE(Jahr,9,26),"")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IF(MONTH(DATE(Jahr,9,27))=9,DATE(Jahr,9,27),"")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IF(MONTH(DATE(Jahr,9,28))=9,DATE(Jahr,9,28),"")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IF(MONTH(DATE(Jahr,9,29))=9,DATE(Jahr,9,29),"")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IF(MONTH(DATE(Jahr,9,30))=9,DATE(Jahr,9,30),"")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IF(MONTH(DATE(Jahr,9,31))=9,DATE(Jahr,9,31),"")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'August'!$T$41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72" priority="1">
      <formula>$A5=""</formula>
    </cfRule>
    <cfRule type="expression" dxfId="73" priority="2">
      <formula>$Q5&lt;&gt;""</formula>
    </cfRule>
    <cfRule type="expression" dxfId="74" priority="3">
      <formula>WEEKDAY($A5,2)&gt;5</formula>
    </cfRule>
  </conditionalFormatting>
  <conditionalFormatting sqref="N5:N35">
    <cfRule type="expression" dxfId="75" priority="4">
      <formula>$A5=""</formula>
    </cfRule>
    <cfRule type="expression" dxfId="76" priority="5">
      <formula>AND($Z5&lt;&gt;"",$Q5&lt;&gt;"")</formula>
    </cfRule>
    <cfRule type="expression" dxfId="77" priority="6">
      <formula>AND($Z5&lt;&gt;"",WEEKDAY($A5,2)&gt;5)</formula>
    </cfRule>
    <cfRule type="expression" dxfId="78" priority="7">
      <formula>$Z5&lt;&gt;""</formula>
    </cfRule>
    <cfRule type="expression" dxfId="79" priority="8">
      <formula>$Q5&lt;&gt;""</formula>
    </cfRule>
    <cfRule type="expression" dxfId="80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Oktober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IF(MONTH(DATE(Jahr,10,1))=10,DATE(Jahr,10,1),"")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IF(OR(V5="",'September'!$X$35=0),"",ROUND((V5-'September'!$X$35)*1440,0))</f>
      </c>
      <c r="X5" s="1">
        <f>MAX('September'!$X$35,N(U5))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IF(MONTH(DATE(Jahr,10,2))=10,DATE(Jahr,10,2),"")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IF(MONTH(DATE(Jahr,10,3))=10,DATE(Jahr,10,3),"")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IF(MONTH(DATE(Jahr,10,4))=10,DATE(Jahr,10,4),"")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IF(MONTH(DATE(Jahr,10,5))=10,DATE(Jahr,10,5),"")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IF(MONTH(DATE(Jahr,10,6))=10,DATE(Jahr,10,6),"")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IF(MONTH(DATE(Jahr,10,7))=10,DATE(Jahr,10,7),"")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IF(MONTH(DATE(Jahr,10,8))=10,DATE(Jahr,10,8),"")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IF(MONTH(DATE(Jahr,10,9))=10,DATE(Jahr,10,9),"")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IF(MONTH(DATE(Jahr,10,10))=10,DATE(Jahr,10,10),"")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IF(MONTH(DATE(Jahr,10,11))=10,DATE(Jahr,10,11),"")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IF(MONTH(DATE(Jahr,10,12))=10,DATE(Jahr,10,12),"")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IF(MONTH(DATE(Jahr,10,13))=10,DATE(Jahr,10,13),"")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IF(MONTH(DATE(Jahr,10,14))=10,DATE(Jahr,10,14),"")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IF(MONTH(DATE(Jahr,10,15))=10,DATE(Jahr,10,15),"")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IF(MONTH(DATE(Jahr,10,16))=10,DATE(Jahr,10,16),"")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IF(MONTH(DATE(Jahr,10,17))=10,DATE(Jahr,10,17),"")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IF(MONTH(DATE(Jahr,10,18))=10,DATE(Jahr,10,18),"")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IF(MONTH(DATE(Jahr,10,19))=10,DATE(Jahr,10,19),"")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IF(MONTH(DATE(Jahr,10,20))=10,DATE(Jahr,10,20),"")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IF(MONTH(DATE(Jahr,10,21))=10,DATE(Jahr,10,21),"")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IF(MONTH(DATE(Jahr,10,22))=10,DATE(Jahr,10,22),"")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IF(MONTH(DATE(Jahr,10,23))=10,DATE(Jahr,10,23),"")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IF(MONTH(DATE(Jahr,10,24))=10,DATE(Jahr,10,24),"")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IF(MONTH(DATE(Jahr,10,25))=10,DATE(Jahr,10,25),"")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IF(MONTH(DATE(Jahr,10,26))=10,DATE(Jahr,10,26),"")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IF(MONTH(DATE(Jahr,10,27))=10,DATE(Jahr,10,27),"")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IF(MONTH(DATE(Jahr,10,28))=10,DATE(Jahr,10,28),"")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IF(MONTH(DATE(Jahr,10,29))=10,DATE(Jahr,10,29),"")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IF(MONTH(DATE(Jahr,10,30))=10,DATE(Jahr,10,30),"")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IF(MONTH(DATE(Jahr,10,31))=10,DATE(Jahr,10,31),"")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'September'!$T$41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81" priority="1">
      <formula>$A5=""</formula>
    </cfRule>
    <cfRule type="expression" dxfId="82" priority="2">
      <formula>$Q5&lt;&gt;""</formula>
    </cfRule>
    <cfRule type="expression" dxfId="83" priority="3">
      <formula>WEEKDAY($A5,2)&gt;5</formula>
    </cfRule>
  </conditionalFormatting>
  <conditionalFormatting sqref="N5:N35">
    <cfRule type="expression" dxfId="84" priority="4">
      <formula>$A5=""</formula>
    </cfRule>
    <cfRule type="expression" dxfId="85" priority="5">
      <formula>AND($Z5&lt;&gt;"",$Q5&lt;&gt;"")</formula>
    </cfRule>
    <cfRule type="expression" dxfId="86" priority="6">
      <formula>AND($Z5&lt;&gt;"",WEEKDAY($A5,2)&gt;5)</formula>
    </cfRule>
    <cfRule type="expression" dxfId="87" priority="7">
      <formula>$Z5&lt;&gt;""</formula>
    </cfRule>
    <cfRule type="expression" dxfId="88" priority="8">
      <formula>$Q5&lt;&gt;""</formula>
    </cfRule>
    <cfRule type="expression" dxfId="89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November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IF(MONTH(DATE(Jahr,11,1))=11,DATE(Jahr,11,1),"")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IF(OR(V5="",'Oktober'!$X$35=0),"",ROUND((V5-'Oktober'!$X$35)*1440,0))</f>
      </c>
      <c r="X5" s="1">
        <f>MAX('Oktober'!$X$35,N(U5))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IF(MONTH(DATE(Jahr,11,2))=11,DATE(Jahr,11,2),"")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IF(MONTH(DATE(Jahr,11,3))=11,DATE(Jahr,11,3),"")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IF(MONTH(DATE(Jahr,11,4))=11,DATE(Jahr,11,4),"")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IF(MONTH(DATE(Jahr,11,5))=11,DATE(Jahr,11,5),"")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IF(MONTH(DATE(Jahr,11,6))=11,DATE(Jahr,11,6),"")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IF(MONTH(DATE(Jahr,11,7))=11,DATE(Jahr,11,7),"")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IF(MONTH(DATE(Jahr,11,8))=11,DATE(Jahr,11,8),"")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IF(MONTH(DATE(Jahr,11,9))=11,DATE(Jahr,11,9),"")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IF(MONTH(DATE(Jahr,11,10))=11,DATE(Jahr,11,10),"")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IF(MONTH(DATE(Jahr,11,11))=11,DATE(Jahr,11,11),"")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IF(MONTH(DATE(Jahr,11,12))=11,DATE(Jahr,11,12),"")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IF(MONTH(DATE(Jahr,11,13))=11,DATE(Jahr,11,13),"")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IF(MONTH(DATE(Jahr,11,14))=11,DATE(Jahr,11,14),"")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IF(MONTH(DATE(Jahr,11,15))=11,DATE(Jahr,11,15),"")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IF(MONTH(DATE(Jahr,11,16))=11,DATE(Jahr,11,16),"")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IF(MONTH(DATE(Jahr,11,17))=11,DATE(Jahr,11,17),"")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IF(MONTH(DATE(Jahr,11,18))=11,DATE(Jahr,11,18),"")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IF(MONTH(DATE(Jahr,11,19))=11,DATE(Jahr,11,19),"")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IF(MONTH(DATE(Jahr,11,20))=11,DATE(Jahr,11,20),"")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IF(MONTH(DATE(Jahr,11,21))=11,DATE(Jahr,11,21),"")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IF(MONTH(DATE(Jahr,11,22))=11,DATE(Jahr,11,22),"")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IF(MONTH(DATE(Jahr,11,23))=11,DATE(Jahr,11,23),"")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IF(MONTH(DATE(Jahr,11,24))=11,DATE(Jahr,11,24),"")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IF(MONTH(DATE(Jahr,11,25))=11,DATE(Jahr,11,25),"")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IF(MONTH(DATE(Jahr,11,26))=11,DATE(Jahr,11,26),"")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IF(MONTH(DATE(Jahr,11,27))=11,DATE(Jahr,11,27),"")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IF(MONTH(DATE(Jahr,11,28))=11,DATE(Jahr,11,28),"")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IF(MONTH(DATE(Jahr,11,29))=11,DATE(Jahr,11,29),"")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IF(MONTH(DATE(Jahr,11,30))=11,DATE(Jahr,11,30),"")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IF(MONTH(DATE(Jahr,11,31))=11,DATE(Jahr,11,31),"")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'Oktober'!$T$41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90" priority="1">
      <formula>$A5=""</formula>
    </cfRule>
    <cfRule type="expression" dxfId="91" priority="2">
      <formula>$Q5&lt;&gt;""</formula>
    </cfRule>
    <cfRule type="expression" dxfId="92" priority="3">
      <formula>WEEKDAY($A5,2)&gt;5</formula>
    </cfRule>
  </conditionalFormatting>
  <conditionalFormatting sqref="N5:N35">
    <cfRule type="expression" dxfId="93" priority="4">
      <formula>$A5=""</formula>
    </cfRule>
    <cfRule type="expression" dxfId="94" priority="5">
      <formula>AND($Z5&lt;&gt;"",$Q5&lt;&gt;"")</formula>
    </cfRule>
    <cfRule type="expression" dxfId="95" priority="6">
      <formula>AND($Z5&lt;&gt;"",WEEKDAY($A5,2)&gt;5)</formula>
    </cfRule>
    <cfRule type="expression" dxfId="96" priority="7">
      <formula>$Z5&lt;&gt;""</formula>
    </cfRule>
    <cfRule type="expression" dxfId="97" priority="8">
      <formula>$Q5&lt;&gt;""</formula>
    </cfRule>
    <cfRule type="expression" dxfId="98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5" customWidth="1"/>
    <col min="3" max="6" width="7.5" customWidth="1"/>
    <col min="7" max="7" width="7" customWidth="1"/>
    <col min="8" max="8" width="17" customWidth="1"/>
    <col min="10" max="10" width="30" customWidth="1"/>
    <col min="11" max="13" width="8" customWidth="1"/>
    <col min="14" max="14" width="44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  <col min="25" max="25" width="9" hidden="1" customWidth="1"/>
    <col min="26" max="26" width="9" hidden="1" customWidth="1"/>
    <col min="27" max="27" width="9" hidden="1" customWidth="1"/>
  </cols>
  <sheetData>
    <row r="1" spans="1:1" x14ac:dyDescent="0.25">
      <c r="A1" s="5">
        <f>"Arbeitszeitnachweis Dezember "&amp;Jahr</f>
      </c>
    </row>
    <row r="2" spans="1:1" x14ac:dyDescent="0.25">
      <c r="A2" s="6">
        <f>"Name: "&amp;IF(MitarbeiterName="","…",MitarbeiterName)&amp;IF(Personalnummer="",""," · Personalnr. "&amp;Personalnummer)&amp;IF(Firma="",""," · "&amp;Firma)&amp;IF(Bundesland="",""," · "&amp;Bundesland)</f>
      </c>
    </row>
    <row r="3" spans="1:1" x14ac:dyDescent="0.25">
      <c r="A3" s="15">
        <f>IF(Bundesland="","Bitte in den Einstellungen das Bundesland wählen, damit die Feiertage stimmen. ","")&amp;IF(SUM(SollMo,SollDi,SollMi,SollDo,SollFr,SollSa,SollSo)=0,"Bitte in den Einstellungen die Soll-Arbeitszeit eintragen.","")</f>
      </c>
    </row>
    <row r="4" ht="28" customHeight="1" spans="1:14" x14ac:dyDescent="0.25">
      <c r="A4" s="16" t="s">
        <v>45</v>
      </c>
      <c r="B4" s="16" t="s">
        <v>46</v>
      </c>
      <c r="C4" s="16" t="s">
        <v>47</v>
      </c>
      <c r="D4" s="16" t="s">
        <v>48</v>
      </c>
      <c r="E4" s="16" t="s">
        <v>49</v>
      </c>
      <c r="F4" s="16" t="s">
        <v>50</v>
      </c>
      <c r="G4" s="16" t="s">
        <v>51</v>
      </c>
      <c r="H4" s="16" t="s">
        <v>52</v>
      </c>
      <c r="I4" s="16" t="s">
        <v>53</v>
      </c>
      <c r="J4" s="16" t="s">
        <v>54</v>
      </c>
      <c r="K4" s="16" t="s">
        <v>55</v>
      </c>
      <c r="L4" s="16" t="s">
        <v>56</v>
      </c>
      <c r="M4" s="16" t="s">
        <v>57</v>
      </c>
      <c r="N4" s="16" t="s">
        <v>58</v>
      </c>
    </row>
    <row r="5" spans="1:27" x14ac:dyDescent="0.25">
      <c r="A5" s="17">
        <f>IF(MONTH(DATE(Jahr,12,1))=12,DATE(Jahr,12,1),"")</f>
      </c>
      <c r="B5" s="18">
        <f>IF(A5="","",CHOOSE(WEEKDAY(A5,2),"Mo","Di","Mi","Do","Fr","Sa","So"))</f>
      </c>
      <c r="C5" s="19"/>
      <c r="D5" s="19"/>
      <c r="E5" s="19"/>
      <c r="F5" s="19"/>
      <c r="G5" s="9"/>
      <c r="H5" s="7"/>
      <c r="I5" s="11"/>
      <c r="J5" s="7"/>
      <c r="K5" s="20">
        <f>IF(OR(A5="",P5+R5&lt;=0),"",P5+R5)</f>
      </c>
      <c r="L5" s="20">
        <f>IF(OR(A5="",S5=0),"",S5)</f>
      </c>
      <c r="M5" s="21">
        <f>IF(OR(A5="",AND(P5+R5=0,S5=0)),"",IF(T5&lt;0,"-","+")&amp;TEXT(ABS(T5),"[h]:mm"))</f>
      </c>
      <c r="N5" s="22">
        <f>IF(A5="","",IF(Q5&lt;&gt;"","Feiertag: "&amp;Q5&amp;IF(Z5&lt;&gt;"","; ",""),"")&amp;IF(Z5&lt;&gt;"",LEFT(Z5,LEN(Z5)-2),""))</f>
      </c>
      <c r="O5" s="1"/>
      <c r="P5" s="1">
        <f>IF(A5="",0,ROUND((IF(AND(ISNUMBER(C5),ISNUMBER(D5)),MOD(D5-C5,1),0)+IF(AND(ISNUMBER(E5),ISNUMBER(F5)),MOD(F5-E5,1),0)-IF(ISNUMBER(G5),G5,0)/1440)*1440,0)/1440)</f>
      </c>
      <c r="Q5" s="1">
        <f>IF(A5="","",IFERROR(INDEX(FeiertagNamen,MATCH(A5,FeiertagDaten,0)),""))</f>
      </c>
      <c r="R5" s="1">
        <f>IF(OR(H5="Urlaub",H5="Krank",H5="Bezahlt frei"),S5,IF(H5="Halber Urlaubstag",ROUND(S5*720,0)/1440,0))</f>
      </c>
      <c r="S5" s="1">
        <f>IF(OR(A5="",Q5&lt;&gt;"",H5="Unbezahlt",AA5=0),0,ROUND(CHOOSE(WEEKDAY(A5,2),N(SollMo),N(SollDi),N(SollMi),N(SollDo),N(SollFr),N(SollSa),N(SollSo))*1440,0)/1440)</f>
      </c>
      <c r="T5" s="1">
        <f>P5+R5-S5</f>
      </c>
      <c r="U5" s="1">
        <f>IF(OR(A5="",NOT(ISNUMBER(C5)),NOT(ISNUMBER(D5))),"",A5+IF(AND(ISNUMBER(E5),ISNUMBER(F5)),F5+IF(E5&lt;C5,1,0)+IF(F5&lt;E5,1,0),D5+IF(D5&lt;C5,1,0)))</f>
      </c>
      <c r="V5" s="1">
        <f>IF(OR(A5="",NOT(ISNUMBER(C5))),"",A5+C5)</f>
      </c>
      <c r="W5" s="1">
        <f>IF(OR(V5="",'November'!$X$35=0),"",ROUND((V5-'November'!$X$35)*1440,0))</f>
      </c>
      <c r="X5" s="1">
        <f>MAX('November'!$X$35,N(U5))</f>
      </c>
      <c r="Y5" s="1">
        <f>IF(ISNUMBER(G5),G5,0)+IF(AND(ISNUMBER(D5),ISNUMBER(E5)),MAX(0,ROUND((E5+IF(E5&lt;C5,1,0)-D5-IF(D5&lt;C5,1,0))*1440,0)),0)</f>
      </c>
      <c r="Z5" s="1">
        <f>IF(A5="","",IF(OR(ISNUMBER(C5)&lt;&gt;ISNUMBER(D5),ISNUMBER(E5)&lt;&gt;ISNUMBER(F5)),"Beginn oder Ende fehlt; ","")&amp;IF(P5&lt;0,"Pause länger als Arbeitszeit; ","")&amp;IF(AND(ROUND(P5*1440,0)&gt;360,ROUND(P5*1440,0)&lt;=540,Y5&lt;30),"Pause unter 30 Min. (§ 4); ","")&amp;IF(AND(ROUND(P5*1440,0)&gt;540,Y5&lt;45),"Pause unter 45 Min. (§ 4); ","")&amp;IF(ROUND(P5*1440,0)&gt;600,"über 10 Std. (§ 3); ","")&amp;IF(W5="","",IF(W5&lt;0,"beginnt vor Ende des Vortags; ",IF(W5&lt;660,"Ruhezeit unter 11 Std. (§ 5); ","")))&amp;IF(AND(ISNUMBER(I5),ROUND(N(I5)*1440,0)&gt;ROUND(P5*1440,0)),"Fahrzeit über Arbeitszeit; ","")&amp;IF(AND(OR(H5="Urlaub",H5="Krank",H5="Bezahlt frei"),ROUND(P5*1440,0)&gt;0),"Abwesenheit und Arbeitszeit; ","")&amp;IF(AND(H5&lt;&gt;"",H5&lt;&gt;"Unbezahlt",S5=0),"Abwesenheit an freiem Tag zählt nicht; ",""))</f>
      </c>
      <c r="AA5" s="1">
        <f>IF(A5="",0,IF(OR(A5&lt;=TODAY(),COUNTA(C5:J5)&gt;0),1,0))</f>
      </c>
    </row>
    <row r="6" spans="1:27" x14ac:dyDescent="0.25">
      <c r="A6" s="17">
        <f>IF(MONTH(DATE(Jahr,12,2))=12,DATE(Jahr,12,2),"")</f>
      </c>
      <c r="B6" s="18">
        <f>IF(A6="","",CHOOSE(WEEKDAY(A6,2),"Mo","Di","Mi","Do","Fr","Sa","So"))</f>
      </c>
      <c r="C6" s="19"/>
      <c r="D6" s="19"/>
      <c r="E6" s="19"/>
      <c r="F6" s="19"/>
      <c r="G6" s="9"/>
      <c r="H6" s="7"/>
      <c r="I6" s="11"/>
      <c r="J6" s="7"/>
      <c r="K6" s="20">
        <f>IF(OR(A6="",P6+R6&lt;=0),"",P6+R6)</f>
      </c>
      <c r="L6" s="20">
        <f>IF(OR(A6="",S6=0),"",S6)</f>
      </c>
      <c r="M6" s="21">
        <f>IF(OR(A6="",AND(P6+R6=0,S6=0)),"",IF(T6&lt;0,"-","+")&amp;TEXT(ABS(T6),"[h]:mm"))</f>
      </c>
      <c r="N6" s="22">
        <f>IF(A6="","",IF(Q6&lt;&gt;"","Feiertag: "&amp;Q6&amp;IF(Z6&lt;&gt;"","; ",""),"")&amp;IF(Z6&lt;&gt;"",LEFT(Z6,LEN(Z6)-2),""))</f>
      </c>
      <c r="O6" s="1"/>
      <c r="P6" s="1">
        <f>IF(A6="",0,ROUND((IF(AND(ISNUMBER(C6),ISNUMBER(D6)),MOD(D6-C6,1),0)+IF(AND(ISNUMBER(E6),ISNUMBER(F6)),MOD(F6-E6,1),0)-IF(ISNUMBER(G6),G6,0)/1440)*1440,0)/1440)</f>
      </c>
      <c r="Q6" s="1">
        <f>IF(A6="","",IFERROR(INDEX(FeiertagNamen,MATCH(A6,FeiertagDaten,0)),""))</f>
      </c>
      <c r="R6" s="1">
        <f>IF(OR(H6="Urlaub",H6="Krank",H6="Bezahlt frei"),S6,IF(H6="Halber Urlaubstag",ROUND(S6*720,0)/1440,0))</f>
      </c>
      <c r="S6" s="1">
        <f>IF(OR(A6="",Q6&lt;&gt;"",H6="Unbezahlt",AA6=0),0,ROUND(CHOOSE(WEEKDAY(A6,2),N(SollMo),N(SollDi),N(SollMi),N(SollDo),N(SollFr),N(SollSa),N(SollSo))*1440,0)/1440)</f>
      </c>
      <c r="T6" s="1">
        <f>P6+R6-S6</f>
      </c>
      <c r="U6" s="1">
        <f>IF(OR(A6="",NOT(ISNUMBER(C6)),NOT(ISNUMBER(D6))),"",A6+IF(AND(ISNUMBER(E6),ISNUMBER(F6)),F6+IF(E6&lt;C6,1,0)+IF(F6&lt;E6,1,0),D6+IF(D6&lt;C6,1,0)))</f>
      </c>
      <c r="V6" s="1">
        <f>IF(OR(A6="",NOT(ISNUMBER(C6))),"",A6+C6)</f>
      </c>
      <c r="W6" s="1">
        <f>IF(OR(V6="",X5=0),"",ROUND((V6-X5)*1440,0))</f>
      </c>
      <c r="X6" s="1">
        <f>MAX(X5,N(U6))</f>
      </c>
      <c r="Y6" s="1">
        <f>IF(ISNUMBER(G6),G6,0)+IF(AND(ISNUMBER(D6),ISNUMBER(E6)),MAX(0,ROUND((E6+IF(E6&lt;C6,1,0)-D6-IF(D6&lt;C6,1,0))*1440,0)),0)</f>
      </c>
      <c r="Z6" s="1">
        <f>IF(A6="","",IF(OR(ISNUMBER(C6)&lt;&gt;ISNUMBER(D6),ISNUMBER(E6)&lt;&gt;ISNUMBER(F6)),"Beginn oder Ende fehlt; ","")&amp;IF(P6&lt;0,"Pause länger als Arbeitszeit; ","")&amp;IF(AND(ROUND(P6*1440,0)&gt;360,ROUND(P6*1440,0)&lt;=540,Y6&lt;30),"Pause unter 30 Min. (§ 4); ","")&amp;IF(AND(ROUND(P6*1440,0)&gt;540,Y6&lt;45),"Pause unter 45 Min. (§ 4); ","")&amp;IF(ROUND(P6*1440,0)&gt;600,"über 10 Std. (§ 3); ","")&amp;IF(W6="","",IF(W6&lt;0,"beginnt vor Ende des Vortags; ",IF(W6&lt;660,"Ruhezeit unter 11 Std. (§ 5); ","")))&amp;IF(AND(ISNUMBER(I6),ROUND(N(I6)*1440,0)&gt;ROUND(P6*1440,0)),"Fahrzeit über Arbeitszeit; ","")&amp;IF(AND(OR(H6="Urlaub",H6="Krank",H6="Bezahlt frei"),ROUND(P6*1440,0)&gt;0),"Abwesenheit und Arbeitszeit; ","")&amp;IF(AND(H6&lt;&gt;"",H6&lt;&gt;"Unbezahlt",S6=0),"Abwesenheit an freiem Tag zählt nicht; ",""))</f>
      </c>
      <c r="AA6" s="1">
        <f>IF(A6="",0,IF(OR(A6&lt;=TODAY(),COUNTA(C6:J6)&gt;0),1,0))</f>
      </c>
    </row>
    <row r="7" spans="1:27" x14ac:dyDescent="0.25">
      <c r="A7" s="17">
        <f>IF(MONTH(DATE(Jahr,12,3))=12,DATE(Jahr,12,3),"")</f>
      </c>
      <c r="B7" s="18">
        <f>IF(A7="","",CHOOSE(WEEKDAY(A7,2),"Mo","Di","Mi","Do","Fr","Sa","So"))</f>
      </c>
      <c r="C7" s="19"/>
      <c r="D7" s="19"/>
      <c r="E7" s="19"/>
      <c r="F7" s="19"/>
      <c r="G7" s="9"/>
      <c r="H7" s="7"/>
      <c r="I7" s="11"/>
      <c r="J7" s="7"/>
      <c r="K7" s="20">
        <f>IF(OR(A7="",P7+R7&lt;=0),"",P7+R7)</f>
      </c>
      <c r="L7" s="20">
        <f>IF(OR(A7="",S7=0),"",S7)</f>
      </c>
      <c r="M7" s="21">
        <f>IF(OR(A7="",AND(P7+R7=0,S7=0)),"",IF(T7&lt;0,"-","+")&amp;TEXT(ABS(T7),"[h]:mm"))</f>
      </c>
      <c r="N7" s="22">
        <f>IF(A7="","",IF(Q7&lt;&gt;"","Feiertag: "&amp;Q7&amp;IF(Z7&lt;&gt;"","; ",""),"")&amp;IF(Z7&lt;&gt;"",LEFT(Z7,LEN(Z7)-2),""))</f>
      </c>
      <c r="O7" s="1"/>
      <c r="P7" s="1">
        <f>IF(A7="",0,ROUND((IF(AND(ISNUMBER(C7),ISNUMBER(D7)),MOD(D7-C7,1),0)+IF(AND(ISNUMBER(E7),ISNUMBER(F7)),MOD(F7-E7,1),0)-IF(ISNUMBER(G7),G7,0)/1440)*1440,0)/1440)</f>
      </c>
      <c r="Q7" s="1">
        <f>IF(A7="","",IFERROR(INDEX(FeiertagNamen,MATCH(A7,FeiertagDaten,0)),""))</f>
      </c>
      <c r="R7" s="1">
        <f>IF(OR(H7="Urlaub",H7="Krank",H7="Bezahlt frei"),S7,IF(H7="Halber Urlaubstag",ROUND(S7*720,0)/1440,0))</f>
      </c>
      <c r="S7" s="1">
        <f>IF(OR(A7="",Q7&lt;&gt;"",H7="Unbezahlt",AA7=0),0,ROUND(CHOOSE(WEEKDAY(A7,2),N(SollMo),N(SollDi),N(SollMi),N(SollDo),N(SollFr),N(SollSa),N(SollSo))*1440,0)/1440)</f>
      </c>
      <c r="T7" s="1">
        <f>P7+R7-S7</f>
      </c>
      <c r="U7" s="1">
        <f>IF(OR(A7="",NOT(ISNUMBER(C7)),NOT(ISNUMBER(D7))),"",A7+IF(AND(ISNUMBER(E7),ISNUMBER(F7)),F7+IF(E7&lt;C7,1,0)+IF(F7&lt;E7,1,0),D7+IF(D7&lt;C7,1,0)))</f>
      </c>
      <c r="V7" s="1">
        <f>IF(OR(A7="",NOT(ISNUMBER(C7))),"",A7+C7)</f>
      </c>
      <c r="W7" s="1">
        <f>IF(OR(V7="",X6=0),"",ROUND((V7-X6)*1440,0))</f>
      </c>
      <c r="X7" s="1">
        <f>MAX(X6,N(U7))</f>
      </c>
      <c r="Y7" s="1">
        <f>IF(ISNUMBER(G7),G7,0)+IF(AND(ISNUMBER(D7),ISNUMBER(E7)),MAX(0,ROUND((E7+IF(E7&lt;C7,1,0)-D7-IF(D7&lt;C7,1,0))*1440,0)),0)</f>
      </c>
      <c r="Z7" s="1">
        <f>IF(A7="","",IF(OR(ISNUMBER(C7)&lt;&gt;ISNUMBER(D7),ISNUMBER(E7)&lt;&gt;ISNUMBER(F7)),"Beginn oder Ende fehlt; ","")&amp;IF(P7&lt;0,"Pause länger als Arbeitszeit; ","")&amp;IF(AND(ROUND(P7*1440,0)&gt;360,ROUND(P7*1440,0)&lt;=540,Y7&lt;30),"Pause unter 30 Min. (§ 4); ","")&amp;IF(AND(ROUND(P7*1440,0)&gt;540,Y7&lt;45),"Pause unter 45 Min. (§ 4); ","")&amp;IF(ROUND(P7*1440,0)&gt;600,"über 10 Std. (§ 3); ","")&amp;IF(W7="","",IF(W7&lt;0,"beginnt vor Ende des Vortags; ",IF(W7&lt;660,"Ruhezeit unter 11 Std. (§ 5); ","")))&amp;IF(AND(ISNUMBER(I7),ROUND(N(I7)*1440,0)&gt;ROUND(P7*1440,0)),"Fahrzeit über Arbeitszeit; ","")&amp;IF(AND(OR(H7="Urlaub",H7="Krank",H7="Bezahlt frei"),ROUND(P7*1440,0)&gt;0),"Abwesenheit und Arbeitszeit; ","")&amp;IF(AND(H7&lt;&gt;"",H7&lt;&gt;"Unbezahlt",S7=0),"Abwesenheit an freiem Tag zählt nicht; ",""))</f>
      </c>
      <c r="AA7" s="1">
        <f>IF(A7="",0,IF(OR(A7&lt;=TODAY(),COUNTA(C7:J7)&gt;0),1,0))</f>
      </c>
    </row>
    <row r="8" spans="1:27" x14ac:dyDescent="0.25">
      <c r="A8" s="17">
        <f>IF(MONTH(DATE(Jahr,12,4))=12,DATE(Jahr,12,4),"")</f>
      </c>
      <c r="B8" s="18">
        <f>IF(A8="","",CHOOSE(WEEKDAY(A8,2),"Mo","Di","Mi","Do","Fr","Sa","So"))</f>
      </c>
      <c r="C8" s="19"/>
      <c r="D8" s="19"/>
      <c r="E8" s="19"/>
      <c r="F8" s="19"/>
      <c r="G8" s="9"/>
      <c r="H8" s="7"/>
      <c r="I8" s="11"/>
      <c r="J8" s="7"/>
      <c r="K8" s="20">
        <f>IF(OR(A8="",P8+R8&lt;=0),"",P8+R8)</f>
      </c>
      <c r="L8" s="20">
        <f>IF(OR(A8="",S8=0),"",S8)</f>
      </c>
      <c r="M8" s="21">
        <f>IF(OR(A8="",AND(P8+R8=0,S8=0)),"",IF(T8&lt;0,"-","+")&amp;TEXT(ABS(T8),"[h]:mm"))</f>
      </c>
      <c r="N8" s="22">
        <f>IF(A8="","",IF(Q8&lt;&gt;"","Feiertag: "&amp;Q8&amp;IF(Z8&lt;&gt;"","; ",""),"")&amp;IF(Z8&lt;&gt;"",LEFT(Z8,LEN(Z8)-2),""))</f>
      </c>
      <c r="O8" s="1"/>
      <c r="P8" s="1">
        <f>IF(A8="",0,ROUND((IF(AND(ISNUMBER(C8),ISNUMBER(D8)),MOD(D8-C8,1),0)+IF(AND(ISNUMBER(E8),ISNUMBER(F8)),MOD(F8-E8,1),0)-IF(ISNUMBER(G8),G8,0)/1440)*1440,0)/1440)</f>
      </c>
      <c r="Q8" s="1">
        <f>IF(A8="","",IFERROR(INDEX(FeiertagNamen,MATCH(A8,FeiertagDaten,0)),""))</f>
      </c>
      <c r="R8" s="1">
        <f>IF(OR(H8="Urlaub",H8="Krank",H8="Bezahlt frei"),S8,IF(H8="Halber Urlaubstag",ROUND(S8*720,0)/1440,0))</f>
      </c>
      <c r="S8" s="1">
        <f>IF(OR(A8="",Q8&lt;&gt;"",H8="Unbezahlt",AA8=0),0,ROUND(CHOOSE(WEEKDAY(A8,2),N(SollMo),N(SollDi),N(SollMi),N(SollDo),N(SollFr),N(SollSa),N(SollSo))*1440,0)/1440)</f>
      </c>
      <c r="T8" s="1">
        <f>P8+R8-S8</f>
      </c>
      <c r="U8" s="1">
        <f>IF(OR(A8="",NOT(ISNUMBER(C8)),NOT(ISNUMBER(D8))),"",A8+IF(AND(ISNUMBER(E8),ISNUMBER(F8)),F8+IF(E8&lt;C8,1,0)+IF(F8&lt;E8,1,0),D8+IF(D8&lt;C8,1,0)))</f>
      </c>
      <c r="V8" s="1">
        <f>IF(OR(A8="",NOT(ISNUMBER(C8))),"",A8+C8)</f>
      </c>
      <c r="W8" s="1">
        <f>IF(OR(V8="",X7=0),"",ROUND((V8-X7)*1440,0))</f>
      </c>
      <c r="X8" s="1">
        <f>MAX(X7,N(U8))</f>
      </c>
      <c r="Y8" s="1">
        <f>IF(ISNUMBER(G8),G8,0)+IF(AND(ISNUMBER(D8),ISNUMBER(E8)),MAX(0,ROUND((E8+IF(E8&lt;C8,1,0)-D8-IF(D8&lt;C8,1,0))*1440,0)),0)</f>
      </c>
      <c r="Z8" s="1">
        <f>IF(A8="","",IF(OR(ISNUMBER(C8)&lt;&gt;ISNUMBER(D8),ISNUMBER(E8)&lt;&gt;ISNUMBER(F8)),"Beginn oder Ende fehlt; ","")&amp;IF(P8&lt;0,"Pause länger als Arbeitszeit; ","")&amp;IF(AND(ROUND(P8*1440,0)&gt;360,ROUND(P8*1440,0)&lt;=540,Y8&lt;30),"Pause unter 30 Min. (§ 4); ","")&amp;IF(AND(ROUND(P8*1440,0)&gt;540,Y8&lt;45),"Pause unter 45 Min. (§ 4); ","")&amp;IF(ROUND(P8*1440,0)&gt;600,"über 10 Std. (§ 3); ","")&amp;IF(W8="","",IF(W8&lt;0,"beginnt vor Ende des Vortags; ",IF(W8&lt;660,"Ruhezeit unter 11 Std. (§ 5); ","")))&amp;IF(AND(ISNUMBER(I8),ROUND(N(I8)*1440,0)&gt;ROUND(P8*1440,0)),"Fahrzeit über Arbeitszeit; ","")&amp;IF(AND(OR(H8="Urlaub",H8="Krank",H8="Bezahlt frei"),ROUND(P8*1440,0)&gt;0),"Abwesenheit und Arbeitszeit; ","")&amp;IF(AND(H8&lt;&gt;"",H8&lt;&gt;"Unbezahlt",S8=0),"Abwesenheit an freiem Tag zählt nicht; ",""))</f>
      </c>
      <c r="AA8" s="1">
        <f>IF(A8="",0,IF(OR(A8&lt;=TODAY(),COUNTA(C8:J8)&gt;0),1,0))</f>
      </c>
    </row>
    <row r="9" spans="1:27" x14ac:dyDescent="0.25">
      <c r="A9" s="17">
        <f>IF(MONTH(DATE(Jahr,12,5))=12,DATE(Jahr,12,5),"")</f>
      </c>
      <c r="B9" s="18">
        <f>IF(A9="","",CHOOSE(WEEKDAY(A9,2),"Mo","Di","Mi","Do","Fr","Sa","So"))</f>
      </c>
      <c r="C9" s="19"/>
      <c r="D9" s="19"/>
      <c r="E9" s="19"/>
      <c r="F9" s="19"/>
      <c r="G9" s="9"/>
      <c r="H9" s="7"/>
      <c r="I9" s="11"/>
      <c r="J9" s="7"/>
      <c r="K9" s="20">
        <f>IF(OR(A9="",P9+R9&lt;=0),"",P9+R9)</f>
      </c>
      <c r="L9" s="20">
        <f>IF(OR(A9="",S9=0),"",S9)</f>
      </c>
      <c r="M9" s="21">
        <f>IF(OR(A9="",AND(P9+R9=0,S9=0)),"",IF(T9&lt;0,"-","+")&amp;TEXT(ABS(T9),"[h]:mm"))</f>
      </c>
      <c r="N9" s="22">
        <f>IF(A9="","",IF(Q9&lt;&gt;"","Feiertag: "&amp;Q9&amp;IF(Z9&lt;&gt;"","; ",""),"")&amp;IF(Z9&lt;&gt;"",LEFT(Z9,LEN(Z9)-2),""))</f>
      </c>
      <c r="O9" s="1"/>
      <c r="P9" s="1">
        <f>IF(A9="",0,ROUND((IF(AND(ISNUMBER(C9),ISNUMBER(D9)),MOD(D9-C9,1),0)+IF(AND(ISNUMBER(E9),ISNUMBER(F9)),MOD(F9-E9,1),0)-IF(ISNUMBER(G9),G9,0)/1440)*1440,0)/1440)</f>
      </c>
      <c r="Q9" s="1">
        <f>IF(A9="","",IFERROR(INDEX(FeiertagNamen,MATCH(A9,FeiertagDaten,0)),""))</f>
      </c>
      <c r="R9" s="1">
        <f>IF(OR(H9="Urlaub",H9="Krank",H9="Bezahlt frei"),S9,IF(H9="Halber Urlaubstag",ROUND(S9*720,0)/1440,0))</f>
      </c>
      <c r="S9" s="1">
        <f>IF(OR(A9="",Q9&lt;&gt;"",H9="Unbezahlt",AA9=0),0,ROUND(CHOOSE(WEEKDAY(A9,2),N(SollMo),N(SollDi),N(SollMi),N(SollDo),N(SollFr),N(SollSa),N(SollSo))*1440,0)/1440)</f>
      </c>
      <c r="T9" s="1">
        <f>P9+R9-S9</f>
      </c>
      <c r="U9" s="1">
        <f>IF(OR(A9="",NOT(ISNUMBER(C9)),NOT(ISNUMBER(D9))),"",A9+IF(AND(ISNUMBER(E9),ISNUMBER(F9)),F9+IF(E9&lt;C9,1,0)+IF(F9&lt;E9,1,0),D9+IF(D9&lt;C9,1,0)))</f>
      </c>
      <c r="V9" s="1">
        <f>IF(OR(A9="",NOT(ISNUMBER(C9))),"",A9+C9)</f>
      </c>
      <c r="W9" s="1">
        <f>IF(OR(V9="",X8=0),"",ROUND((V9-X8)*1440,0))</f>
      </c>
      <c r="X9" s="1">
        <f>MAX(X8,N(U9))</f>
      </c>
      <c r="Y9" s="1">
        <f>IF(ISNUMBER(G9),G9,0)+IF(AND(ISNUMBER(D9),ISNUMBER(E9)),MAX(0,ROUND((E9+IF(E9&lt;C9,1,0)-D9-IF(D9&lt;C9,1,0))*1440,0)),0)</f>
      </c>
      <c r="Z9" s="1">
        <f>IF(A9="","",IF(OR(ISNUMBER(C9)&lt;&gt;ISNUMBER(D9),ISNUMBER(E9)&lt;&gt;ISNUMBER(F9)),"Beginn oder Ende fehlt; ","")&amp;IF(P9&lt;0,"Pause länger als Arbeitszeit; ","")&amp;IF(AND(ROUND(P9*1440,0)&gt;360,ROUND(P9*1440,0)&lt;=540,Y9&lt;30),"Pause unter 30 Min. (§ 4); ","")&amp;IF(AND(ROUND(P9*1440,0)&gt;540,Y9&lt;45),"Pause unter 45 Min. (§ 4); ","")&amp;IF(ROUND(P9*1440,0)&gt;600,"über 10 Std. (§ 3); ","")&amp;IF(W9="","",IF(W9&lt;0,"beginnt vor Ende des Vortags; ",IF(W9&lt;660,"Ruhezeit unter 11 Std. (§ 5); ","")))&amp;IF(AND(ISNUMBER(I9),ROUND(N(I9)*1440,0)&gt;ROUND(P9*1440,0)),"Fahrzeit über Arbeitszeit; ","")&amp;IF(AND(OR(H9="Urlaub",H9="Krank",H9="Bezahlt frei"),ROUND(P9*1440,0)&gt;0),"Abwesenheit und Arbeitszeit; ","")&amp;IF(AND(H9&lt;&gt;"",H9&lt;&gt;"Unbezahlt",S9=0),"Abwesenheit an freiem Tag zählt nicht; ",""))</f>
      </c>
      <c r="AA9" s="1">
        <f>IF(A9="",0,IF(OR(A9&lt;=TODAY(),COUNTA(C9:J9)&gt;0),1,0))</f>
      </c>
    </row>
    <row r="10" spans="1:27" x14ac:dyDescent="0.25">
      <c r="A10" s="17">
        <f>IF(MONTH(DATE(Jahr,12,6))=12,DATE(Jahr,12,6),"")</f>
      </c>
      <c r="B10" s="18">
        <f>IF(A10="","",CHOOSE(WEEKDAY(A10,2),"Mo","Di","Mi","Do","Fr","Sa","So"))</f>
      </c>
      <c r="C10" s="19"/>
      <c r="D10" s="19"/>
      <c r="E10" s="19"/>
      <c r="F10" s="19"/>
      <c r="G10" s="9"/>
      <c r="H10" s="7"/>
      <c r="I10" s="11"/>
      <c r="J10" s="7"/>
      <c r="K10" s="20">
        <f>IF(OR(A10="",P10+R10&lt;=0),"",P10+R10)</f>
      </c>
      <c r="L10" s="20">
        <f>IF(OR(A10="",S10=0),"",S10)</f>
      </c>
      <c r="M10" s="21">
        <f>IF(OR(A10="",AND(P10+R10=0,S10=0)),"",IF(T10&lt;0,"-","+")&amp;TEXT(ABS(T10),"[h]:mm"))</f>
      </c>
      <c r="N10" s="22">
        <f>IF(A10="","",IF(Q10&lt;&gt;"","Feiertag: "&amp;Q10&amp;IF(Z10&lt;&gt;"","; ",""),"")&amp;IF(Z10&lt;&gt;"",LEFT(Z10,LEN(Z10)-2),""))</f>
      </c>
      <c r="O10" s="1"/>
      <c r="P10" s="1">
        <f>IF(A10="",0,ROUND((IF(AND(ISNUMBER(C10),ISNUMBER(D10)),MOD(D10-C10,1),0)+IF(AND(ISNUMBER(E10),ISNUMBER(F10)),MOD(F10-E10,1),0)-IF(ISNUMBER(G10),G10,0)/1440)*1440,0)/1440)</f>
      </c>
      <c r="Q10" s="1">
        <f>IF(A10="","",IFERROR(INDEX(FeiertagNamen,MATCH(A10,FeiertagDaten,0)),""))</f>
      </c>
      <c r="R10" s="1">
        <f>IF(OR(H10="Urlaub",H10="Krank",H10="Bezahlt frei"),S10,IF(H10="Halber Urlaubstag",ROUND(S10*720,0)/1440,0))</f>
      </c>
      <c r="S10" s="1">
        <f>IF(OR(A10="",Q10&lt;&gt;"",H10="Unbezahlt",AA10=0),0,ROUND(CHOOSE(WEEKDAY(A10,2),N(SollMo),N(SollDi),N(SollMi),N(SollDo),N(SollFr),N(SollSa),N(SollSo))*1440,0)/1440)</f>
      </c>
      <c r="T10" s="1">
        <f>P10+R10-S10</f>
      </c>
      <c r="U10" s="1">
        <f>IF(OR(A10="",NOT(ISNUMBER(C10)),NOT(ISNUMBER(D10))),"",A10+IF(AND(ISNUMBER(E10),ISNUMBER(F10)),F10+IF(E10&lt;C10,1,0)+IF(F10&lt;E10,1,0),D10+IF(D10&lt;C10,1,0)))</f>
      </c>
      <c r="V10" s="1">
        <f>IF(OR(A10="",NOT(ISNUMBER(C10))),"",A10+C10)</f>
      </c>
      <c r="W10" s="1">
        <f>IF(OR(V10="",X9=0),"",ROUND((V10-X9)*1440,0))</f>
      </c>
      <c r="X10" s="1">
        <f>MAX(X9,N(U10))</f>
      </c>
      <c r="Y10" s="1">
        <f>IF(ISNUMBER(G10),G10,0)+IF(AND(ISNUMBER(D10),ISNUMBER(E10)),MAX(0,ROUND((E10+IF(E10&lt;C10,1,0)-D10-IF(D10&lt;C10,1,0))*1440,0)),0)</f>
      </c>
      <c r="Z10" s="1">
        <f>IF(A10="","",IF(OR(ISNUMBER(C10)&lt;&gt;ISNUMBER(D10),ISNUMBER(E10)&lt;&gt;ISNUMBER(F10)),"Beginn oder Ende fehlt; ","")&amp;IF(P10&lt;0,"Pause länger als Arbeitszeit; ","")&amp;IF(AND(ROUND(P10*1440,0)&gt;360,ROUND(P10*1440,0)&lt;=540,Y10&lt;30),"Pause unter 30 Min. (§ 4); ","")&amp;IF(AND(ROUND(P10*1440,0)&gt;540,Y10&lt;45),"Pause unter 45 Min. (§ 4); ","")&amp;IF(ROUND(P10*1440,0)&gt;600,"über 10 Std. (§ 3); ","")&amp;IF(W10="","",IF(W10&lt;0,"beginnt vor Ende des Vortags; ",IF(W10&lt;660,"Ruhezeit unter 11 Std. (§ 5); ","")))&amp;IF(AND(ISNUMBER(I10),ROUND(N(I10)*1440,0)&gt;ROUND(P10*1440,0)),"Fahrzeit über Arbeitszeit; ","")&amp;IF(AND(OR(H10="Urlaub",H10="Krank",H10="Bezahlt frei"),ROUND(P10*1440,0)&gt;0),"Abwesenheit und Arbeitszeit; ","")&amp;IF(AND(H10&lt;&gt;"",H10&lt;&gt;"Unbezahlt",S10=0),"Abwesenheit an freiem Tag zählt nicht; ",""))</f>
      </c>
      <c r="AA10" s="1">
        <f>IF(A10="",0,IF(OR(A10&lt;=TODAY(),COUNTA(C10:J10)&gt;0),1,0))</f>
      </c>
    </row>
    <row r="11" spans="1:27" x14ac:dyDescent="0.25">
      <c r="A11" s="17">
        <f>IF(MONTH(DATE(Jahr,12,7))=12,DATE(Jahr,12,7),"")</f>
      </c>
      <c r="B11" s="18">
        <f>IF(A11="","",CHOOSE(WEEKDAY(A11,2),"Mo","Di","Mi","Do","Fr","Sa","So"))</f>
      </c>
      <c r="C11" s="19"/>
      <c r="D11" s="19"/>
      <c r="E11" s="19"/>
      <c r="F11" s="19"/>
      <c r="G11" s="9"/>
      <c r="H11" s="7"/>
      <c r="I11" s="11"/>
      <c r="J11" s="7"/>
      <c r="K11" s="20">
        <f>IF(OR(A11="",P11+R11&lt;=0),"",P11+R11)</f>
      </c>
      <c r="L11" s="20">
        <f>IF(OR(A11="",S11=0),"",S11)</f>
      </c>
      <c r="M11" s="21">
        <f>IF(OR(A11="",AND(P11+R11=0,S11=0)),"",IF(T11&lt;0,"-","+")&amp;TEXT(ABS(T11),"[h]:mm"))</f>
      </c>
      <c r="N11" s="22">
        <f>IF(A11="","",IF(Q11&lt;&gt;"","Feiertag: "&amp;Q11&amp;IF(Z11&lt;&gt;"","; ",""),"")&amp;IF(Z11&lt;&gt;"",LEFT(Z11,LEN(Z11)-2),""))</f>
      </c>
      <c r="O11" s="1"/>
      <c r="P11" s="1">
        <f>IF(A11="",0,ROUND((IF(AND(ISNUMBER(C11),ISNUMBER(D11)),MOD(D11-C11,1),0)+IF(AND(ISNUMBER(E11),ISNUMBER(F11)),MOD(F11-E11,1),0)-IF(ISNUMBER(G11),G11,0)/1440)*1440,0)/1440)</f>
      </c>
      <c r="Q11" s="1">
        <f>IF(A11="","",IFERROR(INDEX(FeiertagNamen,MATCH(A11,FeiertagDaten,0)),""))</f>
      </c>
      <c r="R11" s="1">
        <f>IF(OR(H11="Urlaub",H11="Krank",H11="Bezahlt frei"),S11,IF(H11="Halber Urlaubstag",ROUND(S11*720,0)/1440,0))</f>
      </c>
      <c r="S11" s="1">
        <f>IF(OR(A11="",Q11&lt;&gt;"",H11="Unbezahlt",AA11=0),0,ROUND(CHOOSE(WEEKDAY(A11,2),N(SollMo),N(SollDi),N(SollMi),N(SollDo),N(SollFr),N(SollSa),N(SollSo))*1440,0)/1440)</f>
      </c>
      <c r="T11" s="1">
        <f>P11+R11-S11</f>
      </c>
      <c r="U11" s="1">
        <f>IF(OR(A11="",NOT(ISNUMBER(C11)),NOT(ISNUMBER(D11))),"",A11+IF(AND(ISNUMBER(E11),ISNUMBER(F11)),F11+IF(E11&lt;C11,1,0)+IF(F11&lt;E11,1,0),D11+IF(D11&lt;C11,1,0)))</f>
      </c>
      <c r="V11" s="1">
        <f>IF(OR(A11="",NOT(ISNUMBER(C11))),"",A11+C11)</f>
      </c>
      <c r="W11" s="1">
        <f>IF(OR(V11="",X10=0),"",ROUND((V11-X10)*1440,0))</f>
      </c>
      <c r="X11" s="1">
        <f>MAX(X10,N(U11))</f>
      </c>
      <c r="Y11" s="1">
        <f>IF(ISNUMBER(G11),G11,0)+IF(AND(ISNUMBER(D11),ISNUMBER(E11)),MAX(0,ROUND((E11+IF(E11&lt;C11,1,0)-D11-IF(D11&lt;C11,1,0))*1440,0)),0)</f>
      </c>
      <c r="Z11" s="1">
        <f>IF(A11="","",IF(OR(ISNUMBER(C11)&lt;&gt;ISNUMBER(D11),ISNUMBER(E11)&lt;&gt;ISNUMBER(F11)),"Beginn oder Ende fehlt; ","")&amp;IF(P11&lt;0,"Pause länger als Arbeitszeit; ","")&amp;IF(AND(ROUND(P11*1440,0)&gt;360,ROUND(P11*1440,0)&lt;=540,Y11&lt;30),"Pause unter 30 Min. (§ 4); ","")&amp;IF(AND(ROUND(P11*1440,0)&gt;540,Y11&lt;45),"Pause unter 45 Min. (§ 4); ","")&amp;IF(ROUND(P11*1440,0)&gt;600,"über 10 Std. (§ 3); ","")&amp;IF(W11="","",IF(W11&lt;0,"beginnt vor Ende des Vortags; ",IF(W11&lt;660,"Ruhezeit unter 11 Std. (§ 5); ","")))&amp;IF(AND(ISNUMBER(I11),ROUND(N(I11)*1440,0)&gt;ROUND(P11*1440,0)),"Fahrzeit über Arbeitszeit; ","")&amp;IF(AND(OR(H11="Urlaub",H11="Krank",H11="Bezahlt frei"),ROUND(P11*1440,0)&gt;0),"Abwesenheit und Arbeitszeit; ","")&amp;IF(AND(H11&lt;&gt;"",H11&lt;&gt;"Unbezahlt",S11=0),"Abwesenheit an freiem Tag zählt nicht; ",""))</f>
      </c>
      <c r="AA11" s="1">
        <f>IF(A11="",0,IF(OR(A11&lt;=TODAY(),COUNTA(C11:J11)&gt;0),1,0))</f>
      </c>
    </row>
    <row r="12" spans="1:27" x14ac:dyDescent="0.25">
      <c r="A12" s="17">
        <f>IF(MONTH(DATE(Jahr,12,8))=12,DATE(Jahr,12,8),"")</f>
      </c>
      <c r="B12" s="18">
        <f>IF(A12="","",CHOOSE(WEEKDAY(A12,2),"Mo","Di","Mi","Do","Fr","Sa","So"))</f>
      </c>
      <c r="C12" s="19"/>
      <c r="D12" s="19"/>
      <c r="E12" s="19"/>
      <c r="F12" s="19"/>
      <c r="G12" s="9"/>
      <c r="H12" s="7"/>
      <c r="I12" s="11"/>
      <c r="J12" s="7"/>
      <c r="K12" s="20">
        <f>IF(OR(A12="",P12+R12&lt;=0),"",P12+R12)</f>
      </c>
      <c r="L12" s="20">
        <f>IF(OR(A12="",S12=0),"",S12)</f>
      </c>
      <c r="M12" s="21">
        <f>IF(OR(A12="",AND(P12+R12=0,S12=0)),"",IF(T12&lt;0,"-","+")&amp;TEXT(ABS(T12),"[h]:mm"))</f>
      </c>
      <c r="N12" s="22">
        <f>IF(A12="","",IF(Q12&lt;&gt;"","Feiertag: "&amp;Q12&amp;IF(Z12&lt;&gt;"","; ",""),"")&amp;IF(Z12&lt;&gt;"",LEFT(Z12,LEN(Z12)-2),""))</f>
      </c>
      <c r="O12" s="1"/>
      <c r="P12" s="1">
        <f>IF(A12="",0,ROUND((IF(AND(ISNUMBER(C12),ISNUMBER(D12)),MOD(D12-C12,1),0)+IF(AND(ISNUMBER(E12),ISNUMBER(F12)),MOD(F12-E12,1),0)-IF(ISNUMBER(G12),G12,0)/1440)*1440,0)/1440)</f>
      </c>
      <c r="Q12" s="1">
        <f>IF(A12="","",IFERROR(INDEX(FeiertagNamen,MATCH(A12,FeiertagDaten,0)),""))</f>
      </c>
      <c r="R12" s="1">
        <f>IF(OR(H12="Urlaub",H12="Krank",H12="Bezahlt frei"),S12,IF(H12="Halber Urlaubstag",ROUND(S12*720,0)/1440,0))</f>
      </c>
      <c r="S12" s="1">
        <f>IF(OR(A12="",Q12&lt;&gt;"",H12="Unbezahlt",AA12=0),0,ROUND(CHOOSE(WEEKDAY(A12,2),N(SollMo),N(SollDi),N(SollMi),N(SollDo),N(SollFr),N(SollSa),N(SollSo))*1440,0)/1440)</f>
      </c>
      <c r="T12" s="1">
        <f>P12+R12-S12</f>
      </c>
      <c r="U12" s="1">
        <f>IF(OR(A12="",NOT(ISNUMBER(C12)),NOT(ISNUMBER(D12))),"",A12+IF(AND(ISNUMBER(E12),ISNUMBER(F12)),F12+IF(E12&lt;C12,1,0)+IF(F12&lt;E12,1,0),D12+IF(D12&lt;C12,1,0)))</f>
      </c>
      <c r="V12" s="1">
        <f>IF(OR(A12="",NOT(ISNUMBER(C12))),"",A12+C12)</f>
      </c>
      <c r="W12" s="1">
        <f>IF(OR(V12="",X11=0),"",ROUND((V12-X11)*1440,0))</f>
      </c>
      <c r="X12" s="1">
        <f>MAX(X11,N(U12))</f>
      </c>
      <c r="Y12" s="1">
        <f>IF(ISNUMBER(G12),G12,0)+IF(AND(ISNUMBER(D12),ISNUMBER(E12)),MAX(0,ROUND((E12+IF(E12&lt;C12,1,0)-D12-IF(D12&lt;C12,1,0))*1440,0)),0)</f>
      </c>
      <c r="Z12" s="1">
        <f>IF(A12="","",IF(OR(ISNUMBER(C12)&lt;&gt;ISNUMBER(D12),ISNUMBER(E12)&lt;&gt;ISNUMBER(F12)),"Beginn oder Ende fehlt; ","")&amp;IF(P12&lt;0,"Pause länger als Arbeitszeit; ","")&amp;IF(AND(ROUND(P12*1440,0)&gt;360,ROUND(P12*1440,0)&lt;=540,Y12&lt;30),"Pause unter 30 Min. (§ 4); ","")&amp;IF(AND(ROUND(P12*1440,0)&gt;540,Y12&lt;45),"Pause unter 45 Min. (§ 4); ","")&amp;IF(ROUND(P12*1440,0)&gt;600,"über 10 Std. (§ 3); ","")&amp;IF(W12="","",IF(W12&lt;0,"beginnt vor Ende des Vortags; ",IF(W12&lt;660,"Ruhezeit unter 11 Std. (§ 5); ","")))&amp;IF(AND(ISNUMBER(I12),ROUND(N(I12)*1440,0)&gt;ROUND(P12*1440,0)),"Fahrzeit über Arbeitszeit; ","")&amp;IF(AND(OR(H12="Urlaub",H12="Krank",H12="Bezahlt frei"),ROUND(P12*1440,0)&gt;0),"Abwesenheit und Arbeitszeit; ","")&amp;IF(AND(H12&lt;&gt;"",H12&lt;&gt;"Unbezahlt",S12=0),"Abwesenheit an freiem Tag zählt nicht; ",""))</f>
      </c>
      <c r="AA12" s="1">
        <f>IF(A12="",0,IF(OR(A12&lt;=TODAY(),COUNTA(C12:J12)&gt;0),1,0))</f>
      </c>
    </row>
    <row r="13" spans="1:27" x14ac:dyDescent="0.25">
      <c r="A13" s="17">
        <f>IF(MONTH(DATE(Jahr,12,9))=12,DATE(Jahr,12,9),"")</f>
      </c>
      <c r="B13" s="18">
        <f>IF(A13="","",CHOOSE(WEEKDAY(A13,2),"Mo","Di","Mi","Do","Fr","Sa","So"))</f>
      </c>
      <c r="C13" s="19"/>
      <c r="D13" s="19"/>
      <c r="E13" s="19"/>
      <c r="F13" s="19"/>
      <c r="G13" s="9"/>
      <c r="H13" s="7"/>
      <c r="I13" s="11"/>
      <c r="J13" s="7"/>
      <c r="K13" s="20">
        <f>IF(OR(A13="",P13+R13&lt;=0),"",P13+R13)</f>
      </c>
      <c r="L13" s="20">
        <f>IF(OR(A13="",S13=0),"",S13)</f>
      </c>
      <c r="M13" s="21">
        <f>IF(OR(A13="",AND(P13+R13=0,S13=0)),"",IF(T13&lt;0,"-","+")&amp;TEXT(ABS(T13),"[h]:mm"))</f>
      </c>
      <c r="N13" s="22">
        <f>IF(A13="","",IF(Q13&lt;&gt;"","Feiertag: "&amp;Q13&amp;IF(Z13&lt;&gt;"","; ",""),"")&amp;IF(Z13&lt;&gt;"",LEFT(Z13,LEN(Z13)-2),""))</f>
      </c>
      <c r="O13" s="1"/>
      <c r="P13" s="1">
        <f>IF(A13="",0,ROUND((IF(AND(ISNUMBER(C13),ISNUMBER(D13)),MOD(D13-C13,1),0)+IF(AND(ISNUMBER(E13),ISNUMBER(F13)),MOD(F13-E13,1),0)-IF(ISNUMBER(G13),G13,0)/1440)*1440,0)/1440)</f>
      </c>
      <c r="Q13" s="1">
        <f>IF(A13="","",IFERROR(INDEX(FeiertagNamen,MATCH(A13,FeiertagDaten,0)),""))</f>
      </c>
      <c r="R13" s="1">
        <f>IF(OR(H13="Urlaub",H13="Krank",H13="Bezahlt frei"),S13,IF(H13="Halber Urlaubstag",ROUND(S13*720,0)/1440,0))</f>
      </c>
      <c r="S13" s="1">
        <f>IF(OR(A13="",Q13&lt;&gt;"",H13="Unbezahlt",AA13=0),0,ROUND(CHOOSE(WEEKDAY(A13,2),N(SollMo),N(SollDi),N(SollMi),N(SollDo),N(SollFr),N(SollSa),N(SollSo))*1440,0)/1440)</f>
      </c>
      <c r="T13" s="1">
        <f>P13+R13-S13</f>
      </c>
      <c r="U13" s="1">
        <f>IF(OR(A13="",NOT(ISNUMBER(C13)),NOT(ISNUMBER(D13))),"",A13+IF(AND(ISNUMBER(E13),ISNUMBER(F13)),F13+IF(E13&lt;C13,1,0)+IF(F13&lt;E13,1,0),D13+IF(D13&lt;C13,1,0)))</f>
      </c>
      <c r="V13" s="1">
        <f>IF(OR(A13="",NOT(ISNUMBER(C13))),"",A13+C13)</f>
      </c>
      <c r="W13" s="1">
        <f>IF(OR(V13="",X12=0),"",ROUND((V13-X12)*1440,0))</f>
      </c>
      <c r="X13" s="1">
        <f>MAX(X12,N(U13))</f>
      </c>
      <c r="Y13" s="1">
        <f>IF(ISNUMBER(G13),G13,0)+IF(AND(ISNUMBER(D13),ISNUMBER(E13)),MAX(0,ROUND((E13+IF(E13&lt;C13,1,0)-D13-IF(D13&lt;C13,1,0))*1440,0)),0)</f>
      </c>
      <c r="Z13" s="1">
        <f>IF(A13="","",IF(OR(ISNUMBER(C13)&lt;&gt;ISNUMBER(D13),ISNUMBER(E13)&lt;&gt;ISNUMBER(F13)),"Beginn oder Ende fehlt; ","")&amp;IF(P13&lt;0,"Pause länger als Arbeitszeit; ","")&amp;IF(AND(ROUND(P13*1440,0)&gt;360,ROUND(P13*1440,0)&lt;=540,Y13&lt;30),"Pause unter 30 Min. (§ 4); ","")&amp;IF(AND(ROUND(P13*1440,0)&gt;540,Y13&lt;45),"Pause unter 45 Min. (§ 4); ","")&amp;IF(ROUND(P13*1440,0)&gt;600,"über 10 Std. (§ 3); ","")&amp;IF(W13="","",IF(W13&lt;0,"beginnt vor Ende des Vortags; ",IF(W13&lt;660,"Ruhezeit unter 11 Std. (§ 5); ","")))&amp;IF(AND(ISNUMBER(I13),ROUND(N(I13)*1440,0)&gt;ROUND(P13*1440,0)),"Fahrzeit über Arbeitszeit; ","")&amp;IF(AND(OR(H13="Urlaub",H13="Krank",H13="Bezahlt frei"),ROUND(P13*1440,0)&gt;0),"Abwesenheit und Arbeitszeit; ","")&amp;IF(AND(H13&lt;&gt;"",H13&lt;&gt;"Unbezahlt",S13=0),"Abwesenheit an freiem Tag zählt nicht; ",""))</f>
      </c>
      <c r="AA13" s="1">
        <f>IF(A13="",0,IF(OR(A13&lt;=TODAY(),COUNTA(C13:J13)&gt;0),1,0))</f>
      </c>
    </row>
    <row r="14" spans="1:27" x14ac:dyDescent="0.25">
      <c r="A14" s="17">
        <f>IF(MONTH(DATE(Jahr,12,10))=12,DATE(Jahr,12,10),"")</f>
      </c>
      <c r="B14" s="18">
        <f>IF(A14="","",CHOOSE(WEEKDAY(A14,2),"Mo","Di","Mi","Do","Fr","Sa","So"))</f>
      </c>
      <c r="C14" s="19"/>
      <c r="D14" s="19"/>
      <c r="E14" s="19"/>
      <c r="F14" s="19"/>
      <c r="G14" s="9"/>
      <c r="H14" s="7"/>
      <c r="I14" s="11"/>
      <c r="J14" s="7"/>
      <c r="K14" s="20">
        <f>IF(OR(A14="",P14+R14&lt;=0),"",P14+R14)</f>
      </c>
      <c r="L14" s="20">
        <f>IF(OR(A14="",S14=0),"",S14)</f>
      </c>
      <c r="M14" s="21">
        <f>IF(OR(A14="",AND(P14+R14=0,S14=0)),"",IF(T14&lt;0,"-","+")&amp;TEXT(ABS(T14),"[h]:mm"))</f>
      </c>
      <c r="N14" s="22">
        <f>IF(A14="","",IF(Q14&lt;&gt;"","Feiertag: "&amp;Q14&amp;IF(Z14&lt;&gt;"","; ",""),"")&amp;IF(Z14&lt;&gt;"",LEFT(Z14,LEN(Z14)-2),""))</f>
      </c>
      <c r="O14" s="1"/>
      <c r="P14" s="1">
        <f>IF(A14="",0,ROUND((IF(AND(ISNUMBER(C14),ISNUMBER(D14)),MOD(D14-C14,1),0)+IF(AND(ISNUMBER(E14),ISNUMBER(F14)),MOD(F14-E14,1),0)-IF(ISNUMBER(G14),G14,0)/1440)*1440,0)/1440)</f>
      </c>
      <c r="Q14" s="1">
        <f>IF(A14="","",IFERROR(INDEX(FeiertagNamen,MATCH(A14,FeiertagDaten,0)),""))</f>
      </c>
      <c r="R14" s="1">
        <f>IF(OR(H14="Urlaub",H14="Krank",H14="Bezahlt frei"),S14,IF(H14="Halber Urlaubstag",ROUND(S14*720,0)/1440,0))</f>
      </c>
      <c r="S14" s="1">
        <f>IF(OR(A14="",Q14&lt;&gt;"",H14="Unbezahlt",AA14=0),0,ROUND(CHOOSE(WEEKDAY(A14,2),N(SollMo),N(SollDi),N(SollMi),N(SollDo),N(SollFr),N(SollSa),N(SollSo))*1440,0)/1440)</f>
      </c>
      <c r="T14" s="1">
        <f>P14+R14-S14</f>
      </c>
      <c r="U14" s="1">
        <f>IF(OR(A14="",NOT(ISNUMBER(C14)),NOT(ISNUMBER(D14))),"",A14+IF(AND(ISNUMBER(E14),ISNUMBER(F14)),F14+IF(E14&lt;C14,1,0)+IF(F14&lt;E14,1,0),D14+IF(D14&lt;C14,1,0)))</f>
      </c>
      <c r="V14" s="1">
        <f>IF(OR(A14="",NOT(ISNUMBER(C14))),"",A14+C14)</f>
      </c>
      <c r="W14" s="1">
        <f>IF(OR(V14="",X13=0),"",ROUND((V14-X13)*1440,0))</f>
      </c>
      <c r="X14" s="1">
        <f>MAX(X13,N(U14))</f>
      </c>
      <c r="Y14" s="1">
        <f>IF(ISNUMBER(G14),G14,0)+IF(AND(ISNUMBER(D14),ISNUMBER(E14)),MAX(0,ROUND((E14+IF(E14&lt;C14,1,0)-D14-IF(D14&lt;C14,1,0))*1440,0)),0)</f>
      </c>
      <c r="Z14" s="1">
        <f>IF(A14="","",IF(OR(ISNUMBER(C14)&lt;&gt;ISNUMBER(D14),ISNUMBER(E14)&lt;&gt;ISNUMBER(F14)),"Beginn oder Ende fehlt; ","")&amp;IF(P14&lt;0,"Pause länger als Arbeitszeit; ","")&amp;IF(AND(ROUND(P14*1440,0)&gt;360,ROUND(P14*1440,0)&lt;=540,Y14&lt;30),"Pause unter 30 Min. (§ 4); ","")&amp;IF(AND(ROUND(P14*1440,0)&gt;540,Y14&lt;45),"Pause unter 45 Min. (§ 4); ","")&amp;IF(ROUND(P14*1440,0)&gt;600,"über 10 Std. (§ 3); ","")&amp;IF(W14="","",IF(W14&lt;0,"beginnt vor Ende des Vortags; ",IF(W14&lt;660,"Ruhezeit unter 11 Std. (§ 5); ","")))&amp;IF(AND(ISNUMBER(I14),ROUND(N(I14)*1440,0)&gt;ROUND(P14*1440,0)),"Fahrzeit über Arbeitszeit; ","")&amp;IF(AND(OR(H14="Urlaub",H14="Krank",H14="Bezahlt frei"),ROUND(P14*1440,0)&gt;0),"Abwesenheit und Arbeitszeit; ","")&amp;IF(AND(H14&lt;&gt;"",H14&lt;&gt;"Unbezahlt",S14=0),"Abwesenheit an freiem Tag zählt nicht; ",""))</f>
      </c>
      <c r="AA14" s="1">
        <f>IF(A14="",0,IF(OR(A14&lt;=TODAY(),COUNTA(C14:J14)&gt;0),1,0))</f>
      </c>
    </row>
    <row r="15" spans="1:27" x14ac:dyDescent="0.25">
      <c r="A15" s="17">
        <f>IF(MONTH(DATE(Jahr,12,11))=12,DATE(Jahr,12,11),"")</f>
      </c>
      <c r="B15" s="18">
        <f>IF(A15="","",CHOOSE(WEEKDAY(A15,2),"Mo","Di","Mi","Do","Fr","Sa","So"))</f>
      </c>
      <c r="C15" s="19"/>
      <c r="D15" s="19"/>
      <c r="E15" s="19"/>
      <c r="F15" s="19"/>
      <c r="G15" s="9"/>
      <c r="H15" s="7"/>
      <c r="I15" s="11"/>
      <c r="J15" s="7"/>
      <c r="K15" s="20">
        <f>IF(OR(A15="",P15+R15&lt;=0),"",P15+R15)</f>
      </c>
      <c r="L15" s="20">
        <f>IF(OR(A15="",S15=0),"",S15)</f>
      </c>
      <c r="M15" s="21">
        <f>IF(OR(A15="",AND(P15+R15=0,S15=0)),"",IF(T15&lt;0,"-","+")&amp;TEXT(ABS(T15),"[h]:mm"))</f>
      </c>
      <c r="N15" s="22">
        <f>IF(A15="","",IF(Q15&lt;&gt;"","Feiertag: "&amp;Q15&amp;IF(Z15&lt;&gt;"","; ",""),"")&amp;IF(Z15&lt;&gt;"",LEFT(Z15,LEN(Z15)-2),""))</f>
      </c>
      <c r="O15" s="1"/>
      <c r="P15" s="1">
        <f>IF(A15="",0,ROUND((IF(AND(ISNUMBER(C15),ISNUMBER(D15)),MOD(D15-C15,1),0)+IF(AND(ISNUMBER(E15),ISNUMBER(F15)),MOD(F15-E15,1),0)-IF(ISNUMBER(G15),G15,0)/1440)*1440,0)/1440)</f>
      </c>
      <c r="Q15" s="1">
        <f>IF(A15="","",IFERROR(INDEX(FeiertagNamen,MATCH(A15,FeiertagDaten,0)),""))</f>
      </c>
      <c r="R15" s="1">
        <f>IF(OR(H15="Urlaub",H15="Krank",H15="Bezahlt frei"),S15,IF(H15="Halber Urlaubstag",ROUND(S15*720,0)/1440,0))</f>
      </c>
      <c r="S15" s="1">
        <f>IF(OR(A15="",Q15&lt;&gt;"",H15="Unbezahlt",AA15=0),0,ROUND(CHOOSE(WEEKDAY(A15,2),N(SollMo),N(SollDi),N(SollMi),N(SollDo),N(SollFr),N(SollSa),N(SollSo))*1440,0)/1440)</f>
      </c>
      <c r="T15" s="1">
        <f>P15+R15-S15</f>
      </c>
      <c r="U15" s="1">
        <f>IF(OR(A15="",NOT(ISNUMBER(C15)),NOT(ISNUMBER(D15))),"",A15+IF(AND(ISNUMBER(E15),ISNUMBER(F15)),F15+IF(E15&lt;C15,1,0)+IF(F15&lt;E15,1,0),D15+IF(D15&lt;C15,1,0)))</f>
      </c>
      <c r="V15" s="1">
        <f>IF(OR(A15="",NOT(ISNUMBER(C15))),"",A15+C15)</f>
      </c>
      <c r="W15" s="1">
        <f>IF(OR(V15="",X14=0),"",ROUND((V15-X14)*1440,0))</f>
      </c>
      <c r="X15" s="1">
        <f>MAX(X14,N(U15))</f>
      </c>
      <c r="Y15" s="1">
        <f>IF(ISNUMBER(G15),G15,0)+IF(AND(ISNUMBER(D15),ISNUMBER(E15)),MAX(0,ROUND((E15+IF(E15&lt;C15,1,0)-D15-IF(D15&lt;C15,1,0))*1440,0)),0)</f>
      </c>
      <c r="Z15" s="1">
        <f>IF(A15="","",IF(OR(ISNUMBER(C15)&lt;&gt;ISNUMBER(D15),ISNUMBER(E15)&lt;&gt;ISNUMBER(F15)),"Beginn oder Ende fehlt; ","")&amp;IF(P15&lt;0,"Pause länger als Arbeitszeit; ","")&amp;IF(AND(ROUND(P15*1440,0)&gt;360,ROUND(P15*1440,0)&lt;=540,Y15&lt;30),"Pause unter 30 Min. (§ 4); ","")&amp;IF(AND(ROUND(P15*1440,0)&gt;540,Y15&lt;45),"Pause unter 45 Min. (§ 4); ","")&amp;IF(ROUND(P15*1440,0)&gt;600,"über 10 Std. (§ 3); ","")&amp;IF(W15="","",IF(W15&lt;0,"beginnt vor Ende des Vortags; ",IF(W15&lt;660,"Ruhezeit unter 11 Std. (§ 5); ","")))&amp;IF(AND(ISNUMBER(I15),ROUND(N(I15)*1440,0)&gt;ROUND(P15*1440,0)),"Fahrzeit über Arbeitszeit; ","")&amp;IF(AND(OR(H15="Urlaub",H15="Krank",H15="Bezahlt frei"),ROUND(P15*1440,0)&gt;0),"Abwesenheit und Arbeitszeit; ","")&amp;IF(AND(H15&lt;&gt;"",H15&lt;&gt;"Unbezahlt",S15=0),"Abwesenheit an freiem Tag zählt nicht; ",""))</f>
      </c>
      <c r="AA15" s="1">
        <f>IF(A15="",0,IF(OR(A15&lt;=TODAY(),COUNTA(C15:J15)&gt;0),1,0))</f>
      </c>
    </row>
    <row r="16" spans="1:27" x14ac:dyDescent="0.25">
      <c r="A16" s="17">
        <f>IF(MONTH(DATE(Jahr,12,12))=12,DATE(Jahr,12,12),"")</f>
      </c>
      <c r="B16" s="18">
        <f>IF(A16="","",CHOOSE(WEEKDAY(A16,2),"Mo","Di","Mi","Do","Fr","Sa","So"))</f>
      </c>
      <c r="C16" s="19"/>
      <c r="D16" s="19"/>
      <c r="E16" s="19"/>
      <c r="F16" s="19"/>
      <c r="G16" s="9"/>
      <c r="H16" s="7"/>
      <c r="I16" s="11"/>
      <c r="J16" s="7"/>
      <c r="K16" s="20">
        <f>IF(OR(A16="",P16+R16&lt;=0),"",P16+R16)</f>
      </c>
      <c r="L16" s="20">
        <f>IF(OR(A16="",S16=0),"",S16)</f>
      </c>
      <c r="M16" s="21">
        <f>IF(OR(A16="",AND(P16+R16=0,S16=0)),"",IF(T16&lt;0,"-","+")&amp;TEXT(ABS(T16),"[h]:mm"))</f>
      </c>
      <c r="N16" s="22">
        <f>IF(A16="","",IF(Q16&lt;&gt;"","Feiertag: "&amp;Q16&amp;IF(Z16&lt;&gt;"","; ",""),"")&amp;IF(Z16&lt;&gt;"",LEFT(Z16,LEN(Z16)-2),""))</f>
      </c>
      <c r="O16" s="1"/>
      <c r="P16" s="1">
        <f>IF(A16="",0,ROUND((IF(AND(ISNUMBER(C16),ISNUMBER(D16)),MOD(D16-C16,1),0)+IF(AND(ISNUMBER(E16),ISNUMBER(F16)),MOD(F16-E16,1),0)-IF(ISNUMBER(G16),G16,0)/1440)*1440,0)/1440)</f>
      </c>
      <c r="Q16" s="1">
        <f>IF(A16="","",IFERROR(INDEX(FeiertagNamen,MATCH(A16,FeiertagDaten,0)),""))</f>
      </c>
      <c r="R16" s="1">
        <f>IF(OR(H16="Urlaub",H16="Krank",H16="Bezahlt frei"),S16,IF(H16="Halber Urlaubstag",ROUND(S16*720,0)/1440,0))</f>
      </c>
      <c r="S16" s="1">
        <f>IF(OR(A16="",Q16&lt;&gt;"",H16="Unbezahlt",AA16=0),0,ROUND(CHOOSE(WEEKDAY(A16,2),N(SollMo),N(SollDi),N(SollMi),N(SollDo),N(SollFr),N(SollSa),N(SollSo))*1440,0)/1440)</f>
      </c>
      <c r="T16" s="1">
        <f>P16+R16-S16</f>
      </c>
      <c r="U16" s="1">
        <f>IF(OR(A16="",NOT(ISNUMBER(C16)),NOT(ISNUMBER(D16))),"",A16+IF(AND(ISNUMBER(E16),ISNUMBER(F16)),F16+IF(E16&lt;C16,1,0)+IF(F16&lt;E16,1,0),D16+IF(D16&lt;C16,1,0)))</f>
      </c>
      <c r="V16" s="1">
        <f>IF(OR(A16="",NOT(ISNUMBER(C16))),"",A16+C16)</f>
      </c>
      <c r="W16" s="1">
        <f>IF(OR(V16="",X15=0),"",ROUND((V16-X15)*1440,0))</f>
      </c>
      <c r="X16" s="1">
        <f>MAX(X15,N(U16))</f>
      </c>
      <c r="Y16" s="1">
        <f>IF(ISNUMBER(G16),G16,0)+IF(AND(ISNUMBER(D16),ISNUMBER(E16)),MAX(0,ROUND((E16+IF(E16&lt;C16,1,0)-D16-IF(D16&lt;C16,1,0))*1440,0)),0)</f>
      </c>
      <c r="Z16" s="1">
        <f>IF(A16="","",IF(OR(ISNUMBER(C16)&lt;&gt;ISNUMBER(D16),ISNUMBER(E16)&lt;&gt;ISNUMBER(F16)),"Beginn oder Ende fehlt; ","")&amp;IF(P16&lt;0,"Pause länger als Arbeitszeit; ","")&amp;IF(AND(ROUND(P16*1440,0)&gt;360,ROUND(P16*1440,0)&lt;=540,Y16&lt;30),"Pause unter 30 Min. (§ 4); ","")&amp;IF(AND(ROUND(P16*1440,0)&gt;540,Y16&lt;45),"Pause unter 45 Min. (§ 4); ","")&amp;IF(ROUND(P16*1440,0)&gt;600,"über 10 Std. (§ 3); ","")&amp;IF(W16="","",IF(W16&lt;0,"beginnt vor Ende des Vortags; ",IF(W16&lt;660,"Ruhezeit unter 11 Std. (§ 5); ","")))&amp;IF(AND(ISNUMBER(I16),ROUND(N(I16)*1440,0)&gt;ROUND(P16*1440,0)),"Fahrzeit über Arbeitszeit; ","")&amp;IF(AND(OR(H16="Urlaub",H16="Krank",H16="Bezahlt frei"),ROUND(P16*1440,0)&gt;0),"Abwesenheit und Arbeitszeit; ","")&amp;IF(AND(H16&lt;&gt;"",H16&lt;&gt;"Unbezahlt",S16=0),"Abwesenheit an freiem Tag zählt nicht; ",""))</f>
      </c>
      <c r="AA16" s="1">
        <f>IF(A16="",0,IF(OR(A16&lt;=TODAY(),COUNTA(C16:J16)&gt;0),1,0))</f>
      </c>
    </row>
    <row r="17" spans="1:27" x14ac:dyDescent="0.25">
      <c r="A17" s="17">
        <f>IF(MONTH(DATE(Jahr,12,13))=12,DATE(Jahr,12,13),"")</f>
      </c>
      <c r="B17" s="18">
        <f>IF(A17="","",CHOOSE(WEEKDAY(A17,2),"Mo","Di","Mi","Do","Fr","Sa","So"))</f>
      </c>
      <c r="C17" s="19"/>
      <c r="D17" s="19"/>
      <c r="E17" s="19"/>
      <c r="F17" s="19"/>
      <c r="G17" s="9"/>
      <c r="H17" s="7"/>
      <c r="I17" s="11"/>
      <c r="J17" s="7"/>
      <c r="K17" s="20">
        <f>IF(OR(A17="",P17+R17&lt;=0),"",P17+R17)</f>
      </c>
      <c r="L17" s="20">
        <f>IF(OR(A17="",S17=0),"",S17)</f>
      </c>
      <c r="M17" s="21">
        <f>IF(OR(A17="",AND(P17+R17=0,S17=0)),"",IF(T17&lt;0,"-","+")&amp;TEXT(ABS(T17),"[h]:mm"))</f>
      </c>
      <c r="N17" s="22">
        <f>IF(A17="","",IF(Q17&lt;&gt;"","Feiertag: "&amp;Q17&amp;IF(Z17&lt;&gt;"","; ",""),"")&amp;IF(Z17&lt;&gt;"",LEFT(Z17,LEN(Z17)-2),""))</f>
      </c>
      <c r="O17" s="1"/>
      <c r="P17" s="1">
        <f>IF(A17="",0,ROUND((IF(AND(ISNUMBER(C17),ISNUMBER(D17)),MOD(D17-C17,1),0)+IF(AND(ISNUMBER(E17),ISNUMBER(F17)),MOD(F17-E17,1),0)-IF(ISNUMBER(G17),G17,0)/1440)*1440,0)/1440)</f>
      </c>
      <c r="Q17" s="1">
        <f>IF(A17="","",IFERROR(INDEX(FeiertagNamen,MATCH(A17,FeiertagDaten,0)),""))</f>
      </c>
      <c r="R17" s="1">
        <f>IF(OR(H17="Urlaub",H17="Krank",H17="Bezahlt frei"),S17,IF(H17="Halber Urlaubstag",ROUND(S17*720,0)/1440,0))</f>
      </c>
      <c r="S17" s="1">
        <f>IF(OR(A17="",Q17&lt;&gt;"",H17="Unbezahlt",AA17=0),0,ROUND(CHOOSE(WEEKDAY(A17,2),N(SollMo),N(SollDi),N(SollMi),N(SollDo),N(SollFr),N(SollSa),N(SollSo))*1440,0)/1440)</f>
      </c>
      <c r="T17" s="1">
        <f>P17+R17-S17</f>
      </c>
      <c r="U17" s="1">
        <f>IF(OR(A17="",NOT(ISNUMBER(C17)),NOT(ISNUMBER(D17))),"",A17+IF(AND(ISNUMBER(E17),ISNUMBER(F17)),F17+IF(E17&lt;C17,1,0)+IF(F17&lt;E17,1,0),D17+IF(D17&lt;C17,1,0)))</f>
      </c>
      <c r="V17" s="1">
        <f>IF(OR(A17="",NOT(ISNUMBER(C17))),"",A17+C17)</f>
      </c>
      <c r="W17" s="1">
        <f>IF(OR(V17="",X16=0),"",ROUND((V17-X16)*1440,0))</f>
      </c>
      <c r="X17" s="1">
        <f>MAX(X16,N(U17))</f>
      </c>
      <c r="Y17" s="1">
        <f>IF(ISNUMBER(G17),G17,0)+IF(AND(ISNUMBER(D17),ISNUMBER(E17)),MAX(0,ROUND((E17+IF(E17&lt;C17,1,0)-D17-IF(D17&lt;C17,1,0))*1440,0)),0)</f>
      </c>
      <c r="Z17" s="1">
        <f>IF(A17="","",IF(OR(ISNUMBER(C17)&lt;&gt;ISNUMBER(D17),ISNUMBER(E17)&lt;&gt;ISNUMBER(F17)),"Beginn oder Ende fehlt; ","")&amp;IF(P17&lt;0,"Pause länger als Arbeitszeit; ","")&amp;IF(AND(ROUND(P17*1440,0)&gt;360,ROUND(P17*1440,0)&lt;=540,Y17&lt;30),"Pause unter 30 Min. (§ 4); ","")&amp;IF(AND(ROUND(P17*1440,0)&gt;540,Y17&lt;45),"Pause unter 45 Min. (§ 4); ","")&amp;IF(ROUND(P17*1440,0)&gt;600,"über 10 Std. (§ 3); ","")&amp;IF(W17="","",IF(W17&lt;0,"beginnt vor Ende des Vortags; ",IF(W17&lt;660,"Ruhezeit unter 11 Std. (§ 5); ","")))&amp;IF(AND(ISNUMBER(I17),ROUND(N(I17)*1440,0)&gt;ROUND(P17*1440,0)),"Fahrzeit über Arbeitszeit; ","")&amp;IF(AND(OR(H17="Urlaub",H17="Krank",H17="Bezahlt frei"),ROUND(P17*1440,0)&gt;0),"Abwesenheit und Arbeitszeit; ","")&amp;IF(AND(H17&lt;&gt;"",H17&lt;&gt;"Unbezahlt",S17=0),"Abwesenheit an freiem Tag zählt nicht; ",""))</f>
      </c>
      <c r="AA17" s="1">
        <f>IF(A17="",0,IF(OR(A17&lt;=TODAY(),COUNTA(C17:J17)&gt;0),1,0))</f>
      </c>
    </row>
    <row r="18" spans="1:27" x14ac:dyDescent="0.25">
      <c r="A18" s="17">
        <f>IF(MONTH(DATE(Jahr,12,14))=12,DATE(Jahr,12,14),"")</f>
      </c>
      <c r="B18" s="18">
        <f>IF(A18="","",CHOOSE(WEEKDAY(A18,2),"Mo","Di","Mi","Do","Fr","Sa","So"))</f>
      </c>
      <c r="C18" s="19"/>
      <c r="D18" s="19"/>
      <c r="E18" s="19"/>
      <c r="F18" s="19"/>
      <c r="G18" s="9"/>
      <c r="H18" s="7"/>
      <c r="I18" s="11"/>
      <c r="J18" s="7"/>
      <c r="K18" s="20">
        <f>IF(OR(A18="",P18+R18&lt;=0),"",P18+R18)</f>
      </c>
      <c r="L18" s="20">
        <f>IF(OR(A18="",S18=0),"",S18)</f>
      </c>
      <c r="M18" s="21">
        <f>IF(OR(A18="",AND(P18+R18=0,S18=0)),"",IF(T18&lt;0,"-","+")&amp;TEXT(ABS(T18),"[h]:mm"))</f>
      </c>
      <c r="N18" s="22">
        <f>IF(A18="","",IF(Q18&lt;&gt;"","Feiertag: "&amp;Q18&amp;IF(Z18&lt;&gt;"","; ",""),"")&amp;IF(Z18&lt;&gt;"",LEFT(Z18,LEN(Z18)-2),""))</f>
      </c>
      <c r="O18" s="1"/>
      <c r="P18" s="1">
        <f>IF(A18="",0,ROUND((IF(AND(ISNUMBER(C18),ISNUMBER(D18)),MOD(D18-C18,1),0)+IF(AND(ISNUMBER(E18),ISNUMBER(F18)),MOD(F18-E18,1),0)-IF(ISNUMBER(G18),G18,0)/1440)*1440,0)/1440)</f>
      </c>
      <c r="Q18" s="1">
        <f>IF(A18="","",IFERROR(INDEX(FeiertagNamen,MATCH(A18,FeiertagDaten,0)),""))</f>
      </c>
      <c r="R18" s="1">
        <f>IF(OR(H18="Urlaub",H18="Krank",H18="Bezahlt frei"),S18,IF(H18="Halber Urlaubstag",ROUND(S18*720,0)/1440,0))</f>
      </c>
      <c r="S18" s="1">
        <f>IF(OR(A18="",Q18&lt;&gt;"",H18="Unbezahlt",AA18=0),0,ROUND(CHOOSE(WEEKDAY(A18,2),N(SollMo),N(SollDi),N(SollMi),N(SollDo),N(SollFr),N(SollSa),N(SollSo))*1440,0)/1440)</f>
      </c>
      <c r="T18" s="1">
        <f>P18+R18-S18</f>
      </c>
      <c r="U18" s="1">
        <f>IF(OR(A18="",NOT(ISNUMBER(C18)),NOT(ISNUMBER(D18))),"",A18+IF(AND(ISNUMBER(E18),ISNUMBER(F18)),F18+IF(E18&lt;C18,1,0)+IF(F18&lt;E18,1,0),D18+IF(D18&lt;C18,1,0)))</f>
      </c>
      <c r="V18" s="1">
        <f>IF(OR(A18="",NOT(ISNUMBER(C18))),"",A18+C18)</f>
      </c>
      <c r="W18" s="1">
        <f>IF(OR(V18="",X17=0),"",ROUND((V18-X17)*1440,0))</f>
      </c>
      <c r="X18" s="1">
        <f>MAX(X17,N(U18))</f>
      </c>
      <c r="Y18" s="1">
        <f>IF(ISNUMBER(G18),G18,0)+IF(AND(ISNUMBER(D18),ISNUMBER(E18)),MAX(0,ROUND((E18+IF(E18&lt;C18,1,0)-D18-IF(D18&lt;C18,1,0))*1440,0)),0)</f>
      </c>
      <c r="Z18" s="1">
        <f>IF(A18="","",IF(OR(ISNUMBER(C18)&lt;&gt;ISNUMBER(D18),ISNUMBER(E18)&lt;&gt;ISNUMBER(F18)),"Beginn oder Ende fehlt; ","")&amp;IF(P18&lt;0,"Pause länger als Arbeitszeit; ","")&amp;IF(AND(ROUND(P18*1440,0)&gt;360,ROUND(P18*1440,0)&lt;=540,Y18&lt;30),"Pause unter 30 Min. (§ 4); ","")&amp;IF(AND(ROUND(P18*1440,0)&gt;540,Y18&lt;45),"Pause unter 45 Min. (§ 4); ","")&amp;IF(ROUND(P18*1440,0)&gt;600,"über 10 Std. (§ 3); ","")&amp;IF(W18="","",IF(W18&lt;0,"beginnt vor Ende des Vortags; ",IF(W18&lt;660,"Ruhezeit unter 11 Std. (§ 5); ","")))&amp;IF(AND(ISNUMBER(I18),ROUND(N(I18)*1440,0)&gt;ROUND(P18*1440,0)),"Fahrzeit über Arbeitszeit; ","")&amp;IF(AND(OR(H18="Urlaub",H18="Krank",H18="Bezahlt frei"),ROUND(P18*1440,0)&gt;0),"Abwesenheit und Arbeitszeit; ","")&amp;IF(AND(H18&lt;&gt;"",H18&lt;&gt;"Unbezahlt",S18=0),"Abwesenheit an freiem Tag zählt nicht; ",""))</f>
      </c>
      <c r="AA18" s="1">
        <f>IF(A18="",0,IF(OR(A18&lt;=TODAY(),COUNTA(C18:J18)&gt;0),1,0))</f>
      </c>
    </row>
    <row r="19" spans="1:27" x14ac:dyDescent="0.25">
      <c r="A19" s="17">
        <f>IF(MONTH(DATE(Jahr,12,15))=12,DATE(Jahr,12,15),"")</f>
      </c>
      <c r="B19" s="18">
        <f>IF(A19="","",CHOOSE(WEEKDAY(A19,2),"Mo","Di","Mi","Do","Fr","Sa","So"))</f>
      </c>
      <c r="C19" s="19"/>
      <c r="D19" s="19"/>
      <c r="E19" s="19"/>
      <c r="F19" s="19"/>
      <c r="G19" s="9"/>
      <c r="H19" s="7"/>
      <c r="I19" s="11"/>
      <c r="J19" s="7"/>
      <c r="K19" s="20">
        <f>IF(OR(A19="",P19+R19&lt;=0),"",P19+R19)</f>
      </c>
      <c r="L19" s="20">
        <f>IF(OR(A19="",S19=0),"",S19)</f>
      </c>
      <c r="M19" s="21">
        <f>IF(OR(A19="",AND(P19+R19=0,S19=0)),"",IF(T19&lt;0,"-","+")&amp;TEXT(ABS(T19),"[h]:mm"))</f>
      </c>
      <c r="N19" s="22">
        <f>IF(A19="","",IF(Q19&lt;&gt;"","Feiertag: "&amp;Q19&amp;IF(Z19&lt;&gt;"","; ",""),"")&amp;IF(Z19&lt;&gt;"",LEFT(Z19,LEN(Z19)-2),""))</f>
      </c>
      <c r="O19" s="1"/>
      <c r="P19" s="1">
        <f>IF(A19="",0,ROUND((IF(AND(ISNUMBER(C19),ISNUMBER(D19)),MOD(D19-C19,1),0)+IF(AND(ISNUMBER(E19),ISNUMBER(F19)),MOD(F19-E19,1),0)-IF(ISNUMBER(G19),G19,0)/1440)*1440,0)/1440)</f>
      </c>
      <c r="Q19" s="1">
        <f>IF(A19="","",IFERROR(INDEX(FeiertagNamen,MATCH(A19,FeiertagDaten,0)),""))</f>
      </c>
      <c r="R19" s="1">
        <f>IF(OR(H19="Urlaub",H19="Krank",H19="Bezahlt frei"),S19,IF(H19="Halber Urlaubstag",ROUND(S19*720,0)/1440,0))</f>
      </c>
      <c r="S19" s="1">
        <f>IF(OR(A19="",Q19&lt;&gt;"",H19="Unbezahlt",AA19=0),0,ROUND(CHOOSE(WEEKDAY(A19,2),N(SollMo),N(SollDi),N(SollMi),N(SollDo),N(SollFr),N(SollSa),N(SollSo))*1440,0)/1440)</f>
      </c>
      <c r="T19" s="1">
        <f>P19+R19-S19</f>
      </c>
      <c r="U19" s="1">
        <f>IF(OR(A19="",NOT(ISNUMBER(C19)),NOT(ISNUMBER(D19))),"",A19+IF(AND(ISNUMBER(E19),ISNUMBER(F19)),F19+IF(E19&lt;C19,1,0)+IF(F19&lt;E19,1,0),D19+IF(D19&lt;C19,1,0)))</f>
      </c>
      <c r="V19" s="1">
        <f>IF(OR(A19="",NOT(ISNUMBER(C19))),"",A19+C19)</f>
      </c>
      <c r="W19" s="1">
        <f>IF(OR(V19="",X18=0),"",ROUND((V19-X18)*1440,0))</f>
      </c>
      <c r="X19" s="1">
        <f>MAX(X18,N(U19))</f>
      </c>
      <c r="Y19" s="1">
        <f>IF(ISNUMBER(G19),G19,0)+IF(AND(ISNUMBER(D19),ISNUMBER(E19)),MAX(0,ROUND((E19+IF(E19&lt;C19,1,0)-D19-IF(D19&lt;C19,1,0))*1440,0)),0)</f>
      </c>
      <c r="Z19" s="1">
        <f>IF(A19="","",IF(OR(ISNUMBER(C19)&lt;&gt;ISNUMBER(D19),ISNUMBER(E19)&lt;&gt;ISNUMBER(F19)),"Beginn oder Ende fehlt; ","")&amp;IF(P19&lt;0,"Pause länger als Arbeitszeit; ","")&amp;IF(AND(ROUND(P19*1440,0)&gt;360,ROUND(P19*1440,0)&lt;=540,Y19&lt;30),"Pause unter 30 Min. (§ 4); ","")&amp;IF(AND(ROUND(P19*1440,0)&gt;540,Y19&lt;45),"Pause unter 45 Min. (§ 4); ","")&amp;IF(ROUND(P19*1440,0)&gt;600,"über 10 Std. (§ 3); ","")&amp;IF(W19="","",IF(W19&lt;0,"beginnt vor Ende des Vortags; ",IF(W19&lt;660,"Ruhezeit unter 11 Std. (§ 5); ","")))&amp;IF(AND(ISNUMBER(I19),ROUND(N(I19)*1440,0)&gt;ROUND(P19*1440,0)),"Fahrzeit über Arbeitszeit; ","")&amp;IF(AND(OR(H19="Urlaub",H19="Krank",H19="Bezahlt frei"),ROUND(P19*1440,0)&gt;0),"Abwesenheit und Arbeitszeit; ","")&amp;IF(AND(H19&lt;&gt;"",H19&lt;&gt;"Unbezahlt",S19=0),"Abwesenheit an freiem Tag zählt nicht; ",""))</f>
      </c>
      <c r="AA19" s="1">
        <f>IF(A19="",0,IF(OR(A19&lt;=TODAY(),COUNTA(C19:J19)&gt;0),1,0))</f>
      </c>
    </row>
    <row r="20" spans="1:27" x14ac:dyDescent="0.25">
      <c r="A20" s="17">
        <f>IF(MONTH(DATE(Jahr,12,16))=12,DATE(Jahr,12,16),"")</f>
      </c>
      <c r="B20" s="18">
        <f>IF(A20="","",CHOOSE(WEEKDAY(A20,2),"Mo","Di","Mi","Do","Fr","Sa","So"))</f>
      </c>
      <c r="C20" s="19"/>
      <c r="D20" s="19"/>
      <c r="E20" s="19"/>
      <c r="F20" s="19"/>
      <c r="G20" s="9"/>
      <c r="H20" s="7"/>
      <c r="I20" s="11"/>
      <c r="J20" s="7"/>
      <c r="K20" s="20">
        <f>IF(OR(A20="",P20+R20&lt;=0),"",P20+R20)</f>
      </c>
      <c r="L20" s="20">
        <f>IF(OR(A20="",S20=0),"",S20)</f>
      </c>
      <c r="M20" s="21">
        <f>IF(OR(A20="",AND(P20+R20=0,S20=0)),"",IF(T20&lt;0,"-","+")&amp;TEXT(ABS(T20),"[h]:mm"))</f>
      </c>
      <c r="N20" s="22">
        <f>IF(A20="","",IF(Q20&lt;&gt;"","Feiertag: "&amp;Q20&amp;IF(Z20&lt;&gt;"","; ",""),"")&amp;IF(Z20&lt;&gt;"",LEFT(Z20,LEN(Z20)-2),""))</f>
      </c>
      <c r="O20" s="1"/>
      <c r="P20" s="1">
        <f>IF(A20="",0,ROUND((IF(AND(ISNUMBER(C20),ISNUMBER(D20)),MOD(D20-C20,1),0)+IF(AND(ISNUMBER(E20),ISNUMBER(F20)),MOD(F20-E20,1),0)-IF(ISNUMBER(G20),G20,0)/1440)*1440,0)/1440)</f>
      </c>
      <c r="Q20" s="1">
        <f>IF(A20="","",IFERROR(INDEX(FeiertagNamen,MATCH(A20,FeiertagDaten,0)),""))</f>
      </c>
      <c r="R20" s="1">
        <f>IF(OR(H20="Urlaub",H20="Krank",H20="Bezahlt frei"),S20,IF(H20="Halber Urlaubstag",ROUND(S20*720,0)/1440,0))</f>
      </c>
      <c r="S20" s="1">
        <f>IF(OR(A20="",Q20&lt;&gt;"",H20="Unbezahlt",AA20=0),0,ROUND(CHOOSE(WEEKDAY(A20,2),N(SollMo),N(SollDi),N(SollMi),N(SollDo),N(SollFr),N(SollSa),N(SollSo))*1440,0)/1440)</f>
      </c>
      <c r="T20" s="1">
        <f>P20+R20-S20</f>
      </c>
      <c r="U20" s="1">
        <f>IF(OR(A20="",NOT(ISNUMBER(C20)),NOT(ISNUMBER(D20))),"",A20+IF(AND(ISNUMBER(E20),ISNUMBER(F20)),F20+IF(E20&lt;C20,1,0)+IF(F20&lt;E20,1,0),D20+IF(D20&lt;C20,1,0)))</f>
      </c>
      <c r="V20" s="1">
        <f>IF(OR(A20="",NOT(ISNUMBER(C20))),"",A20+C20)</f>
      </c>
      <c r="W20" s="1">
        <f>IF(OR(V20="",X19=0),"",ROUND((V20-X19)*1440,0))</f>
      </c>
      <c r="X20" s="1">
        <f>MAX(X19,N(U20))</f>
      </c>
      <c r="Y20" s="1">
        <f>IF(ISNUMBER(G20),G20,0)+IF(AND(ISNUMBER(D20),ISNUMBER(E20)),MAX(0,ROUND((E20+IF(E20&lt;C20,1,0)-D20-IF(D20&lt;C20,1,0))*1440,0)),0)</f>
      </c>
      <c r="Z20" s="1">
        <f>IF(A20="","",IF(OR(ISNUMBER(C20)&lt;&gt;ISNUMBER(D20),ISNUMBER(E20)&lt;&gt;ISNUMBER(F20)),"Beginn oder Ende fehlt; ","")&amp;IF(P20&lt;0,"Pause länger als Arbeitszeit; ","")&amp;IF(AND(ROUND(P20*1440,0)&gt;360,ROUND(P20*1440,0)&lt;=540,Y20&lt;30),"Pause unter 30 Min. (§ 4); ","")&amp;IF(AND(ROUND(P20*1440,0)&gt;540,Y20&lt;45),"Pause unter 45 Min. (§ 4); ","")&amp;IF(ROUND(P20*1440,0)&gt;600,"über 10 Std. (§ 3); ","")&amp;IF(W20="","",IF(W20&lt;0,"beginnt vor Ende des Vortags; ",IF(W20&lt;660,"Ruhezeit unter 11 Std. (§ 5); ","")))&amp;IF(AND(ISNUMBER(I20),ROUND(N(I20)*1440,0)&gt;ROUND(P20*1440,0)),"Fahrzeit über Arbeitszeit; ","")&amp;IF(AND(OR(H20="Urlaub",H20="Krank",H20="Bezahlt frei"),ROUND(P20*1440,0)&gt;0),"Abwesenheit und Arbeitszeit; ","")&amp;IF(AND(H20&lt;&gt;"",H20&lt;&gt;"Unbezahlt",S20=0),"Abwesenheit an freiem Tag zählt nicht; ",""))</f>
      </c>
      <c r="AA20" s="1">
        <f>IF(A20="",0,IF(OR(A20&lt;=TODAY(),COUNTA(C20:J20)&gt;0),1,0))</f>
      </c>
    </row>
    <row r="21" spans="1:27" x14ac:dyDescent="0.25">
      <c r="A21" s="17">
        <f>IF(MONTH(DATE(Jahr,12,17))=12,DATE(Jahr,12,17),"")</f>
      </c>
      <c r="B21" s="18">
        <f>IF(A21="","",CHOOSE(WEEKDAY(A21,2),"Mo","Di","Mi","Do","Fr","Sa","So"))</f>
      </c>
      <c r="C21" s="19"/>
      <c r="D21" s="19"/>
      <c r="E21" s="19"/>
      <c r="F21" s="19"/>
      <c r="G21" s="9"/>
      <c r="H21" s="7"/>
      <c r="I21" s="11"/>
      <c r="J21" s="7"/>
      <c r="K21" s="20">
        <f>IF(OR(A21="",P21+R21&lt;=0),"",P21+R21)</f>
      </c>
      <c r="L21" s="20">
        <f>IF(OR(A21="",S21=0),"",S21)</f>
      </c>
      <c r="M21" s="21">
        <f>IF(OR(A21="",AND(P21+R21=0,S21=0)),"",IF(T21&lt;0,"-","+")&amp;TEXT(ABS(T21),"[h]:mm"))</f>
      </c>
      <c r="N21" s="22">
        <f>IF(A21="","",IF(Q21&lt;&gt;"","Feiertag: "&amp;Q21&amp;IF(Z21&lt;&gt;"","; ",""),"")&amp;IF(Z21&lt;&gt;"",LEFT(Z21,LEN(Z21)-2),""))</f>
      </c>
      <c r="O21" s="1"/>
      <c r="P21" s="1">
        <f>IF(A21="",0,ROUND((IF(AND(ISNUMBER(C21),ISNUMBER(D21)),MOD(D21-C21,1),0)+IF(AND(ISNUMBER(E21),ISNUMBER(F21)),MOD(F21-E21,1),0)-IF(ISNUMBER(G21),G21,0)/1440)*1440,0)/1440)</f>
      </c>
      <c r="Q21" s="1">
        <f>IF(A21="","",IFERROR(INDEX(FeiertagNamen,MATCH(A21,FeiertagDaten,0)),""))</f>
      </c>
      <c r="R21" s="1">
        <f>IF(OR(H21="Urlaub",H21="Krank",H21="Bezahlt frei"),S21,IF(H21="Halber Urlaubstag",ROUND(S21*720,0)/1440,0))</f>
      </c>
      <c r="S21" s="1">
        <f>IF(OR(A21="",Q21&lt;&gt;"",H21="Unbezahlt",AA21=0),0,ROUND(CHOOSE(WEEKDAY(A21,2),N(SollMo),N(SollDi),N(SollMi),N(SollDo),N(SollFr),N(SollSa),N(SollSo))*1440,0)/1440)</f>
      </c>
      <c r="T21" s="1">
        <f>P21+R21-S21</f>
      </c>
      <c r="U21" s="1">
        <f>IF(OR(A21="",NOT(ISNUMBER(C21)),NOT(ISNUMBER(D21))),"",A21+IF(AND(ISNUMBER(E21),ISNUMBER(F21)),F21+IF(E21&lt;C21,1,0)+IF(F21&lt;E21,1,0),D21+IF(D21&lt;C21,1,0)))</f>
      </c>
      <c r="V21" s="1">
        <f>IF(OR(A21="",NOT(ISNUMBER(C21))),"",A21+C21)</f>
      </c>
      <c r="W21" s="1">
        <f>IF(OR(V21="",X20=0),"",ROUND((V21-X20)*1440,0))</f>
      </c>
      <c r="X21" s="1">
        <f>MAX(X20,N(U21))</f>
      </c>
      <c r="Y21" s="1">
        <f>IF(ISNUMBER(G21),G21,0)+IF(AND(ISNUMBER(D21),ISNUMBER(E21)),MAX(0,ROUND((E21+IF(E21&lt;C21,1,0)-D21-IF(D21&lt;C21,1,0))*1440,0)),0)</f>
      </c>
      <c r="Z21" s="1">
        <f>IF(A21="","",IF(OR(ISNUMBER(C21)&lt;&gt;ISNUMBER(D21),ISNUMBER(E21)&lt;&gt;ISNUMBER(F21)),"Beginn oder Ende fehlt; ","")&amp;IF(P21&lt;0,"Pause länger als Arbeitszeit; ","")&amp;IF(AND(ROUND(P21*1440,0)&gt;360,ROUND(P21*1440,0)&lt;=540,Y21&lt;30),"Pause unter 30 Min. (§ 4); ","")&amp;IF(AND(ROUND(P21*1440,0)&gt;540,Y21&lt;45),"Pause unter 45 Min. (§ 4); ","")&amp;IF(ROUND(P21*1440,0)&gt;600,"über 10 Std. (§ 3); ","")&amp;IF(W21="","",IF(W21&lt;0,"beginnt vor Ende des Vortags; ",IF(W21&lt;660,"Ruhezeit unter 11 Std. (§ 5); ","")))&amp;IF(AND(ISNUMBER(I21),ROUND(N(I21)*1440,0)&gt;ROUND(P21*1440,0)),"Fahrzeit über Arbeitszeit; ","")&amp;IF(AND(OR(H21="Urlaub",H21="Krank",H21="Bezahlt frei"),ROUND(P21*1440,0)&gt;0),"Abwesenheit und Arbeitszeit; ","")&amp;IF(AND(H21&lt;&gt;"",H21&lt;&gt;"Unbezahlt",S21=0),"Abwesenheit an freiem Tag zählt nicht; ",""))</f>
      </c>
      <c r="AA21" s="1">
        <f>IF(A21="",0,IF(OR(A21&lt;=TODAY(),COUNTA(C21:J21)&gt;0),1,0))</f>
      </c>
    </row>
    <row r="22" spans="1:27" x14ac:dyDescent="0.25">
      <c r="A22" s="17">
        <f>IF(MONTH(DATE(Jahr,12,18))=12,DATE(Jahr,12,18),"")</f>
      </c>
      <c r="B22" s="18">
        <f>IF(A22="","",CHOOSE(WEEKDAY(A22,2),"Mo","Di","Mi","Do","Fr","Sa","So"))</f>
      </c>
      <c r="C22" s="19"/>
      <c r="D22" s="19"/>
      <c r="E22" s="19"/>
      <c r="F22" s="19"/>
      <c r="G22" s="9"/>
      <c r="H22" s="7"/>
      <c r="I22" s="11"/>
      <c r="J22" s="7"/>
      <c r="K22" s="20">
        <f>IF(OR(A22="",P22+R22&lt;=0),"",P22+R22)</f>
      </c>
      <c r="L22" s="20">
        <f>IF(OR(A22="",S22=0),"",S22)</f>
      </c>
      <c r="M22" s="21">
        <f>IF(OR(A22="",AND(P22+R22=0,S22=0)),"",IF(T22&lt;0,"-","+")&amp;TEXT(ABS(T22),"[h]:mm"))</f>
      </c>
      <c r="N22" s="22">
        <f>IF(A22="","",IF(Q22&lt;&gt;"","Feiertag: "&amp;Q22&amp;IF(Z22&lt;&gt;"","; ",""),"")&amp;IF(Z22&lt;&gt;"",LEFT(Z22,LEN(Z22)-2),""))</f>
      </c>
      <c r="O22" s="1"/>
      <c r="P22" s="1">
        <f>IF(A22="",0,ROUND((IF(AND(ISNUMBER(C22),ISNUMBER(D22)),MOD(D22-C22,1),0)+IF(AND(ISNUMBER(E22),ISNUMBER(F22)),MOD(F22-E22,1),0)-IF(ISNUMBER(G22),G22,0)/1440)*1440,0)/1440)</f>
      </c>
      <c r="Q22" s="1">
        <f>IF(A22="","",IFERROR(INDEX(FeiertagNamen,MATCH(A22,FeiertagDaten,0)),""))</f>
      </c>
      <c r="R22" s="1">
        <f>IF(OR(H22="Urlaub",H22="Krank",H22="Bezahlt frei"),S22,IF(H22="Halber Urlaubstag",ROUND(S22*720,0)/1440,0))</f>
      </c>
      <c r="S22" s="1">
        <f>IF(OR(A22="",Q22&lt;&gt;"",H22="Unbezahlt",AA22=0),0,ROUND(CHOOSE(WEEKDAY(A22,2),N(SollMo),N(SollDi),N(SollMi),N(SollDo),N(SollFr),N(SollSa),N(SollSo))*1440,0)/1440)</f>
      </c>
      <c r="T22" s="1">
        <f>P22+R22-S22</f>
      </c>
      <c r="U22" s="1">
        <f>IF(OR(A22="",NOT(ISNUMBER(C22)),NOT(ISNUMBER(D22))),"",A22+IF(AND(ISNUMBER(E22),ISNUMBER(F22)),F22+IF(E22&lt;C22,1,0)+IF(F22&lt;E22,1,0),D22+IF(D22&lt;C22,1,0)))</f>
      </c>
      <c r="V22" s="1">
        <f>IF(OR(A22="",NOT(ISNUMBER(C22))),"",A22+C22)</f>
      </c>
      <c r="W22" s="1">
        <f>IF(OR(V22="",X21=0),"",ROUND((V22-X21)*1440,0))</f>
      </c>
      <c r="X22" s="1">
        <f>MAX(X21,N(U22))</f>
      </c>
      <c r="Y22" s="1">
        <f>IF(ISNUMBER(G22),G22,0)+IF(AND(ISNUMBER(D22),ISNUMBER(E22)),MAX(0,ROUND((E22+IF(E22&lt;C22,1,0)-D22-IF(D22&lt;C22,1,0))*1440,0)),0)</f>
      </c>
      <c r="Z22" s="1">
        <f>IF(A22="","",IF(OR(ISNUMBER(C22)&lt;&gt;ISNUMBER(D22),ISNUMBER(E22)&lt;&gt;ISNUMBER(F22)),"Beginn oder Ende fehlt; ","")&amp;IF(P22&lt;0,"Pause länger als Arbeitszeit; ","")&amp;IF(AND(ROUND(P22*1440,0)&gt;360,ROUND(P22*1440,0)&lt;=540,Y22&lt;30),"Pause unter 30 Min. (§ 4); ","")&amp;IF(AND(ROUND(P22*1440,0)&gt;540,Y22&lt;45),"Pause unter 45 Min. (§ 4); ","")&amp;IF(ROUND(P22*1440,0)&gt;600,"über 10 Std. (§ 3); ","")&amp;IF(W22="","",IF(W22&lt;0,"beginnt vor Ende des Vortags; ",IF(W22&lt;660,"Ruhezeit unter 11 Std. (§ 5); ","")))&amp;IF(AND(ISNUMBER(I22),ROUND(N(I22)*1440,0)&gt;ROUND(P22*1440,0)),"Fahrzeit über Arbeitszeit; ","")&amp;IF(AND(OR(H22="Urlaub",H22="Krank",H22="Bezahlt frei"),ROUND(P22*1440,0)&gt;0),"Abwesenheit und Arbeitszeit; ","")&amp;IF(AND(H22&lt;&gt;"",H22&lt;&gt;"Unbezahlt",S22=0),"Abwesenheit an freiem Tag zählt nicht; ",""))</f>
      </c>
      <c r="AA22" s="1">
        <f>IF(A22="",0,IF(OR(A22&lt;=TODAY(),COUNTA(C22:J22)&gt;0),1,0))</f>
      </c>
    </row>
    <row r="23" spans="1:27" x14ac:dyDescent="0.25">
      <c r="A23" s="17">
        <f>IF(MONTH(DATE(Jahr,12,19))=12,DATE(Jahr,12,19),"")</f>
      </c>
      <c r="B23" s="18">
        <f>IF(A23="","",CHOOSE(WEEKDAY(A23,2),"Mo","Di","Mi","Do","Fr","Sa","So"))</f>
      </c>
      <c r="C23" s="19"/>
      <c r="D23" s="19"/>
      <c r="E23" s="19"/>
      <c r="F23" s="19"/>
      <c r="G23" s="9"/>
      <c r="H23" s="7"/>
      <c r="I23" s="11"/>
      <c r="J23" s="7"/>
      <c r="K23" s="20">
        <f>IF(OR(A23="",P23+R23&lt;=0),"",P23+R23)</f>
      </c>
      <c r="L23" s="20">
        <f>IF(OR(A23="",S23=0),"",S23)</f>
      </c>
      <c r="M23" s="21">
        <f>IF(OR(A23="",AND(P23+R23=0,S23=0)),"",IF(T23&lt;0,"-","+")&amp;TEXT(ABS(T23),"[h]:mm"))</f>
      </c>
      <c r="N23" s="22">
        <f>IF(A23="","",IF(Q23&lt;&gt;"","Feiertag: "&amp;Q23&amp;IF(Z23&lt;&gt;"","; ",""),"")&amp;IF(Z23&lt;&gt;"",LEFT(Z23,LEN(Z23)-2),""))</f>
      </c>
      <c r="O23" s="1"/>
      <c r="P23" s="1">
        <f>IF(A23="",0,ROUND((IF(AND(ISNUMBER(C23),ISNUMBER(D23)),MOD(D23-C23,1),0)+IF(AND(ISNUMBER(E23),ISNUMBER(F23)),MOD(F23-E23,1),0)-IF(ISNUMBER(G23),G23,0)/1440)*1440,0)/1440)</f>
      </c>
      <c r="Q23" s="1">
        <f>IF(A23="","",IFERROR(INDEX(FeiertagNamen,MATCH(A23,FeiertagDaten,0)),""))</f>
      </c>
      <c r="R23" s="1">
        <f>IF(OR(H23="Urlaub",H23="Krank",H23="Bezahlt frei"),S23,IF(H23="Halber Urlaubstag",ROUND(S23*720,0)/1440,0))</f>
      </c>
      <c r="S23" s="1">
        <f>IF(OR(A23="",Q23&lt;&gt;"",H23="Unbezahlt",AA23=0),0,ROUND(CHOOSE(WEEKDAY(A23,2),N(SollMo),N(SollDi),N(SollMi),N(SollDo),N(SollFr),N(SollSa),N(SollSo))*1440,0)/1440)</f>
      </c>
      <c r="T23" s="1">
        <f>P23+R23-S23</f>
      </c>
      <c r="U23" s="1">
        <f>IF(OR(A23="",NOT(ISNUMBER(C23)),NOT(ISNUMBER(D23))),"",A23+IF(AND(ISNUMBER(E23),ISNUMBER(F23)),F23+IF(E23&lt;C23,1,0)+IF(F23&lt;E23,1,0),D23+IF(D23&lt;C23,1,0)))</f>
      </c>
      <c r="V23" s="1">
        <f>IF(OR(A23="",NOT(ISNUMBER(C23))),"",A23+C23)</f>
      </c>
      <c r="W23" s="1">
        <f>IF(OR(V23="",X22=0),"",ROUND((V23-X22)*1440,0))</f>
      </c>
      <c r="X23" s="1">
        <f>MAX(X22,N(U23))</f>
      </c>
      <c r="Y23" s="1">
        <f>IF(ISNUMBER(G23),G23,0)+IF(AND(ISNUMBER(D23),ISNUMBER(E23)),MAX(0,ROUND((E23+IF(E23&lt;C23,1,0)-D23-IF(D23&lt;C23,1,0))*1440,0)),0)</f>
      </c>
      <c r="Z23" s="1">
        <f>IF(A23="","",IF(OR(ISNUMBER(C23)&lt;&gt;ISNUMBER(D23),ISNUMBER(E23)&lt;&gt;ISNUMBER(F23)),"Beginn oder Ende fehlt; ","")&amp;IF(P23&lt;0,"Pause länger als Arbeitszeit; ","")&amp;IF(AND(ROUND(P23*1440,0)&gt;360,ROUND(P23*1440,0)&lt;=540,Y23&lt;30),"Pause unter 30 Min. (§ 4); ","")&amp;IF(AND(ROUND(P23*1440,0)&gt;540,Y23&lt;45),"Pause unter 45 Min. (§ 4); ","")&amp;IF(ROUND(P23*1440,0)&gt;600,"über 10 Std. (§ 3); ","")&amp;IF(W23="","",IF(W23&lt;0,"beginnt vor Ende des Vortags; ",IF(W23&lt;660,"Ruhezeit unter 11 Std. (§ 5); ","")))&amp;IF(AND(ISNUMBER(I23),ROUND(N(I23)*1440,0)&gt;ROUND(P23*1440,0)),"Fahrzeit über Arbeitszeit; ","")&amp;IF(AND(OR(H23="Urlaub",H23="Krank",H23="Bezahlt frei"),ROUND(P23*1440,0)&gt;0),"Abwesenheit und Arbeitszeit; ","")&amp;IF(AND(H23&lt;&gt;"",H23&lt;&gt;"Unbezahlt",S23=0),"Abwesenheit an freiem Tag zählt nicht; ",""))</f>
      </c>
      <c r="AA23" s="1">
        <f>IF(A23="",0,IF(OR(A23&lt;=TODAY(),COUNTA(C23:J23)&gt;0),1,0))</f>
      </c>
    </row>
    <row r="24" spans="1:27" x14ac:dyDescent="0.25">
      <c r="A24" s="17">
        <f>IF(MONTH(DATE(Jahr,12,20))=12,DATE(Jahr,12,20),"")</f>
      </c>
      <c r="B24" s="18">
        <f>IF(A24="","",CHOOSE(WEEKDAY(A24,2),"Mo","Di","Mi","Do","Fr","Sa","So"))</f>
      </c>
      <c r="C24" s="19"/>
      <c r="D24" s="19"/>
      <c r="E24" s="19"/>
      <c r="F24" s="19"/>
      <c r="G24" s="9"/>
      <c r="H24" s="7"/>
      <c r="I24" s="11"/>
      <c r="J24" s="7"/>
      <c r="K24" s="20">
        <f>IF(OR(A24="",P24+R24&lt;=0),"",P24+R24)</f>
      </c>
      <c r="L24" s="20">
        <f>IF(OR(A24="",S24=0),"",S24)</f>
      </c>
      <c r="M24" s="21">
        <f>IF(OR(A24="",AND(P24+R24=0,S24=0)),"",IF(T24&lt;0,"-","+")&amp;TEXT(ABS(T24),"[h]:mm"))</f>
      </c>
      <c r="N24" s="22">
        <f>IF(A24="","",IF(Q24&lt;&gt;"","Feiertag: "&amp;Q24&amp;IF(Z24&lt;&gt;"","; ",""),"")&amp;IF(Z24&lt;&gt;"",LEFT(Z24,LEN(Z24)-2),""))</f>
      </c>
      <c r="O24" s="1"/>
      <c r="P24" s="1">
        <f>IF(A24="",0,ROUND((IF(AND(ISNUMBER(C24),ISNUMBER(D24)),MOD(D24-C24,1),0)+IF(AND(ISNUMBER(E24),ISNUMBER(F24)),MOD(F24-E24,1),0)-IF(ISNUMBER(G24),G24,0)/1440)*1440,0)/1440)</f>
      </c>
      <c r="Q24" s="1">
        <f>IF(A24="","",IFERROR(INDEX(FeiertagNamen,MATCH(A24,FeiertagDaten,0)),""))</f>
      </c>
      <c r="R24" s="1">
        <f>IF(OR(H24="Urlaub",H24="Krank",H24="Bezahlt frei"),S24,IF(H24="Halber Urlaubstag",ROUND(S24*720,0)/1440,0))</f>
      </c>
      <c r="S24" s="1">
        <f>IF(OR(A24="",Q24&lt;&gt;"",H24="Unbezahlt",AA24=0),0,ROUND(CHOOSE(WEEKDAY(A24,2),N(SollMo),N(SollDi),N(SollMi),N(SollDo),N(SollFr),N(SollSa),N(SollSo))*1440,0)/1440)</f>
      </c>
      <c r="T24" s="1">
        <f>P24+R24-S24</f>
      </c>
      <c r="U24" s="1">
        <f>IF(OR(A24="",NOT(ISNUMBER(C24)),NOT(ISNUMBER(D24))),"",A24+IF(AND(ISNUMBER(E24),ISNUMBER(F24)),F24+IF(E24&lt;C24,1,0)+IF(F24&lt;E24,1,0),D24+IF(D24&lt;C24,1,0)))</f>
      </c>
      <c r="V24" s="1">
        <f>IF(OR(A24="",NOT(ISNUMBER(C24))),"",A24+C24)</f>
      </c>
      <c r="W24" s="1">
        <f>IF(OR(V24="",X23=0),"",ROUND((V24-X23)*1440,0))</f>
      </c>
      <c r="X24" s="1">
        <f>MAX(X23,N(U24))</f>
      </c>
      <c r="Y24" s="1">
        <f>IF(ISNUMBER(G24),G24,0)+IF(AND(ISNUMBER(D24),ISNUMBER(E24)),MAX(0,ROUND((E24+IF(E24&lt;C24,1,0)-D24-IF(D24&lt;C24,1,0))*1440,0)),0)</f>
      </c>
      <c r="Z24" s="1">
        <f>IF(A24="","",IF(OR(ISNUMBER(C24)&lt;&gt;ISNUMBER(D24),ISNUMBER(E24)&lt;&gt;ISNUMBER(F24)),"Beginn oder Ende fehlt; ","")&amp;IF(P24&lt;0,"Pause länger als Arbeitszeit; ","")&amp;IF(AND(ROUND(P24*1440,0)&gt;360,ROUND(P24*1440,0)&lt;=540,Y24&lt;30),"Pause unter 30 Min. (§ 4); ","")&amp;IF(AND(ROUND(P24*1440,0)&gt;540,Y24&lt;45),"Pause unter 45 Min. (§ 4); ","")&amp;IF(ROUND(P24*1440,0)&gt;600,"über 10 Std. (§ 3); ","")&amp;IF(W24="","",IF(W24&lt;0,"beginnt vor Ende des Vortags; ",IF(W24&lt;660,"Ruhezeit unter 11 Std. (§ 5); ","")))&amp;IF(AND(ISNUMBER(I24),ROUND(N(I24)*1440,0)&gt;ROUND(P24*1440,0)),"Fahrzeit über Arbeitszeit; ","")&amp;IF(AND(OR(H24="Urlaub",H24="Krank",H24="Bezahlt frei"),ROUND(P24*1440,0)&gt;0),"Abwesenheit und Arbeitszeit; ","")&amp;IF(AND(H24&lt;&gt;"",H24&lt;&gt;"Unbezahlt",S24=0),"Abwesenheit an freiem Tag zählt nicht; ",""))</f>
      </c>
      <c r="AA24" s="1">
        <f>IF(A24="",0,IF(OR(A24&lt;=TODAY(),COUNTA(C24:J24)&gt;0),1,0))</f>
      </c>
    </row>
    <row r="25" spans="1:27" x14ac:dyDescent="0.25">
      <c r="A25" s="17">
        <f>IF(MONTH(DATE(Jahr,12,21))=12,DATE(Jahr,12,21),"")</f>
      </c>
      <c r="B25" s="18">
        <f>IF(A25="","",CHOOSE(WEEKDAY(A25,2),"Mo","Di","Mi","Do","Fr","Sa","So"))</f>
      </c>
      <c r="C25" s="19"/>
      <c r="D25" s="19"/>
      <c r="E25" s="19"/>
      <c r="F25" s="19"/>
      <c r="G25" s="9"/>
      <c r="H25" s="7"/>
      <c r="I25" s="11"/>
      <c r="J25" s="7"/>
      <c r="K25" s="20">
        <f>IF(OR(A25="",P25+R25&lt;=0),"",P25+R25)</f>
      </c>
      <c r="L25" s="20">
        <f>IF(OR(A25="",S25=0),"",S25)</f>
      </c>
      <c r="M25" s="21">
        <f>IF(OR(A25="",AND(P25+R25=0,S25=0)),"",IF(T25&lt;0,"-","+")&amp;TEXT(ABS(T25),"[h]:mm"))</f>
      </c>
      <c r="N25" s="22">
        <f>IF(A25="","",IF(Q25&lt;&gt;"","Feiertag: "&amp;Q25&amp;IF(Z25&lt;&gt;"","; ",""),"")&amp;IF(Z25&lt;&gt;"",LEFT(Z25,LEN(Z25)-2),""))</f>
      </c>
      <c r="O25" s="1"/>
      <c r="P25" s="1">
        <f>IF(A25="",0,ROUND((IF(AND(ISNUMBER(C25),ISNUMBER(D25)),MOD(D25-C25,1),0)+IF(AND(ISNUMBER(E25),ISNUMBER(F25)),MOD(F25-E25,1),0)-IF(ISNUMBER(G25),G25,0)/1440)*1440,0)/1440)</f>
      </c>
      <c r="Q25" s="1">
        <f>IF(A25="","",IFERROR(INDEX(FeiertagNamen,MATCH(A25,FeiertagDaten,0)),""))</f>
      </c>
      <c r="R25" s="1">
        <f>IF(OR(H25="Urlaub",H25="Krank",H25="Bezahlt frei"),S25,IF(H25="Halber Urlaubstag",ROUND(S25*720,0)/1440,0))</f>
      </c>
      <c r="S25" s="1">
        <f>IF(OR(A25="",Q25&lt;&gt;"",H25="Unbezahlt",AA25=0),0,ROUND(CHOOSE(WEEKDAY(A25,2),N(SollMo),N(SollDi),N(SollMi),N(SollDo),N(SollFr),N(SollSa),N(SollSo))*1440,0)/1440)</f>
      </c>
      <c r="T25" s="1">
        <f>P25+R25-S25</f>
      </c>
      <c r="U25" s="1">
        <f>IF(OR(A25="",NOT(ISNUMBER(C25)),NOT(ISNUMBER(D25))),"",A25+IF(AND(ISNUMBER(E25),ISNUMBER(F25)),F25+IF(E25&lt;C25,1,0)+IF(F25&lt;E25,1,0),D25+IF(D25&lt;C25,1,0)))</f>
      </c>
      <c r="V25" s="1">
        <f>IF(OR(A25="",NOT(ISNUMBER(C25))),"",A25+C25)</f>
      </c>
      <c r="W25" s="1">
        <f>IF(OR(V25="",X24=0),"",ROUND((V25-X24)*1440,0))</f>
      </c>
      <c r="X25" s="1">
        <f>MAX(X24,N(U25))</f>
      </c>
      <c r="Y25" s="1">
        <f>IF(ISNUMBER(G25),G25,0)+IF(AND(ISNUMBER(D25),ISNUMBER(E25)),MAX(0,ROUND((E25+IF(E25&lt;C25,1,0)-D25-IF(D25&lt;C25,1,0))*1440,0)),0)</f>
      </c>
      <c r="Z25" s="1">
        <f>IF(A25="","",IF(OR(ISNUMBER(C25)&lt;&gt;ISNUMBER(D25),ISNUMBER(E25)&lt;&gt;ISNUMBER(F25)),"Beginn oder Ende fehlt; ","")&amp;IF(P25&lt;0,"Pause länger als Arbeitszeit; ","")&amp;IF(AND(ROUND(P25*1440,0)&gt;360,ROUND(P25*1440,0)&lt;=540,Y25&lt;30),"Pause unter 30 Min. (§ 4); ","")&amp;IF(AND(ROUND(P25*1440,0)&gt;540,Y25&lt;45),"Pause unter 45 Min. (§ 4); ","")&amp;IF(ROUND(P25*1440,0)&gt;600,"über 10 Std. (§ 3); ","")&amp;IF(W25="","",IF(W25&lt;0,"beginnt vor Ende des Vortags; ",IF(W25&lt;660,"Ruhezeit unter 11 Std. (§ 5); ","")))&amp;IF(AND(ISNUMBER(I25),ROUND(N(I25)*1440,0)&gt;ROUND(P25*1440,0)),"Fahrzeit über Arbeitszeit; ","")&amp;IF(AND(OR(H25="Urlaub",H25="Krank",H25="Bezahlt frei"),ROUND(P25*1440,0)&gt;0),"Abwesenheit und Arbeitszeit; ","")&amp;IF(AND(H25&lt;&gt;"",H25&lt;&gt;"Unbezahlt",S25=0),"Abwesenheit an freiem Tag zählt nicht; ",""))</f>
      </c>
      <c r="AA25" s="1">
        <f>IF(A25="",0,IF(OR(A25&lt;=TODAY(),COUNTA(C25:J25)&gt;0),1,0))</f>
      </c>
    </row>
    <row r="26" spans="1:27" x14ac:dyDescent="0.25">
      <c r="A26" s="17">
        <f>IF(MONTH(DATE(Jahr,12,22))=12,DATE(Jahr,12,22),"")</f>
      </c>
      <c r="B26" s="18">
        <f>IF(A26="","",CHOOSE(WEEKDAY(A26,2),"Mo","Di","Mi","Do","Fr","Sa","So"))</f>
      </c>
      <c r="C26" s="19"/>
      <c r="D26" s="19"/>
      <c r="E26" s="19"/>
      <c r="F26" s="19"/>
      <c r="G26" s="9"/>
      <c r="H26" s="7"/>
      <c r="I26" s="11"/>
      <c r="J26" s="7"/>
      <c r="K26" s="20">
        <f>IF(OR(A26="",P26+R26&lt;=0),"",P26+R26)</f>
      </c>
      <c r="L26" s="20">
        <f>IF(OR(A26="",S26=0),"",S26)</f>
      </c>
      <c r="M26" s="21">
        <f>IF(OR(A26="",AND(P26+R26=0,S26=0)),"",IF(T26&lt;0,"-","+")&amp;TEXT(ABS(T26),"[h]:mm"))</f>
      </c>
      <c r="N26" s="22">
        <f>IF(A26="","",IF(Q26&lt;&gt;"","Feiertag: "&amp;Q26&amp;IF(Z26&lt;&gt;"","; ",""),"")&amp;IF(Z26&lt;&gt;"",LEFT(Z26,LEN(Z26)-2),""))</f>
      </c>
      <c r="O26" s="1"/>
      <c r="P26" s="1">
        <f>IF(A26="",0,ROUND((IF(AND(ISNUMBER(C26),ISNUMBER(D26)),MOD(D26-C26,1),0)+IF(AND(ISNUMBER(E26),ISNUMBER(F26)),MOD(F26-E26,1),0)-IF(ISNUMBER(G26),G26,0)/1440)*1440,0)/1440)</f>
      </c>
      <c r="Q26" s="1">
        <f>IF(A26="","",IFERROR(INDEX(FeiertagNamen,MATCH(A26,FeiertagDaten,0)),""))</f>
      </c>
      <c r="R26" s="1">
        <f>IF(OR(H26="Urlaub",H26="Krank",H26="Bezahlt frei"),S26,IF(H26="Halber Urlaubstag",ROUND(S26*720,0)/1440,0))</f>
      </c>
      <c r="S26" s="1">
        <f>IF(OR(A26="",Q26&lt;&gt;"",H26="Unbezahlt",AA26=0),0,ROUND(CHOOSE(WEEKDAY(A26,2),N(SollMo),N(SollDi),N(SollMi),N(SollDo),N(SollFr),N(SollSa),N(SollSo))*1440,0)/1440)</f>
      </c>
      <c r="T26" s="1">
        <f>P26+R26-S26</f>
      </c>
      <c r="U26" s="1">
        <f>IF(OR(A26="",NOT(ISNUMBER(C26)),NOT(ISNUMBER(D26))),"",A26+IF(AND(ISNUMBER(E26),ISNUMBER(F26)),F26+IF(E26&lt;C26,1,0)+IF(F26&lt;E26,1,0),D26+IF(D26&lt;C26,1,0)))</f>
      </c>
      <c r="V26" s="1">
        <f>IF(OR(A26="",NOT(ISNUMBER(C26))),"",A26+C26)</f>
      </c>
      <c r="W26" s="1">
        <f>IF(OR(V26="",X25=0),"",ROUND((V26-X25)*1440,0))</f>
      </c>
      <c r="X26" s="1">
        <f>MAX(X25,N(U26))</f>
      </c>
      <c r="Y26" s="1">
        <f>IF(ISNUMBER(G26),G26,0)+IF(AND(ISNUMBER(D26),ISNUMBER(E26)),MAX(0,ROUND((E26+IF(E26&lt;C26,1,0)-D26-IF(D26&lt;C26,1,0))*1440,0)),0)</f>
      </c>
      <c r="Z26" s="1">
        <f>IF(A26="","",IF(OR(ISNUMBER(C26)&lt;&gt;ISNUMBER(D26),ISNUMBER(E26)&lt;&gt;ISNUMBER(F26)),"Beginn oder Ende fehlt; ","")&amp;IF(P26&lt;0,"Pause länger als Arbeitszeit; ","")&amp;IF(AND(ROUND(P26*1440,0)&gt;360,ROUND(P26*1440,0)&lt;=540,Y26&lt;30),"Pause unter 30 Min. (§ 4); ","")&amp;IF(AND(ROUND(P26*1440,0)&gt;540,Y26&lt;45),"Pause unter 45 Min. (§ 4); ","")&amp;IF(ROUND(P26*1440,0)&gt;600,"über 10 Std. (§ 3); ","")&amp;IF(W26="","",IF(W26&lt;0,"beginnt vor Ende des Vortags; ",IF(W26&lt;660,"Ruhezeit unter 11 Std. (§ 5); ","")))&amp;IF(AND(ISNUMBER(I26),ROUND(N(I26)*1440,0)&gt;ROUND(P26*1440,0)),"Fahrzeit über Arbeitszeit; ","")&amp;IF(AND(OR(H26="Urlaub",H26="Krank",H26="Bezahlt frei"),ROUND(P26*1440,0)&gt;0),"Abwesenheit und Arbeitszeit; ","")&amp;IF(AND(H26&lt;&gt;"",H26&lt;&gt;"Unbezahlt",S26=0),"Abwesenheit an freiem Tag zählt nicht; ",""))</f>
      </c>
      <c r="AA26" s="1">
        <f>IF(A26="",0,IF(OR(A26&lt;=TODAY(),COUNTA(C26:J26)&gt;0),1,0))</f>
      </c>
    </row>
    <row r="27" spans="1:27" x14ac:dyDescent="0.25">
      <c r="A27" s="17">
        <f>IF(MONTH(DATE(Jahr,12,23))=12,DATE(Jahr,12,23),"")</f>
      </c>
      <c r="B27" s="18">
        <f>IF(A27="","",CHOOSE(WEEKDAY(A27,2),"Mo","Di","Mi","Do","Fr","Sa","So"))</f>
      </c>
      <c r="C27" s="19"/>
      <c r="D27" s="19"/>
      <c r="E27" s="19"/>
      <c r="F27" s="19"/>
      <c r="G27" s="9"/>
      <c r="H27" s="7"/>
      <c r="I27" s="11"/>
      <c r="J27" s="7"/>
      <c r="K27" s="20">
        <f>IF(OR(A27="",P27+R27&lt;=0),"",P27+R27)</f>
      </c>
      <c r="L27" s="20">
        <f>IF(OR(A27="",S27=0),"",S27)</f>
      </c>
      <c r="M27" s="21">
        <f>IF(OR(A27="",AND(P27+R27=0,S27=0)),"",IF(T27&lt;0,"-","+")&amp;TEXT(ABS(T27),"[h]:mm"))</f>
      </c>
      <c r="N27" s="22">
        <f>IF(A27="","",IF(Q27&lt;&gt;"","Feiertag: "&amp;Q27&amp;IF(Z27&lt;&gt;"","; ",""),"")&amp;IF(Z27&lt;&gt;"",LEFT(Z27,LEN(Z27)-2),""))</f>
      </c>
      <c r="O27" s="1"/>
      <c r="P27" s="1">
        <f>IF(A27="",0,ROUND((IF(AND(ISNUMBER(C27),ISNUMBER(D27)),MOD(D27-C27,1),0)+IF(AND(ISNUMBER(E27),ISNUMBER(F27)),MOD(F27-E27,1),0)-IF(ISNUMBER(G27),G27,0)/1440)*1440,0)/1440)</f>
      </c>
      <c r="Q27" s="1">
        <f>IF(A27="","",IFERROR(INDEX(FeiertagNamen,MATCH(A27,FeiertagDaten,0)),""))</f>
      </c>
      <c r="R27" s="1">
        <f>IF(OR(H27="Urlaub",H27="Krank",H27="Bezahlt frei"),S27,IF(H27="Halber Urlaubstag",ROUND(S27*720,0)/1440,0))</f>
      </c>
      <c r="S27" s="1">
        <f>IF(OR(A27="",Q27&lt;&gt;"",H27="Unbezahlt",AA27=0),0,ROUND(CHOOSE(WEEKDAY(A27,2),N(SollMo),N(SollDi),N(SollMi),N(SollDo),N(SollFr),N(SollSa),N(SollSo))*1440,0)/1440)</f>
      </c>
      <c r="T27" s="1">
        <f>P27+R27-S27</f>
      </c>
      <c r="U27" s="1">
        <f>IF(OR(A27="",NOT(ISNUMBER(C27)),NOT(ISNUMBER(D27))),"",A27+IF(AND(ISNUMBER(E27),ISNUMBER(F27)),F27+IF(E27&lt;C27,1,0)+IF(F27&lt;E27,1,0),D27+IF(D27&lt;C27,1,0)))</f>
      </c>
      <c r="V27" s="1">
        <f>IF(OR(A27="",NOT(ISNUMBER(C27))),"",A27+C27)</f>
      </c>
      <c r="W27" s="1">
        <f>IF(OR(V27="",X26=0),"",ROUND((V27-X26)*1440,0))</f>
      </c>
      <c r="X27" s="1">
        <f>MAX(X26,N(U27))</f>
      </c>
      <c r="Y27" s="1">
        <f>IF(ISNUMBER(G27),G27,0)+IF(AND(ISNUMBER(D27),ISNUMBER(E27)),MAX(0,ROUND((E27+IF(E27&lt;C27,1,0)-D27-IF(D27&lt;C27,1,0))*1440,0)),0)</f>
      </c>
      <c r="Z27" s="1">
        <f>IF(A27="","",IF(OR(ISNUMBER(C27)&lt;&gt;ISNUMBER(D27),ISNUMBER(E27)&lt;&gt;ISNUMBER(F27)),"Beginn oder Ende fehlt; ","")&amp;IF(P27&lt;0,"Pause länger als Arbeitszeit; ","")&amp;IF(AND(ROUND(P27*1440,0)&gt;360,ROUND(P27*1440,0)&lt;=540,Y27&lt;30),"Pause unter 30 Min. (§ 4); ","")&amp;IF(AND(ROUND(P27*1440,0)&gt;540,Y27&lt;45),"Pause unter 45 Min. (§ 4); ","")&amp;IF(ROUND(P27*1440,0)&gt;600,"über 10 Std. (§ 3); ","")&amp;IF(W27="","",IF(W27&lt;0,"beginnt vor Ende des Vortags; ",IF(W27&lt;660,"Ruhezeit unter 11 Std. (§ 5); ","")))&amp;IF(AND(ISNUMBER(I27),ROUND(N(I27)*1440,0)&gt;ROUND(P27*1440,0)),"Fahrzeit über Arbeitszeit; ","")&amp;IF(AND(OR(H27="Urlaub",H27="Krank",H27="Bezahlt frei"),ROUND(P27*1440,0)&gt;0),"Abwesenheit und Arbeitszeit; ","")&amp;IF(AND(H27&lt;&gt;"",H27&lt;&gt;"Unbezahlt",S27=0),"Abwesenheit an freiem Tag zählt nicht; ",""))</f>
      </c>
      <c r="AA27" s="1">
        <f>IF(A27="",0,IF(OR(A27&lt;=TODAY(),COUNTA(C27:J27)&gt;0),1,0))</f>
      </c>
    </row>
    <row r="28" spans="1:27" x14ac:dyDescent="0.25">
      <c r="A28" s="17">
        <f>IF(MONTH(DATE(Jahr,12,24))=12,DATE(Jahr,12,24),"")</f>
      </c>
      <c r="B28" s="18">
        <f>IF(A28="","",CHOOSE(WEEKDAY(A28,2),"Mo","Di","Mi","Do","Fr","Sa","So"))</f>
      </c>
      <c r="C28" s="19"/>
      <c r="D28" s="19"/>
      <c r="E28" s="19"/>
      <c r="F28" s="19"/>
      <c r="G28" s="9"/>
      <c r="H28" s="7"/>
      <c r="I28" s="11"/>
      <c r="J28" s="7"/>
      <c r="K28" s="20">
        <f>IF(OR(A28="",P28+R28&lt;=0),"",P28+R28)</f>
      </c>
      <c r="L28" s="20">
        <f>IF(OR(A28="",S28=0),"",S28)</f>
      </c>
      <c r="M28" s="21">
        <f>IF(OR(A28="",AND(P28+R28=0,S28=0)),"",IF(T28&lt;0,"-","+")&amp;TEXT(ABS(T28),"[h]:mm"))</f>
      </c>
      <c r="N28" s="22">
        <f>IF(A28="","",IF(Q28&lt;&gt;"","Feiertag: "&amp;Q28&amp;IF(Z28&lt;&gt;"","; ",""),"")&amp;IF(Z28&lt;&gt;"",LEFT(Z28,LEN(Z28)-2),""))</f>
      </c>
      <c r="O28" s="1"/>
      <c r="P28" s="1">
        <f>IF(A28="",0,ROUND((IF(AND(ISNUMBER(C28),ISNUMBER(D28)),MOD(D28-C28,1),0)+IF(AND(ISNUMBER(E28),ISNUMBER(F28)),MOD(F28-E28,1),0)-IF(ISNUMBER(G28),G28,0)/1440)*1440,0)/1440)</f>
      </c>
      <c r="Q28" s="1">
        <f>IF(A28="","",IFERROR(INDEX(FeiertagNamen,MATCH(A28,FeiertagDaten,0)),""))</f>
      </c>
      <c r="R28" s="1">
        <f>IF(OR(H28="Urlaub",H28="Krank",H28="Bezahlt frei"),S28,IF(H28="Halber Urlaubstag",ROUND(S28*720,0)/1440,0))</f>
      </c>
      <c r="S28" s="1">
        <f>IF(OR(A28="",Q28&lt;&gt;"",H28="Unbezahlt",AA28=0),0,ROUND(CHOOSE(WEEKDAY(A28,2),N(SollMo),N(SollDi),N(SollMi),N(SollDo),N(SollFr),N(SollSa),N(SollSo))*1440,0)/1440)</f>
      </c>
      <c r="T28" s="1">
        <f>P28+R28-S28</f>
      </c>
      <c r="U28" s="1">
        <f>IF(OR(A28="",NOT(ISNUMBER(C28)),NOT(ISNUMBER(D28))),"",A28+IF(AND(ISNUMBER(E28),ISNUMBER(F28)),F28+IF(E28&lt;C28,1,0)+IF(F28&lt;E28,1,0),D28+IF(D28&lt;C28,1,0)))</f>
      </c>
      <c r="V28" s="1">
        <f>IF(OR(A28="",NOT(ISNUMBER(C28))),"",A28+C28)</f>
      </c>
      <c r="W28" s="1">
        <f>IF(OR(V28="",X27=0),"",ROUND((V28-X27)*1440,0))</f>
      </c>
      <c r="X28" s="1">
        <f>MAX(X27,N(U28))</f>
      </c>
      <c r="Y28" s="1">
        <f>IF(ISNUMBER(G28),G28,0)+IF(AND(ISNUMBER(D28),ISNUMBER(E28)),MAX(0,ROUND((E28+IF(E28&lt;C28,1,0)-D28-IF(D28&lt;C28,1,0))*1440,0)),0)</f>
      </c>
      <c r="Z28" s="1">
        <f>IF(A28="","",IF(OR(ISNUMBER(C28)&lt;&gt;ISNUMBER(D28),ISNUMBER(E28)&lt;&gt;ISNUMBER(F28)),"Beginn oder Ende fehlt; ","")&amp;IF(P28&lt;0,"Pause länger als Arbeitszeit; ","")&amp;IF(AND(ROUND(P28*1440,0)&gt;360,ROUND(P28*1440,0)&lt;=540,Y28&lt;30),"Pause unter 30 Min. (§ 4); ","")&amp;IF(AND(ROUND(P28*1440,0)&gt;540,Y28&lt;45),"Pause unter 45 Min. (§ 4); ","")&amp;IF(ROUND(P28*1440,0)&gt;600,"über 10 Std. (§ 3); ","")&amp;IF(W28="","",IF(W28&lt;0,"beginnt vor Ende des Vortags; ",IF(W28&lt;660,"Ruhezeit unter 11 Std. (§ 5); ","")))&amp;IF(AND(ISNUMBER(I28),ROUND(N(I28)*1440,0)&gt;ROUND(P28*1440,0)),"Fahrzeit über Arbeitszeit; ","")&amp;IF(AND(OR(H28="Urlaub",H28="Krank",H28="Bezahlt frei"),ROUND(P28*1440,0)&gt;0),"Abwesenheit und Arbeitszeit; ","")&amp;IF(AND(H28&lt;&gt;"",H28&lt;&gt;"Unbezahlt",S28=0),"Abwesenheit an freiem Tag zählt nicht; ",""))</f>
      </c>
      <c r="AA28" s="1">
        <f>IF(A28="",0,IF(OR(A28&lt;=TODAY(),COUNTA(C28:J28)&gt;0),1,0))</f>
      </c>
    </row>
    <row r="29" spans="1:27" x14ac:dyDescent="0.25">
      <c r="A29" s="17">
        <f>IF(MONTH(DATE(Jahr,12,25))=12,DATE(Jahr,12,25),"")</f>
      </c>
      <c r="B29" s="18">
        <f>IF(A29="","",CHOOSE(WEEKDAY(A29,2),"Mo","Di","Mi","Do","Fr","Sa","So"))</f>
      </c>
      <c r="C29" s="19"/>
      <c r="D29" s="19"/>
      <c r="E29" s="19"/>
      <c r="F29" s="19"/>
      <c r="G29" s="9"/>
      <c r="H29" s="7"/>
      <c r="I29" s="11"/>
      <c r="J29" s="7"/>
      <c r="K29" s="20">
        <f>IF(OR(A29="",P29+R29&lt;=0),"",P29+R29)</f>
      </c>
      <c r="L29" s="20">
        <f>IF(OR(A29="",S29=0),"",S29)</f>
      </c>
      <c r="M29" s="21">
        <f>IF(OR(A29="",AND(P29+R29=0,S29=0)),"",IF(T29&lt;0,"-","+")&amp;TEXT(ABS(T29),"[h]:mm"))</f>
      </c>
      <c r="N29" s="22">
        <f>IF(A29="","",IF(Q29&lt;&gt;"","Feiertag: "&amp;Q29&amp;IF(Z29&lt;&gt;"","; ",""),"")&amp;IF(Z29&lt;&gt;"",LEFT(Z29,LEN(Z29)-2),""))</f>
      </c>
      <c r="O29" s="1"/>
      <c r="P29" s="1">
        <f>IF(A29="",0,ROUND((IF(AND(ISNUMBER(C29),ISNUMBER(D29)),MOD(D29-C29,1),0)+IF(AND(ISNUMBER(E29),ISNUMBER(F29)),MOD(F29-E29,1),0)-IF(ISNUMBER(G29),G29,0)/1440)*1440,0)/1440)</f>
      </c>
      <c r="Q29" s="1">
        <f>IF(A29="","",IFERROR(INDEX(FeiertagNamen,MATCH(A29,FeiertagDaten,0)),""))</f>
      </c>
      <c r="R29" s="1">
        <f>IF(OR(H29="Urlaub",H29="Krank",H29="Bezahlt frei"),S29,IF(H29="Halber Urlaubstag",ROUND(S29*720,0)/1440,0))</f>
      </c>
      <c r="S29" s="1">
        <f>IF(OR(A29="",Q29&lt;&gt;"",H29="Unbezahlt",AA29=0),0,ROUND(CHOOSE(WEEKDAY(A29,2),N(SollMo),N(SollDi),N(SollMi),N(SollDo),N(SollFr),N(SollSa),N(SollSo))*1440,0)/1440)</f>
      </c>
      <c r="T29" s="1">
        <f>P29+R29-S29</f>
      </c>
      <c r="U29" s="1">
        <f>IF(OR(A29="",NOT(ISNUMBER(C29)),NOT(ISNUMBER(D29))),"",A29+IF(AND(ISNUMBER(E29),ISNUMBER(F29)),F29+IF(E29&lt;C29,1,0)+IF(F29&lt;E29,1,0),D29+IF(D29&lt;C29,1,0)))</f>
      </c>
      <c r="V29" s="1">
        <f>IF(OR(A29="",NOT(ISNUMBER(C29))),"",A29+C29)</f>
      </c>
      <c r="W29" s="1">
        <f>IF(OR(V29="",X28=0),"",ROUND((V29-X28)*1440,0))</f>
      </c>
      <c r="X29" s="1">
        <f>MAX(X28,N(U29))</f>
      </c>
      <c r="Y29" s="1">
        <f>IF(ISNUMBER(G29),G29,0)+IF(AND(ISNUMBER(D29),ISNUMBER(E29)),MAX(0,ROUND((E29+IF(E29&lt;C29,1,0)-D29-IF(D29&lt;C29,1,0))*1440,0)),0)</f>
      </c>
      <c r="Z29" s="1">
        <f>IF(A29="","",IF(OR(ISNUMBER(C29)&lt;&gt;ISNUMBER(D29),ISNUMBER(E29)&lt;&gt;ISNUMBER(F29)),"Beginn oder Ende fehlt; ","")&amp;IF(P29&lt;0,"Pause länger als Arbeitszeit; ","")&amp;IF(AND(ROUND(P29*1440,0)&gt;360,ROUND(P29*1440,0)&lt;=540,Y29&lt;30),"Pause unter 30 Min. (§ 4); ","")&amp;IF(AND(ROUND(P29*1440,0)&gt;540,Y29&lt;45),"Pause unter 45 Min. (§ 4); ","")&amp;IF(ROUND(P29*1440,0)&gt;600,"über 10 Std. (§ 3); ","")&amp;IF(W29="","",IF(W29&lt;0,"beginnt vor Ende des Vortags; ",IF(W29&lt;660,"Ruhezeit unter 11 Std. (§ 5); ","")))&amp;IF(AND(ISNUMBER(I29),ROUND(N(I29)*1440,0)&gt;ROUND(P29*1440,0)),"Fahrzeit über Arbeitszeit; ","")&amp;IF(AND(OR(H29="Urlaub",H29="Krank",H29="Bezahlt frei"),ROUND(P29*1440,0)&gt;0),"Abwesenheit und Arbeitszeit; ","")&amp;IF(AND(H29&lt;&gt;"",H29&lt;&gt;"Unbezahlt",S29=0),"Abwesenheit an freiem Tag zählt nicht; ",""))</f>
      </c>
      <c r="AA29" s="1">
        <f>IF(A29="",0,IF(OR(A29&lt;=TODAY(),COUNTA(C29:J29)&gt;0),1,0))</f>
      </c>
    </row>
    <row r="30" spans="1:27" x14ac:dyDescent="0.25">
      <c r="A30" s="17">
        <f>IF(MONTH(DATE(Jahr,12,26))=12,DATE(Jahr,12,26),"")</f>
      </c>
      <c r="B30" s="18">
        <f>IF(A30="","",CHOOSE(WEEKDAY(A30,2),"Mo","Di","Mi","Do","Fr","Sa","So"))</f>
      </c>
      <c r="C30" s="19"/>
      <c r="D30" s="19"/>
      <c r="E30" s="19"/>
      <c r="F30" s="19"/>
      <c r="G30" s="9"/>
      <c r="H30" s="7"/>
      <c r="I30" s="11"/>
      <c r="J30" s="7"/>
      <c r="K30" s="20">
        <f>IF(OR(A30="",P30+R30&lt;=0),"",P30+R30)</f>
      </c>
      <c r="L30" s="20">
        <f>IF(OR(A30="",S30=0),"",S30)</f>
      </c>
      <c r="M30" s="21">
        <f>IF(OR(A30="",AND(P30+R30=0,S30=0)),"",IF(T30&lt;0,"-","+")&amp;TEXT(ABS(T30),"[h]:mm"))</f>
      </c>
      <c r="N30" s="22">
        <f>IF(A30="","",IF(Q30&lt;&gt;"","Feiertag: "&amp;Q30&amp;IF(Z30&lt;&gt;"","; ",""),"")&amp;IF(Z30&lt;&gt;"",LEFT(Z30,LEN(Z30)-2),""))</f>
      </c>
      <c r="O30" s="1"/>
      <c r="P30" s="1">
        <f>IF(A30="",0,ROUND((IF(AND(ISNUMBER(C30),ISNUMBER(D30)),MOD(D30-C30,1),0)+IF(AND(ISNUMBER(E30),ISNUMBER(F30)),MOD(F30-E30,1),0)-IF(ISNUMBER(G30),G30,0)/1440)*1440,0)/1440)</f>
      </c>
      <c r="Q30" s="1">
        <f>IF(A30="","",IFERROR(INDEX(FeiertagNamen,MATCH(A30,FeiertagDaten,0)),""))</f>
      </c>
      <c r="R30" s="1">
        <f>IF(OR(H30="Urlaub",H30="Krank",H30="Bezahlt frei"),S30,IF(H30="Halber Urlaubstag",ROUND(S30*720,0)/1440,0))</f>
      </c>
      <c r="S30" s="1">
        <f>IF(OR(A30="",Q30&lt;&gt;"",H30="Unbezahlt",AA30=0),0,ROUND(CHOOSE(WEEKDAY(A30,2),N(SollMo),N(SollDi),N(SollMi),N(SollDo),N(SollFr),N(SollSa),N(SollSo))*1440,0)/1440)</f>
      </c>
      <c r="T30" s="1">
        <f>P30+R30-S30</f>
      </c>
      <c r="U30" s="1">
        <f>IF(OR(A30="",NOT(ISNUMBER(C30)),NOT(ISNUMBER(D30))),"",A30+IF(AND(ISNUMBER(E30),ISNUMBER(F30)),F30+IF(E30&lt;C30,1,0)+IF(F30&lt;E30,1,0),D30+IF(D30&lt;C30,1,0)))</f>
      </c>
      <c r="V30" s="1">
        <f>IF(OR(A30="",NOT(ISNUMBER(C30))),"",A30+C30)</f>
      </c>
      <c r="W30" s="1">
        <f>IF(OR(V30="",X29=0),"",ROUND((V30-X29)*1440,0))</f>
      </c>
      <c r="X30" s="1">
        <f>MAX(X29,N(U30))</f>
      </c>
      <c r="Y30" s="1">
        <f>IF(ISNUMBER(G30),G30,0)+IF(AND(ISNUMBER(D30),ISNUMBER(E30)),MAX(0,ROUND((E30+IF(E30&lt;C30,1,0)-D30-IF(D30&lt;C30,1,0))*1440,0)),0)</f>
      </c>
      <c r="Z30" s="1">
        <f>IF(A30="","",IF(OR(ISNUMBER(C30)&lt;&gt;ISNUMBER(D30),ISNUMBER(E30)&lt;&gt;ISNUMBER(F30)),"Beginn oder Ende fehlt; ","")&amp;IF(P30&lt;0,"Pause länger als Arbeitszeit; ","")&amp;IF(AND(ROUND(P30*1440,0)&gt;360,ROUND(P30*1440,0)&lt;=540,Y30&lt;30),"Pause unter 30 Min. (§ 4); ","")&amp;IF(AND(ROUND(P30*1440,0)&gt;540,Y30&lt;45),"Pause unter 45 Min. (§ 4); ","")&amp;IF(ROUND(P30*1440,0)&gt;600,"über 10 Std. (§ 3); ","")&amp;IF(W30="","",IF(W30&lt;0,"beginnt vor Ende des Vortags; ",IF(W30&lt;660,"Ruhezeit unter 11 Std. (§ 5); ","")))&amp;IF(AND(ISNUMBER(I30),ROUND(N(I30)*1440,0)&gt;ROUND(P30*1440,0)),"Fahrzeit über Arbeitszeit; ","")&amp;IF(AND(OR(H30="Urlaub",H30="Krank",H30="Bezahlt frei"),ROUND(P30*1440,0)&gt;0),"Abwesenheit und Arbeitszeit; ","")&amp;IF(AND(H30&lt;&gt;"",H30&lt;&gt;"Unbezahlt",S30=0),"Abwesenheit an freiem Tag zählt nicht; ",""))</f>
      </c>
      <c r="AA30" s="1">
        <f>IF(A30="",0,IF(OR(A30&lt;=TODAY(),COUNTA(C30:J30)&gt;0),1,0))</f>
      </c>
    </row>
    <row r="31" spans="1:27" x14ac:dyDescent="0.25">
      <c r="A31" s="17">
        <f>IF(MONTH(DATE(Jahr,12,27))=12,DATE(Jahr,12,27),"")</f>
      </c>
      <c r="B31" s="18">
        <f>IF(A31="","",CHOOSE(WEEKDAY(A31,2),"Mo","Di","Mi","Do","Fr","Sa","So"))</f>
      </c>
      <c r="C31" s="19"/>
      <c r="D31" s="19"/>
      <c r="E31" s="19"/>
      <c r="F31" s="19"/>
      <c r="G31" s="9"/>
      <c r="H31" s="7"/>
      <c r="I31" s="11"/>
      <c r="J31" s="7"/>
      <c r="K31" s="20">
        <f>IF(OR(A31="",P31+R31&lt;=0),"",P31+R31)</f>
      </c>
      <c r="L31" s="20">
        <f>IF(OR(A31="",S31=0),"",S31)</f>
      </c>
      <c r="M31" s="21">
        <f>IF(OR(A31="",AND(P31+R31=0,S31=0)),"",IF(T31&lt;0,"-","+")&amp;TEXT(ABS(T31),"[h]:mm"))</f>
      </c>
      <c r="N31" s="22">
        <f>IF(A31="","",IF(Q31&lt;&gt;"","Feiertag: "&amp;Q31&amp;IF(Z31&lt;&gt;"","; ",""),"")&amp;IF(Z31&lt;&gt;"",LEFT(Z31,LEN(Z31)-2),""))</f>
      </c>
      <c r="O31" s="1"/>
      <c r="P31" s="1">
        <f>IF(A31="",0,ROUND((IF(AND(ISNUMBER(C31),ISNUMBER(D31)),MOD(D31-C31,1),0)+IF(AND(ISNUMBER(E31),ISNUMBER(F31)),MOD(F31-E31,1),0)-IF(ISNUMBER(G31),G31,0)/1440)*1440,0)/1440)</f>
      </c>
      <c r="Q31" s="1">
        <f>IF(A31="","",IFERROR(INDEX(FeiertagNamen,MATCH(A31,FeiertagDaten,0)),""))</f>
      </c>
      <c r="R31" s="1">
        <f>IF(OR(H31="Urlaub",H31="Krank",H31="Bezahlt frei"),S31,IF(H31="Halber Urlaubstag",ROUND(S31*720,0)/1440,0))</f>
      </c>
      <c r="S31" s="1">
        <f>IF(OR(A31="",Q31&lt;&gt;"",H31="Unbezahlt",AA31=0),0,ROUND(CHOOSE(WEEKDAY(A31,2),N(SollMo),N(SollDi),N(SollMi),N(SollDo),N(SollFr),N(SollSa),N(SollSo))*1440,0)/1440)</f>
      </c>
      <c r="T31" s="1">
        <f>P31+R31-S31</f>
      </c>
      <c r="U31" s="1">
        <f>IF(OR(A31="",NOT(ISNUMBER(C31)),NOT(ISNUMBER(D31))),"",A31+IF(AND(ISNUMBER(E31),ISNUMBER(F31)),F31+IF(E31&lt;C31,1,0)+IF(F31&lt;E31,1,0),D31+IF(D31&lt;C31,1,0)))</f>
      </c>
      <c r="V31" s="1">
        <f>IF(OR(A31="",NOT(ISNUMBER(C31))),"",A31+C31)</f>
      </c>
      <c r="W31" s="1">
        <f>IF(OR(V31="",X30=0),"",ROUND((V31-X30)*1440,0))</f>
      </c>
      <c r="X31" s="1">
        <f>MAX(X30,N(U31))</f>
      </c>
      <c r="Y31" s="1">
        <f>IF(ISNUMBER(G31),G31,0)+IF(AND(ISNUMBER(D31),ISNUMBER(E31)),MAX(0,ROUND((E31+IF(E31&lt;C31,1,0)-D31-IF(D31&lt;C31,1,0))*1440,0)),0)</f>
      </c>
      <c r="Z31" s="1">
        <f>IF(A31="","",IF(OR(ISNUMBER(C31)&lt;&gt;ISNUMBER(D31),ISNUMBER(E31)&lt;&gt;ISNUMBER(F31)),"Beginn oder Ende fehlt; ","")&amp;IF(P31&lt;0,"Pause länger als Arbeitszeit; ","")&amp;IF(AND(ROUND(P31*1440,0)&gt;360,ROUND(P31*1440,0)&lt;=540,Y31&lt;30),"Pause unter 30 Min. (§ 4); ","")&amp;IF(AND(ROUND(P31*1440,0)&gt;540,Y31&lt;45),"Pause unter 45 Min. (§ 4); ","")&amp;IF(ROUND(P31*1440,0)&gt;600,"über 10 Std. (§ 3); ","")&amp;IF(W31="","",IF(W31&lt;0,"beginnt vor Ende des Vortags; ",IF(W31&lt;660,"Ruhezeit unter 11 Std. (§ 5); ","")))&amp;IF(AND(ISNUMBER(I31),ROUND(N(I31)*1440,0)&gt;ROUND(P31*1440,0)),"Fahrzeit über Arbeitszeit; ","")&amp;IF(AND(OR(H31="Urlaub",H31="Krank",H31="Bezahlt frei"),ROUND(P31*1440,0)&gt;0),"Abwesenheit und Arbeitszeit; ","")&amp;IF(AND(H31&lt;&gt;"",H31&lt;&gt;"Unbezahlt",S31=0),"Abwesenheit an freiem Tag zählt nicht; ",""))</f>
      </c>
      <c r="AA31" s="1">
        <f>IF(A31="",0,IF(OR(A31&lt;=TODAY(),COUNTA(C31:J31)&gt;0),1,0))</f>
      </c>
    </row>
    <row r="32" spans="1:27" x14ac:dyDescent="0.25">
      <c r="A32" s="17">
        <f>IF(MONTH(DATE(Jahr,12,28))=12,DATE(Jahr,12,28),"")</f>
      </c>
      <c r="B32" s="18">
        <f>IF(A32="","",CHOOSE(WEEKDAY(A32,2),"Mo","Di","Mi","Do","Fr","Sa","So"))</f>
      </c>
      <c r="C32" s="19"/>
      <c r="D32" s="19"/>
      <c r="E32" s="19"/>
      <c r="F32" s="19"/>
      <c r="G32" s="9"/>
      <c r="H32" s="7"/>
      <c r="I32" s="11"/>
      <c r="J32" s="7"/>
      <c r="K32" s="20">
        <f>IF(OR(A32="",P32+R32&lt;=0),"",P32+R32)</f>
      </c>
      <c r="L32" s="20">
        <f>IF(OR(A32="",S32=0),"",S32)</f>
      </c>
      <c r="M32" s="21">
        <f>IF(OR(A32="",AND(P32+R32=0,S32=0)),"",IF(T32&lt;0,"-","+")&amp;TEXT(ABS(T32),"[h]:mm"))</f>
      </c>
      <c r="N32" s="22">
        <f>IF(A32="","",IF(Q32&lt;&gt;"","Feiertag: "&amp;Q32&amp;IF(Z32&lt;&gt;"","; ",""),"")&amp;IF(Z32&lt;&gt;"",LEFT(Z32,LEN(Z32)-2),""))</f>
      </c>
      <c r="O32" s="1"/>
      <c r="P32" s="1">
        <f>IF(A32="",0,ROUND((IF(AND(ISNUMBER(C32),ISNUMBER(D32)),MOD(D32-C32,1),0)+IF(AND(ISNUMBER(E32),ISNUMBER(F32)),MOD(F32-E32,1),0)-IF(ISNUMBER(G32),G32,0)/1440)*1440,0)/1440)</f>
      </c>
      <c r="Q32" s="1">
        <f>IF(A32="","",IFERROR(INDEX(FeiertagNamen,MATCH(A32,FeiertagDaten,0)),""))</f>
      </c>
      <c r="R32" s="1">
        <f>IF(OR(H32="Urlaub",H32="Krank",H32="Bezahlt frei"),S32,IF(H32="Halber Urlaubstag",ROUND(S32*720,0)/1440,0))</f>
      </c>
      <c r="S32" s="1">
        <f>IF(OR(A32="",Q32&lt;&gt;"",H32="Unbezahlt",AA32=0),0,ROUND(CHOOSE(WEEKDAY(A32,2),N(SollMo),N(SollDi),N(SollMi),N(SollDo),N(SollFr),N(SollSa),N(SollSo))*1440,0)/1440)</f>
      </c>
      <c r="T32" s="1">
        <f>P32+R32-S32</f>
      </c>
      <c r="U32" s="1">
        <f>IF(OR(A32="",NOT(ISNUMBER(C32)),NOT(ISNUMBER(D32))),"",A32+IF(AND(ISNUMBER(E32),ISNUMBER(F32)),F32+IF(E32&lt;C32,1,0)+IF(F32&lt;E32,1,0),D32+IF(D32&lt;C32,1,0)))</f>
      </c>
      <c r="V32" s="1">
        <f>IF(OR(A32="",NOT(ISNUMBER(C32))),"",A32+C32)</f>
      </c>
      <c r="W32" s="1">
        <f>IF(OR(V32="",X31=0),"",ROUND((V32-X31)*1440,0))</f>
      </c>
      <c r="X32" s="1">
        <f>MAX(X31,N(U32))</f>
      </c>
      <c r="Y32" s="1">
        <f>IF(ISNUMBER(G32),G32,0)+IF(AND(ISNUMBER(D32),ISNUMBER(E32)),MAX(0,ROUND((E32+IF(E32&lt;C32,1,0)-D32-IF(D32&lt;C32,1,0))*1440,0)),0)</f>
      </c>
      <c r="Z32" s="1">
        <f>IF(A32="","",IF(OR(ISNUMBER(C32)&lt;&gt;ISNUMBER(D32),ISNUMBER(E32)&lt;&gt;ISNUMBER(F32)),"Beginn oder Ende fehlt; ","")&amp;IF(P32&lt;0,"Pause länger als Arbeitszeit; ","")&amp;IF(AND(ROUND(P32*1440,0)&gt;360,ROUND(P32*1440,0)&lt;=540,Y32&lt;30),"Pause unter 30 Min. (§ 4); ","")&amp;IF(AND(ROUND(P32*1440,0)&gt;540,Y32&lt;45),"Pause unter 45 Min. (§ 4); ","")&amp;IF(ROUND(P32*1440,0)&gt;600,"über 10 Std. (§ 3); ","")&amp;IF(W32="","",IF(W32&lt;0,"beginnt vor Ende des Vortags; ",IF(W32&lt;660,"Ruhezeit unter 11 Std. (§ 5); ","")))&amp;IF(AND(ISNUMBER(I32),ROUND(N(I32)*1440,0)&gt;ROUND(P32*1440,0)),"Fahrzeit über Arbeitszeit; ","")&amp;IF(AND(OR(H32="Urlaub",H32="Krank",H32="Bezahlt frei"),ROUND(P32*1440,0)&gt;0),"Abwesenheit und Arbeitszeit; ","")&amp;IF(AND(H32&lt;&gt;"",H32&lt;&gt;"Unbezahlt",S32=0),"Abwesenheit an freiem Tag zählt nicht; ",""))</f>
      </c>
      <c r="AA32" s="1">
        <f>IF(A32="",0,IF(OR(A32&lt;=TODAY(),COUNTA(C32:J32)&gt;0),1,0))</f>
      </c>
    </row>
    <row r="33" spans="1:27" x14ac:dyDescent="0.25">
      <c r="A33" s="17">
        <f>IF(MONTH(DATE(Jahr,12,29))=12,DATE(Jahr,12,29),"")</f>
      </c>
      <c r="B33" s="18">
        <f>IF(A33="","",CHOOSE(WEEKDAY(A33,2),"Mo","Di","Mi","Do","Fr","Sa","So"))</f>
      </c>
      <c r="C33" s="19"/>
      <c r="D33" s="19"/>
      <c r="E33" s="19"/>
      <c r="F33" s="19"/>
      <c r="G33" s="9"/>
      <c r="H33" s="7"/>
      <c r="I33" s="11"/>
      <c r="J33" s="7"/>
      <c r="K33" s="20">
        <f>IF(OR(A33="",P33+R33&lt;=0),"",P33+R33)</f>
      </c>
      <c r="L33" s="20">
        <f>IF(OR(A33="",S33=0),"",S33)</f>
      </c>
      <c r="M33" s="21">
        <f>IF(OR(A33="",AND(P33+R33=0,S33=0)),"",IF(T33&lt;0,"-","+")&amp;TEXT(ABS(T33),"[h]:mm"))</f>
      </c>
      <c r="N33" s="22">
        <f>IF(A33="","",IF(Q33&lt;&gt;"","Feiertag: "&amp;Q33&amp;IF(Z33&lt;&gt;"","; ",""),"")&amp;IF(Z33&lt;&gt;"",LEFT(Z33,LEN(Z33)-2),""))</f>
      </c>
      <c r="O33" s="1"/>
      <c r="P33" s="1">
        <f>IF(A33="",0,ROUND((IF(AND(ISNUMBER(C33),ISNUMBER(D33)),MOD(D33-C33,1),0)+IF(AND(ISNUMBER(E33),ISNUMBER(F33)),MOD(F33-E33,1),0)-IF(ISNUMBER(G33),G33,0)/1440)*1440,0)/1440)</f>
      </c>
      <c r="Q33" s="1">
        <f>IF(A33="","",IFERROR(INDEX(FeiertagNamen,MATCH(A33,FeiertagDaten,0)),""))</f>
      </c>
      <c r="R33" s="1">
        <f>IF(OR(H33="Urlaub",H33="Krank",H33="Bezahlt frei"),S33,IF(H33="Halber Urlaubstag",ROUND(S33*720,0)/1440,0))</f>
      </c>
      <c r="S33" s="1">
        <f>IF(OR(A33="",Q33&lt;&gt;"",H33="Unbezahlt",AA33=0),0,ROUND(CHOOSE(WEEKDAY(A33,2),N(SollMo),N(SollDi),N(SollMi),N(SollDo),N(SollFr),N(SollSa),N(SollSo))*1440,0)/1440)</f>
      </c>
      <c r="T33" s="1">
        <f>P33+R33-S33</f>
      </c>
      <c r="U33" s="1">
        <f>IF(OR(A33="",NOT(ISNUMBER(C33)),NOT(ISNUMBER(D33))),"",A33+IF(AND(ISNUMBER(E33),ISNUMBER(F33)),F33+IF(E33&lt;C33,1,0)+IF(F33&lt;E33,1,0),D33+IF(D33&lt;C33,1,0)))</f>
      </c>
      <c r="V33" s="1">
        <f>IF(OR(A33="",NOT(ISNUMBER(C33))),"",A33+C33)</f>
      </c>
      <c r="W33" s="1">
        <f>IF(OR(V33="",X32=0),"",ROUND((V33-X32)*1440,0))</f>
      </c>
      <c r="X33" s="1">
        <f>MAX(X32,N(U33))</f>
      </c>
      <c r="Y33" s="1">
        <f>IF(ISNUMBER(G33),G33,0)+IF(AND(ISNUMBER(D33),ISNUMBER(E33)),MAX(0,ROUND((E33+IF(E33&lt;C33,1,0)-D33-IF(D33&lt;C33,1,0))*1440,0)),0)</f>
      </c>
      <c r="Z33" s="1">
        <f>IF(A33="","",IF(OR(ISNUMBER(C33)&lt;&gt;ISNUMBER(D33),ISNUMBER(E33)&lt;&gt;ISNUMBER(F33)),"Beginn oder Ende fehlt; ","")&amp;IF(P33&lt;0,"Pause länger als Arbeitszeit; ","")&amp;IF(AND(ROUND(P33*1440,0)&gt;360,ROUND(P33*1440,0)&lt;=540,Y33&lt;30),"Pause unter 30 Min. (§ 4); ","")&amp;IF(AND(ROUND(P33*1440,0)&gt;540,Y33&lt;45),"Pause unter 45 Min. (§ 4); ","")&amp;IF(ROUND(P33*1440,0)&gt;600,"über 10 Std. (§ 3); ","")&amp;IF(W33="","",IF(W33&lt;0,"beginnt vor Ende des Vortags; ",IF(W33&lt;660,"Ruhezeit unter 11 Std. (§ 5); ","")))&amp;IF(AND(ISNUMBER(I33),ROUND(N(I33)*1440,0)&gt;ROUND(P33*1440,0)),"Fahrzeit über Arbeitszeit; ","")&amp;IF(AND(OR(H33="Urlaub",H33="Krank",H33="Bezahlt frei"),ROUND(P33*1440,0)&gt;0),"Abwesenheit und Arbeitszeit; ","")&amp;IF(AND(H33&lt;&gt;"",H33&lt;&gt;"Unbezahlt",S33=0),"Abwesenheit an freiem Tag zählt nicht; ",""))</f>
      </c>
      <c r="AA33" s="1">
        <f>IF(A33="",0,IF(OR(A33&lt;=TODAY(),COUNTA(C33:J33)&gt;0),1,0))</f>
      </c>
    </row>
    <row r="34" spans="1:27" x14ac:dyDescent="0.25">
      <c r="A34" s="17">
        <f>IF(MONTH(DATE(Jahr,12,30))=12,DATE(Jahr,12,30),"")</f>
      </c>
      <c r="B34" s="18">
        <f>IF(A34="","",CHOOSE(WEEKDAY(A34,2),"Mo","Di","Mi","Do","Fr","Sa","So"))</f>
      </c>
      <c r="C34" s="19"/>
      <c r="D34" s="19"/>
      <c r="E34" s="19"/>
      <c r="F34" s="19"/>
      <c r="G34" s="9"/>
      <c r="H34" s="7"/>
      <c r="I34" s="11"/>
      <c r="J34" s="7"/>
      <c r="K34" s="20">
        <f>IF(OR(A34="",P34+R34&lt;=0),"",P34+R34)</f>
      </c>
      <c r="L34" s="20">
        <f>IF(OR(A34="",S34=0),"",S34)</f>
      </c>
      <c r="M34" s="21">
        <f>IF(OR(A34="",AND(P34+R34=0,S34=0)),"",IF(T34&lt;0,"-","+")&amp;TEXT(ABS(T34),"[h]:mm"))</f>
      </c>
      <c r="N34" s="22">
        <f>IF(A34="","",IF(Q34&lt;&gt;"","Feiertag: "&amp;Q34&amp;IF(Z34&lt;&gt;"","; ",""),"")&amp;IF(Z34&lt;&gt;"",LEFT(Z34,LEN(Z34)-2),""))</f>
      </c>
      <c r="O34" s="1"/>
      <c r="P34" s="1">
        <f>IF(A34="",0,ROUND((IF(AND(ISNUMBER(C34),ISNUMBER(D34)),MOD(D34-C34,1),0)+IF(AND(ISNUMBER(E34),ISNUMBER(F34)),MOD(F34-E34,1),0)-IF(ISNUMBER(G34),G34,0)/1440)*1440,0)/1440)</f>
      </c>
      <c r="Q34" s="1">
        <f>IF(A34="","",IFERROR(INDEX(FeiertagNamen,MATCH(A34,FeiertagDaten,0)),""))</f>
      </c>
      <c r="R34" s="1">
        <f>IF(OR(H34="Urlaub",H34="Krank",H34="Bezahlt frei"),S34,IF(H34="Halber Urlaubstag",ROUND(S34*720,0)/1440,0))</f>
      </c>
      <c r="S34" s="1">
        <f>IF(OR(A34="",Q34&lt;&gt;"",H34="Unbezahlt",AA34=0),0,ROUND(CHOOSE(WEEKDAY(A34,2),N(SollMo),N(SollDi),N(SollMi),N(SollDo),N(SollFr),N(SollSa),N(SollSo))*1440,0)/1440)</f>
      </c>
      <c r="T34" s="1">
        <f>P34+R34-S34</f>
      </c>
      <c r="U34" s="1">
        <f>IF(OR(A34="",NOT(ISNUMBER(C34)),NOT(ISNUMBER(D34))),"",A34+IF(AND(ISNUMBER(E34),ISNUMBER(F34)),F34+IF(E34&lt;C34,1,0)+IF(F34&lt;E34,1,0),D34+IF(D34&lt;C34,1,0)))</f>
      </c>
      <c r="V34" s="1">
        <f>IF(OR(A34="",NOT(ISNUMBER(C34))),"",A34+C34)</f>
      </c>
      <c r="W34" s="1">
        <f>IF(OR(V34="",X33=0),"",ROUND((V34-X33)*1440,0))</f>
      </c>
      <c r="X34" s="1">
        <f>MAX(X33,N(U34))</f>
      </c>
      <c r="Y34" s="1">
        <f>IF(ISNUMBER(G34),G34,0)+IF(AND(ISNUMBER(D34),ISNUMBER(E34)),MAX(0,ROUND((E34+IF(E34&lt;C34,1,0)-D34-IF(D34&lt;C34,1,0))*1440,0)),0)</f>
      </c>
      <c r="Z34" s="1">
        <f>IF(A34="","",IF(OR(ISNUMBER(C34)&lt;&gt;ISNUMBER(D34),ISNUMBER(E34)&lt;&gt;ISNUMBER(F34)),"Beginn oder Ende fehlt; ","")&amp;IF(P34&lt;0,"Pause länger als Arbeitszeit; ","")&amp;IF(AND(ROUND(P34*1440,0)&gt;360,ROUND(P34*1440,0)&lt;=540,Y34&lt;30),"Pause unter 30 Min. (§ 4); ","")&amp;IF(AND(ROUND(P34*1440,0)&gt;540,Y34&lt;45),"Pause unter 45 Min. (§ 4); ","")&amp;IF(ROUND(P34*1440,0)&gt;600,"über 10 Std. (§ 3); ","")&amp;IF(W34="","",IF(W34&lt;0,"beginnt vor Ende des Vortags; ",IF(W34&lt;660,"Ruhezeit unter 11 Std. (§ 5); ","")))&amp;IF(AND(ISNUMBER(I34),ROUND(N(I34)*1440,0)&gt;ROUND(P34*1440,0)),"Fahrzeit über Arbeitszeit; ","")&amp;IF(AND(OR(H34="Urlaub",H34="Krank",H34="Bezahlt frei"),ROUND(P34*1440,0)&gt;0),"Abwesenheit und Arbeitszeit; ","")&amp;IF(AND(H34&lt;&gt;"",H34&lt;&gt;"Unbezahlt",S34=0),"Abwesenheit an freiem Tag zählt nicht; ",""))</f>
      </c>
      <c r="AA34" s="1">
        <f>IF(A34="",0,IF(OR(A34&lt;=TODAY(),COUNTA(C34:J34)&gt;0),1,0))</f>
      </c>
    </row>
    <row r="35" spans="1:27" x14ac:dyDescent="0.25">
      <c r="A35" s="17">
        <f>IF(MONTH(DATE(Jahr,12,31))=12,DATE(Jahr,12,31),"")</f>
      </c>
      <c r="B35" s="18">
        <f>IF(A35="","",CHOOSE(WEEKDAY(A35,2),"Mo","Di","Mi","Do","Fr","Sa","So"))</f>
      </c>
      <c r="C35" s="19"/>
      <c r="D35" s="19"/>
      <c r="E35" s="19"/>
      <c r="F35" s="19"/>
      <c r="G35" s="9"/>
      <c r="H35" s="7"/>
      <c r="I35" s="11"/>
      <c r="J35" s="7"/>
      <c r="K35" s="20">
        <f>IF(OR(A35="",P35+R35&lt;=0),"",P35+R35)</f>
      </c>
      <c r="L35" s="20">
        <f>IF(OR(A35="",S35=0),"",S35)</f>
      </c>
      <c r="M35" s="21">
        <f>IF(OR(A35="",AND(P35+R35=0,S35=0)),"",IF(T35&lt;0,"-","+")&amp;TEXT(ABS(T35),"[h]:mm"))</f>
      </c>
      <c r="N35" s="22">
        <f>IF(A35="","",IF(Q35&lt;&gt;"","Feiertag: "&amp;Q35&amp;IF(Z35&lt;&gt;"","; ",""),"")&amp;IF(Z35&lt;&gt;"",LEFT(Z35,LEN(Z35)-2),""))</f>
      </c>
      <c r="O35" s="1"/>
      <c r="P35" s="1">
        <f>IF(A35="",0,ROUND((IF(AND(ISNUMBER(C35),ISNUMBER(D35)),MOD(D35-C35,1),0)+IF(AND(ISNUMBER(E35),ISNUMBER(F35)),MOD(F35-E35,1),0)-IF(ISNUMBER(G35),G35,0)/1440)*1440,0)/1440)</f>
      </c>
      <c r="Q35" s="1">
        <f>IF(A35="","",IFERROR(INDEX(FeiertagNamen,MATCH(A35,FeiertagDaten,0)),""))</f>
      </c>
      <c r="R35" s="1">
        <f>IF(OR(H35="Urlaub",H35="Krank",H35="Bezahlt frei"),S35,IF(H35="Halber Urlaubstag",ROUND(S35*720,0)/1440,0))</f>
      </c>
      <c r="S35" s="1">
        <f>IF(OR(A35="",Q35&lt;&gt;"",H35="Unbezahlt",AA35=0),0,ROUND(CHOOSE(WEEKDAY(A35,2),N(SollMo),N(SollDi),N(SollMi),N(SollDo),N(SollFr),N(SollSa),N(SollSo))*1440,0)/1440)</f>
      </c>
      <c r="T35" s="1">
        <f>P35+R35-S35</f>
      </c>
      <c r="U35" s="1">
        <f>IF(OR(A35="",NOT(ISNUMBER(C35)),NOT(ISNUMBER(D35))),"",A35+IF(AND(ISNUMBER(E35),ISNUMBER(F35)),F35+IF(E35&lt;C35,1,0)+IF(F35&lt;E35,1,0),D35+IF(D35&lt;C35,1,0)))</f>
      </c>
      <c r="V35" s="1">
        <f>IF(OR(A35="",NOT(ISNUMBER(C35))),"",A35+C35)</f>
      </c>
      <c r="W35" s="1">
        <f>IF(OR(V35="",X34=0),"",ROUND((V35-X34)*1440,0))</f>
      </c>
      <c r="X35" s="1">
        <f>MAX(X34,N(U35))</f>
      </c>
      <c r="Y35" s="1">
        <f>IF(ISNUMBER(G35),G35,0)+IF(AND(ISNUMBER(D35),ISNUMBER(E35)),MAX(0,ROUND((E35+IF(E35&lt;C35,1,0)-D35-IF(D35&lt;C35,1,0))*1440,0)),0)</f>
      </c>
      <c r="Z35" s="1">
        <f>IF(A35="","",IF(OR(ISNUMBER(C35)&lt;&gt;ISNUMBER(D35),ISNUMBER(E35)&lt;&gt;ISNUMBER(F35)),"Beginn oder Ende fehlt; ","")&amp;IF(P35&lt;0,"Pause länger als Arbeitszeit; ","")&amp;IF(AND(ROUND(P35*1440,0)&gt;360,ROUND(P35*1440,0)&lt;=540,Y35&lt;30),"Pause unter 30 Min. (§ 4); ","")&amp;IF(AND(ROUND(P35*1440,0)&gt;540,Y35&lt;45),"Pause unter 45 Min. (§ 4); ","")&amp;IF(ROUND(P35*1440,0)&gt;600,"über 10 Std. (§ 3); ","")&amp;IF(W35="","",IF(W35&lt;0,"beginnt vor Ende des Vortags; ",IF(W35&lt;660,"Ruhezeit unter 11 Std. (§ 5); ","")))&amp;IF(AND(ISNUMBER(I35),ROUND(N(I35)*1440,0)&gt;ROUND(P35*1440,0)),"Fahrzeit über Arbeitszeit; ","")&amp;IF(AND(OR(H35="Urlaub",H35="Krank",H35="Bezahlt frei"),ROUND(P35*1440,0)&gt;0),"Abwesenheit und Arbeitszeit; ","")&amp;IF(AND(H35&lt;&gt;"",H35&lt;&gt;"Unbezahlt",S35=0),"Abwesenheit an freiem Tag zählt nicht; ",""))</f>
      </c>
      <c r="AA35" s="1">
        <f>IF(A35="",0,IF(OR(A35&lt;=TODAY(),COUNTA(C35:J35)&gt;0),1,0))</f>
      </c>
    </row>
    <row r="37" spans="1:2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23">
        <f>SUM(I5:I35)</f>
      </c>
      <c r="J37" s="1"/>
      <c r="K37" s="23">
        <f>SUM(P5:P35)+SUM(R5:R35)</f>
      </c>
      <c r="L37" s="23">
        <f>SUM(S5:S35)</f>
      </c>
      <c r="M37" s="24">
        <f>IF(T37&lt;0,"-","+")&amp;TEXT(ABS(T37),"[h]:mm")</f>
      </c>
      <c r="N37" s="1"/>
      <c r="O37" s="1"/>
      <c r="P37" s="1"/>
      <c r="Q37" s="1"/>
      <c r="R37" s="1"/>
      <c r="S37" s="1"/>
      <c r="T37" s="1">
        <f>SUM(T5:T35)</f>
      </c>
    </row>
    <row r="38" spans="1:7" x14ac:dyDescent="0.25">
      <c r="A38" s="1"/>
      <c r="B38" s="1"/>
      <c r="C38" s="1"/>
      <c r="D38" s="1"/>
      <c r="E38" s="25" t="s">
        <v>60</v>
      </c>
      <c r="F38" s="1"/>
      <c r="G38" s="25" t="s">
        <v>61</v>
      </c>
    </row>
    <row r="39" spans="1:11" x14ac:dyDescent="0.25">
      <c r="A39" s="6" t="s">
        <v>62</v>
      </c>
      <c r="B39" s="6"/>
      <c r="C39" s="6"/>
      <c r="D39" s="6"/>
      <c r="E39" s="26">
        <f>K37</f>
      </c>
      <c r="F39" s="1"/>
      <c r="G39" s="27">
        <f>ROUND(K37*24,2)</f>
      </c>
      <c r="H39" s="1"/>
      <c r="I39" s="1"/>
      <c r="J39" s="6" t="s">
        <v>63</v>
      </c>
      <c r="K39" s="28">
        <f>COUNTIFS(H5:H35,"Urlaub",S5:S35,"&gt;0")+0.5*COUNTIFS(H5:H35,"Halber Urlaubstag",S5:S35,"&gt;0")</f>
      </c>
    </row>
    <row r="40" spans="1:20" x14ac:dyDescent="0.25">
      <c r="A40" s="6" t="s">
        <v>56</v>
      </c>
      <c r="B40" s="6"/>
      <c r="C40" s="6"/>
      <c r="D40" s="6"/>
      <c r="E40" s="26">
        <f>L37</f>
      </c>
      <c r="F40" s="1"/>
      <c r="G40" s="27">
        <f>ROUND(L37*24,2)</f>
      </c>
      <c r="H40" s="1"/>
      <c r="I40" s="1"/>
      <c r="J40" s="6" t="s">
        <v>64</v>
      </c>
      <c r="K40" s="29">
        <f>COUNTIFS(H5:H35,"Krank",S5:S35,"&gt;0")</f>
      </c>
      <c r="L40" s="1"/>
      <c r="M40" s="1"/>
      <c r="N40" s="1"/>
      <c r="O40" s="1"/>
      <c r="P40" s="1"/>
      <c r="Q40" s="1"/>
      <c r="R40" s="1"/>
      <c r="S40" s="1"/>
      <c r="T40" s="1">
        <f>'November'!$T$41</f>
      </c>
    </row>
    <row r="41" spans="1:20" x14ac:dyDescent="0.25">
      <c r="A41" s="6" t="s">
        <v>65</v>
      </c>
      <c r="B41" s="6"/>
      <c r="C41" s="6"/>
      <c r="D41" s="6"/>
      <c r="E41" s="30">
        <f>IF(T37&lt;0,"-","+")&amp;TEXT(ABS(T37),"[h]:mm")</f>
      </c>
      <c r="F41" s="1"/>
      <c r="G41" s="27">
        <f>ROUND(T37*24,2)</f>
      </c>
      <c r="H41" s="1"/>
      <c r="I41" s="1"/>
      <c r="J41" s="6" t="s">
        <v>66</v>
      </c>
      <c r="K41" s="26">
        <f>I37</f>
      </c>
      <c r="L41" s="1"/>
      <c r="M41" s="1"/>
      <c r="N41" s="1"/>
      <c r="O41" s="1"/>
      <c r="P41" s="1"/>
      <c r="Q41" s="1"/>
      <c r="R41" s="1"/>
      <c r="S41" s="1"/>
      <c r="T41" s="1">
        <f>T37+T40</f>
      </c>
    </row>
    <row r="42" spans="1:7" x14ac:dyDescent="0.25">
      <c r="A42" s="6" t="s">
        <v>67</v>
      </c>
      <c r="B42" s="6"/>
      <c r="C42" s="6"/>
      <c r="D42" s="6"/>
      <c r="E42" s="30">
        <f>IF(T40&lt;0,"-","+")&amp;TEXT(ABS(T40),"[h]:mm")</f>
      </c>
      <c r="F42" s="1"/>
      <c r="G42" s="27">
        <f>ROUND(T40*24,2)</f>
      </c>
    </row>
    <row r="43" spans="1:7" x14ac:dyDescent="0.25">
      <c r="A43" s="10" t="s">
        <v>68</v>
      </c>
      <c r="B43" s="10"/>
      <c r="C43" s="10"/>
      <c r="D43" s="10"/>
      <c r="E43" s="31">
        <f>IF(T41&lt;0,"-","+")&amp;TEXT(ABS(T41),"[h]:mm")</f>
      </c>
      <c r="F43" s="1"/>
      <c r="G43" s="32">
        <f>ROUND(T41*24,2)</f>
      </c>
    </row>
    <row r="47" spans="1:14" x14ac:dyDescent="0.25">
      <c r="A47" s="33"/>
      <c r="B47" s="33"/>
      <c r="C47" s="33"/>
      <c r="D47" s="33"/>
      <c r="E47" s="33"/>
      <c r="F47" s="33"/>
      <c r="J47" s="33"/>
      <c r="K47" s="33"/>
      <c r="L47" s="33"/>
      <c r="M47" s="33"/>
      <c r="N47" s="33"/>
    </row>
    <row r="48" spans="1:10" x14ac:dyDescent="0.25">
      <c r="A48" s="34" t="s">
        <v>69</v>
      </c>
      <c r="B48" s="1"/>
      <c r="C48" s="1"/>
      <c r="D48" s="1"/>
      <c r="E48" s="1"/>
      <c r="F48" s="1"/>
      <c r="G48" s="1"/>
      <c r="H48" s="1"/>
      <c r="I48" s="1"/>
      <c r="J48" s="34" t="s">
        <v>70</v>
      </c>
    </row>
  </sheetData>
  <sheetProtection sheet="1" formatCells="0" formatColumns="0" formatRows="0"/>
  <mergeCells count="5">
    <mergeCell ref="A39:D39"/>
    <mergeCell ref="A40:D40"/>
    <mergeCell ref="A41:D41"/>
    <mergeCell ref="A42:D42"/>
    <mergeCell ref="A43:D43"/>
  </mergeCells>
  <conditionalFormatting sqref="A5:M35">
    <cfRule type="expression" dxfId="99" priority="1">
      <formula>$A5=""</formula>
    </cfRule>
    <cfRule type="expression" dxfId="100" priority="2">
      <formula>$Q5&lt;&gt;""</formula>
    </cfRule>
    <cfRule type="expression" dxfId="101" priority="3">
      <formula>WEEKDAY($A5,2)&gt;5</formula>
    </cfRule>
  </conditionalFormatting>
  <conditionalFormatting sqref="N5:N35">
    <cfRule type="expression" dxfId="102" priority="4">
      <formula>$A5=""</formula>
    </cfRule>
    <cfRule type="expression" dxfId="103" priority="5">
      <formula>AND($Z5&lt;&gt;"",$Q5&lt;&gt;"")</formula>
    </cfRule>
    <cfRule type="expression" dxfId="104" priority="6">
      <formula>AND($Z5&lt;&gt;"",WEEKDAY($A5,2)&gt;5)</formula>
    </cfRule>
    <cfRule type="expression" dxfId="105" priority="7">
      <formula>$Z5&lt;&gt;""</formula>
    </cfRule>
    <cfRule type="expression" dxfId="106" priority="8">
      <formula>$Q5&lt;&gt;""</formula>
    </cfRule>
    <cfRule type="expression" dxfId="107" priority="9">
      <formula>WEEKDAY($A5,2)&gt;5</formula>
    </cfRule>
  </conditionalFormatting>
  <dataValidations count="8">
    <dataValidation type="decimal" allowBlank="1" showErrorMessage="1" errorTitle="Uhrzeit" error="Bitte als Uhrzeit hh:mm eingeben, z. B. 7:30 oder 16:45." sqref="C10:F35">
      <formula1>0</formula1>
      <formula2>0.99999</formula2>
    </dataValidation>
    <dataValidation type="decimal" allowBlank="1" showErrorMessage="1" errorTitle="Uhrzeit" error="Bitte als Uhrzeit hh:mm eingeben, z. B. 7:30 oder 16:45." sqref="C5:F35">
      <formula1>0</formula1>
      <formula2>0.99999</formula2>
    </dataValidation>
    <dataValidation type="whole" allowBlank="1" showErrorMessage="1" errorTitle="Pause" error="Bitte die Pause in ganzen Minuten eintragen, z. B. 30." sqref="G10:G35">
      <formula1>0</formula1>
      <formula2>720</formula2>
    </dataValidation>
    <dataValidation type="whole" allowBlank="1" showErrorMessage="1" errorTitle="Pause" error="Bitte die Pause in ganzen Minuten eintragen, z. B. 30." sqref="G5:G35">
      <formula1>0</formula1>
      <formula2>720</formula2>
    </dataValidation>
    <dataValidation type="list" allowBlank="1" showErrorMessage="1" errorTitle="Abwesenheit" error="Bitte aus der Liste wählen." sqref="H10:H35">
      <formula1>"Urlaub,Halber Urlaubstag,Krank,Freizeitausgleich,Bezahlt frei,Unbezahlt"</formula1>
    </dataValidation>
    <dataValidation type="list" allowBlank="1" showErrorMessage="1" errorTitle="Abwesenheit" error="Bitte aus der Liste wählen." sqref="H5:H35">
      <formula1>"Urlaub,Halber Urlaubstag,Krank,Freizeitausgleich,Bezahlt frei,Unbezahlt"</formula1>
    </dataValidation>
    <dataValidation type="decimal" allowBlank="1" showErrorMessage="1" errorTitle="Fahrzeit" error="Bitte als Stunden:Minuten eintragen, z. B. 1:15." sqref="I10:I35">
      <formula1>0</formula1>
      <formula2>0.99999</formula2>
    </dataValidation>
    <dataValidation type="decimal" allowBlank="1" showErrorMessage="1" errorTitle="Fahrzeit" error="Bitte als Stunden:Minuten eintragen, z. B. 1:15." sqref="I5:I35">
      <formula1>0</formula1>
      <formula2>0.99999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 showGridLines="0"/>
  </sheetViews>
  <sheetFormatPr defaultRowHeight="15" outlineLevelRow="0" outlineLevelCol="0" x14ac:dyDescent="55"/>
  <cols>
    <col min="1" max="1" width="16" customWidth="1"/>
    <col min="2" max="10" width="12" customWidth="1"/>
  </cols>
  <sheetData>
    <row r="1" spans="1:1" x14ac:dyDescent="0.25">
      <c r="A1" s="5">
        <f>"Jahresübersicht "&amp;Jahr&amp;IF(MitarbeiterName="",""," · "&amp;MitarbeiterName)</f>
      </c>
    </row>
    <row r="3" spans="1:9" x14ac:dyDescent="0.25">
      <c r="A3" s="16" t="s">
        <v>71</v>
      </c>
      <c r="B3" s="16" t="s">
        <v>56</v>
      </c>
      <c r="C3" s="16" t="s">
        <v>55</v>
      </c>
      <c r="D3" s="16" t="s">
        <v>72</v>
      </c>
      <c r="E3" s="16" t="s">
        <v>68</v>
      </c>
      <c r="F3" s="16" t="s">
        <v>73</v>
      </c>
      <c r="G3" s="16" t="s">
        <v>63</v>
      </c>
      <c r="H3" s="16" t="s">
        <v>74</v>
      </c>
      <c r="I3" s="16" t="s">
        <v>66</v>
      </c>
    </row>
    <row r="4" spans="1:9" x14ac:dyDescent="0.25">
      <c r="A4" s="18" t="s">
        <v>75</v>
      </c>
      <c r="B4" s="20">
        <f>'Januar'!L37</f>
      </c>
      <c r="C4" s="20">
        <f>'Januar'!K37</f>
      </c>
      <c r="D4" s="21">
        <f>'Januar'!M37</f>
      </c>
      <c r="E4" s="21">
        <f>'Januar'!E43</f>
      </c>
      <c r="F4" s="35">
        <f>'Januar'!G43</f>
      </c>
      <c r="G4" s="36">
        <f>'Januar'!K39</f>
      </c>
      <c r="H4" s="21">
        <f>'Januar'!K40</f>
      </c>
      <c r="I4" s="20">
        <f>'Januar'!K41</f>
      </c>
    </row>
    <row r="5" spans="1:9" x14ac:dyDescent="0.25">
      <c r="A5" s="18" t="s">
        <v>76</v>
      </c>
      <c r="B5" s="20">
        <f>'Februar'!L37</f>
      </c>
      <c r="C5" s="20">
        <f>'Februar'!K37</f>
      </c>
      <c r="D5" s="21">
        <f>'Februar'!M37</f>
      </c>
      <c r="E5" s="21">
        <f>'Februar'!E43</f>
      </c>
      <c r="F5" s="35">
        <f>'Februar'!G43</f>
      </c>
      <c r="G5" s="36">
        <f>'Februar'!K39</f>
      </c>
      <c r="H5" s="21">
        <f>'Februar'!K40</f>
      </c>
      <c r="I5" s="20">
        <f>'Februar'!K41</f>
      </c>
    </row>
    <row r="6" spans="1:9" x14ac:dyDescent="0.25">
      <c r="A6" s="18" t="s">
        <v>77</v>
      </c>
      <c r="B6" s="20">
        <f>'März'!L37</f>
      </c>
      <c r="C6" s="20">
        <f>'März'!K37</f>
      </c>
      <c r="D6" s="21">
        <f>'März'!M37</f>
      </c>
      <c r="E6" s="21">
        <f>'März'!E43</f>
      </c>
      <c r="F6" s="35">
        <f>'März'!G43</f>
      </c>
      <c r="G6" s="36">
        <f>'März'!K39</f>
      </c>
      <c r="H6" s="21">
        <f>'März'!K40</f>
      </c>
      <c r="I6" s="20">
        <f>'März'!K41</f>
      </c>
    </row>
    <row r="7" spans="1:9" x14ac:dyDescent="0.25">
      <c r="A7" s="18" t="s">
        <v>78</v>
      </c>
      <c r="B7" s="20">
        <f>'April'!L37</f>
      </c>
      <c r="C7" s="20">
        <f>'April'!K37</f>
      </c>
      <c r="D7" s="21">
        <f>'April'!M37</f>
      </c>
      <c r="E7" s="21">
        <f>'April'!E43</f>
      </c>
      <c r="F7" s="35">
        <f>'April'!G43</f>
      </c>
      <c r="G7" s="36">
        <f>'April'!K39</f>
      </c>
      <c r="H7" s="21">
        <f>'April'!K40</f>
      </c>
      <c r="I7" s="20">
        <f>'April'!K41</f>
      </c>
    </row>
    <row r="8" spans="1:9" x14ac:dyDescent="0.25">
      <c r="A8" s="18" t="s">
        <v>79</v>
      </c>
      <c r="B8" s="20">
        <f>'Mai'!L37</f>
      </c>
      <c r="C8" s="20">
        <f>'Mai'!K37</f>
      </c>
      <c r="D8" s="21">
        <f>'Mai'!M37</f>
      </c>
      <c r="E8" s="21">
        <f>'Mai'!E43</f>
      </c>
      <c r="F8" s="35">
        <f>'Mai'!G43</f>
      </c>
      <c r="G8" s="36">
        <f>'Mai'!K39</f>
      </c>
      <c r="H8" s="21">
        <f>'Mai'!K40</f>
      </c>
      <c r="I8" s="20">
        <f>'Mai'!K41</f>
      </c>
    </row>
    <row r="9" spans="1:9" x14ac:dyDescent="0.25">
      <c r="A9" s="18" t="s">
        <v>80</v>
      </c>
      <c r="B9" s="20">
        <f>'Juni'!L37</f>
      </c>
      <c r="C9" s="20">
        <f>'Juni'!K37</f>
      </c>
      <c r="D9" s="21">
        <f>'Juni'!M37</f>
      </c>
      <c r="E9" s="21">
        <f>'Juni'!E43</f>
      </c>
      <c r="F9" s="35">
        <f>'Juni'!G43</f>
      </c>
      <c r="G9" s="36">
        <f>'Juni'!K39</f>
      </c>
      <c r="H9" s="21">
        <f>'Juni'!K40</f>
      </c>
      <c r="I9" s="20">
        <f>'Juni'!K41</f>
      </c>
    </row>
    <row r="10" spans="1:9" x14ac:dyDescent="0.25">
      <c r="A10" s="18" t="s">
        <v>81</v>
      </c>
      <c r="B10" s="20">
        <f>'Juli'!L37</f>
      </c>
      <c r="C10" s="20">
        <f>'Juli'!K37</f>
      </c>
      <c r="D10" s="21">
        <f>'Juli'!M37</f>
      </c>
      <c r="E10" s="21">
        <f>'Juli'!E43</f>
      </c>
      <c r="F10" s="35">
        <f>'Juli'!G43</f>
      </c>
      <c r="G10" s="36">
        <f>'Juli'!K39</f>
      </c>
      <c r="H10" s="21">
        <f>'Juli'!K40</f>
      </c>
      <c r="I10" s="20">
        <f>'Juli'!K41</f>
      </c>
    </row>
    <row r="11" spans="1:9" x14ac:dyDescent="0.25">
      <c r="A11" s="18" t="s">
        <v>82</v>
      </c>
      <c r="B11" s="20">
        <f>'August'!L37</f>
      </c>
      <c r="C11" s="20">
        <f>'August'!K37</f>
      </c>
      <c r="D11" s="21">
        <f>'August'!M37</f>
      </c>
      <c r="E11" s="21">
        <f>'August'!E43</f>
      </c>
      <c r="F11" s="35">
        <f>'August'!G43</f>
      </c>
      <c r="G11" s="36">
        <f>'August'!K39</f>
      </c>
      <c r="H11" s="21">
        <f>'August'!K40</f>
      </c>
      <c r="I11" s="20">
        <f>'August'!K41</f>
      </c>
    </row>
    <row r="12" spans="1:9" x14ac:dyDescent="0.25">
      <c r="A12" s="18" t="s">
        <v>83</v>
      </c>
      <c r="B12" s="20">
        <f>'September'!L37</f>
      </c>
      <c r="C12" s="20">
        <f>'September'!K37</f>
      </c>
      <c r="D12" s="21">
        <f>'September'!M37</f>
      </c>
      <c r="E12" s="21">
        <f>'September'!E43</f>
      </c>
      <c r="F12" s="35">
        <f>'September'!G43</f>
      </c>
      <c r="G12" s="36">
        <f>'September'!K39</f>
      </c>
      <c r="H12" s="21">
        <f>'September'!K40</f>
      </c>
      <c r="I12" s="20">
        <f>'September'!K41</f>
      </c>
    </row>
    <row r="13" spans="1:9" x14ac:dyDescent="0.25">
      <c r="A13" s="18" t="s">
        <v>84</v>
      </c>
      <c r="B13" s="20">
        <f>'Oktober'!L37</f>
      </c>
      <c r="C13" s="20">
        <f>'Oktober'!K37</f>
      </c>
      <c r="D13" s="21">
        <f>'Oktober'!M37</f>
      </c>
      <c r="E13" s="21">
        <f>'Oktober'!E43</f>
      </c>
      <c r="F13" s="35">
        <f>'Oktober'!G43</f>
      </c>
      <c r="G13" s="36">
        <f>'Oktober'!K39</f>
      </c>
      <c r="H13" s="21">
        <f>'Oktober'!K40</f>
      </c>
      <c r="I13" s="20">
        <f>'Oktober'!K41</f>
      </c>
    </row>
    <row r="14" spans="1:9" x14ac:dyDescent="0.25">
      <c r="A14" s="18" t="s">
        <v>85</v>
      </c>
      <c r="B14" s="20">
        <f>'November'!L37</f>
      </c>
      <c r="C14" s="20">
        <f>'November'!K37</f>
      </c>
      <c r="D14" s="21">
        <f>'November'!M37</f>
      </c>
      <c r="E14" s="21">
        <f>'November'!E43</f>
      </c>
      <c r="F14" s="35">
        <f>'November'!G43</f>
      </c>
      <c r="G14" s="36">
        <f>'November'!K39</f>
      </c>
      <c r="H14" s="21">
        <f>'November'!K40</f>
      </c>
      <c r="I14" s="20">
        <f>'November'!K41</f>
      </c>
    </row>
    <row r="15" spans="1:9" x14ac:dyDescent="0.25">
      <c r="A15" s="18" t="s">
        <v>86</v>
      </c>
      <c r="B15" s="20">
        <f>'Dezember'!L37</f>
      </c>
      <c r="C15" s="20">
        <f>'Dezember'!K37</f>
      </c>
      <c r="D15" s="21">
        <f>'Dezember'!M37</f>
      </c>
      <c r="E15" s="21">
        <f>'Dezember'!E43</f>
      </c>
      <c r="F15" s="35">
        <f>'Dezember'!G43</f>
      </c>
      <c r="G15" s="36">
        <f>'Dezember'!K39</f>
      </c>
      <c r="H15" s="21">
        <f>'Dezember'!K40</f>
      </c>
      <c r="I15" s="20">
        <f>'Dezember'!K41</f>
      </c>
    </row>
    <row r="16" spans="1:9" x14ac:dyDescent="0.25">
      <c r="A16" s="37" t="s">
        <v>25</v>
      </c>
      <c r="B16" s="23">
        <f>SUM(B4:B15)</f>
      </c>
      <c r="C16" s="23">
        <f>SUM(C4:C15)</f>
      </c>
      <c r="D16" s="24"/>
      <c r="E16" s="24">
        <f>E15</f>
      </c>
      <c r="F16" s="38">
        <f>F15</f>
      </c>
      <c r="G16" s="39">
        <f>SUM(G4:G15)</f>
      </c>
      <c r="H16" s="24">
        <f>SUM(H4:H15)</f>
      </c>
      <c r="I16" s="23">
        <f>SUM(I4:I15)</f>
      </c>
    </row>
    <row r="18" spans="1:1" x14ac:dyDescent="0.25">
      <c r="A18" s="40" t="s">
        <v>87</v>
      </c>
    </row>
    <row r="19" spans="1:2" x14ac:dyDescent="0.25">
      <c r="A19" s="1" t="s">
        <v>88</v>
      </c>
      <c r="B19" s="41">
        <f>N(Urlaubsanspruch)</f>
      </c>
    </row>
    <row r="20" spans="1:2" x14ac:dyDescent="0.25">
      <c r="A20" s="1" t="s">
        <v>89</v>
      </c>
      <c r="B20" s="41">
        <f>N(Resturlaub)</f>
      </c>
    </row>
    <row r="21" spans="1:2" x14ac:dyDescent="0.25">
      <c r="A21" s="1" t="s">
        <v>90</v>
      </c>
      <c r="B21" s="41">
        <f>G16</f>
      </c>
    </row>
    <row r="22" spans="1:2" x14ac:dyDescent="0.25">
      <c r="A22" s="40" t="s">
        <v>91</v>
      </c>
      <c r="B22" s="42">
        <f>B19+B20-B21</f>
      </c>
    </row>
  </sheetData>
  <sheetProtection sheet="1" formatCells="0" formatColumns="0" formatRows="0"/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5" customWidth="1"/>
    <col min="4" max="4" width="30" customWidth="1"/>
    <col min="6" max="6" width="11" customWidth="1"/>
    <col min="7" max="7" width="7" customWidth="1"/>
    <col min="8" max="8" width="62" customWidth="1"/>
    <col min="15" max="15" width="9" hidden="1" customWidth="1"/>
  </cols>
  <sheetData>
    <row r="1" spans="1:1" x14ac:dyDescent="0.25">
      <c r="A1" s="5">
        <f>"Feiertage "&amp;Jahr&amp;IF(Bundesland="",": Bundesland in den Einstellungen wählen",": "&amp;Bundesland)</f>
      </c>
    </row>
    <row r="2" spans="1:1" x14ac:dyDescent="0.25">
      <c r="A2" s="8" t="s">
        <v>92</v>
      </c>
    </row>
    <row r="3" spans="1:8" x14ac:dyDescent="0.25">
      <c r="A3" s="16" t="s">
        <v>93</v>
      </c>
      <c r="B3" s="16" t="s">
        <v>45</v>
      </c>
      <c r="C3" s="16" t="s">
        <v>46</v>
      </c>
      <c r="D3" s="16" t="s">
        <v>94</v>
      </c>
      <c r="E3" s="16" t="s">
        <v>95</v>
      </c>
      <c r="F3" s="16" t="s">
        <v>96</v>
      </c>
      <c r="G3" s="16" t="s">
        <v>97</v>
      </c>
      <c r="H3" s="16" t="s">
        <v>98</v>
      </c>
    </row>
    <row r="4" spans="1:15" x14ac:dyDescent="0.25">
      <c r="A4" s="18" t="s">
        <v>99</v>
      </c>
      <c r="B4" s="43">
        <f>DATE(Jahr,1,1)</f>
      </c>
      <c r="C4" s="18">
        <f>IF(ISNUMBER(B4),CHOOSE(WEEKDAY(B4,2),"Mo","Di","Mi","Do","Fr","Sa","So"),"")</f>
      </c>
      <c r="D4" s="18" t="s">
        <v>100</v>
      </c>
      <c r="E4" s="44">
        <f>1</f>
      </c>
      <c r="F4" s="7"/>
      <c r="G4" s="45">
        <f>IF(NOT(ISNUMBER(B4)),0,IF(F4="ja",1,IF(F4="nein",0,E4)))</f>
      </c>
      <c r="H4" s="8" t="s">
        <v>33</v>
      </c>
      <c r="I4" s="1"/>
      <c r="J4" s="1"/>
      <c r="K4" s="1"/>
      <c r="L4" s="1"/>
      <c r="M4" s="1"/>
      <c r="N4" s="1"/>
      <c r="O4" s="1">
        <f>IF(G4=1,B4,"")</f>
      </c>
    </row>
    <row r="5" spans="1:15" x14ac:dyDescent="0.25">
      <c r="A5" s="18" t="s">
        <v>101</v>
      </c>
      <c r="B5" s="43">
        <f>DATE(Jahr,1,6)</f>
      </c>
      <c r="C5" s="18">
        <f>IF(ISNUMBER(B5),CHOOSE(WEEKDAY(B5,2),"Mo","Di","Mi","Do","Fr","Sa","So"),"")</f>
      </c>
      <c r="D5" s="18" t="s">
        <v>102</v>
      </c>
      <c r="E5" s="44">
        <f>IF(Land="",0,IF(ISNUMBER(SEARCH(","&amp;Land&amp;",",",BW,BY,ST,")),1,0))</f>
      </c>
      <c r="F5" s="7"/>
      <c r="G5" s="45">
        <f>IF(NOT(ISNUMBER(B5)),0,IF(F5="ja",1,IF(F5="nein",0,E5)))</f>
      </c>
      <c r="H5" s="8" t="s">
        <v>33</v>
      </c>
      <c r="I5" s="1"/>
      <c r="J5" s="1"/>
      <c r="K5" s="1"/>
      <c r="L5" s="1"/>
      <c r="M5" s="1"/>
      <c r="N5" s="1"/>
      <c r="O5" s="1">
        <f>IF(G5=1,B5,"")</f>
      </c>
    </row>
    <row r="6" spans="1:15" x14ac:dyDescent="0.25">
      <c r="A6" s="18" t="s">
        <v>103</v>
      </c>
      <c r="B6" s="43">
        <f>DATE(Jahr,3,8)</f>
      </c>
      <c r="C6" s="18">
        <f>IF(ISNUMBER(B6),CHOOSE(WEEKDAY(B6,2),"Mo","Di","Mi","Do","Fr","Sa","So"),"")</f>
      </c>
      <c r="D6" s="18" t="s">
        <v>104</v>
      </c>
      <c r="E6" s="44">
        <f>IF(Land="",0,IF(ISNUMBER(SEARCH(","&amp;Land&amp;",",",BE,MV,")),1,0))</f>
      </c>
      <c r="F6" s="7"/>
      <c r="G6" s="45">
        <f>IF(NOT(ISNUMBER(B6)),0,IF(F6="ja",1,IF(F6="nein",0,E6)))</f>
      </c>
      <c r="H6" s="8" t="s">
        <v>33</v>
      </c>
      <c r="I6" s="1"/>
      <c r="J6" s="1"/>
      <c r="K6" s="1"/>
      <c r="L6" s="1"/>
      <c r="M6" s="1"/>
      <c r="N6" s="1"/>
      <c r="O6" s="1">
        <f>IF(G6=1,B6,"")</f>
      </c>
    </row>
    <row r="7" spans="1:15" x14ac:dyDescent="0.25">
      <c r="A7" s="18" t="s">
        <v>105</v>
      </c>
      <c r="B7" s="43">
        <f>Ostern-2</f>
      </c>
      <c r="C7" s="18">
        <f>IF(ISNUMBER(B7),CHOOSE(WEEKDAY(B7,2),"Mo","Di","Mi","Do","Fr","Sa","So"),"")</f>
      </c>
      <c r="D7" s="18" t="s">
        <v>100</v>
      </c>
      <c r="E7" s="44">
        <f>1</f>
      </c>
      <c r="F7" s="7"/>
      <c r="G7" s="45">
        <f>IF(NOT(ISNUMBER(B7)),0,IF(F7="ja",1,IF(F7="nein",0,E7)))</f>
      </c>
      <c r="H7" s="8" t="s">
        <v>33</v>
      </c>
      <c r="I7" s="1"/>
      <c r="J7" s="1"/>
      <c r="K7" s="1"/>
      <c r="L7" s="1"/>
      <c r="M7" s="1"/>
      <c r="N7" s="1"/>
      <c r="O7" s="1">
        <f>IF(G7=1,B7,"")</f>
      </c>
    </row>
    <row r="8" spans="1:15" x14ac:dyDescent="0.25">
      <c r="A8" s="18" t="s">
        <v>106</v>
      </c>
      <c r="B8" s="43">
        <f>Ostern</f>
      </c>
      <c r="C8" s="18">
        <f>IF(ISNUMBER(B8),CHOOSE(WEEKDAY(B8,2),"Mo","Di","Mi","Do","Fr","Sa","So"),"")</f>
      </c>
      <c r="D8" s="18" t="s">
        <v>107</v>
      </c>
      <c r="E8" s="44">
        <f>IF(Land="",0,IF(ISNUMBER(SEARCH(","&amp;Land&amp;",",",BB,")),1,0))</f>
      </c>
      <c r="F8" s="7"/>
      <c r="G8" s="45">
        <f>IF(NOT(ISNUMBER(B8)),0,IF(F8="ja",1,IF(F8="nein",0,E8)))</f>
      </c>
      <c r="H8" s="8" t="s">
        <v>33</v>
      </c>
      <c r="I8" s="1"/>
      <c r="J8" s="1"/>
      <c r="K8" s="1"/>
      <c r="L8" s="1"/>
      <c r="M8" s="1"/>
      <c r="N8" s="1"/>
      <c r="O8" s="1">
        <f>IF(G8=1,B8,"")</f>
      </c>
    </row>
    <row r="9" spans="1:15" x14ac:dyDescent="0.25">
      <c r="A9" s="18" t="s">
        <v>108</v>
      </c>
      <c r="B9" s="43">
        <f>Ostern+1</f>
      </c>
      <c r="C9" s="18">
        <f>IF(ISNUMBER(B9),CHOOSE(WEEKDAY(B9,2),"Mo","Di","Mi","Do","Fr","Sa","So"),"")</f>
      </c>
      <c r="D9" s="18" t="s">
        <v>100</v>
      </c>
      <c r="E9" s="44">
        <f>1</f>
      </c>
      <c r="F9" s="7"/>
      <c r="G9" s="45">
        <f>IF(NOT(ISNUMBER(B9)),0,IF(F9="ja",1,IF(F9="nein",0,E9)))</f>
      </c>
      <c r="H9" s="8" t="s">
        <v>33</v>
      </c>
      <c r="I9" s="1"/>
      <c r="J9" s="1"/>
      <c r="K9" s="1"/>
      <c r="L9" s="1"/>
      <c r="M9" s="1"/>
      <c r="N9" s="1"/>
      <c r="O9" s="1">
        <f>IF(G9=1,B9,"")</f>
      </c>
    </row>
    <row r="10" spans="1:15" x14ac:dyDescent="0.25">
      <c r="A10" s="18" t="s">
        <v>109</v>
      </c>
      <c r="B10" s="43">
        <f>DATE(Jahr,5,1)</f>
      </c>
      <c r="C10" s="18">
        <f>IF(ISNUMBER(B10),CHOOSE(WEEKDAY(B10,2),"Mo","Di","Mi","Do","Fr","Sa","So"),"")</f>
      </c>
      <c r="D10" s="18" t="s">
        <v>100</v>
      </c>
      <c r="E10" s="44">
        <f>1</f>
      </c>
      <c r="F10" s="7"/>
      <c r="G10" s="45">
        <f>IF(NOT(ISNUMBER(B10)),0,IF(F10="ja",1,IF(F10="nein",0,E10)))</f>
      </c>
      <c r="H10" s="8" t="s">
        <v>33</v>
      </c>
      <c r="I10" s="1"/>
      <c r="J10" s="1"/>
      <c r="K10" s="1"/>
      <c r="L10" s="1"/>
      <c r="M10" s="1"/>
      <c r="N10" s="1"/>
      <c r="O10" s="1">
        <f>IF(G10=1,B10,"")</f>
      </c>
    </row>
    <row r="11" spans="1:15" x14ac:dyDescent="0.25">
      <c r="A11" s="18" t="s">
        <v>110</v>
      </c>
      <c r="B11" s="43">
        <f>Ostern+39</f>
      </c>
      <c r="C11" s="18">
        <f>IF(ISNUMBER(B11),CHOOSE(WEEKDAY(B11,2),"Mo","Di","Mi","Do","Fr","Sa","So"),"")</f>
      </c>
      <c r="D11" s="18" t="s">
        <v>100</v>
      </c>
      <c r="E11" s="44">
        <f>1</f>
      </c>
      <c r="F11" s="7"/>
      <c r="G11" s="45">
        <f>IF(NOT(ISNUMBER(B11)),0,IF(F11="ja",1,IF(F11="nein",0,E11)))</f>
      </c>
      <c r="H11" s="8" t="s">
        <v>33</v>
      </c>
      <c r="I11" s="1"/>
      <c r="J11" s="1"/>
      <c r="K11" s="1"/>
      <c r="L11" s="1"/>
      <c r="M11" s="1"/>
      <c r="N11" s="1"/>
      <c r="O11" s="1">
        <f>IF(G11=1,B11,"")</f>
      </c>
    </row>
    <row r="12" spans="1:15" x14ac:dyDescent="0.25">
      <c r="A12" s="18" t="s">
        <v>111</v>
      </c>
      <c r="B12" s="43">
        <f>Ostern+49</f>
      </c>
      <c r="C12" s="18">
        <f>IF(ISNUMBER(B12),CHOOSE(WEEKDAY(B12,2),"Mo","Di","Mi","Do","Fr","Sa","So"),"")</f>
      </c>
      <c r="D12" s="18" t="s">
        <v>107</v>
      </c>
      <c r="E12" s="44">
        <f>IF(Land="",0,IF(ISNUMBER(SEARCH(","&amp;Land&amp;",",",BB,")),1,0))</f>
      </c>
      <c r="F12" s="7"/>
      <c r="G12" s="45">
        <f>IF(NOT(ISNUMBER(B12)),0,IF(F12="ja",1,IF(F12="nein",0,E12)))</f>
      </c>
      <c r="H12" s="8" t="s">
        <v>33</v>
      </c>
      <c r="I12" s="1"/>
      <c r="J12" s="1"/>
      <c r="K12" s="1"/>
      <c r="L12" s="1"/>
      <c r="M12" s="1"/>
      <c r="N12" s="1"/>
      <c r="O12" s="1">
        <f>IF(G12=1,B12,"")</f>
      </c>
    </row>
    <row r="13" spans="1:15" x14ac:dyDescent="0.25">
      <c r="A13" s="18" t="s">
        <v>112</v>
      </c>
      <c r="B13" s="43">
        <f>Ostern+50</f>
      </c>
      <c r="C13" s="18">
        <f>IF(ISNUMBER(B13),CHOOSE(WEEKDAY(B13,2),"Mo","Di","Mi","Do","Fr","Sa","So"),"")</f>
      </c>
      <c r="D13" s="18" t="s">
        <v>100</v>
      </c>
      <c r="E13" s="44">
        <f>1</f>
      </c>
      <c r="F13" s="7"/>
      <c r="G13" s="45">
        <f>IF(NOT(ISNUMBER(B13)),0,IF(F13="ja",1,IF(F13="nein",0,E13)))</f>
      </c>
      <c r="H13" s="8" t="s">
        <v>33</v>
      </c>
      <c r="I13" s="1"/>
      <c r="J13" s="1"/>
      <c r="K13" s="1"/>
      <c r="L13" s="1"/>
      <c r="M13" s="1"/>
      <c r="N13" s="1"/>
      <c r="O13" s="1">
        <f>IF(G13=1,B13,"")</f>
      </c>
    </row>
    <row r="14" spans="1:15" x14ac:dyDescent="0.25">
      <c r="A14" s="18" t="s">
        <v>113</v>
      </c>
      <c r="B14" s="43">
        <f>Ostern+60</f>
      </c>
      <c r="C14" s="18">
        <f>IF(ISNUMBER(B14),CHOOSE(WEEKDAY(B14,2),"Mo","Di","Mi","Do","Fr","Sa","So"),"")</f>
      </c>
      <c r="D14" s="18" t="s">
        <v>114</v>
      </c>
      <c r="E14" s="44">
        <f>IF(Land="",0,IF(ISNUMBER(SEARCH(","&amp;Land&amp;",",",BW,BY,HE,NW,RP,SL,")),1,0))</f>
      </c>
      <c r="F14" s="7"/>
      <c r="G14" s="45">
        <f>IF(NOT(ISNUMBER(B14)),0,IF(F14="ja",1,IF(F14="nein",0,E14)))</f>
      </c>
      <c r="H14" s="8" t="s">
        <v>115</v>
      </c>
      <c r="I14" s="1"/>
      <c r="J14" s="1"/>
      <c r="K14" s="1"/>
      <c r="L14" s="1"/>
      <c r="M14" s="1"/>
      <c r="N14" s="1"/>
      <c r="O14" s="1">
        <f>IF(G14=1,B14,"")</f>
      </c>
    </row>
    <row r="15" spans="1:15" x14ac:dyDescent="0.25">
      <c r="A15" s="18" t="s">
        <v>116</v>
      </c>
      <c r="B15" s="43">
        <f>DATE(Jahr,8,8)</f>
      </c>
      <c r="C15" s="18">
        <f>IF(ISNUMBER(B15),CHOOSE(WEEKDAY(B15,2),"Mo","Di","Mi","Do","Fr","Sa","So"),"")</f>
      </c>
      <c r="D15" s="18" t="s">
        <v>117</v>
      </c>
      <c r="E15" s="44">
        <f>IF(Land="",0,IF(ISNUMBER(SEARCH(","&amp;Land&amp;",",",,")),1,0))</f>
      </c>
      <c r="F15" s="7"/>
      <c r="G15" s="45">
        <f>IF(NOT(ISNUMBER(B15)),0,IF(F15="ja",1,IF(F15="nein",0,E15)))</f>
      </c>
      <c r="H15" s="8" t="s">
        <v>118</v>
      </c>
      <c r="I15" s="1"/>
      <c r="J15" s="1"/>
      <c r="K15" s="1"/>
      <c r="L15" s="1"/>
      <c r="M15" s="1"/>
      <c r="N15" s="1"/>
      <c r="O15" s="1">
        <f>IF(G15=1,B15,"")</f>
      </c>
    </row>
    <row r="16" spans="1:15" x14ac:dyDescent="0.25">
      <c r="A16" s="18" t="s">
        <v>119</v>
      </c>
      <c r="B16" s="43">
        <f>DATE(Jahr,8,15)</f>
      </c>
      <c r="C16" s="18">
        <f>IF(ISNUMBER(B16),CHOOSE(WEEKDAY(B16,2),"Mo","Di","Mi","Do","Fr","Sa","So"),"")</f>
      </c>
      <c r="D16" s="18" t="s">
        <v>120</v>
      </c>
      <c r="E16" s="44">
        <f>IF(Land="",0,IF(ISNUMBER(SEARCH(","&amp;Land&amp;",",",BY,SL,")),1,0))</f>
      </c>
      <c r="F16" s="7"/>
      <c r="G16" s="45">
        <f>IF(NOT(ISNUMBER(B16)),0,IF(F16="ja",1,IF(F16="nein",0,E16)))</f>
      </c>
      <c r="H16" s="8" t="s">
        <v>121</v>
      </c>
      <c r="I16" s="1"/>
      <c r="J16" s="1"/>
      <c r="K16" s="1"/>
      <c r="L16" s="1"/>
      <c r="M16" s="1"/>
      <c r="N16" s="1"/>
      <c r="O16" s="1">
        <f>IF(G16=1,B16,"")</f>
      </c>
    </row>
    <row r="17" spans="1:15" x14ac:dyDescent="0.25">
      <c r="A17" s="18" t="s">
        <v>122</v>
      </c>
      <c r="B17" s="43">
        <f>DATE(Jahr,9,20)</f>
      </c>
      <c r="C17" s="18">
        <f>IF(ISNUMBER(B17),CHOOSE(WEEKDAY(B17,2),"Mo","Di","Mi","Do","Fr","Sa","So"),"")</f>
      </c>
      <c r="D17" s="18" t="s">
        <v>123</v>
      </c>
      <c r="E17" s="44">
        <f>IF(Land="",0,IF(ISNUMBER(SEARCH(","&amp;Land&amp;",",",TH,")),1,0))</f>
      </c>
      <c r="F17" s="7"/>
      <c r="G17" s="45">
        <f>IF(NOT(ISNUMBER(B17)),0,IF(F17="ja",1,IF(F17="nein",0,E17)))</f>
      </c>
      <c r="H17" s="8" t="s">
        <v>33</v>
      </c>
      <c r="I17" s="1"/>
      <c r="J17" s="1"/>
      <c r="K17" s="1"/>
      <c r="L17" s="1"/>
      <c r="M17" s="1"/>
      <c r="N17" s="1"/>
      <c r="O17" s="1">
        <f>IF(G17=1,B17,"")</f>
      </c>
    </row>
    <row r="18" spans="1:15" x14ac:dyDescent="0.25">
      <c r="A18" s="18" t="s">
        <v>124</v>
      </c>
      <c r="B18" s="43">
        <f>DATE(Jahr,10,3)</f>
      </c>
      <c r="C18" s="18">
        <f>IF(ISNUMBER(B18),CHOOSE(WEEKDAY(B18,2),"Mo","Di","Mi","Do","Fr","Sa","So"),"")</f>
      </c>
      <c r="D18" s="18" t="s">
        <v>100</v>
      </c>
      <c r="E18" s="44">
        <f>1</f>
      </c>
      <c r="F18" s="7"/>
      <c r="G18" s="45">
        <f>IF(NOT(ISNUMBER(B18)),0,IF(F18="ja",1,IF(F18="nein",0,E18)))</f>
      </c>
      <c r="H18" s="8" t="s">
        <v>33</v>
      </c>
      <c r="I18" s="1"/>
      <c r="J18" s="1"/>
      <c r="K18" s="1"/>
      <c r="L18" s="1"/>
      <c r="M18" s="1"/>
      <c r="N18" s="1"/>
      <c r="O18" s="1">
        <f>IF(G18=1,B18,"")</f>
      </c>
    </row>
    <row r="19" spans="1:15" x14ac:dyDescent="0.25">
      <c r="A19" s="18" t="s">
        <v>125</v>
      </c>
      <c r="B19" s="43">
        <f>DATE(Jahr,10,31)</f>
      </c>
      <c r="C19" s="18">
        <f>IF(ISNUMBER(B19),CHOOSE(WEEKDAY(B19,2),"Mo","Di","Mi","Do","Fr","Sa","So"),"")</f>
      </c>
      <c r="D19" s="18" t="s">
        <v>126</v>
      </c>
      <c r="E19" s="44">
        <f>IF(Land="",0,IF(ISNUMBER(SEARCH(","&amp;Land&amp;",",",BB,HB,HH,MV,NI,SN,ST,SH,TH,")),1,0))</f>
      </c>
      <c r="F19" s="7"/>
      <c r="G19" s="45">
        <f>IF(NOT(ISNUMBER(B19)),0,IF(F19="ja",1,IF(F19="nein",0,E19)))</f>
      </c>
      <c r="H19" s="8" t="s">
        <v>33</v>
      </c>
      <c r="I19" s="1"/>
      <c r="J19" s="1"/>
      <c r="K19" s="1"/>
      <c r="L19" s="1"/>
      <c r="M19" s="1"/>
      <c r="N19" s="1"/>
      <c r="O19" s="1">
        <f>IF(G19=1,B19,"")</f>
      </c>
    </row>
    <row r="20" spans="1:15" x14ac:dyDescent="0.25">
      <c r="A20" s="18" t="s">
        <v>127</v>
      </c>
      <c r="B20" s="43">
        <f>DATE(Jahr,11,1)</f>
      </c>
      <c r="C20" s="18">
        <f>IF(ISNUMBER(B20),CHOOSE(WEEKDAY(B20,2),"Mo","Di","Mi","Do","Fr","Sa","So"),"")</f>
      </c>
      <c r="D20" s="18" t="s">
        <v>128</v>
      </c>
      <c r="E20" s="44">
        <f>IF(Land="",0,IF(ISNUMBER(SEARCH(","&amp;Land&amp;",",",BW,BY,NW,RP,SL,")),1,0))</f>
      </c>
      <c r="F20" s="7"/>
      <c r="G20" s="45">
        <f>IF(NOT(ISNUMBER(B20)),0,IF(F20="ja",1,IF(F20="nein",0,E20)))</f>
      </c>
      <c r="H20" s="8" t="s">
        <v>33</v>
      </c>
      <c r="I20" s="1"/>
      <c r="J20" s="1"/>
      <c r="K20" s="1"/>
      <c r="L20" s="1"/>
      <c r="M20" s="1"/>
      <c r="N20" s="1"/>
      <c r="O20" s="1">
        <f>IF(G20=1,B20,"")</f>
      </c>
    </row>
    <row r="21" spans="1:15" x14ac:dyDescent="0.25">
      <c r="A21" s="18" t="s">
        <v>129</v>
      </c>
      <c r="B21" s="43">
        <f>DATE(Jahr,11,22)-MOD(WEEKDAY(DATE(Jahr,11,22),2)-3,7)</f>
      </c>
      <c r="C21" s="18">
        <f>IF(ISNUMBER(B21),CHOOSE(WEEKDAY(B21,2),"Mo","Di","Mi","Do","Fr","Sa","So"),"")</f>
      </c>
      <c r="D21" s="18" t="s">
        <v>130</v>
      </c>
      <c r="E21" s="44">
        <f>IF(Land="",0,IF(ISNUMBER(SEARCH(","&amp;Land&amp;",",",SN,")),1,0))</f>
      </c>
      <c r="F21" s="7"/>
      <c r="G21" s="45">
        <f>IF(NOT(ISNUMBER(B21)),0,IF(F21="ja",1,IF(F21="nein",0,E21)))</f>
      </c>
      <c r="H21" s="8" t="s">
        <v>33</v>
      </c>
      <c r="I21" s="1"/>
      <c r="J21" s="1"/>
      <c r="K21" s="1"/>
      <c r="L21" s="1"/>
      <c r="M21" s="1"/>
      <c r="N21" s="1"/>
      <c r="O21" s="1">
        <f>IF(G21=1,B21,"")</f>
      </c>
    </row>
    <row r="22" spans="1:15" x14ac:dyDescent="0.25">
      <c r="A22" s="18" t="s">
        <v>131</v>
      </c>
      <c r="B22" s="43">
        <f>DATE(Jahr,12,25)</f>
      </c>
      <c r="C22" s="18">
        <f>IF(ISNUMBER(B22),CHOOSE(WEEKDAY(B22,2),"Mo","Di","Mi","Do","Fr","Sa","So"),"")</f>
      </c>
      <c r="D22" s="18" t="s">
        <v>100</v>
      </c>
      <c r="E22" s="44">
        <f>1</f>
      </c>
      <c r="F22" s="7"/>
      <c r="G22" s="45">
        <f>IF(NOT(ISNUMBER(B22)),0,IF(F22="ja",1,IF(F22="nein",0,E22)))</f>
      </c>
      <c r="H22" s="8" t="s">
        <v>33</v>
      </c>
      <c r="I22" s="1"/>
      <c r="J22" s="1"/>
      <c r="K22" s="1"/>
      <c r="L22" s="1"/>
      <c r="M22" s="1"/>
      <c r="N22" s="1"/>
      <c r="O22" s="1">
        <f>IF(G22=1,B22,"")</f>
      </c>
    </row>
    <row r="23" spans="1:15" x14ac:dyDescent="0.25">
      <c r="A23" s="18" t="s">
        <v>132</v>
      </c>
      <c r="B23" s="43">
        <f>DATE(Jahr,12,26)</f>
      </c>
      <c r="C23" s="18">
        <f>IF(ISNUMBER(B23),CHOOSE(WEEKDAY(B23,2),"Mo","Di","Mi","Do","Fr","Sa","So"),"")</f>
      </c>
      <c r="D23" s="18" t="s">
        <v>100</v>
      </c>
      <c r="E23" s="44">
        <f>1</f>
      </c>
      <c r="F23" s="7"/>
      <c r="G23" s="45">
        <f>IF(NOT(ISNUMBER(B23)),0,IF(F23="ja",1,IF(F23="nein",0,E23)))</f>
      </c>
      <c r="H23" s="8" t="s">
        <v>33</v>
      </c>
      <c r="I23" s="1"/>
      <c r="J23" s="1"/>
      <c r="K23" s="1"/>
      <c r="L23" s="1"/>
      <c r="M23" s="1"/>
      <c r="N23" s="1"/>
      <c r="O23" s="1">
        <f>IF(G23=1,B23,"")</f>
      </c>
    </row>
    <row r="24" spans="1:15" x14ac:dyDescent="0.25">
      <c r="A24" s="7"/>
      <c r="B24" s="46"/>
      <c r="C24" s="18">
        <f>IF(ISNUMBER(B24),CHOOSE(WEEKDAY(B24,2),"Mo","Di","Mi","Do","Fr","Sa","So"),"")</f>
      </c>
      <c r="D24" s="18" t="s">
        <v>133</v>
      </c>
      <c r="E24" s="44">
        <f>IF(AND(A24&lt;&gt;"",ISNUMBER(B24)),1,0)</f>
      </c>
      <c r="F24" s="7"/>
      <c r="G24" s="45">
        <f>IF(NOT(ISNUMBER(B24)),0,IF(F24="ja",1,IF(F24="nein",0,E24)))</f>
      </c>
      <c r="H24" s="8" t="s">
        <v>33</v>
      </c>
      <c r="I24" s="1"/>
      <c r="J24" s="1"/>
      <c r="K24" s="1"/>
      <c r="L24" s="1"/>
      <c r="M24" s="1"/>
      <c r="N24" s="1"/>
      <c r="O24" s="1">
        <f>IF(G24=1,B24,"")</f>
      </c>
    </row>
    <row r="25" spans="1:15" x14ac:dyDescent="0.25">
      <c r="A25" s="7"/>
      <c r="B25" s="46"/>
      <c r="C25" s="18">
        <f>IF(ISNUMBER(B25),CHOOSE(WEEKDAY(B25,2),"Mo","Di","Mi","Do","Fr","Sa","So"),"")</f>
      </c>
      <c r="D25" s="18" t="s">
        <v>133</v>
      </c>
      <c r="E25" s="44">
        <f>IF(AND(A25&lt;&gt;"",ISNUMBER(B25)),1,0)</f>
      </c>
      <c r="F25" s="7"/>
      <c r="G25" s="45">
        <f>IF(NOT(ISNUMBER(B25)),0,IF(F25="ja",1,IF(F25="nein",0,E25)))</f>
      </c>
      <c r="H25" s="8" t="s">
        <v>33</v>
      </c>
      <c r="I25" s="1"/>
      <c r="J25" s="1"/>
      <c r="K25" s="1"/>
      <c r="L25" s="1"/>
      <c r="M25" s="1"/>
      <c r="N25" s="1"/>
      <c r="O25" s="1">
        <f>IF(G25=1,B25,"")</f>
      </c>
    </row>
    <row r="26" spans="1:15" x14ac:dyDescent="0.25">
      <c r="A26" s="7"/>
      <c r="B26" s="46"/>
      <c r="C26" s="18">
        <f>IF(ISNUMBER(B26),CHOOSE(WEEKDAY(B26,2),"Mo","Di","Mi","Do","Fr","Sa","So"),"")</f>
      </c>
      <c r="D26" s="18" t="s">
        <v>133</v>
      </c>
      <c r="E26" s="44">
        <f>IF(AND(A26&lt;&gt;"",ISNUMBER(B26)),1,0)</f>
      </c>
      <c r="F26" s="7"/>
      <c r="G26" s="45">
        <f>IF(NOT(ISNUMBER(B26)),0,IF(F26="ja",1,IF(F26="nein",0,E26)))</f>
      </c>
      <c r="H26" s="8" t="s">
        <v>33</v>
      </c>
      <c r="I26" s="1"/>
      <c r="J26" s="1"/>
      <c r="K26" s="1"/>
      <c r="L26" s="1"/>
      <c r="M26" s="1"/>
      <c r="N26" s="1"/>
      <c r="O26" s="1">
        <f>IF(G26=1,B26,"")</f>
      </c>
    </row>
    <row r="27" spans="1:15" x14ac:dyDescent="0.25">
      <c r="A27" s="7"/>
      <c r="B27" s="46"/>
      <c r="C27" s="18">
        <f>IF(ISNUMBER(B27),CHOOSE(WEEKDAY(B27,2),"Mo","Di","Mi","Do","Fr","Sa","So"),"")</f>
      </c>
      <c r="D27" s="18" t="s">
        <v>133</v>
      </c>
      <c r="E27" s="44">
        <f>IF(AND(A27&lt;&gt;"",ISNUMBER(B27)),1,0)</f>
      </c>
      <c r="F27" s="7"/>
      <c r="G27" s="45">
        <f>IF(NOT(ISNUMBER(B27)),0,IF(F27="ja",1,IF(F27="nein",0,E27)))</f>
      </c>
      <c r="H27" s="8" t="s">
        <v>33</v>
      </c>
      <c r="I27" s="1"/>
      <c r="J27" s="1"/>
      <c r="K27" s="1"/>
      <c r="L27" s="1"/>
      <c r="M27" s="1"/>
      <c r="N27" s="1"/>
      <c r="O27" s="1">
        <f>IF(G27=1,B27,"")</f>
      </c>
    </row>
    <row r="28" spans="1:15" x14ac:dyDescent="0.25">
      <c r="A28" s="7"/>
      <c r="B28" s="46"/>
      <c r="C28" s="18">
        <f>IF(ISNUMBER(B28),CHOOSE(WEEKDAY(B28,2),"Mo","Di","Mi","Do","Fr","Sa","So"),"")</f>
      </c>
      <c r="D28" s="18" t="s">
        <v>133</v>
      </c>
      <c r="E28" s="44">
        <f>IF(AND(A28&lt;&gt;"",ISNUMBER(B28)),1,0)</f>
      </c>
      <c r="F28" s="7"/>
      <c r="G28" s="45">
        <f>IF(NOT(ISNUMBER(B28)),0,IF(F28="ja",1,IF(F28="nein",0,E28)))</f>
      </c>
      <c r="H28" s="8" t="s">
        <v>33</v>
      </c>
      <c r="I28" s="1"/>
      <c r="J28" s="1"/>
      <c r="K28" s="1"/>
      <c r="L28" s="1"/>
      <c r="M28" s="1"/>
      <c r="N28" s="1"/>
      <c r="O28" s="1">
        <f>IF(G28=1,B28,"")</f>
      </c>
    </row>
  </sheetData>
  <sheetProtection sheet="1" formatCells="0" formatColumns="0" formatRows="0"/>
  <dataValidations count="3">
    <dataValidation type="date" allowBlank="1" showErrorMessage="1" errorTitle="Datum" error="Bitte ein Datum eintragen, z. B. 08.08.2026." sqref="B24:B28">
      <formula1>36526</formula1>
      <formula2>73050</formula2>
    </dataValidation>
    <dataValidation type="list" allowBlank="1" showErrorMessage="1" errorTitle="Anpassen" error="Bitte ja, nein oder leer." sqref="F10:F28">
      <formula1>"ja,nein"</formula1>
    </dataValidation>
    <dataValidation type="list" allowBlank="1" showErrorMessage="1" errorTitle="Anpassen" error="Bitte ja, nein oder leer." sqref="F4:F28">
      <formula1>"ja,nein"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FormatPr defaultRowHeight="15" outlineLevelRow="0" outlineLevelCol="0" x14ac:dyDescent="55"/>
  <cols>
    <col min="1" max="1" width="14" customWidth="1"/>
    <col min="4" max="4" width="24" customWidth="1"/>
  </cols>
  <sheetData>
    <row r="3" spans="1:4" x14ac:dyDescent="0.25">
      <c r="A3" s="1" t="s">
        <v>134</v>
      </c>
      <c r="B3" s="1"/>
      <c r="C3" s="1"/>
      <c r="D3" s="1" t="s">
        <v>135</v>
      </c>
    </row>
    <row r="4" spans="1:5" x14ac:dyDescent="0.25">
      <c r="A4" s="1" t="s">
        <v>136</v>
      </c>
      <c r="B4" s="1">
        <f>MOD(Jahr,19)</f>
      </c>
      <c r="C4" s="1"/>
      <c r="D4" s="1" t="s">
        <v>137</v>
      </c>
      <c r="E4" s="1" t="s">
        <v>138</v>
      </c>
    </row>
    <row r="5" spans="1:5" x14ac:dyDescent="0.25">
      <c r="A5" s="1" t="s">
        <v>139</v>
      </c>
      <c r="B5" s="1">
        <f>INT(Jahr/100)</f>
      </c>
      <c r="C5" s="1"/>
      <c r="D5" s="1" t="s">
        <v>140</v>
      </c>
      <c r="E5" s="1" t="s">
        <v>141</v>
      </c>
    </row>
    <row r="6" spans="1:5" x14ac:dyDescent="0.25">
      <c r="A6" s="1" t="s">
        <v>142</v>
      </c>
      <c r="B6" s="1">
        <f>MOD(Jahr,100)</f>
      </c>
      <c r="C6" s="1"/>
      <c r="D6" s="1" t="s">
        <v>143</v>
      </c>
      <c r="E6" s="1" t="s">
        <v>144</v>
      </c>
    </row>
    <row r="7" spans="1:5" x14ac:dyDescent="0.25">
      <c r="A7" s="1" t="s">
        <v>145</v>
      </c>
      <c r="B7" s="1">
        <f>INT(B5/4)</f>
      </c>
      <c r="C7" s="1"/>
      <c r="D7" s="1" t="s">
        <v>146</v>
      </c>
      <c r="E7" s="1" t="s">
        <v>107</v>
      </c>
    </row>
    <row r="8" spans="1:5" x14ac:dyDescent="0.25">
      <c r="A8" s="1" t="s">
        <v>147</v>
      </c>
      <c r="B8" s="1">
        <f>MOD(B5,4)</f>
      </c>
      <c r="C8" s="1"/>
      <c r="D8" s="1" t="s">
        <v>148</v>
      </c>
      <c r="E8" s="1" t="s">
        <v>149</v>
      </c>
    </row>
    <row r="9" spans="1:5" x14ac:dyDescent="0.25">
      <c r="A9" s="1" t="s">
        <v>150</v>
      </c>
      <c r="B9" s="1">
        <f>INT((B5+8)/25)</f>
      </c>
      <c r="C9" s="1"/>
      <c r="D9" s="1" t="s">
        <v>151</v>
      </c>
      <c r="E9" s="1" t="s">
        <v>152</v>
      </c>
    </row>
    <row r="10" spans="1:5" x14ac:dyDescent="0.25">
      <c r="A10" s="1" t="s">
        <v>153</v>
      </c>
      <c r="B10" s="1">
        <f>INT((B5-B9+1)/3)</f>
      </c>
      <c r="C10" s="1"/>
      <c r="D10" s="1" t="s">
        <v>154</v>
      </c>
      <c r="E10" s="1" t="s">
        <v>155</v>
      </c>
    </row>
    <row r="11" spans="1:5" x14ac:dyDescent="0.25">
      <c r="A11" s="1" t="s">
        <v>156</v>
      </c>
      <c r="B11" s="1">
        <f>MOD(19*B4+B5-B7-B10+15,30)</f>
      </c>
      <c r="C11" s="1"/>
      <c r="D11" s="1" t="s">
        <v>157</v>
      </c>
      <c r="E11" s="1" t="s">
        <v>158</v>
      </c>
    </row>
    <row r="12" spans="1:5" x14ac:dyDescent="0.25">
      <c r="A12" s="1" t="s">
        <v>159</v>
      </c>
      <c r="B12" s="1">
        <f>INT(B6/4)</f>
      </c>
      <c r="C12" s="1"/>
      <c r="D12" s="1" t="s">
        <v>160</v>
      </c>
      <c r="E12" s="1" t="s">
        <v>161</v>
      </c>
    </row>
    <row r="13" spans="1:5" x14ac:dyDescent="0.25">
      <c r="A13" s="1" t="s">
        <v>162</v>
      </c>
      <c r="B13" s="1">
        <f>MOD(B6,4)</f>
      </c>
      <c r="C13" s="1"/>
      <c r="D13" s="1" t="s">
        <v>163</v>
      </c>
      <c r="E13" s="1" t="s">
        <v>164</v>
      </c>
    </row>
    <row r="14" spans="1:5" x14ac:dyDescent="0.25">
      <c r="A14" s="1" t="s">
        <v>165</v>
      </c>
      <c r="B14" s="1">
        <f>MOD(32+2*B8+2*B12-B11-B13,7)</f>
      </c>
      <c r="C14" s="1"/>
      <c r="D14" s="1" t="s">
        <v>166</v>
      </c>
      <c r="E14" s="1" t="s">
        <v>167</v>
      </c>
    </row>
    <row r="15" spans="1:5" x14ac:dyDescent="0.25">
      <c r="A15" s="1" t="s">
        <v>168</v>
      </c>
      <c r="B15" s="1">
        <f>INT((B4+11*B11+22*B14)/451)</f>
      </c>
      <c r="C15" s="1"/>
      <c r="D15" s="1" t="s">
        <v>169</v>
      </c>
      <c r="E15" s="1" t="s">
        <v>170</v>
      </c>
    </row>
    <row r="16" spans="1:5" x14ac:dyDescent="0.25">
      <c r="A16" s="1" t="s">
        <v>71</v>
      </c>
      <c r="B16" s="1">
        <f>INT((B11+B14-7*B15+114)/31)</f>
      </c>
      <c r="C16" s="1"/>
      <c r="D16" s="1" t="s">
        <v>171</v>
      </c>
      <c r="E16" s="1" t="s">
        <v>130</v>
      </c>
    </row>
    <row r="17" spans="1:5" x14ac:dyDescent="0.25">
      <c r="A17" s="1" t="s">
        <v>46</v>
      </c>
      <c r="B17" s="1">
        <f>MOD(B11+B14-7*B15+114,31)+1</f>
      </c>
      <c r="C17" s="1"/>
      <c r="D17" s="1" t="s">
        <v>172</v>
      </c>
      <c r="E17" s="1" t="s">
        <v>173</v>
      </c>
    </row>
    <row r="18" spans="1:5" x14ac:dyDescent="0.25">
      <c r="A18" s="1" t="s">
        <v>106</v>
      </c>
      <c r="B18" s="47">
        <f>DATE(Jahr,B16,B17)</f>
      </c>
      <c r="C18" s="1"/>
      <c r="D18" s="1" t="s">
        <v>174</v>
      </c>
      <c r="E18" s="1" t="s">
        <v>175</v>
      </c>
    </row>
    <row r="19" spans="1:5" x14ac:dyDescent="0.25">
      <c r="A19" s="1"/>
      <c r="B19" s="1"/>
      <c r="C19" s="1"/>
      <c r="D19" s="1" t="s">
        <v>176</v>
      </c>
      <c r="E19" s="1" t="s">
        <v>123</v>
      </c>
    </row>
    <row r="20" spans="1:2" x14ac:dyDescent="0.25">
      <c r="A20" s="1" t="s">
        <v>177</v>
      </c>
      <c r="B20" s="1">
        <f>IFERROR(INDEX($E$4:$E$19,MATCH(Bundesland,$D$4:$D$19,0)),"")</f>
      </c>
    </row>
  </sheetData>
  <sheetProtection sheet="1" formatCells="0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Anleitung</vt:lpstr>
      <vt:lpstr>Einstellungen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  <vt:lpstr>Feiertage</vt:lpstr>
      <vt:lpstr>Hilfswerte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DispatchPing</dc:creator>
  <dc:title>Zeiterfassung 2026</dc:title>
  <dc:subject/>
  <dc:description/>
  <cp:keywords/>
  <cp:category/>
  <cp:lastModifiedBy>Unknown</cp:lastModifiedBy>
  <dcterms:created xsi:type="dcterms:W3CDTF">2025-10-01T00:00:00Z</dcterms:created>
  <dcterms:modified xsi:type="dcterms:W3CDTF">2025-10-01T00:00:00Z</dcterms:modified>
</cp:coreProperties>
</file>